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bookViews>
    <workbookView minimized="1" xWindow="-108" yWindow="-108" windowWidth="19416" windowHeight="10296" tabRatio="952" activeTab="11"/>
  </bookViews>
  <sheets>
    <sheet name="PL" sheetId="1" r:id="rId1"/>
    <sheet name="BS" sheetId="2" r:id="rId2"/>
    <sheet name="Cash flow" sheetId="35" r:id="rId3"/>
    <sheet name="SOCE" sheetId="10" r:id="rId4"/>
    <sheet name="Accounting Policies" sheetId="41" r:id="rId5"/>
    <sheet name="Profit reco" sheetId="40" r:id="rId6"/>
    <sheet name="FA sch" sheetId="120" r:id="rId7"/>
    <sheet name="FA prev year" sheetId="6" r:id="rId8"/>
    <sheet name="Notes" sheetId="5" r:id="rId9"/>
    <sheet name="FA sep" sheetId="114" state="hidden" r:id="rId10"/>
    <sheet name="Employee benefits Note 36" sheetId="46" r:id="rId11"/>
    <sheet name="Note 37" sheetId="86" r:id="rId12"/>
    <sheet name="Note 38 ratios" sheetId="108" r:id="rId13"/>
    <sheet name="Note 39 FVM_1" sheetId="22" r:id="rId14"/>
    <sheet name="Note 39credit &amp; liquidity" sheetId="23" r:id="rId15"/>
    <sheet name="Note 39 FRM2_Currency &amp; price" sheetId="24" state="hidden" r:id="rId16"/>
    <sheet name="Notes 40 to 42" sheetId="47" r:id="rId17"/>
    <sheet name="Notes 43 to 48" sheetId="45" r:id="rId18"/>
    <sheet name="PL Grouping" sheetId="102" r:id="rId19"/>
    <sheet name="BS Grouping" sheetId="101" r:id="rId20"/>
    <sheet name="cash loss" sheetId="107" r:id="rId21"/>
    <sheet name="TB upload" sheetId="115" r:id="rId22"/>
    <sheet name="SDS JBA" sheetId="106" r:id="rId23"/>
    <sheet name="Deferred tax 23-24" sheetId="121" r:id="rId24"/>
    <sheet name="ROU" sheetId="32" r:id="rId25"/>
    <sheet name="Deferred tax 22-23" sheetId="112" r:id="rId26"/>
    <sheet name="Deferred tax 21-22" sheetId="109" r:id="rId27"/>
    <sheet name="Deferred tax 20-21" sheetId="99" r:id="rId28"/>
    <sheet name="Deferred tax 19-20" sheetId="69" r:id="rId29"/>
    <sheet name="Deferred tax 18-19" sheetId="70" r:id="rId30"/>
    <sheet name="Dep as per IT" sheetId="71" r:id="rId31"/>
    <sheet name="Dep as per IT 23-24" sheetId="122" r:id="rId32"/>
  </sheets>
  <externalReferences>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s>
  <definedNames>
    <definedName name="\" localSheetId="4" hidden="1">{#N/A,#N/A,FALSE,"MODULE3"}</definedName>
    <definedName name="\" localSheetId="6" hidden="1">{#N/A,#N/A,FALSE,"MODULE3"}</definedName>
    <definedName name="\" localSheetId="9" hidden="1">{#N/A,#N/A,FALSE,"MODULE3"}</definedName>
    <definedName name="\" hidden="1">{#N/A,#N/A,FALSE,"MODULE3"}</definedName>
    <definedName name="\0" localSheetId="4">[1]TOTAL!#REF!</definedName>
    <definedName name="\0" localSheetId="29">[1]TOTAL!#REF!</definedName>
    <definedName name="\0">[1]TOTAL!#REF!</definedName>
    <definedName name="\A" localSheetId="4">#REF!</definedName>
    <definedName name="\A" localSheetId="29">#REF!</definedName>
    <definedName name="\A" localSheetId="22">#REF!</definedName>
    <definedName name="\A">#REF!</definedName>
    <definedName name="\B" localSheetId="4">#REF!</definedName>
    <definedName name="\B" localSheetId="29">#REF!</definedName>
    <definedName name="\B" localSheetId="22">#REF!</definedName>
    <definedName name="\B">#REF!</definedName>
    <definedName name="\C" localSheetId="4">#REF!</definedName>
    <definedName name="\C" localSheetId="29">#REF!</definedName>
    <definedName name="\C" localSheetId="22">#REF!</definedName>
    <definedName name="\C">#REF!</definedName>
    <definedName name="\f" localSheetId="4">#REF!</definedName>
    <definedName name="\f" localSheetId="29">#REF!</definedName>
    <definedName name="\f">#REF!</definedName>
    <definedName name="\g" localSheetId="4">#REF!</definedName>
    <definedName name="\g" localSheetId="29">#REF!</definedName>
    <definedName name="\g">#REF!</definedName>
    <definedName name="\H" localSheetId="4">#REF!</definedName>
    <definedName name="\H" localSheetId="29">#REF!</definedName>
    <definedName name="\H" localSheetId="22">#REF!</definedName>
    <definedName name="\H">#REF!</definedName>
    <definedName name="\M" localSheetId="4">#REF!</definedName>
    <definedName name="\M" localSheetId="29">#REF!</definedName>
    <definedName name="\M" localSheetId="22">#REF!</definedName>
    <definedName name="\M">#REF!</definedName>
    <definedName name="\p" localSheetId="4">'[2]CMA DATA'!#REF!</definedName>
    <definedName name="\p" localSheetId="29">'[2]CMA DATA'!#REF!</definedName>
    <definedName name="\p" localSheetId="22">'[2]CMA DATA'!#REF!</definedName>
    <definedName name="\p">'[2]CMA DATA'!#REF!</definedName>
    <definedName name="\q" localSheetId="4">'[2]CMA DATA'!#REF!</definedName>
    <definedName name="\q" localSheetId="29">'[2]CMA DATA'!#REF!</definedName>
    <definedName name="\q" localSheetId="22">'[2]CMA DATA'!#REF!</definedName>
    <definedName name="\q">'[2]CMA DATA'!#REF!</definedName>
    <definedName name="\r" localSheetId="4">#REF!</definedName>
    <definedName name="\r" localSheetId="29">#REF!</definedName>
    <definedName name="\r">#REF!</definedName>
    <definedName name="\s" localSheetId="4">'[2]CMA DATA'!#REF!</definedName>
    <definedName name="\s" localSheetId="29">'[2]CMA DATA'!#REF!</definedName>
    <definedName name="\s" localSheetId="22">'[2]CMA DATA'!#REF!</definedName>
    <definedName name="\s">'[2]CMA DATA'!#REF!</definedName>
    <definedName name="\t" localSheetId="4">#REF!</definedName>
    <definedName name="\t" localSheetId="29">#REF!</definedName>
    <definedName name="\t">#REF!</definedName>
    <definedName name="\v" localSheetId="4">[3]PBCLIST!#REF!</definedName>
    <definedName name="\v" localSheetId="29">[3]PBCLIST!#REF!</definedName>
    <definedName name="\v">[3]PBCLIST!#REF!</definedName>
    <definedName name="\x" localSheetId="4">'[2]CMA DATA'!#REF!</definedName>
    <definedName name="\x" localSheetId="29">'[2]CMA DATA'!#REF!</definedName>
    <definedName name="\x" localSheetId="22">'[2]CMA DATA'!#REF!</definedName>
    <definedName name="\x">'[2]CMA DATA'!#REF!</definedName>
    <definedName name="\y" localSheetId="4">'[2]CMA DATA'!#REF!</definedName>
    <definedName name="\y" localSheetId="29">'[2]CMA DATA'!#REF!</definedName>
    <definedName name="\y" localSheetId="22">'[2]CMA DATA'!#REF!</definedName>
    <definedName name="\y">'[2]CMA DATA'!#REF!</definedName>
    <definedName name="\Z" localSheetId="4">#REF!</definedName>
    <definedName name="\Z" localSheetId="29">#REF!</definedName>
    <definedName name="\Z" localSheetId="22">#REF!</definedName>
    <definedName name="\Z">#REF!</definedName>
    <definedName name="_" localSheetId="4">'[4]For Excel'!#REF!</definedName>
    <definedName name="_" localSheetId="29">'[4]For Excel'!#REF!</definedName>
    <definedName name="_">'[4]For Excel'!#REF!</definedName>
    <definedName name="__" localSheetId="4">'[4]For Excel'!#REF!</definedName>
    <definedName name="__" localSheetId="29">'[4]For Excel'!#REF!</definedName>
    <definedName name="__">'[4]For Excel'!#REF!</definedName>
    <definedName name="___" localSheetId="4">'[4]For Excel'!#REF!</definedName>
    <definedName name="___" localSheetId="29">'[4]For Excel'!#REF!</definedName>
    <definedName name="___">'[4]For Excel'!#REF!</definedName>
    <definedName name="______________FEb1" localSheetId="4">'[5]PL PBC'!#REF!</definedName>
    <definedName name="______________FEb1" localSheetId="29">'[5]PL PBC'!#REF!</definedName>
    <definedName name="______________FEb1" localSheetId="22">'[5]PL PBC'!#REF!</definedName>
    <definedName name="______________FEb1">'[5]PL PBC'!#REF!</definedName>
    <definedName name="______________ist1" localSheetId="4">'[5]PL PBC'!#REF!</definedName>
    <definedName name="______________ist1" localSheetId="29">'[5]PL PBC'!#REF!</definedName>
    <definedName name="______________ist1" localSheetId="22">'[5]PL PBC'!#REF!</definedName>
    <definedName name="______________ist1">'[5]PL PBC'!#REF!</definedName>
    <definedName name="______________TB1" localSheetId="4">#REF!</definedName>
    <definedName name="______________TB1" localSheetId="29">#REF!</definedName>
    <definedName name="______________TB1" localSheetId="22">#REF!</definedName>
    <definedName name="______________TB1">#REF!</definedName>
    <definedName name="_____________FEb1" localSheetId="4">'[5]PL PBC'!#REF!</definedName>
    <definedName name="_____________FEb1" localSheetId="29">'[5]PL PBC'!#REF!</definedName>
    <definedName name="_____________FEb1">'[5]PL PBC'!#REF!</definedName>
    <definedName name="_____________ist1" localSheetId="4">'[5]PL PBC'!#REF!</definedName>
    <definedName name="_____________ist1" localSheetId="29">'[5]PL PBC'!#REF!</definedName>
    <definedName name="_____________ist1">'[5]PL PBC'!#REF!</definedName>
    <definedName name="____________FEb1" localSheetId="4">'[5]PL PBC'!#REF!</definedName>
    <definedName name="____________FEb1" localSheetId="29">'[5]PL PBC'!#REF!</definedName>
    <definedName name="____________FEb1" localSheetId="22">'[5]PL PBC'!#REF!</definedName>
    <definedName name="____________FEb1">'[5]PL PBC'!#REF!</definedName>
    <definedName name="____________ist1" localSheetId="4">'[5]PL PBC'!#REF!</definedName>
    <definedName name="____________ist1" localSheetId="29">'[5]PL PBC'!#REF!</definedName>
    <definedName name="____________ist1" localSheetId="22">'[5]PL PBC'!#REF!</definedName>
    <definedName name="____________ist1">'[5]PL PBC'!#REF!</definedName>
    <definedName name="____________TB1" localSheetId="4">#REF!</definedName>
    <definedName name="____________TB1" localSheetId="29">#REF!</definedName>
    <definedName name="____________TB1" localSheetId="22">#REF!</definedName>
    <definedName name="____________TB1">#REF!</definedName>
    <definedName name="___________FEb1" localSheetId="4">'[5]PL PBC'!#REF!</definedName>
    <definedName name="___________FEb1" localSheetId="29">'[5]PL PBC'!#REF!</definedName>
    <definedName name="___________FEb1" localSheetId="22">'[5]PL PBC'!#REF!</definedName>
    <definedName name="___________FEb1">'[5]PL PBC'!#REF!</definedName>
    <definedName name="___________ist1" localSheetId="4">'[5]PL PBC'!#REF!</definedName>
    <definedName name="___________ist1" localSheetId="29">'[5]PL PBC'!#REF!</definedName>
    <definedName name="___________ist1" localSheetId="22">'[5]PL PBC'!#REF!</definedName>
    <definedName name="___________ist1">'[5]PL PBC'!#REF!</definedName>
    <definedName name="___________TB1" localSheetId="4">#REF!</definedName>
    <definedName name="___________TB1" localSheetId="29">#REF!</definedName>
    <definedName name="___________TB1" localSheetId="22">#REF!</definedName>
    <definedName name="___________TB1">#REF!</definedName>
    <definedName name="__________col1" localSheetId="4">#REF!</definedName>
    <definedName name="__________col1" localSheetId="29">#REF!</definedName>
    <definedName name="__________col1">#REF!</definedName>
    <definedName name="__________col10" localSheetId="4">#REF!</definedName>
    <definedName name="__________col10" localSheetId="29">#REF!</definedName>
    <definedName name="__________col10">#REF!</definedName>
    <definedName name="__________col11" localSheetId="4">#REF!</definedName>
    <definedName name="__________col11" localSheetId="29">#REF!</definedName>
    <definedName name="__________col11">#REF!</definedName>
    <definedName name="__________col12" localSheetId="4">#REF!</definedName>
    <definedName name="__________col12" localSheetId="29">#REF!</definedName>
    <definedName name="__________col12">#REF!</definedName>
    <definedName name="__________col13" localSheetId="4">#REF!</definedName>
    <definedName name="__________col13" localSheetId="29">#REF!</definedName>
    <definedName name="__________col13">#REF!</definedName>
    <definedName name="__________col2" localSheetId="4">#REF!</definedName>
    <definedName name="__________col2" localSheetId="29">#REF!</definedName>
    <definedName name="__________col2">#REF!</definedName>
    <definedName name="__________col3" localSheetId="4">#REF!</definedName>
    <definedName name="__________col3" localSheetId="29">#REF!</definedName>
    <definedName name="__________col3">#REF!</definedName>
    <definedName name="__________col4" localSheetId="4">#REF!</definedName>
    <definedName name="__________col4" localSheetId="29">#REF!</definedName>
    <definedName name="__________col4">#REF!</definedName>
    <definedName name="__________col5" localSheetId="4">#REF!</definedName>
    <definedName name="__________col5" localSheetId="29">#REF!</definedName>
    <definedName name="__________col5">#REF!</definedName>
    <definedName name="__________col6" localSheetId="4">#REF!</definedName>
    <definedName name="__________col6" localSheetId="29">#REF!</definedName>
    <definedName name="__________col6">#REF!</definedName>
    <definedName name="__________col7" localSheetId="4">#REF!</definedName>
    <definedName name="__________col7" localSheetId="29">#REF!</definedName>
    <definedName name="__________col7">#REF!</definedName>
    <definedName name="__________col8" localSheetId="4">#REF!</definedName>
    <definedName name="__________col8" localSheetId="29">#REF!</definedName>
    <definedName name="__________col8">#REF!</definedName>
    <definedName name="__________col9" localSheetId="4">#REF!</definedName>
    <definedName name="__________col9" localSheetId="29">#REF!</definedName>
    <definedName name="__________col9">#REF!</definedName>
    <definedName name="__________FEb1" localSheetId="4">'[5]PL PBC'!#REF!</definedName>
    <definedName name="__________FEb1" localSheetId="29">'[5]PL PBC'!#REF!</definedName>
    <definedName name="__________FEb1" localSheetId="22">'[5]PL PBC'!#REF!</definedName>
    <definedName name="__________FEb1">'[5]PL PBC'!#REF!</definedName>
    <definedName name="__________ist1" localSheetId="4">'[5]PL PBC'!#REF!</definedName>
    <definedName name="__________ist1" localSheetId="29">'[5]PL PBC'!#REF!</definedName>
    <definedName name="__________ist1" localSheetId="22">'[5]PL PBC'!#REF!</definedName>
    <definedName name="__________ist1">'[5]PL PBC'!#REF!</definedName>
    <definedName name="__________MAR9091" localSheetId="4">'[6]TRIAL BALANCE'!#REF!</definedName>
    <definedName name="__________MAR9091" localSheetId="29">'[6]TRIAL BALANCE'!#REF!</definedName>
    <definedName name="__________MAR9091">'[6]TRIAL BALANCE'!#REF!</definedName>
    <definedName name="__________qih1" localSheetId="4">#REF!</definedName>
    <definedName name="__________qih1" localSheetId="29">#REF!</definedName>
    <definedName name="__________qih1" localSheetId="22">#REF!</definedName>
    <definedName name="__________qih1">#REF!</definedName>
    <definedName name="__________TB1" localSheetId="4">#REF!</definedName>
    <definedName name="__________TB1" localSheetId="29">#REF!</definedName>
    <definedName name="__________TB1" localSheetId="22">#REF!</definedName>
    <definedName name="__________TB1">#REF!</definedName>
    <definedName name="_________col1" localSheetId="4">#REF!</definedName>
    <definedName name="_________col1" localSheetId="29">#REF!</definedName>
    <definedName name="_________col1">#REF!</definedName>
    <definedName name="_________col10" localSheetId="4">#REF!</definedName>
    <definedName name="_________col10" localSheetId="29">#REF!</definedName>
    <definedName name="_________col10">#REF!</definedName>
    <definedName name="_________col11" localSheetId="4">#REF!</definedName>
    <definedName name="_________col11" localSheetId="29">#REF!</definedName>
    <definedName name="_________col11">#REF!</definedName>
    <definedName name="_________col12" localSheetId="4">#REF!</definedName>
    <definedName name="_________col12" localSheetId="29">#REF!</definedName>
    <definedName name="_________col12">#REF!</definedName>
    <definedName name="_________col13" localSheetId="4">#REF!</definedName>
    <definedName name="_________col13" localSheetId="29">#REF!</definedName>
    <definedName name="_________col13">#REF!</definedName>
    <definedName name="_________col2" localSheetId="4">#REF!</definedName>
    <definedName name="_________col2" localSheetId="29">#REF!</definedName>
    <definedName name="_________col2">#REF!</definedName>
    <definedName name="_________col3" localSheetId="4">#REF!</definedName>
    <definedName name="_________col3" localSheetId="29">#REF!</definedName>
    <definedName name="_________col3">#REF!</definedName>
    <definedName name="_________col4" localSheetId="4">#REF!</definedName>
    <definedName name="_________col4" localSheetId="29">#REF!</definedName>
    <definedName name="_________col4">#REF!</definedName>
    <definedName name="_________col5" localSheetId="4">#REF!</definedName>
    <definedName name="_________col5" localSheetId="29">#REF!</definedName>
    <definedName name="_________col5">#REF!</definedName>
    <definedName name="_________col6" localSheetId="4">#REF!</definedName>
    <definedName name="_________col6" localSheetId="29">#REF!</definedName>
    <definedName name="_________col6">#REF!</definedName>
    <definedName name="_________col7" localSheetId="4">#REF!</definedName>
    <definedName name="_________col7" localSheetId="29">#REF!</definedName>
    <definedName name="_________col7">#REF!</definedName>
    <definedName name="_________col8" localSheetId="4">#REF!</definedName>
    <definedName name="_________col8" localSheetId="29">#REF!</definedName>
    <definedName name="_________col8">#REF!</definedName>
    <definedName name="_________col9" localSheetId="4">#REF!</definedName>
    <definedName name="_________col9" localSheetId="29">#REF!</definedName>
    <definedName name="_________col9">#REF!</definedName>
    <definedName name="_________FEb1" localSheetId="4">'[5]PL PBC'!#REF!</definedName>
    <definedName name="_________FEb1" localSheetId="29">'[5]PL PBC'!#REF!</definedName>
    <definedName name="_________FEb1" localSheetId="22">'[5]PL PBC'!#REF!</definedName>
    <definedName name="_________FEb1">'[5]PL PBC'!#REF!</definedName>
    <definedName name="_________ist1" localSheetId="4">'[5]PL PBC'!#REF!</definedName>
    <definedName name="_________ist1" localSheetId="29">'[5]PL PBC'!#REF!</definedName>
    <definedName name="_________ist1" localSheetId="22">'[5]PL PBC'!#REF!</definedName>
    <definedName name="_________ist1">'[5]PL PBC'!#REF!</definedName>
    <definedName name="_________MAR9091" localSheetId="4">'[7]TRIAL BALANCE'!#REF!</definedName>
    <definedName name="_________MAR9091" localSheetId="29">'[7]TRIAL BALANCE'!#REF!</definedName>
    <definedName name="_________MAR9091">'[7]TRIAL BALANCE'!#REF!</definedName>
    <definedName name="_________qih1" localSheetId="4">#REF!</definedName>
    <definedName name="_________qih1" localSheetId="29">#REF!</definedName>
    <definedName name="_________qih1" localSheetId="22">#REF!</definedName>
    <definedName name="_________qih1">#REF!</definedName>
    <definedName name="_________TB1" localSheetId="4">#REF!</definedName>
    <definedName name="_________TB1" localSheetId="29">#REF!</definedName>
    <definedName name="_________TB1" localSheetId="22">#REF!</definedName>
    <definedName name="_________TB1">#REF!</definedName>
    <definedName name="________col1" localSheetId="4">#REF!</definedName>
    <definedName name="________col1" localSheetId="29">#REF!</definedName>
    <definedName name="________col1">#REF!</definedName>
    <definedName name="________col10" localSheetId="4">#REF!</definedName>
    <definedName name="________col10" localSheetId="29">#REF!</definedName>
    <definedName name="________col10">#REF!</definedName>
    <definedName name="________col11" localSheetId="4">#REF!</definedName>
    <definedName name="________col11" localSheetId="29">#REF!</definedName>
    <definedName name="________col11">#REF!</definedName>
    <definedName name="________col12" localSheetId="4">#REF!</definedName>
    <definedName name="________col12" localSheetId="29">#REF!</definedName>
    <definedName name="________col12">#REF!</definedName>
    <definedName name="________col13" localSheetId="4">#REF!</definedName>
    <definedName name="________col13" localSheetId="29">#REF!</definedName>
    <definedName name="________col13">#REF!</definedName>
    <definedName name="________col2" localSheetId="4">#REF!</definedName>
    <definedName name="________col2" localSheetId="29">#REF!</definedName>
    <definedName name="________col2">#REF!</definedName>
    <definedName name="________col3" localSheetId="4">#REF!</definedName>
    <definedName name="________col3" localSheetId="29">#REF!</definedName>
    <definedName name="________col3">#REF!</definedName>
    <definedName name="________col4" localSheetId="4">#REF!</definedName>
    <definedName name="________col4" localSheetId="29">#REF!</definedName>
    <definedName name="________col4">#REF!</definedName>
    <definedName name="________col5" localSheetId="4">#REF!</definedName>
    <definedName name="________col5" localSheetId="29">#REF!</definedName>
    <definedName name="________col5">#REF!</definedName>
    <definedName name="________col6" localSheetId="4">#REF!</definedName>
    <definedName name="________col6" localSheetId="29">#REF!</definedName>
    <definedName name="________col6">#REF!</definedName>
    <definedName name="________col7" localSheetId="4">#REF!</definedName>
    <definedName name="________col7" localSheetId="29">#REF!</definedName>
    <definedName name="________col7">#REF!</definedName>
    <definedName name="________col8" localSheetId="4">#REF!</definedName>
    <definedName name="________col8" localSheetId="29">#REF!</definedName>
    <definedName name="________col8">#REF!</definedName>
    <definedName name="________col9" localSheetId="4">#REF!</definedName>
    <definedName name="________col9" localSheetId="29">#REF!</definedName>
    <definedName name="________col9">#REF!</definedName>
    <definedName name="________FEb1" localSheetId="4">'[5]PL PBC'!#REF!</definedName>
    <definedName name="________FEb1" localSheetId="29">'[5]PL PBC'!#REF!</definedName>
    <definedName name="________FEb1" localSheetId="22">'[5]PL PBC'!#REF!</definedName>
    <definedName name="________FEb1">'[5]PL PBC'!#REF!</definedName>
    <definedName name="________H95454" localSheetId="4">#REF!</definedName>
    <definedName name="________H95454" localSheetId="29">#REF!</definedName>
    <definedName name="________H95454">#REF!</definedName>
    <definedName name="________ist1" localSheetId="4">'[5]PL PBC'!#REF!</definedName>
    <definedName name="________ist1" localSheetId="29">'[5]PL PBC'!#REF!</definedName>
    <definedName name="________ist1" localSheetId="22">'[5]PL PBC'!#REF!</definedName>
    <definedName name="________ist1">'[5]PL PBC'!#REF!</definedName>
    <definedName name="________MAR9091" localSheetId="4">'[7]TRIAL BALANCE'!#REF!</definedName>
    <definedName name="________MAR9091" localSheetId="29">'[7]TRIAL BALANCE'!#REF!</definedName>
    <definedName name="________MAR9091">'[7]TRIAL BALANCE'!#REF!</definedName>
    <definedName name="________qih1" localSheetId="4">#REF!</definedName>
    <definedName name="________qih1" localSheetId="29">#REF!</definedName>
    <definedName name="________qih1" localSheetId="22">#REF!</definedName>
    <definedName name="________qih1">#REF!</definedName>
    <definedName name="________TB1" localSheetId="4">#REF!</definedName>
    <definedName name="________TB1" localSheetId="29">#REF!</definedName>
    <definedName name="________TB1" localSheetId="22">#REF!</definedName>
    <definedName name="________TB1">#REF!</definedName>
    <definedName name="_______col1" localSheetId="4">#REF!</definedName>
    <definedName name="_______col1" localSheetId="29">#REF!</definedName>
    <definedName name="_______col1">#REF!</definedName>
    <definedName name="_______col10" localSheetId="4">#REF!</definedName>
    <definedName name="_______col10" localSheetId="29">#REF!</definedName>
    <definedName name="_______col10">#REF!</definedName>
    <definedName name="_______col11" localSheetId="4">#REF!</definedName>
    <definedName name="_______col11" localSheetId="29">#REF!</definedName>
    <definedName name="_______col11">#REF!</definedName>
    <definedName name="_______col12" localSheetId="4">#REF!</definedName>
    <definedName name="_______col12" localSheetId="29">#REF!</definedName>
    <definedName name="_______col12">#REF!</definedName>
    <definedName name="_______col13" localSheetId="4">#REF!</definedName>
    <definedName name="_______col13" localSheetId="29">#REF!</definedName>
    <definedName name="_______col13">#REF!</definedName>
    <definedName name="_______col2" localSheetId="4">#REF!</definedName>
    <definedName name="_______col2" localSheetId="29">#REF!</definedName>
    <definedName name="_______col2">#REF!</definedName>
    <definedName name="_______col3" localSheetId="4">#REF!</definedName>
    <definedName name="_______col3" localSheetId="29">#REF!</definedName>
    <definedName name="_______col3">#REF!</definedName>
    <definedName name="_______col4" localSheetId="4">#REF!</definedName>
    <definedName name="_______col4" localSheetId="29">#REF!</definedName>
    <definedName name="_______col4">#REF!</definedName>
    <definedName name="_______col5" localSheetId="4">#REF!</definedName>
    <definedName name="_______col5" localSheetId="29">#REF!</definedName>
    <definedName name="_______col5">#REF!</definedName>
    <definedName name="_______col6" localSheetId="4">#REF!</definedName>
    <definedName name="_______col6" localSheetId="29">#REF!</definedName>
    <definedName name="_______col6">#REF!</definedName>
    <definedName name="_______col7" localSheetId="4">#REF!</definedName>
    <definedName name="_______col7" localSheetId="29">#REF!</definedName>
    <definedName name="_______col7">#REF!</definedName>
    <definedName name="_______col8" localSheetId="4">#REF!</definedName>
    <definedName name="_______col8" localSheetId="29">#REF!</definedName>
    <definedName name="_______col8">#REF!</definedName>
    <definedName name="_______col9" localSheetId="4">#REF!</definedName>
    <definedName name="_______col9" localSheetId="29">#REF!</definedName>
    <definedName name="_______col9">#REF!</definedName>
    <definedName name="_______FEb1" localSheetId="4">'[5]PL PBC'!#REF!</definedName>
    <definedName name="_______FEb1" localSheetId="29">'[5]PL PBC'!#REF!</definedName>
    <definedName name="_______FEb1" localSheetId="22">'[5]PL PBC'!#REF!</definedName>
    <definedName name="_______FEb1">'[5]PL PBC'!#REF!</definedName>
    <definedName name="_______H95454" localSheetId="4">#REF!</definedName>
    <definedName name="_______H95454" localSheetId="29">#REF!</definedName>
    <definedName name="_______H95454">#REF!</definedName>
    <definedName name="_______ist1" localSheetId="4">'[5]PL PBC'!#REF!</definedName>
    <definedName name="_______ist1" localSheetId="29">'[5]PL PBC'!#REF!</definedName>
    <definedName name="_______ist1" localSheetId="22">'[5]PL PBC'!#REF!</definedName>
    <definedName name="_______ist1">'[5]PL PBC'!#REF!</definedName>
    <definedName name="_______MAR9091" localSheetId="4">'[7]TRIAL BALANCE'!#REF!</definedName>
    <definedName name="_______MAR9091" localSheetId="29">'[7]TRIAL BALANCE'!#REF!</definedName>
    <definedName name="_______MAR9091">'[7]TRIAL BALANCE'!#REF!</definedName>
    <definedName name="_______qih1" localSheetId="4">#REF!</definedName>
    <definedName name="_______qih1" localSheetId="29">#REF!</definedName>
    <definedName name="_______qih1" localSheetId="22">#REF!</definedName>
    <definedName name="_______qih1">#REF!</definedName>
    <definedName name="_______TB1" localSheetId="4">#REF!</definedName>
    <definedName name="_______TB1" localSheetId="29">#REF!</definedName>
    <definedName name="_______TB1" localSheetId="22">#REF!</definedName>
    <definedName name="_______TB1">#REF!</definedName>
    <definedName name="______col1" localSheetId="4">#REF!</definedName>
    <definedName name="______col1" localSheetId="29">#REF!</definedName>
    <definedName name="______col1">#REF!</definedName>
    <definedName name="______col10" localSheetId="4">#REF!</definedName>
    <definedName name="______col10" localSheetId="29">#REF!</definedName>
    <definedName name="______col10">#REF!</definedName>
    <definedName name="______col11" localSheetId="4">#REF!</definedName>
    <definedName name="______col11" localSheetId="29">#REF!</definedName>
    <definedName name="______col11">#REF!</definedName>
    <definedName name="______col12" localSheetId="4">#REF!</definedName>
    <definedName name="______col12" localSheetId="29">#REF!</definedName>
    <definedName name="______col12">#REF!</definedName>
    <definedName name="______col13" localSheetId="4">#REF!</definedName>
    <definedName name="______col13" localSheetId="29">#REF!</definedName>
    <definedName name="______col13">#REF!</definedName>
    <definedName name="______col2" localSheetId="4">#REF!</definedName>
    <definedName name="______col2" localSheetId="29">#REF!</definedName>
    <definedName name="______col2">#REF!</definedName>
    <definedName name="______col3" localSheetId="4">#REF!</definedName>
    <definedName name="______col3" localSheetId="29">#REF!</definedName>
    <definedName name="______col3">#REF!</definedName>
    <definedName name="______col4" localSheetId="4">#REF!</definedName>
    <definedName name="______col4" localSheetId="29">#REF!</definedName>
    <definedName name="______col4">#REF!</definedName>
    <definedName name="______col5" localSheetId="4">#REF!</definedName>
    <definedName name="______col5" localSheetId="29">#REF!</definedName>
    <definedName name="______col5">#REF!</definedName>
    <definedName name="______col6" localSheetId="4">#REF!</definedName>
    <definedName name="______col6" localSheetId="29">#REF!</definedName>
    <definedName name="______col6">#REF!</definedName>
    <definedName name="______col7" localSheetId="4">#REF!</definedName>
    <definedName name="______col7" localSheetId="29">#REF!</definedName>
    <definedName name="______col7">#REF!</definedName>
    <definedName name="______col8" localSheetId="4">#REF!</definedName>
    <definedName name="______col8" localSheetId="29">#REF!</definedName>
    <definedName name="______col8">#REF!</definedName>
    <definedName name="______col9" localSheetId="4">#REF!</definedName>
    <definedName name="______col9" localSheetId="29">#REF!</definedName>
    <definedName name="______col9">#REF!</definedName>
    <definedName name="______FEb1" localSheetId="4">'[5]PL PBC'!#REF!</definedName>
    <definedName name="______FEb1" localSheetId="29">'[5]PL PBC'!#REF!</definedName>
    <definedName name="______FEb1" localSheetId="22">'[5]PL PBC'!#REF!</definedName>
    <definedName name="______FEb1">'[5]PL PBC'!#REF!</definedName>
    <definedName name="______H95454" localSheetId="4">#REF!</definedName>
    <definedName name="______H95454" localSheetId="29">#REF!</definedName>
    <definedName name="______H95454" localSheetId="22">#REF!</definedName>
    <definedName name="______H95454">#REF!</definedName>
    <definedName name="______ist1" localSheetId="4">'[5]PL PBC'!#REF!</definedName>
    <definedName name="______ist1" localSheetId="29">'[5]PL PBC'!#REF!</definedName>
    <definedName name="______ist1" localSheetId="22">'[5]PL PBC'!#REF!</definedName>
    <definedName name="______ist1">'[5]PL PBC'!#REF!</definedName>
    <definedName name="______MAR9091" localSheetId="4">'[8]TRIAL BALANCE'!#REF!</definedName>
    <definedName name="______MAR9091" localSheetId="29">'[8]TRIAL BALANCE'!#REF!</definedName>
    <definedName name="______MAR9091">'[8]TRIAL BALANCE'!#REF!</definedName>
    <definedName name="______qih1" localSheetId="4">#REF!</definedName>
    <definedName name="______qih1" localSheetId="29">#REF!</definedName>
    <definedName name="______qih1" localSheetId="22">#REF!</definedName>
    <definedName name="______qih1">#REF!</definedName>
    <definedName name="______TB1" localSheetId="4">#REF!</definedName>
    <definedName name="______TB1" localSheetId="29">#REF!</definedName>
    <definedName name="______TB1" localSheetId="22">#REF!</definedName>
    <definedName name="______TB1">#REF!</definedName>
    <definedName name="_____col1" localSheetId="4">#REF!</definedName>
    <definedName name="_____col1" localSheetId="29">#REF!</definedName>
    <definedName name="_____col1">#REF!</definedName>
    <definedName name="_____col10" localSheetId="4">#REF!</definedName>
    <definedName name="_____col10" localSheetId="29">#REF!</definedName>
    <definedName name="_____col10">#REF!</definedName>
    <definedName name="_____col11" localSheetId="4">#REF!</definedName>
    <definedName name="_____col11" localSheetId="29">#REF!</definedName>
    <definedName name="_____col11">#REF!</definedName>
    <definedName name="_____col12" localSheetId="4">#REF!</definedName>
    <definedName name="_____col12" localSheetId="29">#REF!</definedName>
    <definedName name="_____col12">#REF!</definedName>
    <definedName name="_____col13" localSheetId="4">#REF!</definedName>
    <definedName name="_____col13" localSheetId="29">#REF!</definedName>
    <definedName name="_____col13">#REF!</definedName>
    <definedName name="_____col2" localSheetId="4">#REF!</definedName>
    <definedName name="_____col2" localSheetId="29">#REF!</definedName>
    <definedName name="_____col2">#REF!</definedName>
    <definedName name="_____col3" localSheetId="4">#REF!</definedName>
    <definedName name="_____col3" localSheetId="29">#REF!</definedName>
    <definedName name="_____col3">#REF!</definedName>
    <definedName name="_____col4" localSheetId="4">#REF!</definedName>
    <definedName name="_____col4" localSheetId="29">#REF!</definedName>
    <definedName name="_____col4">#REF!</definedName>
    <definedName name="_____col5" localSheetId="4">#REF!</definedName>
    <definedName name="_____col5" localSheetId="29">#REF!</definedName>
    <definedName name="_____col5">#REF!</definedName>
    <definedName name="_____col6" localSheetId="4">#REF!</definedName>
    <definedName name="_____col6" localSheetId="29">#REF!</definedName>
    <definedName name="_____col6">#REF!</definedName>
    <definedName name="_____col7" localSheetId="4">#REF!</definedName>
    <definedName name="_____col7" localSheetId="29">#REF!</definedName>
    <definedName name="_____col7">#REF!</definedName>
    <definedName name="_____col8" localSheetId="4">#REF!</definedName>
    <definedName name="_____col8" localSheetId="29">#REF!</definedName>
    <definedName name="_____col8">#REF!</definedName>
    <definedName name="_____col9" localSheetId="4">#REF!</definedName>
    <definedName name="_____col9" localSheetId="29">#REF!</definedName>
    <definedName name="_____col9">#REF!</definedName>
    <definedName name="_____FEb1" localSheetId="4">'[5]PL PBC'!#REF!</definedName>
    <definedName name="_____FEb1" localSheetId="29">'[5]PL PBC'!#REF!</definedName>
    <definedName name="_____FEb1" localSheetId="22">'[5]PL PBC'!#REF!</definedName>
    <definedName name="_____FEb1">'[5]PL PBC'!#REF!</definedName>
    <definedName name="_____H95454" localSheetId="4">#REF!</definedName>
    <definedName name="_____H95454" localSheetId="29">#REF!</definedName>
    <definedName name="_____H95454" localSheetId="22">#REF!</definedName>
    <definedName name="_____H95454">#REF!</definedName>
    <definedName name="_____ist1" localSheetId="4">'[5]PL PBC'!#REF!</definedName>
    <definedName name="_____ist1" localSheetId="29">'[5]PL PBC'!#REF!</definedName>
    <definedName name="_____ist1" localSheetId="22">'[5]PL PBC'!#REF!</definedName>
    <definedName name="_____ist1">'[5]PL PBC'!#REF!</definedName>
    <definedName name="_____MAR9091" localSheetId="4">'[8]TRIAL BALANCE'!#REF!</definedName>
    <definedName name="_____MAR9091" localSheetId="29">'[8]TRIAL BALANCE'!#REF!</definedName>
    <definedName name="_____MAR9091">'[8]TRIAL BALANCE'!#REF!</definedName>
    <definedName name="_____qih1" localSheetId="4">#REF!</definedName>
    <definedName name="_____qih1" localSheetId="29">#REF!</definedName>
    <definedName name="_____qih1" localSheetId="22">#REF!</definedName>
    <definedName name="_____qih1">#REF!</definedName>
    <definedName name="_____TB1" localSheetId="4">#REF!</definedName>
    <definedName name="_____TB1" localSheetId="29">#REF!</definedName>
    <definedName name="_____TB1" localSheetId="22">#REF!</definedName>
    <definedName name="_____TB1">#REF!</definedName>
    <definedName name="____col1" localSheetId="4">#REF!</definedName>
    <definedName name="____col1" localSheetId="29">#REF!</definedName>
    <definedName name="____col1">#REF!</definedName>
    <definedName name="____col10" localSheetId="4">#REF!</definedName>
    <definedName name="____col10" localSheetId="29">#REF!</definedName>
    <definedName name="____col10">#REF!</definedName>
    <definedName name="____col11" localSheetId="4">#REF!</definedName>
    <definedName name="____col11" localSheetId="29">#REF!</definedName>
    <definedName name="____col11">#REF!</definedName>
    <definedName name="____col12" localSheetId="4">#REF!</definedName>
    <definedName name="____col12" localSheetId="29">#REF!</definedName>
    <definedName name="____col12">#REF!</definedName>
    <definedName name="____col13" localSheetId="4">#REF!</definedName>
    <definedName name="____col13" localSheetId="29">#REF!</definedName>
    <definedName name="____col13">#REF!</definedName>
    <definedName name="____col2" localSheetId="4">#REF!</definedName>
    <definedName name="____col2" localSheetId="29">#REF!</definedName>
    <definedName name="____col2">#REF!</definedName>
    <definedName name="____col3" localSheetId="4">#REF!</definedName>
    <definedName name="____col3" localSheetId="29">#REF!</definedName>
    <definedName name="____col3">#REF!</definedName>
    <definedName name="____col4" localSheetId="4">#REF!</definedName>
    <definedName name="____col4" localSheetId="29">#REF!</definedName>
    <definedName name="____col4">#REF!</definedName>
    <definedName name="____col5" localSheetId="4">#REF!</definedName>
    <definedName name="____col5" localSheetId="29">#REF!</definedName>
    <definedName name="____col5">#REF!</definedName>
    <definedName name="____col6" localSheetId="4">#REF!</definedName>
    <definedName name="____col6" localSheetId="29">#REF!</definedName>
    <definedName name="____col6">#REF!</definedName>
    <definedName name="____col7" localSheetId="4">#REF!</definedName>
    <definedName name="____col7" localSheetId="29">#REF!</definedName>
    <definedName name="____col7">#REF!</definedName>
    <definedName name="____col8" localSheetId="4">#REF!</definedName>
    <definedName name="____col8" localSheetId="29">#REF!</definedName>
    <definedName name="____col8">#REF!</definedName>
    <definedName name="____col9" localSheetId="4">#REF!</definedName>
    <definedName name="____col9" localSheetId="29">#REF!</definedName>
    <definedName name="____col9">#REF!</definedName>
    <definedName name="____erp15">'[9]TB ERP 15'!$B$3:$U$1024</definedName>
    <definedName name="____FEb1" localSheetId="4">'[5]PL PBC'!#REF!</definedName>
    <definedName name="____FEb1" localSheetId="29">'[5]PL PBC'!#REF!</definedName>
    <definedName name="____FEb1" localSheetId="22">'[5]PL PBC'!#REF!</definedName>
    <definedName name="____FEb1">'[5]PL PBC'!#REF!</definedName>
    <definedName name="____H95454" localSheetId="4">#REF!</definedName>
    <definedName name="____H95454" localSheetId="29">#REF!</definedName>
    <definedName name="____H95454" localSheetId="22">#REF!</definedName>
    <definedName name="____H95454">#REF!</definedName>
    <definedName name="____ist1" localSheetId="4">'[5]PL PBC'!#REF!</definedName>
    <definedName name="____ist1" localSheetId="29">'[5]PL PBC'!#REF!</definedName>
    <definedName name="____ist1" localSheetId="22">'[5]PL PBC'!#REF!</definedName>
    <definedName name="____ist1">'[5]PL PBC'!#REF!</definedName>
    <definedName name="____MAR9091" localSheetId="4">'[8]TRIAL BALANCE'!#REF!</definedName>
    <definedName name="____MAR9091" localSheetId="29">'[8]TRIAL BALANCE'!#REF!</definedName>
    <definedName name="____MAR9091">'[8]TRIAL BALANCE'!#REF!</definedName>
    <definedName name="____qih1" localSheetId="4">#REF!</definedName>
    <definedName name="____qih1" localSheetId="29">#REF!</definedName>
    <definedName name="____qih1" localSheetId="22">#REF!</definedName>
    <definedName name="____qih1">#REF!</definedName>
    <definedName name="____TB1" localSheetId="4">#REF!</definedName>
    <definedName name="____TB1" localSheetId="29">#REF!</definedName>
    <definedName name="____TB1" localSheetId="22">#REF!</definedName>
    <definedName name="____TB1">#REF!</definedName>
    <definedName name="____tu14" localSheetId="4">#REF!</definedName>
    <definedName name="____tu14" localSheetId="29">#REF!</definedName>
    <definedName name="____tu14" localSheetId="22">#REF!</definedName>
    <definedName name="____tu14">#REF!</definedName>
    <definedName name="____tur14" localSheetId="4">#REF!</definedName>
    <definedName name="____tur14" localSheetId="29">#REF!</definedName>
    <definedName name="____tur14" localSheetId="22">#REF!</definedName>
    <definedName name="____tur14">#REF!</definedName>
    <definedName name="___bb1" localSheetId="4">#REF!</definedName>
    <definedName name="___bb1" localSheetId="29">#REF!</definedName>
    <definedName name="___bb1">#REF!</definedName>
    <definedName name="___C" localSheetId="4">#REF!</definedName>
    <definedName name="___C" localSheetId="29">#REF!</definedName>
    <definedName name="___C">#REF!</definedName>
    <definedName name="___col1" localSheetId="4">#REF!</definedName>
    <definedName name="___col1" localSheetId="29">#REF!</definedName>
    <definedName name="___col1">#REF!</definedName>
    <definedName name="___col10" localSheetId="4">#REF!</definedName>
    <definedName name="___col10" localSheetId="29">#REF!</definedName>
    <definedName name="___col10">#REF!</definedName>
    <definedName name="___col11" localSheetId="4">#REF!</definedName>
    <definedName name="___col11" localSheetId="29">#REF!</definedName>
    <definedName name="___col11">#REF!</definedName>
    <definedName name="___col12" localSheetId="4">#REF!</definedName>
    <definedName name="___col12" localSheetId="29">#REF!</definedName>
    <definedName name="___col12">#REF!</definedName>
    <definedName name="___col13" localSheetId="4">#REF!</definedName>
    <definedName name="___col13" localSheetId="29">#REF!</definedName>
    <definedName name="___col13">#REF!</definedName>
    <definedName name="___col2" localSheetId="4">#REF!</definedName>
    <definedName name="___col2" localSheetId="29">#REF!</definedName>
    <definedName name="___col2">#REF!</definedName>
    <definedName name="___col3" localSheetId="4">#REF!</definedName>
    <definedName name="___col3" localSheetId="29">#REF!</definedName>
    <definedName name="___col3">#REF!</definedName>
    <definedName name="___col4" localSheetId="4">#REF!</definedName>
    <definedName name="___col4" localSheetId="29">#REF!</definedName>
    <definedName name="___col4">#REF!</definedName>
    <definedName name="___col5" localSheetId="4">#REF!</definedName>
    <definedName name="___col5" localSheetId="29">#REF!</definedName>
    <definedName name="___col5">#REF!</definedName>
    <definedName name="___col6" localSheetId="4">#REF!</definedName>
    <definedName name="___col6" localSheetId="29">#REF!</definedName>
    <definedName name="___col6">#REF!</definedName>
    <definedName name="___col7" localSheetId="4">#REF!</definedName>
    <definedName name="___col7" localSheetId="29">#REF!</definedName>
    <definedName name="___col7">#REF!</definedName>
    <definedName name="___col8" localSheetId="4">#REF!</definedName>
    <definedName name="___col8" localSheetId="29">#REF!</definedName>
    <definedName name="___col8">#REF!</definedName>
    <definedName name="___col9" localSheetId="4">#REF!</definedName>
    <definedName name="___col9" localSheetId="29">#REF!</definedName>
    <definedName name="___col9">#REF!</definedName>
    <definedName name="___DAT4" localSheetId="4">#REF!</definedName>
    <definedName name="___DAT4" localSheetId="29">#REF!</definedName>
    <definedName name="___DAT4">#REF!</definedName>
    <definedName name="___erp15">'[10]TB ERP 15'!$B$3:$U$1024</definedName>
    <definedName name="___FEb1" localSheetId="4">'[5]PL PBC'!#REF!</definedName>
    <definedName name="___FEb1" localSheetId="29">'[5]PL PBC'!#REF!</definedName>
    <definedName name="___FEb1" localSheetId="22">'[5]PL PBC'!#REF!</definedName>
    <definedName name="___FEb1">'[5]PL PBC'!#REF!</definedName>
    <definedName name="___H95454" localSheetId="4">#REF!</definedName>
    <definedName name="___H95454" localSheetId="29">#REF!</definedName>
    <definedName name="___H95454" localSheetId="22">#REF!</definedName>
    <definedName name="___H95454">#REF!</definedName>
    <definedName name="___INDEX_SHEET___ASAP_Utilities" localSheetId="4">#REF!</definedName>
    <definedName name="___INDEX_SHEET___ASAP_Utilities" localSheetId="29">#REF!</definedName>
    <definedName name="___INDEX_SHEET___ASAP_Utilities">#REF!</definedName>
    <definedName name="___ist1" localSheetId="4">'[5]PL PBC'!#REF!</definedName>
    <definedName name="___ist1" localSheetId="29">'[5]PL PBC'!#REF!</definedName>
    <definedName name="___ist1" localSheetId="22">'[5]PL PBC'!#REF!</definedName>
    <definedName name="___ist1">'[5]PL PBC'!#REF!</definedName>
    <definedName name="___lia1" localSheetId="4">#REF!</definedName>
    <definedName name="___lia1" localSheetId="29">#REF!</definedName>
    <definedName name="___lia1">#REF!</definedName>
    <definedName name="___MAR9091" localSheetId="4">'[11]TRIAL BALANCE'!#REF!</definedName>
    <definedName name="___MAR9091" localSheetId="29">'[11]TRIAL BALANCE'!#REF!</definedName>
    <definedName name="___MAR9091">'[11]TRIAL BALANCE'!#REF!</definedName>
    <definedName name="___qih1" localSheetId="4">#REF!</definedName>
    <definedName name="___qih1" localSheetId="29">#REF!</definedName>
    <definedName name="___qih1" localSheetId="22">#REF!</definedName>
    <definedName name="___qih1">#REF!</definedName>
    <definedName name="___rdd1" localSheetId="4">#REF!</definedName>
    <definedName name="___rdd1" localSheetId="29">#REF!</definedName>
    <definedName name="___rdd1">#REF!</definedName>
    <definedName name="___SCH11" localSheetId="4">#REF!</definedName>
    <definedName name="___SCH11" localSheetId="29">#REF!</definedName>
    <definedName name="___SCH11">#REF!</definedName>
    <definedName name="___SCH4" localSheetId="4">#REF!</definedName>
    <definedName name="___SCH4" localSheetId="29">#REF!</definedName>
    <definedName name="___SCH4">#REF!</definedName>
    <definedName name="___SCH8" localSheetId="4">#REF!</definedName>
    <definedName name="___SCH8" localSheetId="29">#REF!</definedName>
    <definedName name="___SCH8">#REF!</definedName>
    <definedName name="___STI1" hidden="1">[12]B!$B$70:$D$72</definedName>
    <definedName name="___TB0313" localSheetId="4">#REF!</definedName>
    <definedName name="___TB0313" localSheetId="29">#REF!</definedName>
    <definedName name="___TB0313" localSheetId="22">#REF!</definedName>
    <definedName name="___TB0313">#REF!</definedName>
    <definedName name="___TB1" localSheetId="4">#REF!</definedName>
    <definedName name="___TB1" localSheetId="29">#REF!</definedName>
    <definedName name="___TB1" localSheetId="22">#REF!</definedName>
    <definedName name="___TB1">#REF!</definedName>
    <definedName name="___tu14" localSheetId="4">#REF!</definedName>
    <definedName name="___tu14" localSheetId="29">#REF!</definedName>
    <definedName name="___tu14" localSheetId="22">#REF!</definedName>
    <definedName name="___tu14">#REF!</definedName>
    <definedName name="___tur14" localSheetId="4">#REF!</definedName>
    <definedName name="___tur14" localSheetId="29">#REF!</definedName>
    <definedName name="___tur14" localSheetId="22">#REF!</definedName>
    <definedName name="___tur14">#REF!</definedName>
    <definedName name="__123Graph_A" localSheetId="4" hidden="1">'[13]BS IS 8&amp;9'!#REF!</definedName>
    <definedName name="__123Graph_A" localSheetId="29" hidden="1">'[13]BS IS 8&amp;9'!#REF!</definedName>
    <definedName name="__123Graph_A" hidden="1">'[13]BS IS 8&amp;9'!#REF!</definedName>
    <definedName name="__123Graph_B" localSheetId="4" hidden="1">'[13]BS IS 8&amp;9'!#REF!</definedName>
    <definedName name="__123Graph_B" localSheetId="29" hidden="1">'[13]BS IS 8&amp;9'!#REF!</definedName>
    <definedName name="__123Graph_B" hidden="1">'[13]BS IS 8&amp;9'!#REF!</definedName>
    <definedName name="__123Graph_D" localSheetId="4" hidden="1">#REF!</definedName>
    <definedName name="__123Graph_D" localSheetId="29" hidden="1">#REF!</definedName>
    <definedName name="__123Graph_D" localSheetId="22" hidden="1">#REF!</definedName>
    <definedName name="__123Graph_D" hidden="1">#REF!</definedName>
    <definedName name="__123Graph_X" localSheetId="4" hidden="1">'[13]BS IS 8&amp;9'!#REF!</definedName>
    <definedName name="__123Graph_X" localSheetId="29" hidden="1">'[13]BS IS 8&amp;9'!#REF!</definedName>
    <definedName name="__123Graph_X" hidden="1">'[13]BS IS 8&amp;9'!#REF!</definedName>
    <definedName name="__amc2" localSheetId="4">#REF!</definedName>
    <definedName name="__amc2" localSheetId="29">#REF!</definedName>
    <definedName name="__amc2">#REF!</definedName>
    <definedName name="__AXE10" localSheetId="4">#REF!</definedName>
    <definedName name="__AXE10" localSheetId="29">#REF!</definedName>
    <definedName name="__AXE10">#REF!</definedName>
    <definedName name="__bb1" localSheetId="4">#REF!</definedName>
    <definedName name="__bb1" localSheetId="29">#REF!</definedName>
    <definedName name="__bb1">#REF!</definedName>
    <definedName name="__bfs1" localSheetId="4">#REF!</definedName>
    <definedName name="__bfs1" localSheetId="29">#REF!</definedName>
    <definedName name="__bfs1">#REF!</definedName>
    <definedName name="__bfs10" localSheetId="4">#REF!</definedName>
    <definedName name="__bfs10" localSheetId="29">#REF!</definedName>
    <definedName name="__bfs10">#REF!</definedName>
    <definedName name="__bfs11" localSheetId="4">#REF!</definedName>
    <definedName name="__bfs11" localSheetId="29">#REF!</definedName>
    <definedName name="__bfs11">#REF!</definedName>
    <definedName name="__bfs12" localSheetId="4">#REF!</definedName>
    <definedName name="__bfs12" localSheetId="29">#REF!</definedName>
    <definedName name="__bfs12">#REF!</definedName>
    <definedName name="__bfs13" localSheetId="4">#REF!</definedName>
    <definedName name="__bfs13" localSheetId="29">#REF!</definedName>
    <definedName name="__bfs13">#REF!</definedName>
    <definedName name="__bfs14" localSheetId="4">#REF!</definedName>
    <definedName name="__bfs14" localSheetId="29">#REF!</definedName>
    <definedName name="__bfs14">#REF!</definedName>
    <definedName name="__bfs2" localSheetId="4">#REF!</definedName>
    <definedName name="__bfs2" localSheetId="29">#REF!</definedName>
    <definedName name="__bfs2">#REF!</definedName>
    <definedName name="__bfs3" localSheetId="4">#REF!</definedName>
    <definedName name="__bfs3" localSheetId="29">#REF!</definedName>
    <definedName name="__bfs3">#REF!</definedName>
    <definedName name="__bfs4" localSheetId="4">#REF!</definedName>
    <definedName name="__bfs4" localSheetId="29">#REF!</definedName>
    <definedName name="__bfs4">#REF!</definedName>
    <definedName name="__bfs5" localSheetId="4">#REF!</definedName>
    <definedName name="__bfs5" localSheetId="29">#REF!</definedName>
    <definedName name="__bfs5">#REF!</definedName>
    <definedName name="__bfs6" localSheetId="4">#REF!</definedName>
    <definedName name="__bfs6" localSheetId="29">#REF!</definedName>
    <definedName name="__bfs6">#REF!</definedName>
    <definedName name="__bfs7" localSheetId="4">#REF!</definedName>
    <definedName name="__bfs7" localSheetId="29">#REF!</definedName>
    <definedName name="__bfs7">#REF!</definedName>
    <definedName name="__bfs8" localSheetId="4">#REF!</definedName>
    <definedName name="__bfs8" localSheetId="29">#REF!</definedName>
    <definedName name="__bfs8">#REF!</definedName>
    <definedName name="__bfs9" localSheetId="4">#REF!</definedName>
    <definedName name="__bfs9" localSheetId="29">#REF!</definedName>
    <definedName name="__bfs9">#REF!</definedName>
    <definedName name="__bs1" localSheetId="6" hidden="1">{#N/A,#N/A,FALSE,"Staffnos &amp; cost"}</definedName>
    <definedName name="__bs1" localSheetId="9" hidden="1">{#N/A,#N/A,FALSE,"Staffnos &amp; cost"}</definedName>
    <definedName name="__bs1" hidden="1">{#N/A,#N/A,FALSE,"Staffnos &amp; cost"}</definedName>
    <definedName name="__bs2" localSheetId="6" hidden="1">{#N/A,#N/A,TRUE,"Staffnos &amp; cost"}</definedName>
    <definedName name="__bs2" localSheetId="9" hidden="1">{#N/A,#N/A,TRUE,"Staffnos &amp; cost"}</definedName>
    <definedName name="__bs2" hidden="1">{#N/A,#N/A,TRUE,"Staffnos &amp; cost"}</definedName>
    <definedName name="__C" localSheetId="4">#REF!</definedName>
    <definedName name="__C" localSheetId="29">#REF!</definedName>
    <definedName name="__C">#REF!</definedName>
    <definedName name="__cap1" localSheetId="4">#REF!</definedName>
    <definedName name="__cap1" localSheetId="29">#REF!</definedName>
    <definedName name="__cap1">#REF!</definedName>
    <definedName name="__col1" localSheetId="4">#REF!</definedName>
    <definedName name="__col1" localSheetId="29">#REF!</definedName>
    <definedName name="__col1">#REF!</definedName>
    <definedName name="__col10" localSheetId="4">#REF!</definedName>
    <definedName name="__col10" localSheetId="29">#REF!</definedName>
    <definedName name="__col10">#REF!</definedName>
    <definedName name="__col11" localSheetId="4">#REF!</definedName>
    <definedName name="__col11" localSheetId="29">#REF!</definedName>
    <definedName name="__col11">#REF!</definedName>
    <definedName name="__col12" localSheetId="4">#REF!</definedName>
    <definedName name="__col12" localSheetId="29">#REF!</definedName>
    <definedName name="__col12">#REF!</definedName>
    <definedName name="__col13" localSheetId="4">#REF!</definedName>
    <definedName name="__col13" localSheetId="29">#REF!</definedName>
    <definedName name="__col13">#REF!</definedName>
    <definedName name="__col2" localSheetId="4">#REF!</definedName>
    <definedName name="__col2" localSheetId="29">#REF!</definedName>
    <definedName name="__col2">#REF!</definedName>
    <definedName name="__col3" localSheetId="4">#REF!</definedName>
    <definedName name="__col3" localSheetId="29">#REF!</definedName>
    <definedName name="__col3">#REF!</definedName>
    <definedName name="__col4" localSheetId="4">#REF!</definedName>
    <definedName name="__col4" localSheetId="29">#REF!</definedName>
    <definedName name="__col4">#REF!</definedName>
    <definedName name="__col5" localSheetId="4">#REF!</definedName>
    <definedName name="__col5" localSheetId="29">#REF!</definedName>
    <definedName name="__col5">#REF!</definedName>
    <definedName name="__col6" localSheetId="4">#REF!</definedName>
    <definedName name="__col6" localSheetId="29">#REF!</definedName>
    <definedName name="__col6">#REF!</definedName>
    <definedName name="__col7" localSheetId="4">#REF!</definedName>
    <definedName name="__col7" localSheetId="29">#REF!</definedName>
    <definedName name="__col7">#REF!</definedName>
    <definedName name="__col8" localSheetId="4">#REF!</definedName>
    <definedName name="__col8" localSheetId="29">#REF!</definedName>
    <definedName name="__col8">#REF!</definedName>
    <definedName name="__col9" localSheetId="4">#REF!</definedName>
    <definedName name="__col9" localSheetId="29">#REF!</definedName>
    <definedName name="__col9">#REF!</definedName>
    <definedName name="__DAT3" localSheetId="4">#REF!</definedName>
    <definedName name="__DAT3" localSheetId="29">#REF!</definedName>
    <definedName name="__DAT3">#REF!</definedName>
    <definedName name="__DAT4" localSheetId="4">#REF!</definedName>
    <definedName name="__DAT4" localSheetId="29">#REF!</definedName>
    <definedName name="__DAT4">#REF!</definedName>
    <definedName name="__erl1" localSheetId="4">#REF!</definedName>
    <definedName name="__erl1" localSheetId="29">#REF!</definedName>
    <definedName name="__erl1">#REF!</definedName>
    <definedName name="__erl2" localSheetId="4">#REF!</definedName>
    <definedName name="__erl2" localSheetId="29">#REF!</definedName>
    <definedName name="__erl2">#REF!</definedName>
    <definedName name="__erp15">'[9]TB ERP 15'!$B$3:$U$1024</definedName>
    <definedName name="__FEb1" localSheetId="4">'[5]PL PBC'!#REF!</definedName>
    <definedName name="__FEb1" localSheetId="29">'[5]PL PBC'!#REF!</definedName>
    <definedName name="__FEb1" localSheetId="22">'[5]PL PBC'!#REF!</definedName>
    <definedName name="__FEb1">'[5]PL PBC'!#REF!</definedName>
    <definedName name="__H95454" localSheetId="4">#REF!</definedName>
    <definedName name="__H95454" localSheetId="29">#REF!</definedName>
    <definedName name="__H95454" localSheetId="22">#REF!</definedName>
    <definedName name="__H95454">#REF!</definedName>
    <definedName name="__IntlFixup" hidden="1">TRUE</definedName>
    <definedName name="__IntlFixupTable" localSheetId="4" hidden="1">#REF!</definedName>
    <definedName name="__IntlFixupTable" localSheetId="29" hidden="1">#REF!</definedName>
    <definedName name="__IntlFixupTable" localSheetId="22" hidden="1">#REF!</definedName>
    <definedName name="__IntlFixupTable" hidden="1">#REF!</definedName>
    <definedName name="__ist1" localSheetId="4">'[5]PL PBC'!#REF!</definedName>
    <definedName name="__ist1" localSheetId="29">'[5]PL PBC'!#REF!</definedName>
    <definedName name="__ist1" localSheetId="22">'[5]PL PBC'!#REF!</definedName>
    <definedName name="__ist1">'[5]PL PBC'!#REF!</definedName>
    <definedName name="__lia1" localSheetId="4">#REF!</definedName>
    <definedName name="__lia1" localSheetId="29">#REF!</definedName>
    <definedName name="__lia1">#REF!</definedName>
    <definedName name="__lup1" localSheetId="4">#REF!</definedName>
    <definedName name="__lup1" localSheetId="29">#REF!</definedName>
    <definedName name="__lup1">#REF!</definedName>
    <definedName name="__lup2" localSheetId="4">#REF!</definedName>
    <definedName name="__lup2" localSheetId="29">#REF!</definedName>
    <definedName name="__lup2">#REF!</definedName>
    <definedName name="__MAR9091" localSheetId="4">'[11]TRIAL BALANCE'!#REF!</definedName>
    <definedName name="__MAR9091" localSheetId="29">'[11]TRIAL BALANCE'!#REF!</definedName>
    <definedName name="__MAR9091">'[11]TRIAL BALANCE'!#REF!</definedName>
    <definedName name="__OC12" localSheetId="4">#REF!</definedName>
    <definedName name="__OC12" localSheetId="29">#REF!</definedName>
    <definedName name="__OC12">#REF!</definedName>
    <definedName name="__OC3" localSheetId="4">#REF!</definedName>
    <definedName name="__OC3" localSheetId="29">#REF!</definedName>
    <definedName name="__OC3">#REF!</definedName>
    <definedName name="__qih1" localSheetId="4">#REF!</definedName>
    <definedName name="__qih1" localSheetId="29">#REF!</definedName>
    <definedName name="__qih1" localSheetId="22">#REF!</definedName>
    <definedName name="__qih1">#REF!</definedName>
    <definedName name="__QT1" localSheetId="4">#REF!</definedName>
    <definedName name="__QT1" localSheetId="29">#REF!</definedName>
    <definedName name="__QT1">#REF!</definedName>
    <definedName name="__QT2" localSheetId="4">#REF!</definedName>
    <definedName name="__QT2" localSheetId="29">#REF!</definedName>
    <definedName name="__QT2">#REF!</definedName>
    <definedName name="__QT3" localSheetId="4">#REF!</definedName>
    <definedName name="__QT3" localSheetId="29">#REF!</definedName>
    <definedName name="__QT3">#REF!</definedName>
    <definedName name="__QT4" localSheetId="4">#REF!</definedName>
    <definedName name="__QT4" localSheetId="29">#REF!</definedName>
    <definedName name="__QT4">#REF!</definedName>
    <definedName name="__rdd1" localSheetId="4">#REF!</definedName>
    <definedName name="__rdd1" localSheetId="29">#REF!</definedName>
    <definedName name="__rdd1">#REF!</definedName>
    <definedName name="__RSU1" localSheetId="4">#REF!</definedName>
    <definedName name="__RSU1" localSheetId="29">#REF!</definedName>
    <definedName name="__RSU1">#REF!</definedName>
    <definedName name="__RSU11" localSheetId="4">#REF!</definedName>
    <definedName name="__RSU11" localSheetId="29">#REF!</definedName>
    <definedName name="__RSU11">#REF!</definedName>
    <definedName name="__RSU2" localSheetId="4">#REF!</definedName>
    <definedName name="__RSU2" localSheetId="29">#REF!</definedName>
    <definedName name="__RSU2">#REF!</definedName>
    <definedName name="__RSU22" localSheetId="4">#REF!</definedName>
    <definedName name="__RSU22" localSheetId="29">#REF!</definedName>
    <definedName name="__RSU22">#REF!</definedName>
    <definedName name="__RSU3" localSheetId="4">#REF!</definedName>
    <definedName name="__RSU3" localSheetId="29">#REF!</definedName>
    <definedName name="__RSU3">#REF!</definedName>
    <definedName name="__RSU33" localSheetId="4">#REF!</definedName>
    <definedName name="__RSU33" localSheetId="29">#REF!</definedName>
    <definedName name="__RSU33">#REF!</definedName>
    <definedName name="__RSU4" localSheetId="4">#REF!</definedName>
    <definedName name="__RSU4" localSheetId="29">#REF!</definedName>
    <definedName name="__RSU4">#REF!</definedName>
    <definedName name="__RSU44" localSheetId="4">#REF!</definedName>
    <definedName name="__RSU44" localSheetId="29">#REF!</definedName>
    <definedName name="__RSU44">#REF!</definedName>
    <definedName name="__RSU5" localSheetId="4">#REF!</definedName>
    <definedName name="__RSU5" localSheetId="29">#REF!</definedName>
    <definedName name="__RSU5">#REF!</definedName>
    <definedName name="__RSU55" localSheetId="4">#REF!</definedName>
    <definedName name="__RSU55" localSheetId="29">#REF!</definedName>
    <definedName name="__RSU55">#REF!</definedName>
    <definedName name="__RSU6" localSheetId="4">#REF!</definedName>
    <definedName name="__RSU6" localSheetId="29">#REF!</definedName>
    <definedName name="__RSU6">#REF!</definedName>
    <definedName name="__RSU66" localSheetId="4">#REF!</definedName>
    <definedName name="__RSU66" localSheetId="29">#REF!</definedName>
    <definedName name="__RSU66">#REF!</definedName>
    <definedName name="__SCH11" localSheetId="4">#REF!</definedName>
    <definedName name="__SCH11" localSheetId="29">#REF!</definedName>
    <definedName name="__SCH11">#REF!</definedName>
    <definedName name="__SCH4" localSheetId="4">#REF!</definedName>
    <definedName name="__SCH4" localSheetId="29">#REF!</definedName>
    <definedName name="__SCH4">#REF!</definedName>
    <definedName name="__SCH8" localSheetId="4">#REF!</definedName>
    <definedName name="__SCH8" localSheetId="29">#REF!</definedName>
    <definedName name="__SCH8">#REF!</definedName>
    <definedName name="__SSP103" localSheetId="4">#REF!</definedName>
    <definedName name="__SSP103" localSheetId="29">#REF!</definedName>
    <definedName name="__SSP103">#REF!</definedName>
    <definedName name="__SSP112" localSheetId="4">#REF!</definedName>
    <definedName name="__SSP112" localSheetId="29">#REF!</definedName>
    <definedName name="__SSP112">#REF!</definedName>
    <definedName name="__SSP113" localSheetId="4">#REF!</definedName>
    <definedName name="__SSP113" localSheetId="29">#REF!</definedName>
    <definedName name="__SSP113">#REF!</definedName>
    <definedName name="__STI1" hidden="1">[12]B!$B$70:$D$72</definedName>
    <definedName name="__TB0313" localSheetId="4">#REF!</definedName>
    <definedName name="__TB0313" localSheetId="29">#REF!</definedName>
    <definedName name="__TB0313" localSheetId="22">#REF!</definedName>
    <definedName name="__TB0313">#REF!</definedName>
    <definedName name="__TB1" localSheetId="4">#REF!</definedName>
    <definedName name="__TB1" localSheetId="29">#REF!</definedName>
    <definedName name="__TB1" localSheetId="22">#REF!</definedName>
    <definedName name="__TB1">#REF!</definedName>
    <definedName name="__tu14" localSheetId="4">#REF!</definedName>
    <definedName name="__tu14" localSheetId="29">#REF!</definedName>
    <definedName name="__tu14" localSheetId="22">#REF!</definedName>
    <definedName name="__tu14">#REF!</definedName>
    <definedName name="__tur14" localSheetId="4">#REF!</definedName>
    <definedName name="__tur14" localSheetId="29">#REF!</definedName>
    <definedName name="__tur14" localSheetId="22">#REF!</definedName>
    <definedName name="__tur14">#REF!</definedName>
    <definedName name="__UE3000" localSheetId="4">#REF!</definedName>
    <definedName name="__UE3000" localSheetId="29">#REF!</definedName>
    <definedName name="__UE3000">#REF!</definedName>
    <definedName name="__UE9000" localSheetId="4">#REF!</definedName>
    <definedName name="__UE9000" localSheetId="29">#REF!</definedName>
    <definedName name="__UE9000">#REF!</definedName>
    <definedName name="__vc1" localSheetId="4">#REF!</definedName>
    <definedName name="__vc1" localSheetId="29">#REF!</definedName>
    <definedName name="__vc1">#REF!</definedName>
    <definedName name="_1">#N/A</definedName>
    <definedName name="_1ANNEX_C_1" localSheetId="4">#REF!</definedName>
    <definedName name="_1ANNEX_C_1" localSheetId="29">#REF!</definedName>
    <definedName name="_1ANNEX_C_1">#REF!</definedName>
    <definedName name="_1MED_EQUIP_02_03" localSheetId="4">#REF!</definedName>
    <definedName name="_1MED_EQUIP_02_03" localSheetId="29">#REF!</definedName>
    <definedName name="_1MED_EQUIP_02_03">#REF!</definedName>
    <definedName name="_2">#N/A</definedName>
    <definedName name="_2MED_EQUIP_02_03" localSheetId="4">#REF!</definedName>
    <definedName name="_2MED_EQUIP_02_03" localSheetId="29">#REF!</definedName>
    <definedName name="_2MED_EQUIP_02_03">#REF!</definedName>
    <definedName name="_AM100000" localSheetId="4">#REF!</definedName>
    <definedName name="_AM100000" localSheetId="29">#REF!</definedName>
    <definedName name="_AM100000">#REF!</definedName>
    <definedName name="_amc2" localSheetId="4">#REF!</definedName>
    <definedName name="_amc2" localSheetId="29">#REF!</definedName>
    <definedName name="_amc2">#REF!</definedName>
    <definedName name="_AXE10" localSheetId="4">#REF!</definedName>
    <definedName name="_AXE10" localSheetId="29">#REF!</definedName>
    <definedName name="_AXE10">#REF!</definedName>
    <definedName name="_bb1" localSheetId="4">#REF!</definedName>
    <definedName name="_bb1" localSheetId="29">#REF!</definedName>
    <definedName name="_bb1">#REF!</definedName>
    <definedName name="_bfs1" localSheetId="4">#REF!</definedName>
    <definedName name="_bfs1" localSheetId="29">#REF!</definedName>
    <definedName name="_bfs1">#REF!</definedName>
    <definedName name="_bfs10" localSheetId="4">#REF!</definedName>
    <definedName name="_bfs10" localSheetId="29">#REF!</definedName>
    <definedName name="_bfs10">#REF!</definedName>
    <definedName name="_bfs11" localSheetId="4">#REF!</definedName>
    <definedName name="_bfs11" localSheetId="29">#REF!</definedName>
    <definedName name="_bfs11">#REF!</definedName>
    <definedName name="_bfs12" localSheetId="4">#REF!</definedName>
    <definedName name="_bfs12" localSheetId="29">#REF!</definedName>
    <definedName name="_bfs12">#REF!</definedName>
    <definedName name="_bfs13" localSheetId="4">#REF!</definedName>
    <definedName name="_bfs13" localSheetId="29">#REF!</definedName>
    <definedName name="_bfs13">#REF!</definedName>
    <definedName name="_bfs14" localSheetId="4">#REF!</definedName>
    <definedName name="_bfs14" localSheetId="29">#REF!</definedName>
    <definedName name="_bfs14">#REF!</definedName>
    <definedName name="_bfs2" localSheetId="4">#REF!</definedName>
    <definedName name="_bfs2" localSheetId="29">#REF!</definedName>
    <definedName name="_bfs2">#REF!</definedName>
    <definedName name="_bfs3" localSheetId="4">#REF!</definedName>
    <definedName name="_bfs3" localSheetId="29">#REF!</definedName>
    <definedName name="_bfs3">#REF!</definedName>
    <definedName name="_bfs4" localSheetId="4">#REF!</definedName>
    <definedName name="_bfs4" localSheetId="29">#REF!</definedName>
    <definedName name="_bfs4">#REF!</definedName>
    <definedName name="_bfs5" localSheetId="4">#REF!</definedName>
    <definedName name="_bfs5" localSheetId="29">#REF!</definedName>
    <definedName name="_bfs5">#REF!</definedName>
    <definedName name="_bfs6" localSheetId="4">#REF!</definedName>
    <definedName name="_bfs6" localSheetId="29">#REF!</definedName>
    <definedName name="_bfs6">#REF!</definedName>
    <definedName name="_bfs7" localSheetId="4">#REF!</definedName>
    <definedName name="_bfs7" localSheetId="29">#REF!</definedName>
    <definedName name="_bfs7">#REF!</definedName>
    <definedName name="_bfs8" localSheetId="4">#REF!</definedName>
    <definedName name="_bfs8" localSheetId="29">#REF!</definedName>
    <definedName name="_bfs8">#REF!</definedName>
    <definedName name="_bfs9" localSheetId="4">#REF!</definedName>
    <definedName name="_bfs9" localSheetId="29">#REF!</definedName>
    <definedName name="_bfs9">#REF!</definedName>
    <definedName name="_bs1" localSheetId="6" hidden="1">{#N/A,#N/A,FALSE,"Staffnos &amp; cost"}</definedName>
    <definedName name="_bs1" localSheetId="9" hidden="1">{#N/A,#N/A,FALSE,"Staffnos &amp; cost"}</definedName>
    <definedName name="_bs1" hidden="1">{#N/A,#N/A,FALSE,"Staffnos &amp; cost"}</definedName>
    <definedName name="_bs2" localSheetId="6" hidden="1">{#N/A,#N/A,TRUE,"Staffnos &amp; cost"}</definedName>
    <definedName name="_bs2" localSheetId="9" hidden="1">{#N/A,#N/A,TRUE,"Staffnos &amp; cost"}</definedName>
    <definedName name="_bs2" hidden="1">{#N/A,#N/A,TRUE,"Staffnos &amp; cost"}</definedName>
    <definedName name="_C" localSheetId="4">#REF!</definedName>
    <definedName name="_C" localSheetId="29">#REF!</definedName>
    <definedName name="_C">#REF!</definedName>
    <definedName name="_cap1" localSheetId="4">#REF!</definedName>
    <definedName name="_cap1" localSheetId="29">#REF!</definedName>
    <definedName name="_cap1">#REF!</definedName>
    <definedName name="_col1" localSheetId="4">#REF!</definedName>
    <definedName name="_col1" localSheetId="29">#REF!</definedName>
    <definedName name="_col1">#REF!</definedName>
    <definedName name="_col10" localSheetId="4">#REF!</definedName>
    <definedName name="_col10" localSheetId="29">#REF!</definedName>
    <definedName name="_col10">#REF!</definedName>
    <definedName name="_col11" localSheetId="4">#REF!</definedName>
    <definedName name="_col11" localSheetId="29">#REF!</definedName>
    <definedName name="_col11">#REF!</definedName>
    <definedName name="_col12" localSheetId="4">#REF!</definedName>
    <definedName name="_col12" localSheetId="29">#REF!</definedName>
    <definedName name="_col12">#REF!</definedName>
    <definedName name="_col13" localSheetId="4">#REF!</definedName>
    <definedName name="_col13" localSheetId="29">#REF!</definedName>
    <definedName name="_col13">#REF!</definedName>
    <definedName name="_col2" localSheetId="4">#REF!</definedName>
    <definedName name="_col2" localSheetId="29">#REF!</definedName>
    <definedName name="_col2">#REF!</definedName>
    <definedName name="_col3" localSheetId="4">#REF!</definedName>
    <definedName name="_col3" localSheetId="29">#REF!</definedName>
    <definedName name="_col3">#REF!</definedName>
    <definedName name="_col4" localSheetId="4">#REF!</definedName>
    <definedName name="_col4" localSheetId="29">#REF!</definedName>
    <definedName name="_col4">#REF!</definedName>
    <definedName name="_col5" localSheetId="4">#REF!</definedName>
    <definedName name="_col5" localSheetId="29">#REF!</definedName>
    <definedName name="_col5">#REF!</definedName>
    <definedName name="_col6" localSheetId="4">#REF!</definedName>
    <definedName name="_col6" localSheetId="29">#REF!</definedName>
    <definedName name="_col6">#REF!</definedName>
    <definedName name="_col7" localSheetId="4">#REF!</definedName>
    <definedName name="_col7" localSheetId="29">#REF!</definedName>
    <definedName name="_col7">#REF!</definedName>
    <definedName name="_col8" localSheetId="4">#REF!</definedName>
    <definedName name="_col8" localSheetId="29">#REF!</definedName>
    <definedName name="_col8">#REF!</definedName>
    <definedName name="_col9" localSheetId="4">#REF!</definedName>
    <definedName name="_col9" localSheetId="29">#REF!</definedName>
    <definedName name="_col9">#REF!</definedName>
    <definedName name="_DAT3" localSheetId="4">#REF!</definedName>
    <definedName name="_DAT3" localSheetId="29">#REF!</definedName>
    <definedName name="_DAT3">#REF!</definedName>
    <definedName name="_DAT4" localSheetId="4">#REF!</definedName>
    <definedName name="_DAT4" localSheetId="29">#REF!</definedName>
    <definedName name="_DAT4">#REF!</definedName>
    <definedName name="_Dist_Bin" localSheetId="4" hidden="1">#REF!</definedName>
    <definedName name="_Dist_Bin" localSheetId="29" hidden="1">#REF!</definedName>
    <definedName name="_Dist_Bin" localSheetId="22" hidden="1">#REF!</definedName>
    <definedName name="_Dist_Bin" hidden="1">#REF!</definedName>
    <definedName name="_Dist_Values" localSheetId="4" hidden="1">#REF!</definedName>
    <definedName name="_Dist_Values" localSheetId="29" hidden="1">#REF!</definedName>
    <definedName name="_Dist_Values" localSheetId="22" hidden="1">#REF!</definedName>
    <definedName name="_Dist_Values" hidden="1">#REF!</definedName>
    <definedName name="_erl1" localSheetId="4">#REF!</definedName>
    <definedName name="_erl1" localSheetId="29">#REF!</definedName>
    <definedName name="_erl1">#REF!</definedName>
    <definedName name="_erl2" localSheetId="4">#REF!</definedName>
    <definedName name="_erl2" localSheetId="29">#REF!</definedName>
    <definedName name="_erl2">#REF!</definedName>
    <definedName name="_erp15">'[14]TB ERP 15'!$B$3:$U$1024</definedName>
    <definedName name="_F554314" localSheetId="4">#REF!</definedName>
    <definedName name="_F554314" localSheetId="29">#REF!</definedName>
    <definedName name="_F554314">#REF!</definedName>
    <definedName name="_FEb1" localSheetId="4">'[5]PL PBC'!#REF!</definedName>
    <definedName name="_FEb1" localSheetId="29">'[5]PL PBC'!#REF!</definedName>
    <definedName name="_FEb1" localSheetId="22">'[5]PL PBC'!#REF!</definedName>
    <definedName name="_FEb1">'[5]PL PBC'!#REF!</definedName>
    <definedName name="_Fill" localSheetId="4" hidden="1">#REF!</definedName>
    <definedName name="_Fill" localSheetId="29" hidden="1">#REF!</definedName>
    <definedName name="_Fill" localSheetId="22" hidden="1">#REF!</definedName>
    <definedName name="_Fill" hidden="1">#REF!</definedName>
    <definedName name="_Fill1" localSheetId="4" hidden="1">[15]BHANDUP!#REF!</definedName>
    <definedName name="_Fill1" localSheetId="29" hidden="1">[15]BHANDUP!#REF!</definedName>
    <definedName name="_Fill1" hidden="1">[15]BHANDUP!#REF!</definedName>
    <definedName name="_xlnm._FilterDatabase" localSheetId="4" hidden="1">'Accounting Policies'!$B$87:$I$222</definedName>
    <definedName name="_xlnm._FilterDatabase" localSheetId="19" hidden="1">'BS Grouping'!$A$5:$AY$206</definedName>
    <definedName name="_xlnm._FilterDatabase" localSheetId="8" hidden="1">Notes!$A$6:$U$553</definedName>
    <definedName name="_xlnm._FilterDatabase" localSheetId="18" hidden="1">'PL Grouping'!$A$5:$AZ$380</definedName>
    <definedName name="_xlnm._FilterDatabase" localSheetId="21" hidden="1">'TB upload'!$A$5:$M$212</definedName>
    <definedName name="_H95454" localSheetId="4">#REF!</definedName>
    <definedName name="_H95454" localSheetId="29">#REF!</definedName>
    <definedName name="_H95454" localSheetId="22">#REF!</definedName>
    <definedName name="_H95454">#REF!</definedName>
    <definedName name="_hhk9798" localSheetId="4">#REF!</definedName>
    <definedName name="_hhk9798" localSheetId="29">#REF!</definedName>
    <definedName name="_hhk9798">#REF!</definedName>
    <definedName name="_ist1" localSheetId="4">'[5]PL PBC'!#REF!</definedName>
    <definedName name="_ist1" localSheetId="29">'[5]PL PBC'!#REF!</definedName>
    <definedName name="_ist1" localSheetId="22">'[5]PL PBC'!#REF!</definedName>
    <definedName name="_ist1">'[5]PL PBC'!#REF!</definedName>
    <definedName name="_ji22" localSheetId="4">#REF!</definedName>
    <definedName name="_ji22" localSheetId="29">#REF!</definedName>
    <definedName name="_ji22">#REF!</definedName>
    <definedName name="_Key1" localSheetId="4" hidden="1">#REF!</definedName>
    <definedName name="_Key1" localSheetId="29" hidden="1">#REF!</definedName>
    <definedName name="_Key1" localSheetId="22" hidden="1">#REF!</definedName>
    <definedName name="_Key1" hidden="1">#REF!</definedName>
    <definedName name="_Key2" localSheetId="4" hidden="1">#REF!</definedName>
    <definedName name="_Key2" localSheetId="29" hidden="1">#REF!</definedName>
    <definedName name="_Key2" localSheetId="22" hidden="1">#REF!</definedName>
    <definedName name="_Key2" hidden="1">#REF!</definedName>
    <definedName name="_LI136" localSheetId="4">#REF!</definedName>
    <definedName name="_LI136" localSheetId="29">#REF!</definedName>
    <definedName name="_LI136">#REF!</definedName>
    <definedName name="_lia1" localSheetId="4">#REF!</definedName>
    <definedName name="_lia1" localSheetId="29">#REF!</definedName>
    <definedName name="_lia1">#REF!</definedName>
    <definedName name="_LOB1">[16]Summary!$C$89:$C$103</definedName>
    <definedName name="_lup1" localSheetId="4">#REF!</definedName>
    <definedName name="_lup1" localSheetId="29">#REF!</definedName>
    <definedName name="_lup1">#REF!</definedName>
    <definedName name="_lup2" localSheetId="4">#REF!</definedName>
    <definedName name="_lup2" localSheetId="29">#REF!</definedName>
    <definedName name="_lup2">#REF!</definedName>
    <definedName name="_MAR9091" localSheetId="4">'[11]TRIAL BALANCE'!#REF!</definedName>
    <definedName name="_MAR9091" localSheetId="29">'[11]TRIAL BALANCE'!#REF!</definedName>
    <definedName name="_MAR9091">'[11]TRIAL BALANCE'!#REF!</definedName>
    <definedName name="_mhk9798" localSheetId="4">#REF!</definedName>
    <definedName name="_mhk9798" localSheetId="29">#REF!</definedName>
    <definedName name="_mhk9798">#REF!</definedName>
    <definedName name="_mhk9899" localSheetId="4">#REF!</definedName>
    <definedName name="_mhk9899" localSheetId="29">#REF!</definedName>
    <definedName name="_mhk9899">#REF!</definedName>
    <definedName name="_MI136" localSheetId="4">#REF!</definedName>
    <definedName name="_MI136" localSheetId="29">#REF!</definedName>
    <definedName name="_MI136">#REF!</definedName>
    <definedName name="_OC12" localSheetId="4">#REF!</definedName>
    <definedName name="_OC12" localSheetId="29">#REF!</definedName>
    <definedName name="_OC12">#REF!</definedName>
    <definedName name="_OC3" localSheetId="4">#REF!</definedName>
    <definedName name="_OC3" localSheetId="29">#REF!</definedName>
    <definedName name="_OC3">#REF!</definedName>
    <definedName name="_Order1" hidden="1">255</definedName>
    <definedName name="_Order2" hidden="1">255</definedName>
    <definedName name="_Parse_In" localSheetId="4" hidden="1">#REF!</definedName>
    <definedName name="_Parse_In" localSheetId="29" hidden="1">#REF!</definedName>
    <definedName name="_Parse_In" localSheetId="22" hidden="1">#REF!</definedName>
    <definedName name="_Parse_In" hidden="1">#REF!</definedName>
    <definedName name="_Parse_Out" localSheetId="4" hidden="1">#REF!</definedName>
    <definedName name="_Parse_Out" localSheetId="29" hidden="1">#REF!</definedName>
    <definedName name="_Parse_Out" localSheetId="22" hidden="1">#REF!</definedName>
    <definedName name="_Parse_Out" hidden="1">#REF!</definedName>
    <definedName name="_PG1" localSheetId="4">#REF!</definedName>
    <definedName name="_PG1" localSheetId="29">#REF!</definedName>
    <definedName name="_PG1">#REF!</definedName>
    <definedName name="_qih1" localSheetId="4">#REF!</definedName>
    <definedName name="_qih1" localSheetId="29">#REF!</definedName>
    <definedName name="_qih1" localSheetId="22">#REF!</definedName>
    <definedName name="_qih1">#REF!</definedName>
    <definedName name="_QT1" localSheetId="4">#REF!</definedName>
    <definedName name="_QT1" localSheetId="29">#REF!</definedName>
    <definedName name="_QT1">#REF!</definedName>
    <definedName name="_QT2" localSheetId="4">#REF!</definedName>
    <definedName name="_QT2" localSheetId="29">#REF!</definedName>
    <definedName name="_QT2">#REF!</definedName>
    <definedName name="_QT3" localSheetId="4">#REF!</definedName>
    <definedName name="_QT3" localSheetId="29">#REF!</definedName>
    <definedName name="_QT3">#REF!</definedName>
    <definedName name="_QT4" localSheetId="4">#REF!</definedName>
    <definedName name="_QT4" localSheetId="29">#REF!</definedName>
    <definedName name="_QT4">#REF!</definedName>
    <definedName name="_rdd1" localSheetId="4">#REF!</definedName>
    <definedName name="_rdd1" localSheetId="29">#REF!</definedName>
    <definedName name="_rdd1">#REF!</definedName>
    <definedName name="_Ref472675261" localSheetId="14">'Note 39credit &amp; liquidity'!$B$1</definedName>
    <definedName name="_Regression_Int" hidden="1">1</definedName>
    <definedName name="_Regression_Y" localSheetId="4" hidden="1">#REF!</definedName>
    <definedName name="_Regression_Y" localSheetId="29" hidden="1">#REF!</definedName>
    <definedName name="_Regression_Y" hidden="1">#REF!</definedName>
    <definedName name="_RSU1" localSheetId="4">#REF!</definedName>
    <definedName name="_RSU1" localSheetId="29">#REF!</definedName>
    <definedName name="_RSU1">#REF!</definedName>
    <definedName name="_RSU11" localSheetId="4">#REF!</definedName>
    <definedName name="_RSU11" localSheetId="29">#REF!</definedName>
    <definedName name="_RSU11">#REF!</definedName>
    <definedName name="_RSU2" localSheetId="4">#REF!</definedName>
    <definedName name="_RSU2" localSheetId="29">#REF!</definedName>
    <definedName name="_RSU2">#REF!</definedName>
    <definedName name="_RSU22" localSheetId="4">#REF!</definedName>
    <definedName name="_RSU22" localSheetId="29">#REF!</definedName>
    <definedName name="_RSU22">#REF!</definedName>
    <definedName name="_RSU3" localSheetId="4">#REF!</definedName>
    <definedName name="_RSU3" localSheetId="29">#REF!</definedName>
    <definedName name="_RSU3">#REF!</definedName>
    <definedName name="_RSU33" localSheetId="4">#REF!</definedName>
    <definedName name="_RSU33" localSheetId="29">#REF!</definedName>
    <definedName name="_RSU33">#REF!</definedName>
    <definedName name="_RSU4" localSheetId="4">#REF!</definedName>
    <definedName name="_RSU4" localSheetId="29">#REF!</definedName>
    <definedName name="_RSU4">#REF!</definedName>
    <definedName name="_RSU44" localSheetId="4">#REF!</definedName>
    <definedName name="_RSU44" localSheetId="29">#REF!</definedName>
    <definedName name="_RSU44">#REF!</definedName>
    <definedName name="_RSU5" localSheetId="4">#REF!</definedName>
    <definedName name="_RSU5" localSheetId="29">#REF!</definedName>
    <definedName name="_RSU5">#REF!</definedName>
    <definedName name="_RSU55" localSheetId="4">#REF!</definedName>
    <definedName name="_RSU55" localSheetId="29">#REF!</definedName>
    <definedName name="_RSU55">#REF!</definedName>
    <definedName name="_RSU6" localSheetId="4">#REF!</definedName>
    <definedName name="_RSU6" localSheetId="29">#REF!</definedName>
    <definedName name="_RSU6">#REF!</definedName>
    <definedName name="_RSU66" localSheetId="4">#REF!</definedName>
    <definedName name="_RSU66" localSheetId="29">#REF!</definedName>
    <definedName name="_RSU66">#REF!</definedName>
    <definedName name="_SCH11" localSheetId="4">#REF!</definedName>
    <definedName name="_SCH11" localSheetId="29">#REF!</definedName>
    <definedName name="_SCH11">#REF!</definedName>
    <definedName name="_SCH4" localSheetId="4">#REF!</definedName>
    <definedName name="_SCH4" localSheetId="29">#REF!</definedName>
    <definedName name="_SCH4">#REF!</definedName>
    <definedName name="_sch5" localSheetId="4">#REF!</definedName>
    <definedName name="_sch5" localSheetId="29">#REF!</definedName>
    <definedName name="_sch5">#REF!</definedName>
    <definedName name="_SCH6" localSheetId="4">#REF!</definedName>
    <definedName name="_SCH6" localSheetId="29">#REF!</definedName>
    <definedName name="_SCH6">#REF!</definedName>
    <definedName name="_SCH8" localSheetId="4">#REF!</definedName>
    <definedName name="_SCH8" localSheetId="29">#REF!</definedName>
    <definedName name="_SCH8">#REF!</definedName>
    <definedName name="_Sort" localSheetId="4" hidden="1">#REF!</definedName>
    <definedName name="_Sort" localSheetId="29" hidden="1">#REF!</definedName>
    <definedName name="_Sort" localSheetId="22" hidden="1">#REF!</definedName>
    <definedName name="_Sort" hidden="1">#REF!</definedName>
    <definedName name="_SSP103" localSheetId="4">#REF!</definedName>
    <definedName name="_SSP103" localSheetId="29">#REF!</definedName>
    <definedName name="_SSP103">#REF!</definedName>
    <definedName name="_SSP112" localSheetId="4">#REF!</definedName>
    <definedName name="_SSP112" localSheetId="29">#REF!</definedName>
    <definedName name="_SSP112">#REF!</definedName>
    <definedName name="_SSP113" localSheetId="4">#REF!</definedName>
    <definedName name="_SSP113" localSheetId="29">#REF!</definedName>
    <definedName name="_SSP113">#REF!</definedName>
    <definedName name="_STI1" hidden="1">[12]B!$B$70:$D$72</definedName>
    <definedName name="_Table1_In1" localSheetId="4" hidden="1">#REF!</definedName>
    <definedName name="_Table1_In1" localSheetId="29" hidden="1">#REF!</definedName>
    <definedName name="_Table1_In1" localSheetId="22" hidden="1">#REF!</definedName>
    <definedName name="_Table1_In1" hidden="1">#REF!</definedName>
    <definedName name="_Table2_In1" localSheetId="4" hidden="1">#REF!</definedName>
    <definedName name="_Table2_In1" localSheetId="29" hidden="1">#REF!</definedName>
    <definedName name="_Table2_In1" hidden="1">#REF!</definedName>
    <definedName name="_Table2_In2" localSheetId="4" hidden="1">#REF!</definedName>
    <definedName name="_Table2_In2" localSheetId="29" hidden="1">#REF!</definedName>
    <definedName name="_Table2_In2" localSheetId="22" hidden="1">#REF!</definedName>
    <definedName name="_Table2_In2" hidden="1">#REF!</definedName>
    <definedName name="_TB0313" localSheetId="4">#REF!</definedName>
    <definedName name="_TB0313" localSheetId="29">#REF!</definedName>
    <definedName name="_TB0313" localSheetId="22">#REF!</definedName>
    <definedName name="_TB0313">#REF!</definedName>
    <definedName name="_TB1" localSheetId="4">#REF!</definedName>
    <definedName name="_TB1" localSheetId="29">#REF!</definedName>
    <definedName name="_TB1" localSheetId="22">#REF!</definedName>
    <definedName name="_TB1">#REF!</definedName>
    <definedName name="_TB1013" localSheetId="4">#REF!</definedName>
    <definedName name="_TB1013" localSheetId="29">#REF!</definedName>
    <definedName name="_TB1013" localSheetId="22">#REF!</definedName>
    <definedName name="_TB1013">#REF!</definedName>
    <definedName name="_tu14" localSheetId="4">#REF!</definedName>
    <definedName name="_tu14" localSheetId="29">#REF!</definedName>
    <definedName name="_tu14" localSheetId="22">#REF!</definedName>
    <definedName name="_tu14">#REF!</definedName>
    <definedName name="_tur14" localSheetId="4">#REF!</definedName>
    <definedName name="_tur14" localSheetId="29">#REF!</definedName>
    <definedName name="_tur14" localSheetId="22">#REF!</definedName>
    <definedName name="_tur14">#REF!</definedName>
    <definedName name="_UE3000" localSheetId="4">#REF!</definedName>
    <definedName name="_UE3000" localSheetId="29">#REF!</definedName>
    <definedName name="_UE3000">#REF!</definedName>
    <definedName name="_UE9000" localSheetId="4">#REF!</definedName>
    <definedName name="_UE9000" localSheetId="29">#REF!</definedName>
    <definedName name="_UE9000">#REF!</definedName>
    <definedName name="_vc1" localSheetId="4">#REF!</definedName>
    <definedName name="_vc1" localSheetId="29">#REF!</definedName>
    <definedName name="_vc1">#REF!</definedName>
    <definedName name="_WN7" localSheetId="4" hidden="1">{#N/A,#N/A,FALSE,"MODULE3"}</definedName>
    <definedName name="_WN7" localSheetId="6" hidden="1">{#N/A,#N/A,FALSE,"MODULE3"}</definedName>
    <definedName name="_WN7" localSheetId="9" hidden="1">{#N/A,#N/A,FALSE,"MODULE3"}</definedName>
    <definedName name="_WN7" hidden="1">{#N/A,#N/A,FALSE,"MODULE3"}</definedName>
    <definedName name="a" localSheetId="4" hidden="1">{"PLANNING",#N/A,FALSE,"A"}</definedName>
    <definedName name="a" localSheetId="6" hidden="1">{"PLANNING",#N/A,FALSE,"A"}</definedName>
    <definedName name="a" localSheetId="9" hidden="1">{"PLANNING",#N/A,FALSE,"A"}</definedName>
    <definedName name="a" hidden="1">{"PLANNING",#N/A,FALSE,"A"}</definedName>
    <definedName name="A_impresión_IM">[17]C!$A$1:$E$24</definedName>
    <definedName name="aa" localSheetId="4">#REF!</definedName>
    <definedName name="aa" localSheetId="29">#REF!</definedName>
    <definedName name="aa">#REF!</definedName>
    <definedName name="AA_BS" localSheetId="4">#REF!</definedName>
    <definedName name="AA_BS" localSheetId="29">#REF!</definedName>
    <definedName name="AA_BS">#REF!</definedName>
    <definedName name="AA_CF" localSheetId="4">#REF!</definedName>
    <definedName name="AA_CF" localSheetId="29">#REF!</definedName>
    <definedName name="AA_CF">#REF!</definedName>
    <definedName name="AA_PL" localSheetId="4">#REF!</definedName>
    <definedName name="AA_PL" localSheetId="29">#REF!</definedName>
    <definedName name="AA_PL">#REF!</definedName>
    <definedName name="AA_Sch_12_13" localSheetId="4">#REF!</definedName>
    <definedName name="AA_Sch_12_13" localSheetId="29">#REF!</definedName>
    <definedName name="AA_Sch_12_13">#REF!</definedName>
    <definedName name="AA_Sch_14_15_16" localSheetId="4">#REF!</definedName>
    <definedName name="AA_Sch_14_15_16" localSheetId="29">#REF!</definedName>
    <definedName name="AA_Sch_14_15_16">#REF!</definedName>
    <definedName name="AA_Sch_17_18_19" localSheetId="4">#REF!</definedName>
    <definedName name="AA_Sch_17_18_19" localSheetId="29">#REF!</definedName>
    <definedName name="AA_Sch_17_18_19">#REF!</definedName>
    <definedName name="AA_Sch_3_4" localSheetId="4">#REF!</definedName>
    <definedName name="AA_Sch_3_4" localSheetId="29">#REF!</definedName>
    <definedName name="AA_Sch_3_4">#REF!</definedName>
    <definedName name="AA_Sch_5_6" localSheetId="4">#REF!</definedName>
    <definedName name="AA_Sch_5_6" localSheetId="29">#REF!</definedName>
    <definedName name="AA_Sch_5_6">#REF!</definedName>
    <definedName name="AA_Sch_7" localSheetId="4">#REF!</definedName>
    <definedName name="AA_Sch_7" localSheetId="29">#REF!</definedName>
    <definedName name="AA_Sch_7">#REF!</definedName>
    <definedName name="AA_Sch_8" localSheetId="4">#REF!</definedName>
    <definedName name="AA_Sch_8" localSheetId="29">#REF!</definedName>
    <definedName name="AA_Sch_8">#REF!</definedName>
    <definedName name="AA_Sch_9_10_11" localSheetId="4">#REF!</definedName>
    <definedName name="AA_Sch_9_10_11" localSheetId="29">#REF!</definedName>
    <definedName name="AA_Sch_9_10_11">#REF!</definedName>
    <definedName name="AAA" localSheetId="4" hidden="1">{"PLANT BREAKUP",#N/A,FALSE,"E"}</definedName>
    <definedName name="AAA" localSheetId="6" hidden="1">{"PLANT BREAKUP",#N/A,FALSE,"E"}</definedName>
    <definedName name="AAA" localSheetId="9" hidden="1">{"PLANT BREAKUP",#N/A,FALSE,"E"}</definedName>
    <definedName name="AAA" hidden="1">{"PLANT BREAKUP",#N/A,FALSE,"E"}</definedName>
    <definedName name="AAA_DOCTOPS" hidden="1">"AAA_SET"</definedName>
    <definedName name="AAA_duser" hidden="1">"OFF"</definedName>
    <definedName name="aaaa" localSheetId="6" hidden="1">{#N/A,#N/A,TRUE,"Staffnos &amp; cost"}</definedName>
    <definedName name="aaaa" localSheetId="9" hidden="1">{#N/A,#N/A,TRUE,"Staffnos &amp; cost"}</definedName>
    <definedName name="aaaa" hidden="1">{#N/A,#N/A,TRUE,"Staffnos &amp; cost"}</definedName>
    <definedName name="AAAAA" localSheetId="4" hidden="1">{"PLANT BREAKUP",#N/A,FALSE,"E"}</definedName>
    <definedName name="AAAAA" localSheetId="6" hidden="1">{"PLANT BREAKUP",#N/A,FALSE,"E"}</definedName>
    <definedName name="AAAAA" localSheetId="9" hidden="1">{"PLANT BREAKUP",#N/A,FALSE,"E"}</definedName>
    <definedName name="AAAAA" hidden="1">{"PLANT BREAKUP",#N/A,FALSE,"E"}</definedName>
    <definedName name="AAB_Addin5" hidden="1">"AAB_Description for addin 5,Description for addin 5,Description for addin 5,Description for addin 5,Description for addin 5,Description for addin 5"</definedName>
    <definedName name="AAFormula" localSheetId="4">#REF!</definedName>
    <definedName name="AAFormula" localSheetId="29">#REF!</definedName>
    <definedName name="AAFormula">#REF!</definedName>
    <definedName name="aass" localSheetId="4" hidden="1">#REF!</definedName>
    <definedName name="aass" localSheetId="29" hidden="1">#REF!</definedName>
    <definedName name="aass" localSheetId="22" hidden="1">#REF!</definedName>
    <definedName name="aass" hidden="1">#REF!</definedName>
    <definedName name="AASSD" localSheetId="4" hidden="1">[18]GRPGS!#REF!</definedName>
    <definedName name="AASSD" localSheetId="29" hidden="1">[18]GRPGS!#REF!</definedName>
    <definedName name="AASSD" hidden="1">[18]GRPGS!#REF!</definedName>
    <definedName name="ab" localSheetId="4">#REF!</definedName>
    <definedName name="ab" localSheetId="29">#REF!</definedName>
    <definedName name="ab" localSheetId="22">#REF!</definedName>
    <definedName name="ab">#REF!</definedName>
    <definedName name="abc" localSheetId="4" hidden="1">{"FTS",#N/A,FALSE,"E"}</definedName>
    <definedName name="abc" localSheetId="6" hidden="1">{"FTS",#N/A,FALSE,"E"}</definedName>
    <definedName name="abc" localSheetId="9" hidden="1">{"FTS",#N/A,FALSE,"E"}</definedName>
    <definedName name="abc" hidden="1">{"FTS",#N/A,FALSE,"E"}</definedName>
    <definedName name="ABFormula" localSheetId="4">#REF!</definedName>
    <definedName name="ABFormula" localSheetId="29">#REF!</definedName>
    <definedName name="ABFormula">#REF!</definedName>
    <definedName name="abg" localSheetId="4">#REF!</definedName>
    <definedName name="abg" localSheetId="29">#REF!</definedName>
    <definedName name="abg">#REF!</definedName>
    <definedName name="AC" localSheetId="4">#REF!</definedName>
    <definedName name="AC" localSheetId="29">#REF!</definedName>
    <definedName name="AC">#REF!</definedName>
    <definedName name="AC_Gold_Mark_Dn">[19]AC_Cost_KU!$B$14</definedName>
    <definedName name="AC_OR_IR_Ratio">[19]AC_Cost_KU!$B$12</definedName>
    <definedName name="AC_Plat_Mark_Dn">[19]AC_Cost_KU!$B$13</definedName>
    <definedName name="AccessDatabase" hidden="1">"D:\Compensation\comp data 2001.xls"</definedName>
    <definedName name="ACP" localSheetId="4">#REF!</definedName>
    <definedName name="ACP" localSheetId="29">#REF!</definedName>
    <definedName name="ACP">#REF!</definedName>
    <definedName name="ACPower" localSheetId="4">#REF!</definedName>
    <definedName name="ACPower" localSheetId="29">#REF!</definedName>
    <definedName name="ACPower">#REF!</definedName>
    <definedName name="act" localSheetId="4">#REF!</definedName>
    <definedName name="act" localSheetId="29">#REF!</definedName>
    <definedName name="act">#REF!</definedName>
    <definedName name="actcol" localSheetId="4">OFFSET('[20]Actual 2010-11'!$E$7,-2,MATCH(CurrMonth,'[20]Actual 2010-11'!$E$7:$P$7,0)-1,1,1)</definedName>
    <definedName name="actcol" localSheetId="29">OFFSET('[20]Actual 2010-11'!$E$7,-2,MATCH(CurrMonth,'[20]Actual 2010-11'!$E$7:$P$7,0)-1,1,1)</definedName>
    <definedName name="actcol" localSheetId="27">OFFSET('[20]Actual 2010-11'!$E$7,-2,MATCH(CurrMonth,'[20]Actual 2010-11'!$E$7:$P$7,0)-1,1,1)</definedName>
    <definedName name="actcol" localSheetId="26">OFFSET('[20]Actual 2010-11'!$E$7,-2,MATCH(CurrMonth,'[20]Actual 2010-11'!$E$7:$P$7,0)-1,1,1)</definedName>
    <definedName name="actcol" localSheetId="23">OFFSET('[20]Actual 2010-11'!$E$7,-2,MATCH(CurrMonth,'[20]Actual 2010-11'!$E$7:$P$7,0)-1,1,1)</definedName>
    <definedName name="actcol" localSheetId="6">OFFSET('[20]Actual 2010-11'!$E$7,-2,MATCH(CurrMonth,'[20]Actual 2010-11'!$E$7:$P$7,0)-1,1,1)</definedName>
    <definedName name="actcol" localSheetId="9">OFFSET('[20]Actual 2010-11'!$E$7,-2,MATCH(CurrMonth,'[20]Actual 2010-11'!$E$7:$P$7,0)-1,1,1)</definedName>
    <definedName name="actcol" localSheetId="18">OFFSET('[20]Actual 2010-11'!$E$7,-2,MATCH(CurrMonth,'[20]Actual 2010-11'!$E$7:$P$7,0)-1,1,1)</definedName>
    <definedName name="actcol" localSheetId="22">OFFSET('[20]Actual 2010-11'!$E$7,-2,MATCH(CurrMonth,'[20]Actual 2010-11'!$E$7:$P$7,0)-1,1,1)</definedName>
    <definedName name="actcol">OFFSET('[20]Actual 2010-11'!$E$7,-2,MATCH(CurrMonth,'[20]Actual 2010-11'!$E$7:$P$7,0)-1,1,1)</definedName>
    <definedName name="ACTIVO">[21]REPOMO!$A$72:$Q$86</definedName>
    <definedName name="ACTL_AEC" localSheetId="4">#REF!</definedName>
    <definedName name="ACTL_AEC" localSheetId="29">#REF!</definedName>
    <definedName name="ACTL_AEC">#REF!</definedName>
    <definedName name="ACTL_AEC_DEV" localSheetId="4">#REF!</definedName>
    <definedName name="ACTL_AEC_DEV" localSheetId="29">#REF!</definedName>
    <definedName name="ACTL_AEC_DEV">#REF!</definedName>
    <definedName name="ACTL_AMD" localSheetId="4">#REF!</definedName>
    <definedName name="ACTL_AMD" localSheetId="29">#REF!</definedName>
    <definedName name="ACTL_AMD">#REF!</definedName>
    <definedName name="ACTL_CCD_CNEXT" localSheetId="4">#REF!</definedName>
    <definedName name="ACTL_CCD_CNEXT" localSheetId="29">#REF!</definedName>
    <definedName name="ACTL_CCD_CNEXT">#REF!</definedName>
    <definedName name="ACTL_DSA" localSheetId="4">#REF!</definedName>
    <definedName name="ACTL_DSA" localSheetId="29">#REF!</definedName>
    <definedName name="ACTL_DSA">#REF!</definedName>
    <definedName name="ACTL_ELIM" localSheetId="4">#REF!</definedName>
    <definedName name="ACTL_ELIM" localSheetId="29">#REF!</definedName>
    <definedName name="ACTL_ELIM">#REF!</definedName>
    <definedName name="ACTL_GA_MIS" localSheetId="4">#REF!</definedName>
    <definedName name="ACTL_GA_MIS" localSheetId="29">#REF!</definedName>
    <definedName name="ACTL_GA_MIS">#REF!</definedName>
    <definedName name="ACTL_GRF">'[22]IS Mo'!$AH$10:$AS$62</definedName>
    <definedName name="ACTL_INN">'[22]IS Mo'!$BL$10:$BW$62</definedName>
    <definedName name="ACTL_LAT_AM" localSheetId="4">#REF!</definedName>
    <definedName name="ACTL_LAT_AM" localSheetId="29">#REF!</definedName>
    <definedName name="ACTL_LAT_AM">#REF!</definedName>
    <definedName name="ACTL_MKT_COMM" localSheetId="4">#REF!</definedName>
    <definedName name="ACTL_MKT_COMM" localSheetId="29">#REF!</definedName>
    <definedName name="ACTL_MKT_COMM">#REF!</definedName>
    <definedName name="ACTL_NAS_AEC" localSheetId="4">#REF!</definedName>
    <definedName name="ACTL_NAS_AEC" localSheetId="29">#REF!</definedName>
    <definedName name="ACTL_NAS_AEC">#REF!</definedName>
    <definedName name="ACTL_NAS_MECH" localSheetId="4">#REF!</definedName>
    <definedName name="ACTL_NAS_MECH" localSheetId="29">#REF!</definedName>
    <definedName name="ACTL_NAS_MECH">#REF!</definedName>
    <definedName name="ACTL_NEWCO" localSheetId="4">#REF!</definedName>
    <definedName name="ACTL_NEWCO" localSheetId="29">#REF!</definedName>
    <definedName name="ACTL_NEWCO">#REF!</definedName>
    <definedName name="ACTL_NEWCO_MO" localSheetId="4">#REF!</definedName>
    <definedName name="ACTL_NEWCO_MO" localSheetId="29">#REF!</definedName>
    <definedName name="ACTL_NEWCO_MO">#REF!</definedName>
    <definedName name="ACTL_PSD" localSheetId="4">#REF!</definedName>
    <definedName name="ACTL_PSD" localSheetId="29">#REF!</definedName>
    <definedName name="ACTL_PSD">#REF!</definedName>
    <definedName name="ACTL_PUB">'[22]IS Mo'!$AW$10:$BH$62</definedName>
    <definedName name="ACTL_VPM" localSheetId="4">#REF!</definedName>
    <definedName name="ACTL_VPM" localSheetId="29">#REF!</definedName>
    <definedName name="ACTL_VPM">#REF!</definedName>
    <definedName name="actpycol" localSheetId="4">OFFSET('[20]Actual 2009-10'!$E$7,-2,MATCH(CurrMonth,'[20]Actual 2009-10'!$E$7:$P$7,0)-1,1,1)</definedName>
    <definedName name="actpycol" localSheetId="29">OFFSET('[20]Actual 2009-10'!$E$7,-2,MATCH(CurrMonth,'[20]Actual 2009-10'!$E$7:$P$7,0)-1,1,1)</definedName>
    <definedName name="actpycol" localSheetId="27">OFFSET('[20]Actual 2009-10'!$E$7,-2,MATCH(CurrMonth,'[20]Actual 2009-10'!$E$7:$P$7,0)-1,1,1)</definedName>
    <definedName name="actpycol" localSheetId="26">OFFSET('[20]Actual 2009-10'!$E$7,-2,MATCH(CurrMonth,'[20]Actual 2009-10'!$E$7:$P$7,0)-1,1,1)</definedName>
    <definedName name="actpycol" localSheetId="23">OFFSET('[20]Actual 2009-10'!$E$7,-2,MATCH(CurrMonth,'[20]Actual 2009-10'!$E$7:$P$7,0)-1,1,1)</definedName>
    <definedName name="actpycol" localSheetId="6">OFFSET('[20]Actual 2009-10'!$E$7,-2,MATCH(CurrMonth,'[20]Actual 2009-10'!$E$7:$P$7,0)-1,1,1)</definedName>
    <definedName name="actpycol" localSheetId="9">OFFSET('[20]Actual 2009-10'!$E$7,-2,MATCH(CurrMonth,'[20]Actual 2009-10'!$E$7:$P$7,0)-1,1,1)</definedName>
    <definedName name="actpycol" localSheetId="18">OFFSET('[20]Actual 2009-10'!$E$7,-2,MATCH(CurrMonth,'[20]Actual 2009-10'!$E$7:$P$7,0)-1,1,1)</definedName>
    <definedName name="actpycol" localSheetId="22">OFFSET('[20]Actual 2009-10'!$E$7,-2,MATCH(CurrMonth,'[20]Actual 2009-10'!$E$7:$P$7,0)-1,1,1)</definedName>
    <definedName name="actpycol">OFFSET('[20]Actual 2009-10'!$E$7,-2,MATCH(CurrMonth,'[20]Actual 2009-10'!$E$7:$P$7,0)-1,1,1)</definedName>
    <definedName name="Actual_Forecast" localSheetId="4">#REF!</definedName>
    <definedName name="Actual_Forecast" localSheetId="29">#REF!</definedName>
    <definedName name="Actual_Forecast">#REF!</definedName>
    <definedName name="Actual_vs_Fcst" localSheetId="4">#REF!</definedName>
    <definedName name="Actual_vs_Fcst" localSheetId="29">#REF!</definedName>
    <definedName name="Actual_vs_Fcst">#REF!</definedName>
    <definedName name="AdditionalItems" localSheetId="4">#REF!</definedName>
    <definedName name="AdditionalItems" localSheetId="29">#REF!</definedName>
    <definedName name="AdditionalItems">#REF!</definedName>
    <definedName name="Additions" localSheetId="4">#REF!</definedName>
    <definedName name="Additions" localSheetId="29">#REF!</definedName>
    <definedName name="Additions">#REF!</definedName>
    <definedName name="Address1">[23]Info!$B$2</definedName>
    <definedName name="ADFormula" localSheetId="4">#REF!</definedName>
    <definedName name="ADFormula" localSheetId="29">#REF!</definedName>
    <definedName name="ADFormula">#REF!</definedName>
    <definedName name="adj_hw" localSheetId="4">#REF!</definedName>
    <definedName name="adj_hw" localSheetId="29">#REF!</definedName>
    <definedName name="adj_hw">#REF!</definedName>
    <definedName name="adj_hw_sld16" localSheetId="4">#REF!</definedName>
    <definedName name="adj_hw_sld16" localSheetId="29">#REF!</definedName>
    <definedName name="adj_hw_sld16">#REF!</definedName>
    <definedName name="adj_hw_sld16_booster" localSheetId="4">#REF!</definedName>
    <definedName name="adj_hw_sld16_booster" localSheetId="29">#REF!</definedName>
    <definedName name="adj_hw_sld16_booster">#REF!</definedName>
    <definedName name="adj_hw_sld16_preamp" localSheetId="4">#REF!</definedName>
    <definedName name="adj_hw_sld16_preamp" localSheetId="29">#REF!</definedName>
    <definedName name="adj_hw_sld16_preamp">#REF!</definedName>
    <definedName name="adj_hw_slr16" localSheetId="4">#REF!</definedName>
    <definedName name="adj_hw_slr16" localSheetId="29">#REF!</definedName>
    <definedName name="adj_hw_slr16">#REF!</definedName>
    <definedName name="adj_hw_sma1k" localSheetId="4">#REF!</definedName>
    <definedName name="adj_hw_sma1k" localSheetId="29">#REF!</definedName>
    <definedName name="adj_hw_sma1k">#REF!</definedName>
    <definedName name="adj_hw_sma1kcp" localSheetId="4">#REF!</definedName>
    <definedName name="adj_hw_sma1kcp" localSheetId="29">#REF!</definedName>
    <definedName name="adj_hw_sma1kcp">#REF!</definedName>
    <definedName name="adj_hw_sma4c" localSheetId="4">#REF!</definedName>
    <definedName name="adj_hw_sma4c" localSheetId="29">#REF!</definedName>
    <definedName name="adj_hw_sma4c">#REF!</definedName>
    <definedName name="adj_hw_stm1e" localSheetId="4">#REF!</definedName>
    <definedName name="adj_hw_stm1e" localSheetId="29">#REF!</definedName>
    <definedName name="adj_hw_stm1e">#REF!</definedName>
    <definedName name="adj_sw" localSheetId="4">#REF!</definedName>
    <definedName name="adj_sw" localSheetId="29">#REF!</definedName>
    <definedName name="adj_sw">#REF!</definedName>
    <definedName name="adj_sw_sld16" localSheetId="4">#REF!</definedName>
    <definedName name="adj_sw_sld16" localSheetId="29">#REF!</definedName>
    <definedName name="adj_sw_sld16">#REF!</definedName>
    <definedName name="adj_sw_sld16_booster" localSheetId="4">#REF!</definedName>
    <definedName name="adj_sw_sld16_booster" localSheetId="29">#REF!</definedName>
    <definedName name="adj_sw_sld16_booster">#REF!</definedName>
    <definedName name="adj_sw_sld16_preamp" localSheetId="4">#REF!</definedName>
    <definedName name="adj_sw_sld16_preamp" localSheetId="29">#REF!</definedName>
    <definedName name="adj_sw_sld16_preamp">#REF!</definedName>
    <definedName name="adj_sw_slr16" localSheetId="4">#REF!</definedName>
    <definedName name="adj_sw_slr16" localSheetId="29">#REF!</definedName>
    <definedName name="adj_sw_slr16">#REF!</definedName>
    <definedName name="adj_sw_sma1k" localSheetId="4">#REF!</definedName>
    <definedName name="adj_sw_sma1k" localSheetId="29">#REF!</definedName>
    <definedName name="adj_sw_sma1k">#REF!</definedName>
    <definedName name="adj_sw_sma1kcp" localSheetId="4">#REF!</definedName>
    <definedName name="adj_sw_sma1kcp" localSheetId="29">#REF!</definedName>
    <definedName name="adj_sw_sma1kcp">#REF!</definedName>
    <definedName name="adj_sw_sma4c" localSheetId="4">#REF!</definedName>
    <definedName name="adj_sw_sma4c" localSheetId="29">#REF!</definedName>
    <definedName name="adj_sw_sma4c">#REF!</definedName>
    <definedName name="adj_sw_stm1e" localSheetId="4">#REF!</definedName>
    <definedName name="adj_sw_stm1e" localSheetId="29">#REF!</definedName>
    <definedName name="adj_sw_stm1e">#REF!</definedName>
    <definedName name="ADP" localSheetId="4">#REF!</definedName>
    <definedName name="ADP" localSheetId="29">#REF!</definedName>
    <definedName name="ADP">#REF!</definedName>
    <definedName name="ADSL_NIC" localSheetId="4">#REF!</definedName>
    <definedName name="ADSL_NIC" localSheetId="29">#REF!</definedName>
    <definedName name="ADSL_NIC">#REF!</definedName>
    <definedName name="AdvancedOptics" localSheetId="4">#REF!</definedName>
    <definedName name="AdvancedOptics" localSheetId="29">#REF!</definedName>
    <definedName name="AdvancedOptics">#REF!</definedName>
    <definedName name="advances" localSheetId="4">#REF!</definedName>
    <definedName name="advances" localSheetId="29">#REF!</definedName>
    <definedName name="advances">#REF!</definedName>
    <definedName name="AEFormula" localSheetId="4">#REF!</definedName>
    <definedName name="AEFormula" localSheetId="29">#REF!</definedName>
    <definedName name="AEFormula">#REF!</definedName>
    <definedName name="ageing" localSheetId="4">#REF!</definedName>
    <definedName name="ageing" localSheetId="29">#REF!</definedName>
    <definedName name="ageing" localSheetId="22">#REF!</definedName>
    <definedName name="ageing">#REF!</definedName>
    <definedName name="AGFormula" localSheetId="4">#REF!</definedName>
    <definedName name="AGFormula" localSheetId="29">#REF!</definedName>
    <definedName name="AGFormula">#REF!</definedName>
    <definedName name="AGGREGATE">'[24]#REF'!$B$30</definedName>
    <definedName name="AGGREGATE_CRUSHING_PLANT">'[24]#REF'!$B$45</definedName>
    <definedName name="AGING" localSheetId="4">#REF!</definedName>
    <definedName name="AGING" localSheetId="29">#REF!</definedName>
    <definedName name="AGING" localSheetId="22">#REF!</definedName>
    <definedName name="AGING">#REF!</definedName>
    <definedName name="AHFormula" localSheetId="4">#REF!</definedName>
    <definedName name="AHFormula" localSheetId="29">#REF!</definedName>
    <definedName name="AHFormula">#REF!</definedName>
    <definedName name="AI" localSheetId="4">#REF!</definedName>
    <definedName name="AI" localSheetId="29">#REF!</definedName>
    <definedName name="AI">#REF!</definedName>
    <definedName name="aisdn" localSheetId="4">#REF!</definedName>
    <definedName name="aisdn" localSheetId="29">#REF!</definedName>
    <definedName name="aisdn">#REF!</definedName>
    <definedName name="aisdn2" localSheetId="4">#REF!</definedName>
    <definedName name="aisdn2" localSheetId="29">#REF!</definedName>
    <definedName name="aisdn2">#REF!</definedName>
    <definedName name="aisdn3" localSheetId="4">#REF!</definedName>
    <definedName name="aisdn3" localSheetId="29">#REF!</definedName>
    <definedName name="aisdn3">#REF!</definedName>
    <definedName name="Alcatel_E10" localSheetId="4">#REF!</definedName>
    <definedName name="Alcatel_E10" localSheetId="29">#REF!</definedName>
    <definedName name="Alcatel_E10">#REF!</definedName>
    <definedName name="AllTables" localSheetId="4">{7}</definedName>
    <definedName name="AllTables" localSheetId="6">{7}</definedName>
    <definedName name="AllTables" localSheetId="9">{7}</definedName>
    <definedName name="AllTables">{7}</definedName>
    <definedName name="amb_std" localSheetId="4">#REF!</definedName>
    <definedName name="amb_std" localSheetId="29">#REF!</definedName>
    <definedName name="amb_std">#REF!</definedName>
    <definedName name="amc" localSheetId="4">#REF!</definedName>
    <definedName name="amc" localSheetId="29">#REF!</definedName>
    <definedName name="amc">#REF!</definedName>
    <definedName name="ANNEXA" localSheetId="4">#REF!</definedName>
    <definedName name="ANNEXA" localSheetId="29">#REF!</definedName>
    <definedName name="ANNEXA">#REF!</definedName>
    <definedName name="anscount" hidden="1">1</definedName>
    <definedName name="ANURA" localSheetId="4">#REF!</definedName>
    <definedName name="ANURA" localSheetId="29">#REF!</definedName>
    <definedName name="ANURA">#REF!</definedName>
    <definedName name="aorg" localSheetId="4">#REF!</definedName>
    <definedName name="aorg" localSheetId="29">#REF!</definedName>
    <definedName name="aorg">#REF!</definedName>
    <definedName name="APORT.FUT.AUM." localSheetId="4">#REF!</definedName>
    <definedName name="APORT.FUT.AUM." localSheetId="29">#REF!</definedName>
    <definedName name="APORT.FUT.AUM.">#REF!</definedName>
    <definedName name="appendix4" localSheetId="4" hidden="1">{#N/A,#N/A,TRUE,"Cover sheet";#N/A,#N/A,TRUE,"Summary";#N/A,#N/A,TRUE,"Key Assumptions";#N/A,#N/A,TRUE,"Profit &amp; Loss";#N/A,#N/A,TRUE,"Balance Sheet";#N/A,#N/A,TRUE,"Cashflow";#N/A,#N/A,TRUE,"IRR";#N/A,#N/A,TRUE,"Ratios";#N/A,#N/A,TRUE,"Debt analysis"}</definedName>
    <definedName name="appendix4" localSheetId="6" hidden="1">{#N/A,#N/A,TRUE,"Cover sheet";#N/A,#N/A,TRUE,"Summary";#N/A,#N/A,TRUE,"Key Assumptions";#N/A,#N/A,TRUE,"Profit &amp; Loss";#N/A,#N/A,TRUE,"Balance Sheet";#N/A,#N/A,TRUE,"Cashflow";#N/A,#N/A,TRUE,"IRR";#N/A,#N/A,TRUE,"Ratios";#N/A,#N/A,TRUE,"Debt analysis"}</definedName>
    <definedName name="appendix4" localSheetId="9" hidden="1">{#N/A,#N/A,TRUE,"Cover sheet";#N/A,#N/A,TRUE,"Summary";#N/A,#N/A,TRUE,"Key Assumptions";#N/A,#N/A,TRUE,"Profit &amp; Loss";#N/A,#N/A,TRUE,"Balance Sheet";#N/A,#N/A,TRUE,"Cashflow";#N/A,#N/A,TRUE,"IRR";#N/A,#N/A,TRUE,"Ratios";#N/A,#N/A,TRUE,"Debt analysis"}</definedName>
    <definedName name="appendix4" hidden="1">{#N/A,#N/A,TRUE,"Cover sheet";#N/A,#N/A,TRUE,"Summary";#N/A,#N/A,TRUE,"Key Assumptions";#N/A,#N/A,TRUE,"Profit &amp; Loss";#N/A,#N/A,TRUE,"Balance Sheet";#N/A,#N/A,TRUE,"Cashflow";#N/A,#N/A,TRUE,"IRR";#N/A,#N/A,TRUE,"Ratios";#N/A,#N/A,TRUE,"Debt analysis"}</definedName>
    <definedName name="Area_Above_EL" localSheetId="4">#REF!</definedName>
    <definedName name="Area_Above_EL" localSheetId="29">#REF!</definedName>
    <definedName name="Area_Above_EL">#REF!</definedName>
    <definedName name="Area_Below_EL" localSheetId="4">#REF!</definedName>
    <definedName name="Area_Below_EL" localSheetId="29">#REF!</definedName>
    <definedName name="Area_Below_EL">#REF!</definedName>
    <definedName name="Area_Conversions" localSheetId="4">#REF!</definedName>
    <definedName name="Area_Conversions" localSheetId="29">#REF!</definedName>
    <definedName name="Area_Conversions">#REF!</definedName>
    <definedName name="Area_Left_EL" localSheetId="4">#REF!</definedName>
    <definedName name="Area_Left_EL" localSheetId="29">#REF!</definedName>
    <definedName name="Area_Left_EL">#REF!</definedName>
    <definedName name="ARReclass" localSheetId="4">#REF!</definedName>
    <definedName name="ARReclass" localSheetId="29">#REF!</definedName>
    <definedName name="ARReclass">#REF!</definedName>
    <definedName name="as" localSheetId="4">#REF!</definedName>
    <definedName name="as" localSheetId="29">#REF!</definedName>
    <definedName name="as" localSheetId="22">#REF!</definedName>
    <definedName name="as">#REF!</definedName>
    <definedName name="AS2DocOpenMode" hidden="1">"AS2DocumentEdit"</definedName>
    <definedName name="asf" localSheetId="4">#REF!</definedName>
    <definedName name="asf" localSheetId="29">#REF!</definedName>
    <definedName name="asf">#REF!</definedName>
    <definedName name="ash" localSheetId="6" hidden="1">{#N/A,#N/A,TRUE,"Staffnos &amp; cost"}</definedName>
    <definedName name="ash" localSheetId="9" hidden="1">{#N/A,#N/A,TRUE,"Staffnos &amp; cost"}</definedName>
    <definedName name="ash" hidden="1">{#N/A,#N/A,TRUE,"Staffnos &amp; cost"}</definedName>
    <definedName name="ASIA_PLASTIC_in_KUSD" localSheetId="4">#REF!</definedName>
    <definedName name="ASIA_PLASTIC_in_KUSD" localSheetId="29">#REF!</definedName>
    <definedName name="ASIA_PLASTIC_in_KUSD">#REF!</definedName>
    <definedName name="ass" localSheetId="4">#REF!</definedName>
    <definedName name="ass" localSheetId="29">#REF!</definedName>
    <definedName name="ass" localSheetId="22">#REF!</definedName>
    <definedName name="ass">#REF!</definedName>
    <definedName name="asset" localSheetId="4">#REF!</definedName>
    <definedName name="asset" localSheetId="29">#REF!</definedName>
    <definedName name="asset">#REF!</definedName>
    <definedName name="asset1" localSheetId="4">#REF!</definedName>
    <definedName name="asset1" localSheetId="29">#REF!</definedName>
    <definedName name="asset1">#REF!</definedName>
    <definedName name="ASSETS" localSheetId="4">#REF!</definedName>
    <definedName name="ASSETS" localSheetId="29">#REF!</definedName>
    <definedName name="ASSETS" localSheetId="22">#REF!</definedName>
    <definedName name="ASSETS">#REF!</definedName>
    <definedName name="ASSETTYPE">'[25]Useful Lives'!$D$4:$D$105</definedName>
    <definedName name="assss" localSheetId="4">#REF!</definedName>
    <definedName name="assss" localSheetId="29">#REF!</definedName>
    <definedName name="assss" localSheetId="22">#REF!</definedName>
    <definedName name="assss">#REF!</definedName>
    <definedName name="AsstYr">[26]Masters!$C$34</definedName>
    <definedName name="asum" localSheetId="4">#REF!</definedName>
    <definedName name="asum" localSheetId="29">#REF!</definedName>
    <definedName name="asum">#REF!</definedName>
    <definedName name="ASUMPTION" localSheetId="4">#REF!</definedName>
    <definedName name="ASUMPTION" localSheetId="29">#REF!</definedName>
    <definedName name="ASUMPTION">#REF!</definedName>
    <definedName name="AsyncTelemetry" localSheetId="4">#REF!</definedName>
    <definedName name="AsyncTelemetry" localSheetId="29">#REF!</definedName>
    <definedName name="AsyncTelemetry">#REF!</definedName>
    <definedName name="ATE" localSheetId="4">#REF!</definedName>
    <definedName name="ATE" localSheetId="29">#REF!</definedName>
    <definedName name="ATE">#REF!</definedName>
    <definedName name="aterm" localSheetId="4">#REF!</definedName>
    <definedName name="aterm" localSheetId="29">#REF!</definedName>
    <definedName name="aterm">#REF!</definedName>
    <definedName name="atm_e1" localSheetId="4">#REF!</definedName>
    <definedName name="atm_e1" localSheetId="29">#REF!</definedName>
    <definedName name="atm_e1">#REF!</definedName>
    <definedName name="atm_s" localSheetId="4">#REF!</definedName>
    <definedName name="atm_s" localSheetId="29">#REF!</definedName>
    <definedName name="atm_s">#REF!</definedName>
    <definedName name="ATM1I" localSheetId="4">#REF!</definedName>
    <definedName name="ATM1I" localSheetId="29">#REF!</definedName>
    <definedName name="ATM1I">#REF!</definedName>
    <definedName name="ATM1P" localSheetId="4">#REF!</definedName>
    <definedName name="ATM1P" localSheetId="29">#REF!</definedName>
    <definedName name="ATM1P">#REF!</definedName>
    <definedName name="ATM2I" localSheetId="4">#REF!</definedName>
    <definedName name="ATM2I" localSheetId="29">#REF!</definedName>
    <definedName name="ATM2I">#REF!</definedName>
    <definedName name="ATM2P" localSheetId="4">#REF!</definedName>
    <definedName name="ATM2P" localSheetId="29">#REF!</definedName>
    <definedName name="ATM2P">#REF!</definedName>
    <definedName name="atrunk" localSheetId="4">#REF!</definedName>
    <definedName name="atrunk" localSheetId="29">#REF!</definedName>
    <definedName name="atrunk">#REF!</definedName>
    <definedName name="attach1" localSheetId="4">#REF!</definedName>
    <definedName name="attach1" localSheetId="29">#REF!</definedName>
    <definedName name="attach1">#REF!</definedName>
    <definedName name="attach10" localSheetId="4">#REF!</definedName>
    <definedName name="attach10" localSheetId="29">#REF!</definedName>
    <definedName name="attach10">#REF!</definedName>
    <definedName name="attach11" localSheetId="4">#REF!</definedName>
    <definedName name="attach11" localSheetId="29">#REF!</definedName>
    <definedName name="attach11">#REF!</definedName>
    <definedName name="attach12" localSheetId="4">#REF!</definedName>
    <definedName name="attach12" localSheetId="29">#REF!</definedName>
    <definedName name="attach12">#REF!</definedName>
    <definedName name="attach13" localSheetId="4">#REF!</definedName>
    <definedName name="attach13" localSheetId="29">#REF!</definedName>
    <definedName name="attach13">#REF!</definedName>
    <definedName name="attach14" localSheetId="4">#REF!</definedName>
    <definedName name="attach14" localSheetId="29">#REF!</definedName>
    <definedName name="attach14">#REF!</definedName>
    <definedName name="attach15" localSheetId="4">#REF!</definedName>
    <definedName name="attach15" localSheetId="29">#REF!</definedName>
    <definedName name="attach15">#REF!</definedName>
    <definedName name="attach16" localSheetId="4">#REF!</definedName>
    <definedName name="attach16" localSheetId="29">#REF!</definedName>
    <definedName name="attach16">#REF!</definedName>
    <definedName name="attach18" localSheetId="4">#REF!</definedName>
    <definedName name="attach18" localSheetId="29">#REF!</definedName>
    <definedName name="attach18">#REF!</definedName>
    <definedName name="attach1a" localSheetId="4">#REF!</definedName>
    <definedName name="attach1a" localSheetId="29">#REF!</definedName>
    <definedName name="attach1a">#REF!</definedName>
    <definedName name="attach2" localSheetId="4">#REF!</definedName>
    <definedName name="attach2" localSheetId="29">#REF!</definedName>
    <definedName name="attach2">#REF!</definedName>
    <definedName name="attach3a" localSheetId="4">#REF!</definedName>
    <definedName name="attach3a" localSheetId="29">#REF!</definedName>
    <definedName name="attach3a">#REF!</definedName>
    <definedName name="attach5" localSheetId="4">#REF!</definedName>
    <definedName name="attach5" localSheetId="29">#REF!</definedName>
    <definedName name="attach5">#REF!</definedName>
    <definedName name="attach6" localSheetId="4">#REF!</definedName>
    <definedName name="attach6" localSheetId="29">#REF!</definedName>
    <definedName name="attach6">#REF!</definedName>
    <definedName name="attach7a" localSheetId="4">#REF!</definedName>
    <definedName name="attach7a" localSheetId="29">#REF!</definedName>
    <definedName name="attach7a">#REF!</definedName>
    <definedName name="attach8" localSheetId="4">#REF!</definedName>
    <definedName name="attach8" localSheetId="29">#REF!</definedName>
    <definedName name="attach8">#REF!</definedName>
    <definedName name="attach9" localSheetId="4">#REF!</definedName>
    <definedName name="attach9" localSheetId="29">#REF!</definedName>
    <definedName name="attach9">#REF!</definedName>
    <definedName name="atttach4" localSheetId="4">#REF!</definedName>
    <definedName name="atttach4" localSheetId="29">#REF!</definedName>
    <definedName name="atttach4">#REF!</definedName>
    <definedName name="audname" localSheetId="4">#REF!</definedName>
    <definedName name="audname" localSheetId="29">#REF!</definedName>
    <definedName name="audname">#REF!</definedName>
    <definedName name="audsign" localSheetId="4">#REF!</definedName>
    <definedName name="audsign" localSheetId="29">#REF!</definedName>
    <definedName name="audsign">#REF!</definedName>
    <definedName name="audsignms" localSheetId="4">#REF!</definedName>
    <definedName name="audsignms" localSheetId="29">#REF!</definedName>
    <definedName name="audsignms">#REF!</definedName>
    <definedName name="Average_Beg_End" localSheetId="4">#REF!</definedName>
    <definedName name="Average_Beg_End" localSheetId="29">#REF!</definedName>
    <definedName name="Average_Beg_End">#REF!</definedName>
    <definedName name="AvgNADs" localSheetId="4">#REF!</definedName>
    <definedName name="AvgNADs" localSheetId="29">#REF!</definedName>
    <definedName name="AvgNADs">#REF!</definedName>
    <definedName name="AXE" localSheetId="4">#REF!</definedName>
    <definedName name="AXE" localSheetId="29">#REF!</definedName>
    <definedName name="AXE">#REF!</definedName>
    <definedName name="axedoc" localSheetId="4">#REF!</definedName>
    <definedName name="axedoc" localSheetId="29">#REF!</definedName>
    <definedName name="axedoc">#REF!</definedName>
    <definedName name="B" localSheetId="4">#REF!</definedName>
    <definedName name="B" localSheetId="29">#REF!</definedName>
    <definedName name="B" localSheetId="22">#REF!</definedName>
    <definedName name="B">#REF!</definedName>
    <definedName name="B_SW" localSheetId="4">#REF!</definedName>
    <definedName name="B_SW" localSheetId="29">#REF!</definedName>
    <definedName name="B_SW">#REF!</definedName>
    <definedName name="back" localSheetId="4">#REF!</definedName>
    <definedName name="back" localSheetId="29">#REF!</definedName>
    <definedName name="back">#REF!</definedName>
    <definedName name="bal" localSheetId="4">#REF!</definedName>
    <definedName name="bal" localSheetId="29">#REF!</definedName>
    <definedName name="bal" localSheetId="22">#REF!</definedName>
    <definedName name="bal">#REF!</definedName>
    <definedName name="BalanceSheet" localSheetId="4">#REF!</definedName>
    <definedName name="balancesheet" localSheetId="6" hidden="1">{#N/A,#N/A,FALSE,"Staffnos &amp; cost"}</definedName>
    <definedName name="balancesheet" localSheetId="9" hidden="1">{#N/A,#N/A,FALSE,"Staffnos &amp; cost"}</definedName>
    <definedName name="balancesheet" hidden="1">{#N/A,#N/A,FALSE,"Staffnos &amp; cost"}</definedName>
    <definedName name="balsheet" localSheetId="4">#REF!</definedName>
    <definedName name="balsheet" localSheetId="29">#REF!</definedName>
    <definedName name="balsheet" localSheetId="22">#REF!</definedName>
    <definedName name="balsheet">#REF!</definedName>
    <definedName name="BAR_BENDERS" localSheetId="4">'[24]#REF'!#REF!</definedName>
    <definedName name="BAR_BENDERS" localSheetId="29">'[24]#REF'!#REF!</definedName>
    <definedName name="BAR_BENDERS">'[24]#REF'!#REF!</definedName>
    <definedName name="basic_traf_mgmt" localSheetId="4">#REF!</definedName>
    <definedName name="basic_traf_mgmt" localSheetId="29">#REF!</definedName>
    <definedName name="basic_traf_mgmt">#REF!</definedName>
    <definedName name="BATCHING_PLANT">'[24]#REF'!$B$46:$B$54</definedName>
    <definedName name="BAY_89AA" localSheetId="4">#REF!</definedName>
    <definedName name="BAY_89AA" localSheetId="29">#REF!</definedName>
    <definedName name="BAY_89AA">#REF!</definedName>
    <definedName name="BAY_89AB" localSheetId="4">#REF!</definedName>
    <definedName name="BAY_89AB" localSheetId="29">#REF!</definedName>
    <definedName name="BAY_89AB">#REF!</definedName>
    <definedName name="BAY_89AC" localSheetId="4">#REF!</definedName>
    <definedName name="BAY_89AC" localSheetId="29">#REF!</definedName>
    <definedName name="BAY_89AC">#REF!</definedName>
    <definedName name="BB" localSheetId="4">#REF!</definedName>
    <definedName name="BB" localSheetId="29">#REF!</definedName>
    <definedName name="BB" localSheetId="22">#REF!</definedName>
    <definedName name="BB">#REF!</definedName>
    <definedName name="bbb" localSheetId="4">#REF!</definedName>
    <definedName name="bbb" localSheetId="29">#REF!</definedName>
    <definedName name="bbb">#REF!</definedName>
    <definedName name="bbbb" localSheetId="4">#REF!</definedName>
    <definedName name="bbbb" localSheetId="29">#REF!</definedName>
    <definedName name="bbbb">#REF!</definedName>
    <definedName name="bdately" localSheetId="4">#REF!</definedName>
    <definedName name="bdately" localSheetId="29">#REF!</definedName>
    <definedName name="bdately">#REF!</definedName>
    <definedName name="Begining" localSheetId="4">#REF!</definedName>
    <definedName name="Begining" localSheetId="29">#REF!</definedName>
    <definedName name="Begining">#REF!</definedName>
    <definedName name="BELDAR">'[24]#REF'!$B$9</definedName>
    <definedName name="BENDERS" localSheetId="4">'[24]BASIC RATES'!#REF!</definedName>
    <definedName name="BENDERS" localSheetId="29">'[24]BASIC RATES'!#REF!</definedName>
    <definedName name="BENDERS">'[24]BASIC RATES'!#REF!</definedName>
    <definedName name="bform_col" localSheetId="4">#REF!</definedName>
    <definedName name="bform_col" localSheetId="29">#REF!</definedName>
    <definedName name="bform_col">#REF!</definedName>
    <definedName name="BForm_Print_Area" localSheetId="4">#REF!</definedName>
    <definedName name="BForm_Print_Area" localSheetId="29">#REF!</definedName>
    <definedName name="BForm_Print_Area">#REF!</definedName>
    <definedName name="BGH" localSheetId="4" hidden="1">{#N/A,#N/A,FALSE,"MODULE3"}</definedName>
    <definedName name="BGH" localSheetId="6" hidden="1">{#N/A,#N/A,FALSE,"MODULE3"}</definedName>
    <definedName name="BGH" localSheetId="9" hidden="1">{#N/A,#N/A,FALSE,"MODULE3"}</definedName>
    <definedName name="BGH" hidden="1">{#N/A,#N/A,FALSE,"MODULE3"}</definedName>
    <definedName name="BGT_GRF">'[22]IS Mo'!$AH$134:$AS$186</definedName>
    <definedName name="BGT_INN">'[22]IS Mo'!$BL$134:$BW$186</definedName>
    <definedName name="BGT_PUB">'[22]IS Mo'!$AW$134:$BH$186</definedName>
    <definedName name="BITUMEN__70_80" localSheetId="4">'[24]#REF'!#REF!</definedName>
    <definedName name="BITUMEN__70_80" localSheetId="29">'[24]#REF'!#REF!</definedName>
    <definedName name="BITUMEN__70_80">'[24]#REF'!#REF!</definedName>
    <definedName name="BITUMEN__SUSPENSION" localSheetId="4">'[24]#REF'!#REF!</definedName>
    <definedName name="BITUMEN__SUSPENSION" localSheetId="29">'[24]#REF'!#REF!</definedName>
    <definedName name="BITUMEN__SUSPENSION">'[24]#REF'!#REF!</definedName>
    <definedName name="BITUMEN_SPRAYER">'[24]#REF'!$B$47</definedName>
    <definedName name="BLACK_SMITH" localSheetId="4">'[24]#REF'!#REF!</definedName>
    <definedName name="BLACK_SMITH" localSheetId="29">'[24]#REF'!#REF!</definedName>
    <definedName name="BLACK_SMITH">'[24]#REF'!#REF!</definedName>
    <definedName name="BLPH1" localSheetId="4" hidden="1">#REF!</definedName>
    <definedName name="BLPH1" localSheetId="29" hidden="1">#REF!</definedName>
    <definedName name="BLPH1" hidden="1">#REF!</definedName>
    <definedName name="BLPH2" localSheetId="4" hidden="1">#REF!</definedName>
    <definedName name="BLPH2" localSheetId="29" hidden="1">#REF!</definedName>
    <definedName name="BLPH2" hidden="1">#REF!</definedName>
    <definedName name="BLPH3" localSheetId="4" hidden="1">#REF!</definedName>
    <definedName name="BLPH3" localSheetId="29" hidden="1">#REF!</definedName>
    <definedName name="BLPH3" hidden="1">#REF!</definedName>
    <definedName name="BLPH4" localSheetId="4" hidden="1">#REF!</definedName>
    <definedName name="BLPH4" localSheetId="29" hidden="1">#REF!</definedName>
    <definedName name="BLPH4" hidden="1">#REF!</definedName>
    <definedName name="BLPH5" localSheetId="4" hidden="1">#REF!</definedName>
    <definedName name="BLPH5" localSheetId="29" hidden="1">#REF!</definedName>
    <definedName name="BLPH5" hidden="1">#REF!</definedName>
    <definedName name="bmonth" localSheetId="4">#REF!</definedName>
    <definedName name="bmonth" localSheetId="29">#REF!</definedName>
    <definedName name="bmonth">#REF!</definedName>
    <definedName name="bnm" localSheetId="4">#REF!</definedName>
    <definedName name="bnm" localSheetId="29">#REF!</definedName>
    <definedName name="bnm">#REF!</definedName>
    <definedName name="Bonus" localSheetId="4">#REF!</definedName>
    <definedName name="Bonus" localSheetId="29">#REF!</definedName>
    <definedName name="Bonus">#REF!</definedName>
    <definedName name="bookprofitcalmar98" localSheetId="4">#REF!</definedName>
    <definedName name="bookprofitcalmar98" localSheetId="29">#REF!</definedName>
    <definedName name="bookprofitcalmar98">#REF!</definedName>
    <definedName name="boq" localSheetId="4">#REF!</definedName>
    <definedName name="boq" localSheetId="29">#REF!</definedName>
    <definedName name="boq" localSheetId="22">#REF!</definedName>
    <definedName name="boq">#REF!</definedName>
    <definedName name="BOULDERS" localSheetId="4">'[24]#REF'!#REF!</definedName>
    <definedName name="BOULDERS" localSheetId="29">'[24]#REF'!#REF!</definedName>
    <definedName name="BOULDERS">'[24]#REF'!#REF!</definedName>
    <definedName name="BPCASH" localSheetId="4">#REF!</definedName>
    <definedName name="BPCASH" localSheetId="29">#REF!</definedName>
    <definedName name="BPCASH" localSheetId="22">#REF!</definedName>
    <definedName name="BPCASH">#REF!</definedName>
    <definedName name="BPCASH1" localSheetId="4">#REF!</definedName>
    <definedName name="BPCASH1" localSheetId="29">#REF!</definedName>
    <definedName name="BPCASH1" localSheetId="22">#REF!</definedName>
    <definedName name="BPCASH1">#REF!</definedName>
    <definedName name="BPCASH111" localSheetId="4">#REF!</definedName>
    <definedName name="BPCASH111" localSheetId="29">#REF!</definedName>
    <definedName name="BPCASH111" localSheetId="22">#REF!</definedName>
    <definedName name="BPCASH111">#REF!</definedName>
    <definedName name="BRICKS" localSheetId="4">'[24]#REF'!#REF!</definedName>
    <definedName name="BRICKS" localSheetId="29">'[24]#REF'!#REF!</definedName>
    <definedName name="BRICKS">'[24]#REF'!#REF!</definedName>
    <definedName name="BRIDGES">'[27]BOQ Distribution'!$A$35:$G$47</definedName>
    <definedName name="brs" localSheetId="4">#REF!</definedName>
    <definedName name="brs" localSheetId="29">#REF!</definedName>
    <definedName name="brs" localSheetId="22">#REF!</definedName>
    <definedName name="brs">#REF!</definedName>
    <definedName name="BS" localSheetId="4">#REF!</definedName>
    <definedName name="BS" localSheetId="29">#REF!</definedName>
    <definedName name="BS">#REF!</definedName>
    <definedName name="BS_3" localSheetId="4">#REF!</definedName>
    <definedName name="BS_3" localSheetId="29">#REF!</definedName>
    <definedName name="BS_3">#REF!</definedName>
    <definedName name="BSDateSF">[26]Masters!$C$28</definedName>
    <definedName name="bsheet">'[28]BS before PMO'!$Z$1:$BC$49,'[28]BS before PMO'!$U$1:$X$35,'[28]BS before PMO'!$I$1:$N$49,'[28]BS before PMO'!$C$1:$G$52,'[28]BS before PMO'!$C$57:$G$99,'[28]BS before PMO'!$C$102:$G$158,'[28]BS before PMO'!$C$160:$G$204</definedName>
    <definedName name="bsp" localSheetId="4">#REF!</definedName>
    <definedName name="bsp" localSheetId="29">#REF!</definedName>
    <definedName name="bsp">#REF!</definedName>
    <definedName name="bspd" localSheetId="4">#REF!</definedName>
    <definedName name="bspd" localSheetId="29">#REF!</definedName>
    <definedName name="bspd">#REF!</definedName>
    <definedName name="BSR_Version" localSheetId="4">#REF!</definedName>
    <definedName name="BSR_Version" localSheetId="29">#REF!</definedName>
    <definedName name="BSR_Version">#REF!</definedName>
    <definedName name="bss" localSheetId="6" hidden="1">{#N/A,#N/A,FALSE,"Staffnos &amp; cost"}</definedName>
    <definedName name="bss" localSheetId="9" hidden="1">{#N/A,#N/A,FALSE,"Staffnos &amp; cost"}</definedName>
    <definedName name="bss" hidden="1">{#N/A,#N/A,FALSE,"Staffnos &amp; cost"}</definedName>
    <definedName name="Budcol" localSheetId="4">OFFSET('[20]Budget 2010-11'!$E$7,-2,MATCH(CurrMonth,'[20]Budget 2010-11'!$E$7:$P$7,0)-1,1,1)</definedName>
    <definedName name="Budcol" localSheetId="29">OFFSET('[20]Budget 2010-11'!$E$7,-2,MATCH(CurrMonth,'[20]Budget 2010-11'!$E$7:$P$7,0)-1,1,1)</definedName>
    <definedName name="Budcol" localSheetId="27">OFFSET('[20]Budget 2010-11'!$E$7,-2,MATCH(CurrMonth,'[20]Budget 2010-11'!$E$7:$P$7,0)-1,1,1)</definedName>
    <definedName name="Budcol" localSheetId="26">OFFSET('[20]Budget 2010-11'!$E$7,-2,MATCH(CurrMonth,'[20]Budget 2010-11'!$E$7:$P$7,0)-1,1,1)</definedName>
    <definedName name="Budcol" localSheetId="23">OFFSET('[20]Budget 2010-11'!$E$7,-2,MATCH(CurrMonth,'[20]Budget 2010-11'!$E$7:$P$7,0)-1,1,1)</definedName>
    <definedName name="Budcol" localSheetId="6">OFFSET('[20]Budget 2010-11'!$E$7,-2,MATCH(CurrMonth,'[20]Budget 2010-11'!$E$7:$P$7,0)-1,1,1)</definedName>
    <definedName name="Budcol" localSheetId="9">OFFSET('[20]Budget 2010-11'!$E$7,-2,MATCH(CurrMonth,'[20]Budget 2010-11'!$E$7:$P$7,0)-1,1,1)</definedName>
    <definedName name="Budcol" localSheetId="18">OFFSET('[20]Budget 2010-11'!$E$7,-2,MATCH(CurrMonth,'[20]Budget 2010-11'!$E$7:$P$7,0)-1,1,1)</definedName>
    <definedName name="Budcol" localSheetId="22">OFFSET('[20]Budget 2010-11'!$E$7,-2,MATCH(CurrMonth,'[20]Budget 2010-11'!$E$7:$P$7,0)-1,1,1)</definedName>
    <definedName name="Budcol">OFFSET('[20]Budget 2010-11'!$E$7,-2,MATCH(CurrMonth,'[20]Budget 2010-11'!$E$7:$P$7,0)-1,1,1)</definedName>
    <definedName name="BuiltIn_Print_Area" localSheetId="4">#REF!</definedName>
    <definedName name="BuiltIn_Print_Area" localSheetId="29">#REF!</definedName>
    <definedName name="BuiltIn_Print_Area" localSheetId="22">#REF!</definedName>
    <definedName name="BuiltIn_Print_Area">#REF!</definedName>
    <definedName name="BuiltIn_Print_Area___0" localSheetId="4">#REF!</definedName>
    <definedName name="BuiltIn_Print_Area___0" localSheetId="29">#REF!</definedName>
    <definedName name="BuiltIn_Print_Area___0" localSheetId="22">#REF!</definedName>
    <definedName name="BuiltIn_Print_Area___0">#REF!</definedName>
    <definedName name="BuiltIn_Print_Area___0___0" localSheetId="4">#REF!</definedName>
    <definedName name="BuiltIn_Print_Area___0___0" localSheetId="29">#REF!</definedName>
    <definedName name="BuiltIn_Print_Area___0___0">#REF!</definedName>
    <definedName name="BuiltIn_Print_Area___0___0___0" localSheetId="4">#REF!</definedName>
    <definedName name="BuiltIn_Print_Area___0___0___0" localSheetId="29">#REF!</definedName>
    <definedName name="BuiltIn_Print_Area___0___0___0">#REF!</definedName>
    <definedName name="BuiltIn_Print_Area___0___0___0___0" localSheetId="4">#REF!</definedName>
    <definedName name="BuiltIn_Print_Area___0___0___0___0" localSheetId="29">#REF!</definedName>
    <definedName name="BuiltIn_Print_Area___0___0___0___0">#REF!</definedName>
    <definedName name="BuiltIn_Print_Area___0___0___0___0___0" localSheetId="4">#REF!</definedName>
    <definedName name="BuiltIn_Print_Area___0___0___0___0___0" localSheetId="29">#REF!</definedName>
    <definedName name="BuiltIn_Print_Area___0___0___0___0___0">#REF!</definedName>
    <definedName name="BuiltIn_Print_Area___2" localSheetId="4">#REF!</definedName>
    <definedName name="BuiltIn_Print_Area___2" localSheetId="29">#REF!</definedName>
    <definedName name="BuiltIn_Print_Area___2">#REF!</definedName>
    <definedName name="BuiltIn_Print_Area___3" localSheetId="4">#REF!</definedName>
    <definedName name="BuiltIn_Print_Area___3" localSheetId="29">#REF!</definedName>
    <definedName name="BuiltIn_Print_Area___3">#REF!</definedName>
    <definedName name="BuiltIn_Print_Area___4" localSheetId="4">#REF!</definedName>
    <definedName name="BuiltIn_Print_Area___4" localSheetId="29">#REF!</definedName>
    <definedName name="BuiltIn_Print_Area___4">#REF!</definedName>
    <definedName name="BuiltIn_Print_Area___5" localSheetId="4">#REF!</definedName>
    <definedName name="BuiltIn_Print_Area___5" localSheetId="29">#REF!</definedName>
    <definedName name="BuiltIn_Print_Area___5">#REF!</definedName>
    <definedName name="BuiltIn_Print_Area___6" localSheetId="4">#REF!</definedName>
    <definedName name="BuiltIn_Print_Area___6" localSheetId="29">#REF!</definedName>
    <definedName name="BuiltIn_Print_Area___6">#REF!</definedName>
    <definedName name="BuiltIn_Print_Area___7" localSheetId="4">#REF!</definedName>
    <definedName name="BuiltIn_Print_Area___7" localSheetId="29">#REF!</definedName>
    <definedName name="BuiltIn_Print_Area___7">#REF!</definedName>
    <definedName name="BuiltIn_Print_Titles" localSheetId="4">#REF!</definedName>
    <definedName name="BuiltIn_Print_Titles" localSheetId="29">#REF!</definedName>
    <definedName name="BuiltIn_Print_Titles" localSheetId="22">#REF!</definedName>
    <definedName name="BuiltIn_Print_Titles">#REF!</definedName>
    <definedName name="Bundle" localSheetId="4">#REF!</definedName>
    <definedName name="Bundle" localSheetId="29">#REF!</definedName>
    <definedName name="Bundle">#REF!</definedName>
    <definedName name="byear" localSheetId="4">#REF!</definedName>
    <definedName name="byear" localSheetId="29">#REF!</definedName>
    <definedName name="byear">#REF!</definedName>
    <definedName name="byearly" localSheetId="4">#REF!</definedName>
    <definedName name="byearly" localSheetId="29">#REF!</definedName>
    <definedName name="byearly">#REF!</definedName>
    <definedName name="C_">#N/A</definedName>
    <definedName name="c_cables" localSheetId="4">#REF!</definedName>
    <definedName name="c_cables" localSheetId="29">#REF!</definedName>
    <definedName name="c_cables">#REF!</definedName>
    <definedName name="c_sw" localSheetId="4">#REF!</definedName>
    <definedName name="c_sw" localSheetId="29">#REF!</definedName>
    <definedName name="c_sw">#REF!</definedName>
    <definedName name="cab" localSheetId="4">#REF!</definedName>
    <definedName name="cab" localSheetId="29">#REF!</definedName>
    <definedName name="cab">#REF!</definedName>
    <definedName name="CADAM_Roys" localSheetId="4">#REF!</definedName>
    <definedName name="CADAM_Roys" localSheetId="29">#REF!</definedName>
    <definedName name="CADAM_Roys">#REF!</definedName>
    <definedName name="cap" localSheetId="4">#REF!</definedName>
    <definedName name="cap" localSheetId="29">#REF!</definedName>
    <definedName name="cap">#REF!</definedName>
    <definedName name="CAP.SOCIAL" localSheetId="4">#REF!</definedName>
    <definedName name="CAP.SOCIAL" localSheetId="29">#REF!</definedName>
    <definedName name="CAP.SOCIAL">#REF!</definedName>
    <definedName name="cap\loan" localSheetId="4">#REF!</definedName>
    <definedName name="cap\loan" localSheetId="29">#REF!</definedName>
    <definedName name="cap\loan">#REF!</definedName>
    <definedName name="CAPAPR" localSheetId="4">#REF!</definedName>
    <definedName name="CAPAPR" localSheetId="29">#REF!</definedName>
    <definedName name="CAPAPR">#REF!</definedName>
    <definedName name="CAPAUG" localSheetId="4">#REF!</definedName>
    <definedName name="CAPAUG" localSheetId="29">#REF!</definedName>
    <definedName name="CAPAUG">#REF!</definedName>
    <definedName name="CAPDEC" localSheetId="4">#REF!</definedName>
    <definedName name="CAPDEC" localSheetId="29">#REF!</definedName>
    <definedName name="CAPDEC">#REF!</definedName>
    <definedName name="CAPEX" localSheetId="4">#REF!</definedName>
    <definedName name="CAPEX" localSheetId="29">#REF!</definedName>
    <definedName name="CAPEX">#REF!</definedName>
    <definedName name="CAPFEB" localSheetId="4">#REF!</definedName>
    <definedName name="CAPFEB" localSheetId="29">#REF!</definedName>
    <definedName name="CAPFEB">#REF!</definedName>
    <definedName name="CAPITALCY">'[29]Sch 1-6'!$D$15</definedName>
    <definedName name="CAPITALPY">'[29]Sch 1-6'!$E$15</definedName>
    <definedName name="CAPJAN" localSheetId="4">#REF!</definedName>
    <definedName name="CAPJAN" localSheetId="29">#REF!</definedName>
    <definedName name="CAPJAN">#REF!</definedName>
    <definedName name="CAPJUL" localSheetId="4">#REF!</definedName>
    <definedName name="CAPJUL" localSheetId="29">#REF!</definedName>
    <definedName name="CAPJUL">#REF!</definedName>
    <definedName name="CAPJUN" localSheetId="4">#REF!</definedName>
    <definedName name="CAPJUN" localSheetId="29">#REF!</definedName>
    <definedName name="CAPJUN">#REF!</definedName>
    <definedName name="CAPMAR" localSheetId="4">#REF!</definedName>
    <definedName name="CAPMAR" localSheetId="29">#REF!</definedName>
    <definedName name="CAPMAR">#REF!</definedName>
    <definedName name="CAPMAY" localSheetId="4">#REF!</definedName>
    <definedName name="CAPMAY" localSheetId="29">#REF!</definedName>
    <definedName name="CAPMAY">#REF!</definedName>
    <definedName name="CAPNOV" localSheetId="4">#REF!</definedName>
    <definedName name="CAPNOV" localSheetId="29">#REF!</definedName>
    <definedName name="CAPNOV">#REF!</definedName>
    <definedName name="CAPOCT" localSheetId="4">#REF!</definedName>
    <definedName name="CAPOCT" localSheetId="29">#REF!</definedName>
    <definedName name="CAPOCT">#REF!</definedName>
    <definedName name="CAPSEP" localSheetId="4">#REF!</definedName>
    <definedName name="CAPSEP" localSheetId="29">#REF!</definedName>
    <definedName name="CAPSEP">#REF!</definedName>
    <definedName name="cascrente" localSheetId="4">#REF!</definedName>
    <definedName name="cascrente" localSheetId="29">#REF!</definedName>
    <definedName name="cascrente">#REF!</definedName>
    <definedName name="cash" localSheetId="4" hidden="1">{"CASH FLOW",#N/A,FALSE,"A"}</definedName>
    <definedName name="cash" localSheetId="6" hidden="1">{"CASH FLOW",#N/A,FALSE,"A"}</definedName>
    <definedName name="cash" localSheetId="9" hidden="1">{"CASH FLOW",#N/A,FALSE,"A"}</definedName>
    <definedName name="cash" hidden="1">{"CASH FLOW",#N/A,FALSE,"A"}</definedName>
    <definedName name="cashflow" localSheetId="4">#REF!</definedName>
    <definedName name="cashflow" localSheetId="29">#REF!</definedName>
    <definedName name="cashflow" localSheetId="22">#REF!</definedName>
    <definedName name="cashflow">#REF!</definedName>
    <definedName name="CATIA_Roys" localSheetId="4">#REF!</definedName>
    <definedName name="CATIA_Roys" localSheetId="29">#REF!</definedName>
    <definedName name="CATIA_Roys">#REF!</definedName>
    <definedName name="cavmajor" localSheetId="4">#REF!</definedName>
    <definedName name="cavmajor" localSheetId="29">#REF!</definedName>
    <definedName name="cavmajor" localSheetId="22">#REF!</definedName>
    <definedName name="cavmajor">#REF!</definedName>
    <definedName name="cavnorth" localSheetId="4">#REF!</definedName>
    <definedName name="cavnorth" localSheetId="29">#REF!</definedName>
    <definedName name="cavnorth" localSheetId="22">#REF!</definedName>
    <definedName name="cavnorth">#REF!</definedName>
    <definedName name="cavsouth" localSheetId="4">#REF!</definedName>
    <definedName name="cavsouth" localSheetId="29">#REF!</definedName>
    <definedName name="cavsouth" localSheetId="22">#REF!</definedName>
    <definedName name="cavsouth">#REF!</definedName>
    <definedName name="cavsum" localSheetId="4">#REF!</definedName>
    <definedName name="cavsum" localSheetId="29">#REF!</definedName>
    <definedName name="cavsum" localSheetId="22">#REF!</definedName>
    <definedName name="cavsum">#REF!</definedName>
    <definedName name="cavthcm" localSheetId="4">#REF!</definedName>
    <definedName name="cavthcm" localSheetId="29">#REF!</definedName>
    <definedName name="cavthcm" localSheetId="22">#REF!</definedName>
    <definedName name="cavthcm">#REF!</definedName>
    <definedName name="cavwater" localSheetId="4">#REF!</definedName>
    <definedName name="cavwater" localSheetId="29">#REF!</definedName>
    <definedName name="cavwater" localSheetId="22">#REF!</definedName>
    <definedName name="cavwater">#REF!</definedName>
    <definedName name="CB" localSheetId="4">#REF!</definedName>
    <definedName name="CB" localSheetId="29">#REF!</definedName>
    <definedName name="CB">#REF!</definedName>
    <definedName name="cc" localSheetId="4" hidden="1">{"PLANNING",#N/A,FALSE,"A"}</definedName>
    <definedName name="cc" localSheetId="6" hidden="1">{"PLANNING",#N/A,FALSE,"A"}</definedName>
    <definedName name="cc" localSheetId="9" hidden="1">{"PLANNING",#N/A,FALSE,"A"}</definedName>
    <definedName name="cc" hidden="1">{"PLANNING",#N/A,FALSE,"A"}</definedName>
    <definedName name="ccbper" localSheetId="4">#REF!</definedName>
    <definedName name="ccbper" localSheetId="29">#REF!</definedName>
    <definedName name="ccbper">#REF!</definedName>
    <definedName name="ccbsub" localSheetId="4">#REF!</definedName>
    <definedName name="ccbsub" localSheetId="29">#REF!</definedName>
    <definedName name="ccbsub">#REF!</definedName>
    <definedName name="ccbsubs" localSheetId="4">#REF!</definedName>
    <definedName name="ccbsubs" localSheetId="29">#REF!</definedName>
    <definedName name="ccbsubs">#REF!</definedName>
    <definedName name="ccbsubs1" localSheetId="4">#REF!</definedName>
    <definedName name="ccbsubs1" localSheetId="29">#REF!</definedName>
    <definedName name="ccbsubs1">#REF!</definedName>
    <definedName name="ccc" localSheetId="4" hidden="1">{"PLANT BREAKUP",#N/A,FALSE,"E"}</definedName>
    <definedName name="ccc" localSheetId="6" hidden="1">{"PLANT BREAKUP",#N/A,FALSE,"E"}</definedName>
    <definedName name="ccc" localSheetId="9" hidden="1">{"PLANT BREAKUP",#N/A,FALSE,"E"}</definedName>
    <definedName name="ccc" hidden="1">{"PLANT BREAKUP",#N/A,FALSE,"E"}</definedName>
    <definedName name="ccnp" localSheetId="4">#REF!</definedName>
    <definedName name="ccnp" localSheetId="29">#REF!</definedName>
    <definedName name="ccnp">#REF!</definedName>
    <definedName name="cd" localSheetId="4">'[14]TB PCDN-16'!#REF!</definedName>
    <definedName name="cd" localSheetId="29">'[14]TB PCDN-16'!#REF!</definedName>
    <definedName name="cd" localSheetId="22">'[14]TB PCDN-16'!#REF!</definedName>
    <definedName name="cd">'[14]TB PCDN-16'!#REF!</definedName>
    <definedName name="cdds" localSheetId="4">#REF!</definedName>
    <definedName name="cdds" localSheetId="29">#REF!</definedName>
    <definedName name="cdds">#REF!</definedName>
    <definedName name="CDPG1" localSheetId="4">#REF!</definedName>
    <definedName name="CDPG1" localSheetId="29">#REF!</definedName>
    <definedName name="CDPG1">#REF!</definedName>
    <definedName name="CDPG5" localSheetId="4">#REF!</definedName>
    <definedName name="CDPG5" localSheetId="29">#REF!</definedName>
    <definedName name="CDPG5">#REF!</definedName>
    <definedName name="CDR_Traffic_Excellence" localSheetId="4">#REF!</definedName>
    <definedName name="CDR_Traffic_Excellence" localSheetId="29">#REF!</definedName>
    <definedName name="CDR_Traffic_Excellence">#REF!</definedName>
    <definedName name="CDR_upsell" localSheetId="4">#REF!</definedName>
    <definedName name="CDR_upsell" localSheetId="29">#REF!</definedName>
    <definedName name="CDR_upsell">#REF!</definedName>
    <definedName name="CDR_upsellY3" localSheetId="4">#REF!</definedName>
    <definedName name="CDR_upsellY3" localSheetId="29">#REF!</definedName>
    <definedName name="CDR_upsellY3">#REF!</definedName>
    <definedName name="CE" localSheetId="4">#REF!</definedName>
    <definedName name="CE" localSheetId="29">#REF!</definedName>
    <definedName name="CE">#REF!</definedName>
    <definedName name="CEMENT" localSheetId="4">'[24]#REF'!#REF!</definedName>
    <definedName name="CEMENT" localSheetId="29">'[24]#REF'!#REF!</definedName>
    <definedName name="CEMENT">'[24]#REF'!#REF!</definedName>
    <definedName name="CF" localSheetId="4">#REF!</definedName>
    <definedName name="CF" localSheetId="29">#REF!</definedName>
    <definedName name="CF">#REF!</definedName>
    <definedName name="CFD" localSheetId="4">#REF!</definedName>
    <definedName name="CFD" localSheetId="29">#REF!</definedName>
    <definedName name="CFD">#REF!</definedName>
    <definedName name="cflo" localSheetId="4" hidden="1">{"CASH FLOW",#N/A,FALSE,"A"}</definedName>
    <definedName name="cflo" localSheetId="6" hidden="1">{"CASH FLOW",#N/A,FALSE,"A"}</definedName>
    <definedName name="cflo" localSheetId="9" hidden="1">{"CASH FLOW",#N/A,FALSE,"A"}</definedName>
    <definedName name="cflo" hidden="1">{"CASH FLOW",#N/A,FALSE,"A"}</definedName>
    <definedName name="cflow" localSheetId="4" hidden="1">{"CASH FLOW",#N/A,FALSE,"A"}</definedName>
    <definedName name="cflow" localSheetId="6" hidden="1">{"CASH FLOW",#N/A,FALSE,"A"}</definedName>
    <definedName name="cflow" localSheetId="9" hidden="1">{"CASH FLOW",#N/A,FALSE,"A"}</definedName>
    <definedName name="cflow" hidden="1">{"CASH FLOW",#N/A,FALSE,"A"}</definedName>
    <definedName name="cfodgn" localSheetId="4">#REF!</definedName>
    <definedName name="cfodgn" localSheetId="29">#REF!</definedName>
    <definedName name="cfodgn">#REF!</definedName>
    <definedName name="cfoname" localSheetId="4">#REF!</definedName>
    <definedName name="cfoname" localSheetId="29">#REF!</definedName>
    <definedName name="cfoname">#REF!</definedName>
    <definedName name="CFormula" localSheetId="4">#REF!</definedName>
    <definedName name="CFormula" localSheetId="29">#REF!</definedName>
    <definedName name="CFormula">#REF!</definedName>
    <definedName name="CFUS" localSheetId="4">#REF!</definedName>
    <definedName name="CFUS" localSheetId="29">#REF!</definedName>
    <definedName name="CFUS">#REF!</definedName>
    <definedName name="check" localSheetId="4">#REF!</definedName>
    <definedName name="check" localSheetId="29">#REF!</definedName>
    <definedName name="check" localSheetId="22">#REF!</definedName>
    <definedName name="check">#REF!</definedName>
    <definedName name="CHINA_PLASTIC_in_KUSD" localSheetId="4">#REF!</definedName>
    <definedName name="CHINA_PLASTIC_in_KUSD" localSheetId="29">#REF!</definedName>
    <definedName name="CHINA_PLASTIC_in_KUSD">#REF!</definedName>
    <definedName name="chk" localSheetId="4">#REF!</definedName>
    <definedName name="chk" localSheetId="29">#REF!</definedName>
    <definedName name="chk" localSheetId="22">#REF!</definedName>
    <definedName name="chk">#REF!</definedName>
    <definedName name="Churn" localSheetId="4">#REF!</definedName>
    <definedName name="Churn" localSheetId="29">#REF!</definedName>
    <definedName name="Churn">#REF!</definedName>
    <definedName name="ChurnP" localSheetId="4">#REF!</definedName>
    <definedName name="ChurnP" localSheetId="29">#REF!</definedName>
    <definedName name="ChurnP">#REF!</definedName>
    <definedName name="CIF" localSheetId="4">#REF!</definedName>
    <definedName name="CIF" localSheetId="29">#REF!</definedName>
    <definedName name="CIF">#REF!</definedName>
    <definedName name="cl" localSheetId="4">#REF!</definedName>
    <definedName name="cl" localSheetId="29">#REF!</definedName>
    <definedName name="cl">#REF!</definedName>
    <definedName name="Cl_Stock" localSheetId="4">#REF!</definedName>
    <definedName name="Cl_Stock" localSheetId="29">#REF!</definedName>
    <definedName name="Cl_Stock">#REF!</definedName>
    <definedName name="claim" localSheetId="4">#REF!</definedName>
    <definedName name="claim" localSheetId="29">#REF!</definedName>
    <definedName name="claim" localSheetId="22">#REF!</definedName>
    <definedName name="claim">#REF!</definedName>
    <definedName name="claims" localSheetId="4">#REF!</definedName>
    <definedName name="claims" localSheetId="29">#REF!</definedName>
    <definedName name="claims" localSheetId="22">#REF!</definedName>
    <definedName name="claims">#REF!</definedName>
    <definedName name="Claims04" localSheetId="4">#REF!</definedName>
    <definedName name="Claims04" localSheetId="29">#REF!</definedName>
    <definedName name="Claims04" localSheetId="22">#REF!</definedName>
    <definedName name="Claims04">#REF!</definedName>
    <definedName name="claims1">'[30]appendix 2.5 final accounts'!$A$1:$N$27</definedName>
    <definedName name="CLIENT_NAME" localSheetId="4">#REF!</definedName>
    <definedName name="CLIENT_NAME" localSheetId="29">#REF!</definedName>
    <definedName name="CLIENT_NAME">#REF!</definedName>
    <definedName name="Clipboard_Area" localSheetId="4">#REF!</definedName>
    <definedName name="Clipboard_Area" localSheetId="29">#REF!</definedName>
    <definedName name="Clipboard_Area">#REF!</definedName>
    <definedName name="CM" localSheetId="4">#REF!</definedName>
    <definedName name="CM" localSheetId="29">#REF!</definedName>
    <definedName name="CM">#REF!</definedName>
    <definedName name="CMCx" localSheetId="4">#REF!</definedName>
    <definedName name="CMCx" localSheetId="29">#REF!</definedName>
    <definedName name="CMCx">#REF!</definedName>
    <definedName name="CMCxChassis" localSheetId="4">#REF!</definedName>
    <definedName name="CMCxChassis" localSheetId="29">#REF!</definedName>
    <definedName name="CMCxChassis">#REF!</definedName>
    <definedName name="CMU" localSheetId="4">#REF!</definedName>
    <definedName name="CMU" localSheetId="29">#REF!</definedName>
    <definedName name="CMU">#REF!</definedName>
    <definedName name="CN_200" localSheetId="4">#REF!</definedName>
    <definedName name="CN_200" localSheetId="29">#REF!</definedName>
    <definedName name="CN_200">#REF!</definedName>
    <definedName name="CNI" localSheetId="4">#REF!</definedName>
    <definedName name="CNI" localSheetId="29">#REF!</definedName>
    <definedName name="CNI">#REF!</definedName>
    <definedName name="Co">[31]S1BOQ!$A$1</definedName>
    <definedName name="COA" localSheetId="4">#REF!</definedName>
    <definedName name="COA" localSheetId="29">#REF!</definedName>
    <definedName name="COA">#REF!</definedName>
    <definedName name="CoAdd">[26]Masters!$C$4</definedName>
    <definedName name="code" localSheetId="4">#REF!</definedName>
    <definedName name="code" localSheetId="29">#REF!</definedName>
    <definedName name="code" localSheetId="22">#REF!</definedName>
    <definedName name="code">#REF!</definedName>
    <definedName name="ColumnAttributes1" localSheetId="4">#REF!</definedName>
    <definedName name="ColumnAttributes1" localSheetId="29">#REF!</definedName>
    <definedName name="ColumnAttributes1">#REF!</definedName>
    <definedName name="ColumnHeadings1" localSheetId="4">#REF!</definedName>
    <definedName name="ColumnHeadings1" localSheetId="29">#REF!</definedName>
    <definedName name="ColumnHeadings1">#REF!</definedName>
    <definedName name="Commission" localSheetId="4">#REF!</definedName>
    <definedName name="Commission" localSheetId="29">#REF!</definedName>
    <definedName name="Commission">#REF!</definedName>
    <definedName name="Common_Equip" localSheetId="4">#REF!</definedName>
    <definedName name="Common_Equip" localSheetId="29">#REF!</definedName>
    <definedName name="Common_Equip">#REF!</definedName>
    <definedName name="ComP" localSheetId="4">#REF!</definedName>
    <definedName name="ComP" localSheetId="29">#REF!</definedName>
    <definedName name="ComP">#REF!</definedName>
    <definedName name="Compaision" localSheetId="4">#REF!</definedName>
    <definedName name="Compaision" localSheetId="29">#REF!</definedName>
    <definedName name="Compaision" localSheetId="22">#REF!</definedName>
    <definedName name="Compaision">#REF!</definedName>
    <definedName name="COMPARE" localSheetId="4">#REF!</definedName>
    <definedName name="COMPARE" localSheetId="29">#REF!</definedName>
    <definedName name="COMPARE">#REF!</definedName>
    <definedName name="COMPRAS" localSheetId="4">#REF!,#REF!,#REF!,#REF!,#REF!,#REF!</definedName>
    <definedName name="COMPRAS" localSheetId="29">#REF!,#REF!,#REF!,#REF!,#REF!,#REF!</definedName>
    <definedName name="COMPRAS" localSheetId="6">#REF!,#REF!,#REF!,#REF!,#REF!,#REF!</definedName>
    <definedName name="COMPRAS" localSheetId="9">#REF!,#REF!,#REF!,#REF!,#REF!,#REF!</definedName>
    <definedName name="COMPRAS">#REF!,#REF!,#REF!,#REF!,#REF!,#REF!</definedName>
    <definedName name="COMPRESSOR____450_CFM">'[24]#REF'!$B$49</definedName>
    <definedName name="con" localSheetId="4">#REF!</definedName>
    <definedName name="con" localSheetId="29">#REF!</definedName>
    <definedName name="con">#REF!</definedName>
    <definedName name="CoName">[26]Masters!$C$3</definedName>
    <definedName name="Concentration" localSheetId="4">#REF!</definedName>
    <definedName name="Concentration" localSheetId="29">#REF!</definedName>
    <definedName name="Concentration">#REF!</definedName>
    <definedName name="Consolidated" localSheetId="4" hidden="1">#REF!</definedName>
    <definedName name="Consolidated" localSheetId="29" hidden="1">#REF!</definedName>
    <definedName name="Consolidated" hidden="1">#REF!</definedName>
    <definedName name="cont" localSheetId="4">#REF!</definedName>
    <definedName name="cont" localSheetId="29">#REF!</definedName>
    <definedName name="cont">#REF!</definedName>
    <definedName name="CONTABLE" localSheetId="4">#REF!</definedName>
    <definedName name="CONTABLE" localSheetId="29">#REF!</definedName>
    <definedName name="CONTABLE">#REF!</definedName>
    <definedName name="Contents" localSheetId="4">#REF!</definedName>
    <definedName name="Contents" localSheetId="29">#REF!</definedName>
    <definedName name="Contents">#REF!</definedName>
    <definedName name="ControlFillers" localSheetId="4">#REF!</definedName>
    <definedName name="ControlFillers" localSheetId="29">#REF!</definedName>
    <definedName name="ControlFillers">#REF!</definedName>
    <definedName name="copper_cost" localSheetId="4">#REF!</definedName>
    <definedName name="copper_cost" localSheetId="29">#REF!</definedName>
    <definedName name="copper_cost">#REF!</definedName>
    <definedName name="cost" localSheetId="4">#REF!</definedName>
    <definedName name="cost" localSheetId="29">#REF!</definedName>
    <definedName name="cost">#REF!</definedName>
    <definedName name="cost_calcn" localSheetId="4">#REF!</definedName>
    <definedName name="cost_calcn" localSheetId="29">#REF!</definedName>
    <definedName name="cost_calcn">#REF!</definedName>
    <definedName name="Cost_Center" localSheetId="4">#REF!</definedName>
    <definedName name="Cost_Center" localSheetId="29">#REF!</definedName>
    <definedName name="Cost_Center">#REF!</definedName>
    <definedName name="Cost_List_Area_Right_EL" localSheetId="4">#REF!</definedName>
    <definedName name="Cost_List_Area_Right_EL" localSheetId="29">#REF!</definedName>
    <definedName name="Cost_List_Area_Right_EL">#REF!</definedName>
    <definedName name="cost2" localSheetId="4" hidden="1">{"CASH FLOW",#N/A,FALSE,"A"}</definedName>
    <definedName name="cost2" localSheetId="6" hidden="1">{"CASH FLOW",#N/A,FALSE,"A"}</definedName>
    <definedName name="cost2" localSheetId="9" hidden="1">{"CASH FLOW",#N/A,FALSE,"A"}</definedName>
    <definedName name="cost2" hidden="1">{"CASH FLOW",#N/A,FALSE,"A"}</definedName>
    <definedName name="CoStatus">[26]Masters!$C$7</definedName>
    <definedName name="COUNTRY" localSheetId="4">#REF!</definedName>
    <definedName name="COUNTRY" localSheetId="29">#REF!</definedName>
    <definedName name="COUNTRY">#REF!</definedName>
    <definedName name="cover" localSheetId="6" hidden="1">{#N/A,#N/A,FALSE,"Staffnos &amp; cost"}</definedName>
    <definedName name="cover" localSheetId="9" hidden="1">{#N/A,#N/A,FALSE,"Staffnos &amp; cost"}</definedName>
    <definedName name="cover" hidden="1">{#N/A,#N/A,FALSE,"Staffnos &amp; cost"}</definedName>
    <definedName name="cr_may04_trial_con5_1_1" localSheetId="4">#REF!</definedName>
    <definedName name="cr_may04_trial_con5_1_1" localSheetId="29">#REF!</definedName>
    <definedName name="cr_may04_trial_con5_1_1" localSheetId="22">#REF!</definedName>
    <definedName name="cr_may04_trial_con5_1_1">#REF!</definedName>
    <definedName name="cr_monthly_interim_application_no__01_revised__payment_certificate" localSheetId="4">#REF!</definedName>
    <definedName name="cr_monthly_interim_application_no__01_revised__payment_certificate" localSheetId="29">#REF!</definedName>
    <definedName name="cr_monthly_interim_application_no__01_revised__payment_certificate">#REF!</definedName>
    <definedName name="CRESAL">[32]Enero!$T$12:$V$23</definedName>
    <definedName name="_xlnm.Criteria" localSheetId="4">#REF!</definedName>
    <definedName name="_xlnm.Criteria" localSheetId="29">#REF!</definedName>
    <definedName name="_xlnm.Criteria">#REF!</definedName>
    <definedName name="csDesignMode">1</definedName>
    <definedName name="csdgn" localSheetId="4">#REF!</definedName>
    <definedName name="csdgn" localSheetId="29">#REF!</definedName>
    <definedName name="csdgn">#REF!</definedName>
    <definedName name="csname" localSheetId="4">#REF!</definedName>
    <definedName name="csname" localSheetId="29">#REF!</definedName>
    <definedName name="csname">#REF!</definedName>
    <definedName name="CT">[33]cust_mas!$A$1:$D$65536</definedName>
    <definedName name="CULVERTS">'[27]BOQ Distribution'!$A$27:$G$32</definedName>
    <definedName name="Cum_1995" localSheetId="4">#REF!</definedName>
    <definedName name="Cum_1995" localSheetId="29">#REF!</definedName>
    <definedName name="Cum_1995">#REF!</definedName>
    <definedName name="Cum_Actl" localSheetId="4">#REF!</definedName>
    <definedName name="Cum_Actl" localSheetId="29">#REF!</definedName>
    <definedName name="Cum_Actl">#REF!</definedName>
    <definedName name="Cum_Plan" localSheetId="4">#REF!</definedName>
    <definedName name="Cum_Plan" localSheetId="29">#REF!</definedName>
    <definedName name="Cum_Plan">#REF!</definedName>
    <definedName name="current" localSheetId="4">#REF!</definedName>
    <definedName name="current" localSheetId="29">#REF!</definedName>
    <definedName name="current">#REF!</definedName>
    <definedName name="CURRENT_MONTH" localSheetId="4">#REF!</definedName>
    <definedName name="CURRENT_MONTH" localSheetId="29">#REF!</definedName>
    <definedName name="CURRENT_MONTH" localSheetId="22">#REF!</definedName>
    <definedName name="CURRENT_MONTH">#REF!</definedName>
    <definedName name="Current_YTD" localSheetId="4">[34]Staffing!#REF!</definedName>
    <definedName name="Current_YTD" localSheetId="29">[34]Staffing!#REF!</definedName>
    <definedName name="Current_YTD">[34]Staffing!#REF!</definedName>
    <definedName name="Customer_Copy_Area" localSheetId="4">#REF!</definedName>
    <definedName name="Customer_Copy_Area" localSheetId="29">#REF!</definedName>
    <definedName name="Customer_Copy_Area">#REF!</definedName>
    <definedName name="Customer_Name" localSheetId="4">#REF!</definedName>
    <definedName name="Customer_Name" localSheetId="29">#REF!</definedName>
    <definedName name="Customer_Name">#REF!</definedName>
    <definedName name="Customer_Print_Area" localSheetId="4">#REF!</definedName>
    <definedName name="Customer_Print_Area" localSheetId="29">#REF!</definedName>
    <definedName name="Customer_Print_Area">#REF!</definedName>
    <definedName name="Customer_Satisfaction" localSheetId="4">#REF!</definedName>
    <definedName name="Customer_Satisfaction" localSheetId="29">#REF!</definedName>
    <definedName name="Customer_Satisfaction">#REF!</definedName>
    <definedName name="Custs" localSheetId="4">#REF!</definedName>
    <definedName name="Custs" localSheetId="29">#REF!</definedName>
    <definedName name="Custs">#REF!</definedName>
    <definedName name="cvbhnjm" localSheetId="4">#REF!</definedName>
    <definedName name="cvbhnjm" localSheetId="29">#REF!</definedName>
    <definedName name="cvbhnjm">#REF!</definedName>
    <definedName name="cvbn" localSheetId="4">#REF!</definedName>
    <definedName name="cvbn" localSheetId="29">#REF!</definedName>
    <definedName name="cvbn">#REF!</definedName>
    <definedName name="CY_Variance" localSheetId="4">#REF!</definedName>
    <definedName name="CY_Variance" localSheetId="29">#REF!</definedName>
    <definedName name="CY_Variance">#REF!</definedName>
    <definedName name="D" localSheetId="4">#REF!</definedName>
    <definedName name="D" localSheetId="29">#REF!</definedName>
    <definedName name="D" localSheetId="22">#REF!</definedName>
    <definedName name="D">#REF!</definedName>
    <definedName name="da" localSheetId="4" hidden="1">{"CASH FLOW",#N/A,FALSE,"A"}</definedName>
    <definedName name="da" localSheetId="6" hidden="1">{"CASH FLOW",#N/A,FALSE,"A"}</definedName>
    <definedName name="da" localSheetId="9" hidden="1">{"CASH FLOW",#N/A,FALSE,"A"}</definedName>
    <definedName name="da" hidden="1">{"CASH FLOW",#N/A,FALSE,"A"}</definedName>
    <definedName name="dadsa" localSheetId="4" hidden="1">[35]S1BOQ!#REF!</definedName>
    <definedName name="dadsa" localSheetId="29" hidden="1">[35]S1BOQ!#REF!</definedName>
    <definedName name="dadsa" hidden="1">[35]S1BOQ!#REF!</definedName>
    <definedName name="dam" localSheetId="4">#REF!</definedName>
    <definedName name="dam" localSheetId="29">#REF!</definedName>
    <definedName name="dam" localSheetId="22">#REF!</definedName>
    <definedName name="dam">#REF!</definedName>
    <definedName name="damanprofit80iamar98" localSheetId="4">#REF!</definedName>
    <definedName name="damanprofit80iamar98" localSheetId="29">#REF!</definedName>
    <definedName name="damanprofit80iamar98">#REF!</definedName>
    <definedName name="DAMANPROFITS" localSheetId="4">#REF!</definedName>
    <definedName name="DAMANPROFITS" localSheetId="29">#REF!</definedName>
    <definedName name="DAMANPROFITS">#REF!</definedName>
    <definedName name="damanwvl" localSheetId="4">#REF!</definedName>
    <definedName name="damanwvl" localSheetId="29">#REF!</definedName>
    <definedName name="damanwvl">#REF!</definedName>
    <definedName name="das" localSheetId="4">#REF!</definedName>
    <definedName name="das" localSheetId="29">#REF!</definedName>
    <definedName name="das">#REF!</definedName>
    <definedName name="DATA" localSheetId="4">#REF!</definedName>
    <definedName name="Data" localSheetId="29">#REF!</definedName>
    <definedName name="Data">#REF!</definedName>
    <definedName name="data1" localSheetId="4" hidden="1">#REF!</definedName>
    <definedName name="data1" localSheetId="29" hidden="1">#REF!</definedName>
    <definedName name="data1" localSheetId="22" hidden="1">#REF!</definedName>
    <definedName name="data1" hidden="1">#REF!</definedName>
    <definedName name="data2" localSheetId="4" hidden="1">#REF!</definedName>
    <definedName name="data2" localSheetId="29" hidden="1">#REF!</definedName>
    <definedName name="data2" localSheetId="22" hidden="1">#REF!</definedName>
    <definedName name="data2" hidden="1">#REF!</definedName>
    <definedName name="data3" localSheetId="4" hidden="1">#REF!</definedName>
    <definedName name="data3" localSheetId="29" hidden="1">#REF!</definedName>
    <definedName name="data3" localSheetId="22" hidden="1">#REF!</definedName>
    <definedName name="data3" hidden="1">#REF!</definedName>
    <definedName name="_xlnm.Database" localSheetId="4">#REF!</definedName>
    <definedName name="_xlnm.Database" localSheetId="29">#REF!</definedName>
    <definedName name="_xlnm.Database" localSheetId="22">#REF!</definedName>
    <definedName name="_xlnm.Database">#REF!</definedName>
    <definedName name="DataThere1" localSheetId="4">#REF!</definedName>
    <definedName name="DataThere1" localSheetId="29">#REF!</definedName>
    <definedName name="DataThere1">#REF!</definedName>
    <definedName name="DataThere2" localSheetId="4">#REF!</definedName>
    <definedName name="DataThere2" localSheetId="29">#REF!</definedName>
    <definedName name="DataThere2">#REF!</definedName>
    <definedName name="DataThere3" localSheetId="4">#REF!</definedName>
    <definedName name="DataThere3" localSheetId="29">#REF!</definedName>
    <definedName name="DataThere3">#REF!</definedName>
    <definedName name="DataThere4" localSheetId="4">#REF!</definedName>
    <definedName name="DataThere4" localSheetId="29">#REF!</definedName>
    <definedName name="DataThere4">#REF!</definedName>
    <definedName name="DataThere5" localSheetId="4">#REF!</definedName>
    <definedName name="DataThere5" localSheetId="29">#REF!</definedName>
    <definedName name="DataThere5">#REF!</definedName>
    <definedName name="date" localSheetId="4">#REF!</definedName>
    <definedName name="date" localSheetId="29">#REF!</definedName>
    <definedName name="date">#REF!</definedName>
    <definedName name="days1" localSheetId="4">#REF!</definedName>
    <definedName name="days1" localSheetId="29">#REF!</definedName>
    <definedName name="days1">#REF!</definedName>
    <definedName name="days2" localSheetId="4">#REF!</definedName>
    <definedName name="days2" localSheetId="29">#REF!</definedName>
    <definedName name="days2">#REF!</definedName>
    <definedName name="db_loss" localSheetId="4">#REF!</definedName>
    <definedName name="db_loss" localSheetId="29">#REF!</definedName>
    <definedName name="db_loss">#REF!</definedName>
    <definedName name="DC">[36]Sheet1!$B$1:$C$65536</definedName>
    <definedName name="DCN" localSheetId="4">#REF!</definedName>
    <definedName name="DCN" localSheetId="29">#REF!</definedName>
    <definedName name="DCN">#REF!</definedName>
    <definedName name="DD" localSheetId="4" hidden="1">{#N/A,#N/A,FALSE,"MODULE3"}</definedName>
    <definedName name="dd" localSheetId="29">#REF!</definedName>
    <definedName name="dd">#REF!</definedName>
    <definedName name="DD_Curr">[37]Currency!$C$3</definedName>
    <definedName name="ddd" localSheetId="4">#REF!</definedName>
    <definedName name="ddd" localSheetId="29">#REF!</definedName>
    <definedName name="ddd" localSheetId="22">#REF!</definedName>
    <definedName name="ddd">#REF!</definedName>
    <definedName name="DDDDD" localSheetId="4" hidden="1">{#N/A,#N/A,FALSE,"MODULE3"}</definedName>
    <definedName name="DDDDD" localSheetId="6" hidden="1">{#N/A,#N/A,FALSE,"MODULE3"}</definedName>
    <definedName name="DDDDD" localSheetId="9" hidden="1">{#N/A,#N/A,FALSE,"MODULE3"}</definedName>
    <definedName name="DDDDD" hidden="1">{#N/A,#N/A,FALSE,"MODULE3"}</definedName>
    <definedName name="DDP" localSheetId="4">#REF!</definedName>
    <definedName name="DDP" localSheetId="29">#REF!</definedName>
    <definedName name="DDP">#REF!</definedName>
    <definedName name="DDPNN" localSheetId="4">#REF!</definedName>
    <definedName name="DDPNN" localSheetId="29">#REF!</definedName>
    <definedName name="DDPNN">#REF!</definedName>
    <definedName name="DDPSER" localSheetId="4">#REF!</definedName>
    <definedName name="DDPSER" localSheetId="29">#REF!</definedName>
    <definedName name="DDPSER">#REF!</definedName>
    <definedName name="DDPSW" localSheetId="4">#REF!</definedName>
    <definedName name="DDPSW" localSheetId="29">#REF!</definedName>
    <definedName name="DDPSW">#REF!</definedName>
    <definedName name="Debit" localSheetId="4">#REF!</definedName>
    <definedName name="Debit" localSheetId="29">#REF!</definedName>
    <definedName name="Debit">#REF!</definedName>
    <definedName name="DEBIT_SCRAP_List" localSheetId="4">#REF!</definedName>
    <definedName name="DEBIT_SCRAP_List" localSheetId="29">#REF!</definedName>
    <definedName name="DEBIT_SCRAP_List">#REF!</definedName>
    <definedName name="debt" localSheetId="4">#REF!</definedName>
    <definedName name="debt" localSheetId="29">#REF!</definedName>
    <definedName name="debt">#REF!</definedName>
    <definedName name="ded80hhcdec97" localSheetId="4">#REF!</definedName>
    <definedName name="ded80hhcdec97" localSheetId="29">#REF!</definedName>
    <definedName name="ded80hhcdec97">#REF!</definedName>
    <definedName name="DED80HHCFULLFIG" localSheetId="4">#REF!</definedName>
    <definedName name="DED80HHCFULLFIG" localSheetId="29">#REF!</definedName>
    <definedName name="DED80HHCFULLFIG">#REF!</definedName>
    <definedName name="ded80hhcmar98esti" localSheetId="4">#REF!</definedName>
    <definedName name="ded80hhcmar98esti" localSheetId="29">#REF!</definedName>
    <definedName name="ded80hhcmar98esti">#REF!</definedName>
    <definedName name="DED80HHIIA" localSheetId="4">#REF!</definedName>
    <definedName name="DED80HHIIA" localSheetId="29">#REF!</definedName>
    <definedName name="DED80HHIIA">#REF!</definedName>
    <definedName name="def" localSheetId="4" hidden="1">{#N/A,#N/A,TRUE,"Cover sheet";#N/A,#N/A,TRUE,"Summary";#N/A,#N/A,TRUE,"Key Assumptions";#N/A,#N/A,TRUE,"Profit &amp; Loss";#N/A,#N/A,TRUE,"Balance Sheet";#N/A,#N/A,TRUE,"Cashflow";#N/A,#N/A,TRUE,"IRR";#N/A,#N/A,TRUE,"Ratios";#N/A,#N/A,TRUE,"Debt analysis"}</definedName>
    <definedName name="def" localSheetId="6" hidden="1">{#N/A,#N/A,TRUE,"Cover sheet";#N/A,#N/A,TRUE,"Summary";#N/A,#N/A,TRUE,"Key Assumptions";#N/A,#N/A,TRUE,"Profit &amp; Loss";#N/A,#N/A,TRUE,"Balance Sheet";#N/A,#N/A,TRUE,"Cashflow";#N/A,#N/A,TRUE,"IRR";#N/A,#N/A,TRUE,"Ratios";#N/A,#N/A,TRUE,"Debt analysis"}</definedName>
    <definedName name="def" localSheetId="9" hidden="1">{#N/A,#N/A,TRUE,"Cover sheet";#N/A,#N/A,TRUE,"Summary";#N/A,#N/A,TRUE,"Key Assumptions";#N/A,#N/A,TRUE,"Profit &amp; Loss";#N/A,#N/A,TRUE,"Balance Sheet";#N/A,#N/A,TRUE,"Cashflow";#N/A,#N/A,TRUE,"IRR";#N/A,#N/A,TRUE,"Ratios";#N/A,#N/A,TRUE,"Debt analysis"}</definedName>
    <definedName name="def" hidden="1">{#N/A,#N/A,TRUE,"Cover sheet";#N/A,#N/A,TRUE,"Summary";#N/A,#N/A,TRUE,"Key Assumptions";#N/A,#N/A,TRUE,"Profit &amp; Loss";#N/A,#N/A,TRUE,"Balance Sheet";#N/A,#N/A,TRUE,"Cashflow";#N/A,#N/A,TRUE,"IRR";#N/A,#N/A,TRUE,"Ratios";#N/A,#N/A,TRUE,"Debt analysis"}</definedName>
    <definedName name="defn" localSheetId="4">#REF!</definedName>
    <definedName name="defn" localSheetId="29">#REF!</definedName>
    <definedName name="defn">#REF!</definedName>
    <definedName name="Delhi_Graphs" localSheetId="4">#REF!</definedName>
    <definedName name="Delhi_Graphs" localSheetId="29">#REF!</definedName>
    <definedName name="Delhi_Graphs">#REF!</definedName>
    <definedName name="DEMAND_LOANS" localSheetId="4">#REF!</definedName>
    <definedName name="DEMAND_LOANS" localSheetId="29">#REF!</definedName>
    <definedName name="DEMAND_LOANS">#REF!</definedName>
    <definedName name="Demux" localSheetId="4">#REF!</definedName>
    <definedName name="Demux" localSheetId="29">#REF!</definedName>
    <definedName name="Demux">#REF!</definedName>
    <definedName name="depn" localSheetId="4">#REF!</definedName>
    <definedName name="depn" localSheetId="29">#REF!</definedName>
    <definedName name="depn">#REF!</definedName>
    <definedName name="Depr_Method" localSheetId="4">#REF!</definedName>
    <definedName name="Depr_Method" localSheetId="29">#REF!</definedName>
    <definedName name="Depr_Method">#REF!</definedName>
    <definedName name="depreciation" localSheetId="4">[38]DCF_inputs!$Q$15</definedName>
    <definedName name="depreciation">[38]DCF_inputs!$Q$15</definedName>
    <definedName name="DeptMatrix">[39]Dept!$A$2:$C$14</definedName>
    <definedName name="desc_col" localSheetId="4">#REF!</definedName>
    <definedName name="desc_col" localSheetId="29">#REF!</definedName>
    <definedName name="desc_col">#REF!</definedName>
    <definedName name="Description" localSheetId="4">#REF!</definedName>
    <definedName name="Description" localSheetId="29">#REF!</definedName>
    <definedName name="Description">#REF!</definedName>
    <definedName name="Detail">[31]S1BOQ!$A$3</definedName>
    <definedName name="DetailedPandLbyProduct" localSheetId="4">#REF!</definedName>
    <definedName name="DetailedPandLbyProduct" localSheetId="29">#REF!</definedName>
    <definedName name="DetailedPandLbyProduct">#REF!</definedName>
    <definedName name="DEV" localSheetId="4">#REF!</definedName>
    <definedName name="DEV" localSheetId="29">#REF!</definedName>
    <definedName name="DEV">#REF!</definedName>
    <definedName name="devel_toolkit" localSheetId="4">#REF!</definedName>
    <definedName name="devel_toolkit" localSheetId="29">#REF!</definedName>
    <definedName name="devel_toolkit">#REF!</definedName>
    <definedName name="dflo" localSheetId="4" hidden="1">{"CASH FLOW",#N/A,FALSE,"A"}</definedName>
    <definedName name="dflo" localSheetId="6" hidden="1">{"CASH FLOW",#N/A,FALSE,"A"}</definedName>
    <definedName name="dflo" localSheetId="9" hidden="1">{"CASH FLOW",#N/A,FALSE,"A"}</definedName>
    <definedName name="dflo" hidden="1">{"CASH FLOW",#N/A,FALSE,"A"}</definedName>
    <definedName name="DFormula" localSheetId="4">#REF!</definedName>
    <definedName name="DFormula" localSheetId="29">#REF!</definedName>
    <definedName name="DFormula">#REF!</definedName>
    <definedName name="Diag_Vol" localSheetId="4">#REF!</definedName>
    <definedName name="Diag_Vol" localSheetId="29">#REF!</definedName>
    <definedName name="Diag_Vol">#REF!</definedName>
    <definedName name="DIC" localSheetId="4">#REF!</definedName>
    <definedName name="DIC" localSheetId="29">#REF!</definedName>
    <definedName name="DIC">#REF!</definedName>
    <definedName name="din" localSheetId="4" hidden="1">{"CASH FLOW",#N/A,FALSE,"A"}</definedName>
    <definedName name="din" localSheetId="6" hidden="1">{"CASH FLOW",#N/A,FALSE,"A"}</definedName>
    <definedName name="din" localSheetId="9" hidden="1">{"CASH FLOW",#N/A,FALSE,"A"}</definedName>
    <definedName name="din" hidden="1">{"CASH FLOW",#N/A,FALSE,"A"}</definedName>
    <definedName name="DINESH" localSheetId="4">#REF!</definedName>
    <definedName name="DINESH" localSheetId="29">#REF!</definedName>
    <definedName name="DINESH" localSheetId="22">#REF!</definedName>
    <definedName name="DINESH">#REF!</definedName>
    <definedName name="DIS" localSheetId="4">#REF!</definedName>
    <definedName name="DIS" localSheetId="29">#REF!</definedName>
    <definedName name="DIS">#REF!</definedName>
    <definedName name="dis_140" localSheetId="4">#REF!</definedName>
    <definedName name="dis_140" localSheetId="29">#REF!</definedName>
    <definedName name="dis_140">#REF!</definedName>
    <definedName name="Dis_agg_hw" localSheetId="4">#REF!</definedName>
    <definedName name="Dis_agg_hw" localSheetId="29">#REF!</definedName>
    <definedName name="Dis_agg_hw">#REF!</definedName>
    <definedName name="dis_agg_sw" localSheetId="4">#REF!</definedName>
    <definedName name="dis_agg_sw" localSheetId="29">#REF!</definedName>
    <definedName name="dis_agg_sw">#REF!</definedName>
    <definedName name="disc_36140" localSheetId="4">#REF!</definedName>
    <definedName name="disc_36140" localSheetId="29">#REF!</definedName>
    <definedName name="disc_36140">#REF!</definedName>
    <definedName name="disc_crx" localSheetId="4">#REF!</definedName>
    <definedName name="disc_crx" localSheetId="29">#REF!</definedName>
    <definedName name="disc_crx">#REF!</definedName>
    <definedName name="disc_opt" localSheetId="4">#REF!</definedName>
    <definedName name="disc_opt" localSheetId="29">#REF!</definedName>
    <definedName name="disc_opt">#REF!</definedName>
    <definedName name="DISC1">0</definedName>
    <definedName name="disco_36060" localSheetId="4">#REF!</definedName>
    <definedName name="disco_36060" localSheetId="29">#REF!</definedName>
    <definedName name="disco_36060">#REF!</definedName>
    <definedName name="Discount" localSheetId="4" hidden="1">#REF!</definedName>
    <definedName name="Discount" localSheetId="29" hidden="1">#REF!</definedName>
    <definedName name="Discount" localSheetId="22" hidden="1">#REF!</definedName>
    <definedName name="Discount" hidden="1">#REF!</definedName>
    <definedName name="dispintra" localSheetId="4">#REF!</definedName>
    <definedName name="dispintra" localSheetId="29">#REF!</definedName>
    <definedName name="dispintra">#REF!</definedName>
    <definedName name="dispintra1" localSheetId="4">#REF!</definedName>
    <definedName name="dispintra1" localSheetId="29">#REF!</definedName>
    <definedName name="dispintra1">#REF!</definedName>
    <definedName name="display_area_2" localSheetId="4" hidden="1">#REF!</definedName>
    <definedName name="display_area_2" localSheetId="29" hidden="1">#REF!</definedName>
    <definedName name="display_area_2" localSheetId="22" hidden="1">#REF!</definedName>
    <definedName name="display_area_2" hidden="1">#REF!</definedName>
    <definedName name="dispout" localSheetId="4">#REF!</definedName>
    <definedName name="dispout" localSheetId="29">#REF!</definedName>
    <definedName name="dispout">#REF!</definedName>
    <definedName name="dispout1" localSheetId="4">#REF!</definedName>
    <definedName name="dispout1" localSheetId="29">#REF!</definedName>
    <definedName name="dispout1">#REF!</definedName>
    <definedName name="disppredial" localSheetId="4">#REF!</definedName>
    <definedName name="disppredial" localSheetId="29">#REF!</definedName>
    <definedName name="disppredial">#REF!</definedName>
    <definedName name="disppredial1" localSheetId="4">#REF!</definedName>
    <definedName name="disppredial1" localSheetId="29">#REF!</definedName>
    <definedName name="disppredial1">#REF!</definedName>
    <definedName name="dispservice" localSheetId="4">#REF!</definedName>
    <definedName name="dispservice" localSheetId="29">#REF!</definedName>
    <definedName name="dispservice">#REF!</definedName>
    <definedName name="dispservice1" localSheetId="4">#REF!</definedName>
    <definedName name="dispservice1" localSheetId="29">#REF!</definedName>
    <definedName name="dispservice1">#REF!</definedName>
    <definedName name="dispstd" localSheetId="4">#REF!</definedName>
    <definedName name="dispstd" localSheetId="29">#REF!</definedName>
    <definedName name="dispstd">#REF!</definedName>
    <definedName name="dispstd1" localSheetId="4">#REF!</definedName>
    <definedName name="dispstd1" localSheetId="29">#REF!</definedName>
    <definedName name="dispstd1">#REF!</definedName>
    <definedName name="dlu" localSheetId="4">#REF!</definedName>
    <definedName name="dlu" localSheetId="29">#REF!</definedName>
    <definedName name="dlu">#REF!</definedName>
    <definedName name="DLUABBBL" localSheetId="4">#REF!</definedName>
    <definedName name="DLUABBBL" localSheetId="29">#REF!</definedName>
    <definedName name="DLUABBBL">#REF!</definedName>
    <definedName name="DLUABBBR" localSheetId="4">#REF!</definedName>
    <definedName name="DLUABBBR" localSheetId="29">#REF!</definedName>
    <definedName name="DLUABBBR">#REF!</definedName>
    <definedName name="DLUABL" localSheetId="4">#REF!</definedName>
    <definedName name="DLUABL" localSheetId="29">#REF!</definedName>
    <definedName name="DLUABL">#REF!</definedName>
    <definedName name="DLUABR" localSheetId="4">#REF!</definedName>
    <definedName name="DLUABR" localSheetId="29">#REF!</definedName>
    <definedName name="DLUABR">#REF!</definedName>
    <definedName name="dmd" localSheetId="4">#REF!</definedName>
    <definedName name="dmd" localSheetId="29">#REF!</definedName>
    <definedName name="dmd">#REF!</definedName>
    <definedName name="dmddgn" localSheetId="4">#REF!</definedName>
    <definedName name="dmddgn" localSheetId="29">#REF!</definedName>
    <definedName name="dmddgn">#REF!</definedName>
    <definedName name="dmdname" localSheetId="4">#REF!</definedName>
    <definedName name="dmdname" localSheetId="29">#REF!</definedName>
    <definedName name="dmdname">#REF!</definedName>
    <definedName name="DMS" localSheetId="4">#REF!</definedName>
    <definedName name="DMS" localSheetId="29">#REF!</definedName>
    <definedName name="DMS">#REF!</definedName>
    <definedName name="DOC" localSheetId="4">#REF!</definedName>
    <definedName name="doc" localSheetId="29">#REF!</definedName>
    <definedName name="doc">#REF!</definedName>
    <definedName name="DOM" localSheetId="4">#REF!</definedName>
    <definedName name="DOM" localSheetId="29">#REF!</definedName>
    <definedName name="DOM">#REF!</definedName>
    <definedName name="Door_x" localSheetId="4">#REF!</definedName>
    <definedName name="Door_x" localSheetId="29">#REF!</definedName>
    <definedName name="Door_x">#REF!</definedName>
    <definedName name="DRBA3O" localSheetId="4"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RBA3O" localSheetId="6"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RBA3O" localSheetId="9"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RBA3O"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S" localSheetId="4">#REF!</definedName>
    <definedName name="DS" localSheetId="29">#REF!</definedName>
    <definedName name="DS">#REF!</definedName>
    <definedName name="dsl_o_nad" localSheetId="4">#REF!</definedName>
    <definedName name="dsl_o_nad" localSheetId="29">#REF!</definedName>
    <definedName name="dsl_o_nad">#REF!</definedName>
    <definedName name="DSLAM" localSheetId="4">#REF!</definedName>
    <definedName name="DSLAM" localSheetId="29">#REF!</definedName>
    <definedName name="DSLAM">#REF!</definedName>
    <definedName name="dslp" localSheetId="4">#REF!</definedName>
    <definedName name="dslp" localSheetId="29">#REF!</definedName>
    <definedName name="dslp">#REF!</definedName>
    <definedName name="dslp_h" localSheetId="4">#REF!</definedName>
    <definedName name="dslp_h" localSheetId="29">#REF!</definedName>
    <definedName name="dslp_h">#REF!</definedName>
    <definedName name="dslp_l" localSheetId="4">#REF!</definedName>
    <definedName name="dslp_l" localSheetId="29">#REF!</definedName>
    <definedName name="dslp_l">#REF!</definedName>
    <definedName name="dslp_m" localSheetId="4">#REF!</definedName>
    <definedName name="dslp_m" localSheetId="29">#REF!</definedName>
    <definedName name="dslp_m">#REF!</definedName>
    <definedName name="DTY" localSheetId="4">#REF!</definedName>
    <definedName name="DTY" localSheetId="29">#REF!</definedName>
    <definedName name="DTY">#REF!</definedName>
    <definedName name="Dur" localSheetId="4">#REF!</definedName>
    <definedName name="Dur" localSheetId="29">#REF!</definedName>
    <definedName name="Dur">#REF!</definedName>
    <definedName name="Dur_FTD" localSheetId="4">#REF!</definedName>
    <definedName name="Dur_FTD" localSheetId="29">#REF!</definedName>
    <definedName name="Dur_FTD">#REF!</definedName>
    <definedName name="Dur_MTD" localSheetId="4">#REF!</definedName>
    <definedName name="Dur_MTD" localSheetId="29">#REF!</definedName>
    <definedName name="Dur_MTD">#REF!</definedName>
    <definedName name="dvv" localSheetId="4">#REF!</definedName>
    <definedName name="dvv" localSheetId="29">#REF!</definedName>
    <definedName name="dvv">#REF!</definedName>
    <definedName name="dxcvbnm" localSheetId="4">#REF!</definedName>
    <definedName name="dxcvbnm" localSheetId="29">#REF!</definedName>
    <definedName name="dxcvbnm">#REF!</definedName>
    <definedName name="e" localSheetId="4">#REF!</definedName>
    <definedName name="e" localSheetId="29">#REF!</definedName>
    <definedName name="e" localSheetId="22">#REF!</definedName>
    <definedName name="e">#REF!</definedName>
    <definedName name="EARTH">'[24]#REF'!$B$34</definedName>
    <definedName name="ebitactper">OFFSET('[20]Bar Chart - FHL (M)'!$A$29,0,2,MATCH('[20]Bar Chart - FHL (M)'!$F$1,'[20]Bar Chart - FHL (M)'!$A$29:$A$40,0),1)</definedName>
    <definedName name="ebitactual">OFFSET('[20]Bar Chart - FHL (M)'!$A$29,0,5,MATCH('[20]Bar Chart - FHL (M)'!$F$1,'[20]Bar Chart - FHL (M)'!$A$29:$A$40,0),1)</definedName>
    <definedName name="ebitbudget">OFFSET('[20]Bar Chart - FHL (M)'!$A$29,0,4,MATCH('[20]Bar Chart - FHL (M)'!$F$1,'[20]Bar Chart - FHL (M)'!$A$29:$A$40,0),1)</definedName>
    <definedName name="ebitbudper">OFFSET('[20]Bar Chart - FHL (M)'!$A$29,0,1,MATCH('[20]Bar Chart - FHL (M)'!$F$1,'[20]Bar Chart - FHL (M)'!$A$29:$A$40,0),1)</definedName>
    <definedName name="ECV" localSheetId="4">#REF!</definedName>
    <definedName name="ECV" localSheetId="29">#REF!</definedName>
    <definedName name="ECV">#REF!</definedName>
    <definedName name="EDFedf" localSheetId="6" hidden="1">{#N/A,#N/A,FALSE,"Staffnos &amp; cost"}</definedName>
    <definedName name="EDFedf" localSheetId="9" hidden="1">{#N/A,#N/A,FALSE,"Staffnos &amp; cost"}</definedName>
    <definedName name="EDFedf" hidden="1">{#N/A,#N/A,FALSE,"Staffnos &amp; cost"}</definedName>
    <definedName name="EDIT__HOME__R_1" localSheetId="4">'[40]P&amp;L'!#REF!</definedName>
    <definedName name="EDIT__HOME__R_1" localSheetId="29">'[40]P&amp;L'!#REF!</definedName>
    <definedName name="EDIT__HOME__R_1">'[40]P&amp;L'!#REF!</definedName>
    <definedName name="Edit_Last_Row" localSheetId="4">#REF!</definedName>
    <definedName name="Edit_Last_Row" localSheetId="29">#REF!</definedName>
    <definedName name="Edit_Last_Row">#REF!</definedName>
    <definedName name="EDO" localSheetId="4">#REF!</definedName>
    <definedName name="EDO" localSheetId="29">#REF!</definedName>
    <definedName name="EDO">#REF!</definedName>
    <definedName name="EFECTO" localSheetId="4">#REF!</definedName>
    <definedName name="EFECTO" localSheetId="29">#REF!</definedName>
    <definedName name="EFECTO">#REF!</definedName>
    <definedName name="EFormula" localSheetId="4">#REF!</definedName>
    <definedName name="EFormula" localSheetId="29">#REF!</definedName>
    <definedName name="EFormula">#REF!</definedName>
    <definedName name="end" localSheetId="4">#REF!</definedName>
    <definedName name="end" localSheetId="29">#REF!</definedName>
    <definedName name="end">#REF!</definedName>
    <definedName name="End_O_Item" localSheetId="4">#REF!</definedName>
    <definedName name="End_O_Item" localSheetId="29">#REF!</definedName>
    <definedName name="End_O_Item">#REF!</definedName>
    <definedName name="ende" localSheetId="4">#REF!</definedName>
    <definedName name="ende" localSheetId="29">#REF!</definedName>
    <definedName name="ende">#REF!</definedName>
    <definedName name="ENDMKT" localSheetId="4">#REF!</definedName>
    <definedName name="ENDMKT" localSheetId="29">#REF!</definedName>
    <definedName name="ENDMKT">#REF!</definedName>
    <definedName name="ENDNERTU" localSheetId="4">#REF!</definedName>
    <definedName name="ENDNERTU" localSheetId="29">#REF!</definedName>
    <definedName name="ENDNERTU">#REF!</definedName>
    <definedName name="ENDUSER" localSheetId="4">#REF!</definedName>
    <definedName name="ENDUSER" localSheetId="29">#REF!</definedName>
    <definedName name="ENDUSER">#REF!</definedName>
    <definedName name="EOD" localSheetId="4">[41]Depreciation!#REF!</definedName>
    <definedName name="EOD" localSheetId="29">[41]Depreciation!#REF!</definedName>
    <definedName name="EOD">[41]Depreciation!#REF!</definedName>
    <definedName name="EOF" localSheetId="4">#REF!</definedName>
    <definedName name="EOF" localSheetId="29">#REF!</definedName>
    <definedName name="EOF">#REF!</definedName>
    <definedName name="EPG_Graphs" localSheetId="4">#REF!</definedName>
    <definedName name="EPG_Graphs" localSheetId="29">#REF!</definedName>
    <definedName name="EPG_Graphs">#REF!</definedName>
    <definedName name="EPO.COMPUTO" localSheetId="4">#REF!</definedName>
    <definedName name="EPO.COMPUTO" localSheetId="29">#REF!</definedName>
    <definedName name="EPO.COMPUTO">#REF!</definedName>
    <definedName name="EPO.TRANSPORTE" localSheetId="4">#REF!</definedName>
    <definedName name="EPO.TRANSPORTE" localSheetId="29">#REF!</definedName>
    <definedName name="EPO.TRANSPORTE">#REF!</definedName>
    <definedName name="Eq_Level" localSheetId="4">#REF!</definedName>
    <definedName name="Eq_Level" localSheetId="29">#REF!</definedName>
    <definedName name="Eq_Level">#REF!</definedName>
    <definedName name="ertyhjmk" localSheetId="4">#REF!</definedName>
    <definedName name="ertyhjmk" localSheetId="29">#REF!</definedName>
    <definedName name="ertyhjmk">#REF!</definedName>
    <definedName name="ERX" localSheetId="4">#REF!</definedName>
    <definedName name="ERX" localSheetId="29">#REF!</definedName>
    <definedName name="ERX">#REF!</definedName>
    <definedName name="ERXcards" localSheetId="4">#REF!</definedName>
    <definedName name="ERXcards" localSheetId="29">#REF!</definedName>
    <definedName name="ERXcards">#REF!</definedName>
    <definedName name="ERXchassis" localSheetId="4">#REF!</definedName>
    <definedName name="ERXchassis" localSheetId="29">#REF!</definedName>
    <definedName name="ERXchassis">#REF!</definedName>
    <definedName name="ERXSRP" localSheetId="4">#REF!</definedName>
    <definedName name="ERXSRP" localSheetId="29">#REF!</definedName>
    <definedName name="ERXSRP">#REF!</definedName>
    <definedName name="ESR" localSheetId="4">#REF!</definedName>
    <definedName name="ESR" localSheetId="29">#REF!</definedName>
    <definedName name="ESR">#REF!</definedName>
    <definedName name="Euro" localSheetId="4">#REF!</definedName>
    <definedName name="Euro" localSheetId="29">#REF!</definedName>
    <definedName name="Euro" localSheetId="22">#REF!</definedName>
    <definedName name="Euro">#REF!</definedName>
    <definedName name="Evelin" localSheetId="4">#REF!</definedName>
    <definedName name="Evelin" localSheetId="29">#REF!</definedName>
    <definedName name="Evelin">#REF!</definedName>
    <definedName name="EWSD" localSheetId="4">#REF!</definedName>
    <definedName name="EWSD" localSheetId="29">#REF!</definedName>
    <definedName name="EWSD">#REF!</definedName>
    <definedName name="EX" localSheetId="4">#REF!</definedName>
    <definedName name="EX" localSheetId="29">#REF!</definedName>
    <definedName name="EX">#REF!</definedName>
    <definedName name="EX_SUMMARY" localSheetId="4">#REF!</definedName>
    <definedName name="EX_SUMMARY" localSheetId="29">#REF!</definedName>
    <definedName name="EX_SUMMARY">#REF!</definedName>
    <definedName name="EXCESO" localSheetId="4">#REF!</definedName>
    <definedName name="EXCESO" localSheetId="29">#REF!</definedName>
    <definedName name="EXCESO">#REF!</definedName>
    <definedName name="exchname" localSheetId="4">#REF!</definedName>
    <definedName name="exchname" localSheetId="29">#REF!</definedName>
    <definedName name="exchname">#REF!</definedName>
    <definedName name="exchname1" localSheetId="4">#REF!</definedName>
    <definedName name="exchname1" localSheetId="29">#REF!</definedName>
    <definedName name="exchname1">#REF!</definedName>
    <definedName name="exit" localSheetId="4" hidden="1">{#N/A,#N/A,FALSE,"MODULE3"}</definedName>
    <definedName name="exit" localSheetId="6" hidden="1">{#N/A,#N/A,FALSE,"MODULE3"}</definedName>
    <definedName name="exit" localSheetId="9" hidden="1">{#N/A,#N/A,FALSE,"MODULE3"}</definedName>
    <definedName name="exit" hidden="1">{#N/A,#N/A,FALSE,"MODULE3"}</definedName>
    <definedName name="exname" localSheetId="4">#REF!</definedName>
    <definedName name="exname" localSheetId="29">#REF!</definedName>
    <definedName name="exname">#REF!</definedName>
    <definedName name="exp" localSheetId="4">#REF!</definedName>
    <definedName name="EXP" localSheetId="29">#REF!</definedName>
    <definedName name="EXP">#REF!</definedName>
    <definedName name="expactual">OFFSET('[20]Bar Chart - FHL (M)'!$A$84,0,2,MATCH('[20]Bar Chart - FHL (M)'!$F$1,'[20]Bar Chart - FHL (M)'!$A$84:$A$95,0),1)</definedName>
    <definedName name="expbudget">OFFSET('[20]Bar Chart - FHL (M)'!$A$84,0,1,MATCH('[20]Bar Chart - FHL (M)'!$F$1,'[20]Bar Chart - FHL (M)'!$A$84:$A$95,0),1)</definedName>
    <definedName name="Ext._Price" localSheetId="4">#REF!</definedName>
    <definedName name="Ext._Price" localSheetId="29">#REF!</definedName>
    <definedName name="Ext._Price">#REF!</definedName>
    <definedName name="_xlnm.Extract" localSheetId="4">#REF!</definedName>
    <definedName name="_xlnm.Extract" localSheetId="29">#REF!</definedName>
    <definedName name="_xlnm.Extract">#REF!</definedName>
    <definedName name="FA" localSheetId="4">#REF!</definedName>
    <definedName name="FA" localSheetId="29">#REF!</definedName>
    <definedName name="FA">#REF!</definedName>
    <definedName name="fac" localSheetId="4">#REF!</definedName>
    <definedName name="fac" localSheetId="29">#REF!</definedName>
    <definedName name="fac">#REF!</definedName>
    <definedName name="fac_140" localSheetId="4">#REF!</definedName>
    <definedName name="fac_140" localSheetId="29">#REF!</definedName>
    <definedName name="fac_140">#REF!</definedName>
    <definedName name="fac_batpp" localSheetId="4">#REF!</definedName>
    <definedName name="fac_batpp" localSheetId="29">#REF!</definedName>
    <definedName name="fac_batpp">#REF!</definedName>
    <definedName name="FAC_CCNC" localSheetId="4">#REF!</definedName>
    <definedName name="FAC_CCNC" localSheetId="29">#REF!</definedName>
    <definedName name="FAC_CCNC">#REF!</definedName>
    <definedName name="fac_cns" localSheetId="4">#REF!</definedName>
    <definedName name="fac_cns" localSheetId="29">#REF!</definedName>
    <definedName name="fac_cns">#REF!</definedName>
    <definedName name="FAC_CP" localSheetId="4">#REF!</definedName>
    <definedName name="FAC_CP" localSheetId="29">#REF!</definedName>
    <definedName name="FAC_CP">#REF!</definedName>
    <definedName name="FAC_DLU" localSheetId="4">#REF!</definedName>
    <definedName name="FAC_DLU" localSheetId="29">#REF!</definedName>
    <definedName name="FAC_DLU">#REF!</definedName>
    <definedName name="fac_dlu_new" localSheetId="4">#REF!</definedName>
    <definedName name="fac_dlu_new" localSheetId="29">#REF!</definedName>
    <definedName name="fac_dlu_new">#REF!</definedName>
    <definedName name="fac_doc" localSheetId="4">#REF!</definedName>
    <definedName name="fac_doc" localSheetId="29">#REF!</definedName>
    <definedName name="fac_doc">#REF!</definedName>
    <definedName name="fac_dsl" localSheetId="4">#REF!</definedName>
    <definedName name="fac_dsl" localSheetId="29">#REF!</definedName>
    <definedName name="fac_dsl">#REF!</definedName>
    <definedName name="fac_hpov" localSheetId="4">#REF!</definedName>
    <definedName name="fac_hpov" localSheetId="29">#REF!</definedName>
    <definedName name="fac_hpov">#REF!</definedName>
    <definedName name="fac_loc" localSheetId="4">#REF!</definedName>
    <definedName name="fac_loc" localSheetId="29">#REF!</definedName>
    <definedName name="fac_loc">#REF!</definedName>
    <definedName name="FAC_LTG" localSheetId="4">#REF!</definedName>
    <definedName name="FAC_LTG" localSheetId="29">#REF!</definedName>
    <definedName name="FAC_LTG">#REF!</definedName>
    <definedName name="fac_ltg_new" localSheetId="4">#REF!</definedName>
    <definedName name="fac_ltg_new" localSheetId="29">#REF!</definedName>
    <definedName name="fac_ltg_new">#REF!</definedName>
    <definedName name="FAC_LTPC" localSheetId="4">#REF!</definedName>
    <definedName name="FAC_LTPC" localSheetId="29">#REF!</definedName>
    <definedName name="FAC_LTPC">#REF!</definedName>
    <definedName name="FAC_MB" localSheetId="4">#REF!</definedName>
    <definedName name="FAC_MB" localSheetId="29">#REF!</definedName>
    <definedName name="FAC_MB">#REF!</definedName>
    <definedName name="FAC_MDF" localSheetId="4">#REF!</definedName>
    <definedName name="FAC_MDF" localSheetId="29">#REF!</definedName>
    <definedName name="FAC_MDF">#REF!</definedName>
    <definedName name="FAC_MMT" localSheetId="4">#REF!</definedName>
    <definedName name="FAC_MMT" localSheetId="29">#REF!</definedName>
    <definedName name="FAC_MMT">#REF!</definedName>
    <definedName name="FAC_OMT" localSheetId="4">#REF!</definedName>
    <definedName name="FAC_OMT" localSheetId="29">#REF!</definedName>
    <definedName name="FAC_OMT">#REF!</definedName>
    <definedName name="FAC_PL" localSheetId="4">#REF!</definedName>
    <definedName name="FAC_PL" localSheetId="29">#REF!</definedName>
    <definedName name="FAC_PL">#REF!</definedName>
    <definedName name="fac_pp" localSheetId="4">#REF!</definedName>
    <definedName name="fac_pp" localSheetId="29">#REF!</definedName>
    <definedName name="fac_pp">#REF!</definedName>
    <definedName name="fac_ras" localSheetId="4">#REF!</definedName>
    <definedName name="fac_ras" localSheetId="29">#REF!</definedName>
    <definedName name="fac_ras">#REF!</definedName>
    <definedName name="fac_route" localSheetId="4">#REF!</definedName>
    <definedName name="fac_route" localSheetId="29">#REF!</definedName>
    <definedName name="fac_route">#REF!</definedName>
    <definedName name="fac_rsa" localSheetId="4">#REF!</definedName>
    <definedName name="fac_rsa" localSheetId="29">#REF!</definedName>
    <definedName name="fac_rsa">#REF!</definedName>
    <definedName name="FAC_SE" localSheetId="4">#REF!</definedName>
    <definedName name="FAC_SE" localSheetId="29">#REF!</definedName>
    <definedName name="FAC_SE">#REF!</definedName>
    <definedName name="fac_shelter" localSheetId="4">#REF!</definedName>
    <definedName name="fac_shelter" localSheetId="29">#REF!</definedName>
    <definedName name="fac_shelter">#REF!</definedName>
    <definedName name="FAC_SN" localSheetId="4">#REF!</definedName>
    <definedName name="FAC_SN" localSheetId="29">#REF!</definedName>
    <definedName name="FAC_SN">#REF!</definedName>
    <definedName name="fac_spr" localSheetId="4">#REF!</definedName>
    <definedName name="fac_spr" localSheetId="29">#REF!</definedName>
    <definedName name="fac_spr">#REF!</definedName>
    <definedName name="fac_stmi" localSheetId="4">#REF!</definedName>
    <definedName name="fac_stmi" localSheetId="29">#REF!</definedName>
    <definedName name="fac_stmi">#REF!</definedName>
    <definedName name="fac_sw" localSheetId="4">#REF!</definedName>
    <definedName name="fac_sw" localSheetId="29">#REF!</definedName>
    <definedName name="fac_sw">#REF!</definedName>
    <definedName name="fac_tt" localSheetId="4">#REF!</definedName>
    <definedName name="fac_tt" localSheetId="29">#REF!</definedName>
    <definedName name="fac_tt">#REF!</definedName>
    <definedName name="FAC_V5.2" localSheetId="4">#REF!</definedName>
    <definedName name="FAC_V5.2" localSheetId="29">#REF!</definedName>
    <definedName name="FAC_V5.2">#REF!</definedName>
    <definedName name="fachwaci" localSheetId="4">#REF!</definedName>
    <definedName name="fachwaci" localSheetId="29">#REF!</definedName>
    <definedName name="fachwaci">#REF!</definedName>
    <definedName name="fachwdsl" localSheetId="4">#REF!</definedName>
    <definedName name="fachwdsl" localSheetId="29">#REF!</definedName>
    <definedName name="fachwdsl">#REF!</definedName>
    <definedName name="fachwerx" localSheetId="4">#REF!</definedName>
    <definedName name="fachwerx" localSheetId="29">#REF!</definedName>
    <definedName name="fachwerx">#REF!</definedName>
    <definedName name="Facilities" localSheetId="4">#REF!</definedName>
    <definedName name="Facilities" localSheetId="29">#REF!</definedName>
    <definedName name="Facilities">#REF!</definedName>
    <definedName name="facssc" localSheetId="4">#REF!</definedName>
    <definedName name="facssc" localSheetId="29">#REF!</definedName>
    <definedName name="facssc">#REF!</definedName>
    <definedName name="facswaci" localSheetId="4">#REF!</definedName>
    <definedName name="facswaci" localSheetId="29">#REF!</definedName>
    <definedName name="facswaci">#REF!</definedName>
    <definedName name="facswdsl" localSheetId="4">#REF!</definedName>
    <definedName name="facswdsl" localSheetId="29">#REF!</definedName>
    <definedName name="facswdsl">#REF!</definedName>
    <definedName name="facswerx" localSheetId="4">#REF!</definedName>
    <definedName name="facswerx" localSheetId="29">#REF!</definedName>
    <definedName name="facswerx">#REF!</definedName>
    <definedName name="fact2" localSheetId="4">#REF!</definedName>
    <definedName name="fact2" localSheetId="29">#REF!</definedName>
    <definedName name="fact2">#REF!</definedName>
    <definedName name="factor" localSheetId="4">#REF!</definedName>
    <definedName name="factor" localSheetId="29">#REF!</definedName>
    <definedName name="factor">#REF!</definedName>
    <definedName name="factor\" localSheetId="4">#REF!</definedName>
    <definedName name="factor\" localSheetId="29">#REF!</definedName>
    <definedName name="factor\">#REF!</definedName>
    <definedName name="factor1" localSheetId="4">#REF!</definedName>
    <definedName name="factor1" localSheetId="29">#REF!</definedName>
    <definedName name="factor1">#REF!</definedName>
    <definedName name="factor2" localSheetId="4">#REF!</definedName>
    <definedName name="factor2" localSheetId="29">#REF!</definedName>
    <definedName name="factor2">#REF!</definedName>
    <definedName name="factor3" localSheetId="4">#REF!</definedName>
    <definedName name="factor3" localSheetId="29">#REF!</definedName>
    <definedName name="factor3">#REF!</definedName>
    <definedName name="facy" localSheetId="4">#REF!</definedName>
    <definedName name="facy" localSheetId="29">#REF!</definedName>
    <definedName name="facy">#REF!</definedName>
    <definedName name="fadf">[42]Stock!$B$4</definedName>
    <definedName name="Faktor" localSheetId="4">#REF!</definedName>
    <definedName name="Faktor" localSheetId="29">#REF!</definedName>
    <definedName name="Faktor">#REF!</definedName>
    <definedName name="fapd" localSheetId="4">#REF!</definedName>
    <definedName name="fapd" localSheetId="29">#REF!</definedName>
    <definedName name="fapd">#REF!</definedName>
    <definedName name="fapy" localSheetId="4">#REF!</definedName>
    <definedName name="fapy" localSheetId="29">#REF!</definedName>
    <definedName name="fapy">#REF!</definedName>
    <definedName name="fbd_std" localSheetId="4">#REF!</definedName>
    <definedName name="fbd_std" localSheetId="29">#REF!</definedName>
    <definedName name="fbd_std">#REF!</definedName>
    <definedName name="fcgvhbjn" localSheetId="4">#REF!</definedName>
    <definedName name="fcgvhbjn" localSheetId="29">#REF!</definedName>
    <definedName name="fcgvhbjn">#REF!</definedName>
    <definedName name="FCode" localSheetId="4" hidden="1">#REF!</definedName>
    <definedName name="FCode" localSheetId="29" hidden="1">#REF!</definedName>
    <definedName name="FCode" localSheetId="22" hidden="1">#REF!</definedName>
    <definedName name="FCode" hidden="1">#REF!</definedName>
    <definedName name="FCST_GRF">'[22]IS Mo'!$CP$10:$DA$62</definedName>
    <definedName name="FCST_INN">'[22]IS Mo'!$DT$10:$EE$62</definedName>
    <definedName name="Fcst_Pg_1" localSheetId="4">#REF!</definedName>
    <definedName name="Fcst_Pg_1" localSheetId="29">#REF!</definedName>
    <definedName name="Fcst_Pg_1">#REF!</definedName>
    <definedName name="Fcst_Pg_2" localSheetId="4">#REF!</definedName>
    <definedName name="Fcst_Pg_2" localSheetId="29">#REF!</definedName>
    <definedName name="Fcst_Pg_2">#REF!</definedName>
    <definedName name="Fcst_Pg_3" localSheetId="4">#REF!</definedName>
    <definedName name="Fcst_Pg_3" localSheetId="29">#REF!</definedName>
    <definedName name="Fcst_Pg_3">#REF!</definedName>
    <definedName name="FCST_PUB">'[22]IS Mo'!$DE$10:$DP$62</definedName>
    <definedName name="FD" localSheetId="4">#REF!</definedName>
    <definedName name="FD" localSheetId="29">#REF!</definedName>
    <definedName name="FD">#REF!</definedName>
    <definedName name="FE" localSheetId="4">#REF!</definedName>
    <definedName name="FE" localSheetId="29">#REF!</definedName>
    <definedName name="FE">#REF!</definedName>
    <definedName name="features_reminder" localSheetId="4">#REF!</definedName>
    <definedName name="features_reminder" localSheetId="29">#REF!</definedName>
    <definedName name="features_reminder">#REF!</definedName>
    <definedName name="FEB" localSheetId="4">'[5]PL PBC'!#REF!</definedName>
    <definedName name="FEB" localSheetId="29">'[5]PL PBC'!#REF!</definedName>
    <definedName name="FEB" localSheetId="22">'[5]PL PBC'!#REF!</definedName>
    <definedName name="FEB">'[5]PL PBC'!#REF!</definedName>
    <definedName name="feb_ea" localSheetId="4">#REF!</definedName>
    <definedName name="feb_ea" localSheetId="29">#REF!</definedName>
    <definedName name="feb_ea">#REF!</definedName>
    <definedName name="feb_ps" localSheetId="4">#REF!</definedName>
    <definedName name="feb_ps" localSheetId="29">#REF!</definedName>
    <definedName name="feb_ps">#REF!</definedName>
    <definedName name="feb_rm" localSheetId="4">#REF!</definedName>
    <definedName name="feb_rm" localSheetId="29">#REF!</definedName>
    <definedName name="feb_rm">#REF!</definedName>
    <definedName name="febe" localSheetId="4">[43]PL!$IO$16:$IO$52</definedName>
    <definedName name="febe">[43]PL!$IO$16:$IO$52</definedName>
    <definedName name="ff" localSheetId="4">#REF!</definedName>
    <definedName name="ff" localSheetId="29">#REF!</definedName>
    <definedName name="ff">#REF!</definedName>
    <definedName name="FFormula" localSheetId="4">#REF!</definedName>
    <definedName name="FFormula" localSheetId="29">#REF!</definedName>
    <definedName name="FFormula">#REF!</definedName>
    <definedName name="ffs" localSheetId="4">#REF!</definedName>
    <definedName name="ffs" localSheetId="29">#REF!</definedName>
    <definedName name="ffs">#REF!</definedName>
    <definedName name="fg" localSheetId="4">#REF!</definedName>
    <definedName name="fg" localSheetId="29">#REF!</definedName>
    <definedName name="fg">#REF!</definedName>
    <definedName name="FGFGF" localSheetId="4" hidden="1">{#N/A,#N/A,FALSE,"MODULE3"}</definedName>
    <definedName name="FGFGF" localSheetId="6" hidden="1">{#N/A,#N/A,FALSE,"MODULE3"}</definedName>
    <definedName name="FGFGF" localSheetId="9" hidden="1">{#N/A,#N/A,FALSE,"MODULE3"}</definedName>
    <definedName name="FGFGF" hidden="1">{#N/A,#N/A,FALSE,"MODULE3"}</definedName>
    <definedName name="fghj" localSheetId="4">#REF!</definedName>
    <definedName name="fghj" localSheetId="29">#REF!</definedName>
    <definedName name="fghj">#REF!</definedName>
    <definedName name="fghjkl" localSheetId="4">#REF!</definedName>
    <definedName name="fghjkl" localSheetId="29">#REF!</definedName>
    <definedName name="fghjkl">#REF!</definedName>
    <definedName name="fhhi" localSheetId="4">#REF!</definedName>
    <definedName name="fhhi" localSheetId="29">#REF!</definedName>
    <definedName name="fhhi">#REF!</definedName>
    <definedName name="Fifteen" localSheetId="4">'[44]Financials -Jan 03-Mar04'!#REF!</definedName>
    <definedName name="Fifteen" localSheetId="29">'[44]Financials -Jan 03-Mar04'!#REF!</definedName>
    <definedName name="Fifteen">'[44]Financials -Jan 03-Mar04'!#REF!</definedName>
    <definedName name="FifteenMonthsData" localSheetId="4">'[44]Financials -Jan 03-Mar04'!#REF!</definedName>
    <definedName name="FifteenMonthsData" localSheetId="29">'[44]Financials -Jan 03-Mar04'!#REF!</definedName>
    <definedName name="FifteenMonthsData">'[44]Financials -Jan 03-Mar04'!#REF!</definedName>
    <definedName name="fill" localSheetId="4" hidden="1">#REF!</definedName>
    <definedName name="fill" localSheetId="29" hidden="1">#REF!</definedName>
    <definedName name="fill" hidden="1">#REF!</definedName>
    <definedName name="filler_row" localSheetId="4">#REF!</definedName>
    <definedName name="filler_row" localSheetId="29">#REF!</definedName>
    <definedName name="filler_row">#REF!</definedName>
    <definedName name="Fillers" localSheetId="4">#REF!</definedName>
    <definedName name="Fillers" localSheetId="29">#REF!</definedName>
    <definedName name="Fillers">#REF!</definedName>
    <definedName name="fin" localSheetId="4">#REF!,#REF!,#REF!,#REF!,#REF!,#REF!,#REF!,#REF!,#REF!</definedName>
    <definedName name="fin" localSheetId="29">#REF!</definedName>
    <definedName name="fin">#REF!</definedName>
    <definedName name="FINAL" localSheetId="4">#REF!</definedName>
    <definedName name="FINAL" localSheetId="29">#REF!</definedName>
    <definedName name="FINAL" localSheetId="22">#REF!</definedName>
    <definedName name="FINAL">#REF!</definedName>
    <definedName name="FINSUM" localSheetId="4">#REF!</definedName>
    <definedName name="FINSUM" localSheetId="29">#REF!</definedName>
    <definedName name="FINSUM">#REF!</definedName>
    <definedName name="First">[45]Int.!$CI$37:$CI$39,[45]Int.!$CI$43,[45]Int.!$CI$45:$CI$47,[45]Int.!$CI$50:$CI$62</definedName>
    <definedName name="FIS" localSheetId="4">#REF!</definedName>
    <definedName name="FIS" localSheetId="29">#REF!</definedName>
    <definedName name="FIS">#REF!</definedName>
    <definedName name="FITTER">'[24]#REF'!$B$11</definedName>
    <definedName name="FLS" localSheetId="4">#REF!</definedName>
    <definedName name="FLS" localSheetId="29">#REF!</definedName>
    <definedName name="FLS">#REF!</definedName>
    <definedName name="FM" localSheetId="4">#REF!</definedName>
    <definedName name="FM" localSheetId="29">#REF!</definedName>
    <definedName name="FM">#REF!</definedName>
    <definedName name="FMSX" localSheetId="4">#REF!</definedName>
    <definedName name="FMSX" localSheetId="29">#REF!</definedName>
    <definedName name="FMSX">#REF!</definedName>
    <definedName name="FOB" localSheetId="4">#REF!</definedName>
    <definedName name="FOB" localSheetId="29">#REF!</definedName>
    <definedName name="FOB">#REF!</definedName>
    <definedName name="FOBNN" localSheetId="4">#REF!</definedName>
    <definedName name="FOBNN" localSheetId="29">#REF!</definedName>
    <definedName name="FOBNN">#REF!</definedName>
    <definedName name="FOBSER" localSheetId="4">#REF!</definedName>
    <definedName name="FOBSER" localSheetId="29">#REF!</definedName>
    <definedName name="FOBSER">#REF!</definedName>
    <definedName name="FOBSW" localSheetId="4">#REF!</definedName>
    <definedName name="FOBSW" localSheetId="29">#REF!</definedName>
    <definedName name="FOBSW">#REF!</definedName>
    <definedName name="ForecastDetail" localSheetId="4">#REF!</definedName>
    <definedName name="ForecastDetail" localSheetId="29">#REF!</definedName>
    <definedName name="ForecastDetail">#REF!</definedName>
    <definedName name="FOREMAN">'[24]#REF'!$B$10</definedName>
    <definedName name="FORM" localSheetId="4">'[5]PL PBC'!#REF!</definedName>
    <definedName name="FORM" localSheetId="29">'[5]PL PBC'!#REF!</definedName>
    <definedName name="FORM" localSheetId="22">'[5]PL PBC'!#REF!</definedName>
    <definedName name="FORM">'[5]PL PBC'!#REF!</definedName>
    <definedName name="forme" localSheetId="4">[43]PL!$C$56:$IO$109</definedName>
    <definedName name="forme">[43]PL!$C$56:$IO$109</definedName>
    <definedName name="FormulaAA" localSheetId="4">#REF!</definedName>
    <definedName name="FormulaAA" localSheetId="29">#REF!</definedName>
    <definedName name="FormulaAA">#REF!</definedName>
    <definedName name="FormulaAB" localSheetId="4">#REF!</definedName>
    <definedName name="FormulaAB" localSheetId="29">#REF!</definedName>
    <definedName name="FormulaAB">#REF!</definedName>
    <definedName name="FormulaAD" localSheetId="4">#REF!</definedName>
    <definedName name="FormulaAD" localSheetId="29">#REF!</definedName>
    <definedName name="FormulaAD">#REF!</definedName>
    <definedName name="FormulaAE" localSheetId="4">#REF!</definedName>
    <definedName name="FormulaAE" localSheetId="29">#REF!</definedName>
    <definedName name="FormulaAE">#REF!</definedName>
    <definedName name="FormulaAG" localSheetId="4">#REF!</definedName>
    <definedName name="FormulaAG" localSheetId="29">#REF!</definedName>
    <definedName name="FormulaAG">#REF!</definedName>
    <definedName name="FormulaAH" localSheetId="4">#REF!</definedName>
    <definedName name="FormulaAH" localSheetId="29">#REF!</definedName>
    <definedName name="FormulaAH">#REF!</definedName>
    <definedName name="FormulaC" localSheetId="4">#REF!</definedName>
    <definedName name="FormulaC" localSheetId="29">#REF!</definedName>
    <definedName name="FormulaC">#REF!</definedName>
    <definedName name="FormulaD" localSheetId="4">#REF!</definedName>
    <definedName name="FormulaD" localSheetId="29">#REF!</definedName>
    <definedName name="FormulaD">#REF!</definedName>
    <definedName name="FormulaE" localSheetId="4">#REF!</definedName>
    <definedName name="FormulaE" localSheetId="29">#REF!</definedName>
    <definedName name="FormulaE">#REF!</definedName>
    <definedName name="FormulaF" localSheetId="4">#REF!</definedName>
    <definedName name="FormulaF" localSheetId="29">#REF!</definedName>
    <definedName name="FormulaF">#REF!</definedName>
    <definedName name="FormulaR" localSheetId="4">#REF!</definedName>
    <definedName name="FormulaR" localSheetId="29">#REF!</definedName>
    <definedName name="FormulaR">#REF!</definedName>
    <definedName name="FormulaS" localSheetId="4">#REF!</definedName>
    <definedName name="FormulaS" localSheetId="29">#REF!</definedName>
    <definedName name="FormulaS">#REF!</definedName>
    <definedName name="FormulaT" localSheetId="4">#REF!</definedName>
    <definedName name="FormulaT" localSheetId="29">#REF!</definedName>
    <definedName name="FormulaT">#REF!</definedName>
    <definedName name="FormulaV" localSheetId="4">#REF!</definedName>
    <definedName name="FormulaV" localSheetId="29">#REF!</definedName>
    <definedName name="FormulaV">#REF!</definedName>
    <definedName name="FormulaX" localSheetId="4">#REF!</definedName>
    <definedName name="FormulaX" localSheetId="29">#REF!</definedName>
    <definedName name="FormulaX">#REF!</definedName>
    <definedName name="FormulaY" localSheetId="4">#REF!</definedName>
    <definedName name="FormulaY" localSheetId="29">#REF!</definedName>
    <definedName name="FormulaY">#REF!</definedName>
    <definedName name="Four_O_1_K" localSheetId="4">#REF!</definedName>
    <definedName name="Four_O_1_K" localSheetId="29">#REF!</definedName>
    <definedName name="Four_O_1_K">#REF!</definedName>
    <definedName name="FP1_SW_OPS_auto" localSheetId="4">#REF!</definedName>
    <definedName name="FP1_SW_OPS_auto" localSheetId="29">#REF!</definedName>
    <definedName name="FP1_SW_OPS_auto">#REF!</definedName>
    <definedName name="FP1_upsell" localSheetId="4">#REF!</definedName>
    <definedName name="FP1_upsell" localSheetId="29">#REF!</definedName>
    <definedName name="FP1_upsell">#REF!</definedName>
    <definedName name="FP1_upsellY3" localSheetId="4">#REF!</definedName>
    <definedName name="FP1_upsellY3" localSheetId="29">#REF!</definedName>
    <definedName name="FP1_upsellY3">#REF!</definedName>
    <definedName name="FRAS" localSheetId="4">#REF!</definedName>
    <definedName name="FRAS" localSheetId="29">#REF!</definedName>
    <definedName name="FRAS">#REF!</definedName>
    <definedName name="FSI_Assumptions" localSheetId="4">#REF!</definedName>
    <definedName name="FSI_Assumptions" localSheetId="29">#REF!</definedName>
    <definedName name="FSI_Assumptions">#REF!</definedName>
    <definedName name="FSNI" localSheetId="4">#REF!</definedName>
    <definedName name="FSNI" localSheetId="29">#REF!</definedName>
    <definedName name="FSNI">#REF!</definedName>
    <definedName name="FSSS" localSheetId="4">#REF!</definedName>
    <definedName name="FSSS" localSheetId="29">#REF!</definedName>
    <definedName name="FSSS">#REF!</definedName>
    <definedName name="FTEs" localSheetId="4">#REF!</definedName>
    <definedName name="FTEs" localSheetId="29">#REF!</definedName>
    <definedName name="FTEs">#REF!</definedName>
    <definedName name="ftss" localSheetId="4" hidden="1">{"FTS",#N/A,FALSE,"E"}</definedName>
    <definedName name="ftss" localSheetId="6" hidden="1">{"FTS",#N/A,FALSE,"E"}</definedName>
    <definedName name="ftss" localSheetId="9" hidden="1">{"FTS",#N/A,FALSE,"E"}</definedName>
    <definedName name="ftss" hidden="1">{"FTS",#N/A,FALSE,"E"}</definedName>
    <definedName name="FUGIGIULQWG" localSheetId="4" hidden="1">{"PLANT BREAKUP",#N/A,FALSE,"E"}</definedName>
    <definedName name="FUGIGIULQWG" localSheetId="6" hidden="1">{"PLANT BREAKUP",#N/A,FALSE,"E"}</definedName>
    <definedName name="FUGIGIULQWG" localSheetId="9" hidden="1">{"PLANT BREAKUP",#N/A,FALSE,"E"}</definedName>
    <definedName name="FUGIGIULQWG" hidden="1">{"PLANT BREAKUP",#N/A,FALSE,"E"}</definedName>
    <definedName name="FXLD" localSheetId="4">#REF!</definedName>
    <definedName name="FXLD" localSheetId="29">#REF!</definedName>
    <definedName name="FXLD">#REF!</definedName>
    <definedName name="G" localSheetId="4">'[2]CMA DATA'!#REF!</definedName>
    <definedName name="G" localSheetId="29">'[2]CMA DATA'!#REF!</definedName>
    <definedName name="G" localSheetId="22">'[2]CMA DATA'!#REF!</definedName>
    <definedName name="G">'[2]CMA DATA'!#REF!</definedName>
    <definedName name="GANINF">#N/A</definedName>
    <definedName name="gb" localSheetId="4">#REF!</definedName>
    <definedName name="gb" localSheetId="29">#REF!</definedName>
    <definedName name="gb">#REF!</definedName>
    <definedName name="GBP" localSheetId="4">#REF!</definedName>
    <definedName name="GBP" localSheetId="29">#REF!</definedName>
    <definedName name="GBP" localSheetId="22">#REF!</definedName>
    <definedName name="GBP">#REF!</definedName>
    <definedName name="gbpe" localSheetId="4">#REF!</definedName>
    <definedName name="gbpe" localSheetId="29">#REF!</definedName>
    <definedName name="gbpe" localSheetId="22">#REF!</definedName>
    <definedName name="gbpe">#REF!</definedName>
    <definedName name="GBPMONTH" localSheetId="4">#REF!</definedName>
    <definedName name="GBPMONTH" localSheetId="29">#REF!</definedName>
    <definedName name="GBPMONTH" localSheetId="22">#REF!</definedName>
    <definedName name="GBPMONTH">#REF!</definedName>
    <definedName name="gcacper">OFFSET('[20]Bar Chart - FHL (M)'!$A$9,0,2,MATCH('[20]Bar Chart - FHL (M)'!$F$1,'[20]Bar Chart - FHL (M)'!$A$9:$A$20,0),1)</definedName>
    <definedName name="GCactual">OFFSET('[20]Bar Chart - FHL (M)'!$A$9,0,5,MATCH('[20]Bar Chart - FHL (M)'!$F$1,'[20]Bar Chart - FHL (M)'!$A$9:$A$20,0),1)</definedName>
    <definedName name="gcbudget">OFFSET('[20]Bar Chart - FHL (M)'!$A$9,0,4,MATCH('[20]Bar Chart - FHL (M)'!$F$1,'[20]Bar Chart - FHL (M)'!$A$9:$A$20,0),1)</definedName>
    <definedName name="gcbudper">OFFSET('[20]Bar Chart - FHL (M)'!$A$9,0,1,MATCH('[20]Bar Chart - FHL (M)'!$F$1,'[20]Bar Chart - FHL (M)'!$A$9:$A$20,0),1)</definedName>
    <definedName name="gdgwg" localSheetId="4" hidden="1">{"FTS",#N/A,FALSE,"E"}</definedName>
    <definedName name="gdgwg" localSheetId="6" hidden="1">{"FTS",#N/A,FALSE,"E"}</definedName>
    <definedName name="gdgwg" localSheetId="9" hidden="1">{"FTS",#N/A,FALSE,"E"}</definedName>
    <definedName name="gdgwg" hidden="1">{"FTS",#N/A,FALSE,"E"}</definedName>
    <definedName name="gdwilugi" localSheetId="4" hidden="1">{"CASH FLOW",#N/A,FALSE,"A"}</definedName>
    <definedName name="gdwilugi" localSheetId="6" hidden="1">{"CASH FLOW",#N/A,FALSE,"A"}</definedName>
    <definedName name="gdwilugi" localSheetId="9" hidden="1">{"CASH FLOW",#N/A,FALSE,"A"}</definedName>
    <definedName name="gdwilugi" hidden="1">{"CASH FLOW",#N/A,FALSE,"A"}</definedName>
    <definedName name="ge" localSheetId="4">#REF!</definedName>
    <definedName name="ge" localSheetId="29">#REF!</definedName>
    <definedName name="ge">#REF!</definedName>
    <definedName name="gg">'[14]TB PCDN-16'!$A:$K</definedName>
    <definedName name="gggg" localSheetId="4" hidden="1">{"ss",#N/A,FALSE,"MODULE3"}</definedName>
    <definedName name="gggg" localSheetId="6" hidden="1">{"ss",#N/A,FALSE,"MODULE3"}</definedName>
    <definedName name="gggg" localSheetId="9" hidden="1">{"ss",#N/A,FALSE,"MODULE3"}</definedName>
    <definedName name="gggg" hidden="1">{"ss",#N/A,FALSE,"MODULE3"}</definedName>
    <definedName name="gisnet" localSheetId="4">#REF!</definedName>
    <definedName name="gisnet" localSheetId="29">#REF!</definedName>
    <definedName name="gisnet">#REF!</definedName>
    <definedName name="GIUIO" localSheetId="4"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IO" localSheetId="6"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IO" localSheetId="9"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IO"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LIO" localSheetId="4"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IULIO" localSheetId="6"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IULIO" localSheetId="9"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IULIO"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lobal" localSheetId="4">#REF!</definedName>
    <definedName name="Global" localSheetId="29">#REF!</definedName>
    <definedName name="Global">#REF!</definedName>
    <definedName name="goatrial" localSheetId="4">#REF!</definedName>
    <definedName name="goatrial" localSheetId="29">#REF!</definedName>
    <definedName name="goatrial">#REF!</definedName>
    <definedName name="Gold_Mark_Dn">[19]PC_Cost_Ku!$B$13</definedName>
    <definedName name="gp" localSheetId="4">#REF!</definedName>
    <definedName name="gp" localSheetId="29">#REF!</definedName>
    <definedName name="gp">#REF!</definedName>
    <definedName name="gr">[14]GRP!$G:$O</definedName>
    <definedName name="GrAdd" localSheetId="4">#REF!</definedName>
    <definedName name="GrAdd" localSheetId="29">#REF!</definedName>
    <definedName name="GrAdd">#REF!</definedName>
    <definedName name="Green_Hills_Ltd" localSheetId="4">'[46]profit reco (2)'!#REF!</definedName>
    <definedName name="Green_Hills_Ltd" localSheetId="29">'[46]profit reco (2)'!#REF!</definedName>
    <definedName name="Green_Hills_Ltd">'[46]profit reco (2)'!#REF!</definedName>
    <definedName name="GRF_Graphs" localSheetId="4">#REF!</definedName>
    <definedName name="GRF_Graphs" localSheetId="29">#REF!</definedName>
    <definedName name="GRF_Graphs">#REF!</definedName>
    <definedName name="grg_std" localSheetId="4">#REF!</definedName>
    <definedName name="grg_std" localSheetId="29">#REF!</definedName>
    <definedName name="grg_std">#REF!</definedName>
    <definedName name="Gross_Margin___Rs_M" localSheetId="4">#REF!</definedName>
    <definedName name="Gross_Margin___Rs_M" localSheetId="29">#REF!</definedName>
    <definedName name="Gross_Margin___Rs_M">#REF!</definedName>
    <definedName name="GROSSPFT" localSheetId="4">#REF!</definedName>
    <definedName name="GROSSPFT" localSheetId="29">#REF!</definedName>
    <definedName name="GROSSPFT">#REF!</definedName>
    <definedName name="grosstaxincomemar98" localSheetId="4">#REF!</definedName>
    <definedName name="grosstaxincomemar98" localSheetId="29">#REF!</definedName>
    <definedName name="grosstaxincomemar98">#REF!</definedName>
    <definedName name="group" localSheetId="4">#REF!</definedName>
    <definedName name="group" localSheetId="29">#REF!</definedName>
    <definedName name="group">#REF!</definedName>
    <definedName name="grpname">'[47]ITEMGRP-DY'!$A$1:$B$200</definedName>
    <definedName name="GRPNRQ" localSheetId="4">#REF!</definedName>
    <definedName name="GRPNRQ" localSheetId="29">#REF!</definedName>
    <definedName name="GRPNRQ">#REF!</definedName>
    <definedName name="GRPNRZ" localSheetId="4">#REF!</definedName>
    <definedName name="GRPNRZ" localSheetId="29">#REF!</definedName>
    <definedName name="GRPNRZ">#REF!</definedName>
    <definedName name="GRPTOTB">[14]GRP!$G:$AH</definedName>
    <definedName name="Gsoh" localSheetId="4">#REF!</definedName>
    <definedName name="Gsoh" localSheetId="29">#REF!</definedName>
    <definedName name="Gsoh">#REF!</definedName>
    <definedName name="gsoh1" localSheetId="4">#REF!</definedName>
    <definedName name="gsoh1" localSheetId="29">#REF!</definedName>
    <definedName name="gsoh1">#REF!</definedName>
    <definedName name="GTOS.INSTAL." localSheetId="4">#REF!</definedName>
    <definedName name="GTOS.INSTAL." localSheetId="29">#REF!</definedName>
    <definedName name="GTOS.INSTAL.">#REF!</definedName>
    <definedName name="Guenther" localSheetId="4">#REF!</definedName>
    <definedName name="Guenther" localSheetId="29">#REF!</definedName>
    <definedName name="Guenther">#REF!</definedName>
    <definedName name="h" localSheetId="4">#REF!</definedName>
    <definedName name="h" localSheetId="29">#REF!</definedName>
    <definedName name="h">#REF!</definedName>
    <definedName name="H2H" localSheetId="6" hidden="1">{#N/A,#N/A,FALSE,"Staffnos &amp; cost"}</definedName>
    <definedName name="H2H" localSheetId="9" hidden="1">{#N/A,#N/A,FALSE,"Staffnos &amp; cost"}</definedName>
    <definedName name="H2H" hidden="1">{#N/A,#N/A,FALSE,"Staffnos &amp; cost"}</definedName>
    <definedName name="Haryana" localSheetId="6" hidden="1">{#N/A,#N/A,FALSE,"Staffnos &amp; cost"}</definedName>
    <definedName name="Haryana" localSheetId="9" hidden="1">{#N/A,#N/A,FALSE,"Staffnos &amp; cost"}</definedName>
    <definedName name="Haryana" hidden="1">{#N/A,#N/A,FALSE,"Staffnos &amp; cost"}</definedName>
    <definedName name="hd" localSheetId="4">#REF!</definedName>
    <definedName name="hd" localSheetId="29">#REF!</definedName>
    <definedName name="hd">#REF!</definedName>
    <definedName name="hd_c" localSheetId="4">#REF!</definedName>
    <definedName name="hd_c" localSheetId="29">#REF!</definedName>
    <definedName name="hd_c">#REF!</definedName>
    <definedName name="hd_p" localSheetId="4">#REF!</definedName>
    <definedName name="hd_p" localSheetId="29">#REF!</definedName>
    <definedName name="hd_p">#REF!</definedName>
    <definedName name="Head_Count" localSheetId="4">#REF!</definedName>
    <definedName name="Head_Count" localSheetId="29">#REF!</definedName>
    <definedName name="Head_Count">#REF!</definedName>
    <definedName name="HEADER" localSheetId="4">#REF!</definedName>
    <definedName name="HEADER" localSheetId="29">#REF!</definedName>
    <definedName name="HEADER">#REF!</definedName>
    <definedName name="Health" localSheetId="4">#REF!</definedName>
    <definedName name="Health" localSheetId="29">#REF!</definedName>
    <definedName name="Health">#REF!</definedName>
    <definedName name="Helmuth" localSheetId="4">#REF!</definedName>
    <definedName name="Helmuth" localSheetId="29">#REF!</definedName>
    <definedName name="Helmuth">#REF!</definedName>
    <definedName name="hhfillers" localSheetId="4">#REF!</definedName>
    <definedName name="hhfillers" localSheetId="29">#REF!</definedName>
    <definedName name="hhfillers">#REF!</definedName>
    <definedName name="HiddenRows" localSheetId="4" hidden="1">#REF!</definedName>
    <definedName name="HiddenRows" localSheetId="29" hidden="1">#REF!</definedName>
    <definedName name="HiddenRows" localSheetId="22" hidden="1">#REF!</definedName>
    <definedName name="HiddenRows" hidden="1">#REF!</definedName>
    <definedName name="HJKHSDD" localSheetId="4">#REF!</definedName>
    <definedName name="HJKHSDD" localSheetId="29">#REF!</definedName>
    <definedName name="HJKHSDD" localSheetId="22">#REF!</definedName>
    <definedName name="HJKHSDD">#REF!</definedName>
    <definedName name="hmper" localSheetId="4">#REF!</definedName>
    <definedName name="hmper" localSheetId="29">#REF!</definedName>
    <definedName name="hmper">#REF!</definedName>
    <definedName name="hmsub" localSheetId="4">#REF!</definedName>
    <definedName name="hmsub" localSheetId="29">#REF!</definedName>
    <definedName name="hmsub">#REF!</definedName>
    <definedName name="hmsubs" localSheetId="4">#REF!</definedName>
    <definedName name="hmsubs" localSheetId="29">#REF!</definedName>
    <definedName name="hmsubs">#REF!</definedName>
    <definedName name="hmsubs1" localSheetId="4">#REF!</definedName>
    <definedName name="hmsubs1" localSheetId="29">#REF!</definedName>
    <definedName name="hmsubs1">#REF!</definedName>
    <definedName name="hshhr" localSheetId="6" hidden="1">{#N/A,#N/A,TRUE,"Staffnos &amp; cost"}</definedName>
    <definedName name="hshhr" localSheetId="9" hidden="1">{#N/A,#N/A,TRUE,"Staffnos &amp; cost"}</definedName>
    <definedName name="hshhr" hidden="1">{#N/A,#N/A,TRUE,"Staffnos &amp; cost"}</definedName>
    <definedName name="HTML_CodePage" localSheetId="4" hidden="1">950</definedName>
    <definedName name="HTML_CodePage" hidden="1">950</definedName>
    <definedName name="HTML_Control" localSheetId="4" hidden="1">{"'Sheet1'!$L$16"}</definedName>
    <definedName name="HTML_Control" localSheetId="6" hidden="1">{"'Sheet1'!$L$16"}</definedName>
    <definedName name="HTML_Control" localSheetId="9" hidden="1">{"'Sheet1'!$L$16"}</definedName>
    <definedName name="HTML_Control" hidden="1">{"'Sheet1'!$L$16"}</definedName>
    <definedName name="HTML_Description" localSheetId="4" hidden="1">""</definedName>
    <definedName name="HTML_Description" hidden="1">""</definedName>
    <definedName name="HTML_Email" hidden="1">""</definedName>
    <definedName name="HTML_Header" localSheetId="4" hidden="1">"Sheet1"</definedName>
    <definedName name="HTML_Header" hidden="1">"Sheet1"</definedName>
    <definedName name="HTML_LastUpdate" localSheetId="4" hidden="1">"2000/9/14"</definedName>
    <definedName name="HTML_LastUpdate" hidden="1">"2000/9/14"</definedName>
    <definedName name="HTML_LineAfter" hidden="1">FALSE</definedName>
    <definedName name="HTML_LineBefore" localSheetId="4" hidden="1">FALSE</definedName>
    <definedName name="HTML_LineBefore" hidden="1">FALSE</definedName>
    <definedName name="HTML_Name" localSheetId="4" hidden="1">"J.C.WONG"</definedName>
    <definedName name="HTML_Name" hidden="1">"J.C.WONG"</definedName>
    <definedName name="HTML_OBDlg2" hidden="1">TRUE</definedName>
    <definedName name="HTML_OBDlg4" hidden="1">TRUE</definedName>
    <definedName name="HTML_OS" hidden="1">0</definedName>
    <definedName name="HTML_PathFile" localSheetId="4" hidden="1">"C:\2689\Q\國內\00q3961台化龍德PTA3建造\MyHTML.htm"</definedName>
    <definedName name="HTML_PathFile" hidden="1">"C:\2689\Q\國內\00q3961台化龍德PTA3建造\MyHTML.htm"</definedName>
    <definedName name="HTML_Title" localSheetId="4" hidden="1">"00Q3961-SUM"</definedName>
    <definedName name="HTML_Title" hidden="1">"00Q3961-SUM"</definedName>
    <definedName name="hufk" localSheetId="4">#REF!</definedName>
    <definedName name="hufk" localSheetId="29">#REF!</definedName>
    <definedName name="hufk">#REF!</definedName>
    <definedName name="huy" localSheetId="4" hidden="1">{"'Sheet1'!$L$16"}</definedName>
    <definedName name="huy" localSheetId="6" hidden="1">{"'Sheet1'!$L$16"}</definedName>
    <definedName name="huy" localSheetId="9" hidden="1">{"'Sheet1'!$L$16"}</definedName>
    <definedName name="huy" hidden="1">{"'Sheet1'!$L$16"}</definedName>
    <definedName name="hw" localSheetId="4">#REF!</definedName>
    <definedName name="hw" localSheetId="29">#REF!</definedName>
    <definedName name="hw">#REF!</definedName>
    <definedName name="hw_serv" localSheetId="4">#REF!</definedName>
    <definedName name="hw_serv" localSheetId="29">#REF!</definedName>
    <definedName name="hw_serv">#REF!</definedName>
    <definedName name="hwdsl" localSheetId="4">#REF!</definedName>
    <definedName name="hwdsl" localSheetId="29">#REF!</definedName>
    <definedName name="hwdsl">#REF!</definedName>
    <definedName name="hwerx" localSheetId="4">#REF!</definedName>
    <definedName name="hwerx" localSheetId="29">#REF!</definedName>
    <definedName name="hwerx">#REF!</definedName>
    <definedName name="hws" localSheetId="4">#REF!</definedName>
    <definedName name="hws" localSheetId="29">#REF!</definedName>
    <definedName name="hws">#REF!</definedName>
    <definedName name="hy" localSheetId="4" hidden="1">{"CASH FLOW",#N/A,FALSE,"A"}</definedName>
    <definedName name="hy" localSheetId="6" hidden="1">{"CASH FLOW",#N/A,FALSE,"A"}</definedName>
    <definedName name="hy" localSheetId="9" hidden="1">{"CASH FLOW",#N/A,FALSE,"A"}</definedName>
    <definedName name="hy" hidden="1">{"CASH FLOW",#N/A,FALSE,"A"}</definedName>
    <definedName name="i" localSheetId="4">#REF!</definedName>
    <definedName name="i" localSheetId="29">#REF!</definedName>
    <definedName name="i" localSheetId="22">#REF!</definedName>
    <definedName name="i">#REF!</definedName>
    <definedName name="I.Furniture_and_Fixtures" localSheetId="4">#REF!</definedName>
    <definedName name="I.Furniture_and_Fixtures" localSheetId="29">#REF!</definedName>
    <definedName name="I.Furniture_and_Fixtures">#REF!</definedName>
    <definedName name="ic" localSheetId="4">#REF!</definedName>
    <definedName name="ic" localSheetId="29">#REF!</definedName>
    <definedName name="ic">#REF!</definedName>
    <definedName name="ictrnks" localSheetId="4">#REF!</definedName>
    <definedName name="ictrnks" localSheetId="29">#REF!</definedName>
    <definedName name="ictrnks">#REF!</definedName>
    <definedName name="II.Computer" localSheetId="4">#REF!</definedName>
    <definedName name="II.Computer" localSheetId="29">#REF!</definedName>
    <definedName name="II.Computer">#REF!</definedName>
    <definedName name="III._Office_Equipment" localSheetId="4">#REF!</definedName>
    <definedName name="III._Office_Equipment" localSheetId="29">#REF!</definedName>
    <definedName name="III._Office_Equipment">#REF!</definedName>
    <definedName name="import_start" localSheetId="4">#REF!</definedName>
    <definedName name="import_start" localSheetId="29">#REF!</definedName>
    <definedName name="import_start">#REF!</definedName>
    <definedName name="IN" localSheetId="4">#REF!</definedName>
    <definedName name="IN" localSheetId="29">#REF!</definedName>
    <definedName name="IN">#REF!</definedName>
    <definedName name="Inc_Stmt" localSheetId="4">#REF!</definedName>
    <definedName name="Inc_Stmt" localSheetId="29">#REF!</definedName>
    <definedName name="Inc_Stmt">#REF!</definedName>
    <definedName name="INCINER" localSheetId="4">#REF!</definedName>
    <definedName name="INCINER" localSheetId="29">#REF!</definedName>
    <definedName name="INCINER">#REF!</definedName>
    <definedName name="IncomeStatement" localSheetId="4">#REF!</definedName>
    <definedName name="IncomeStatement" localSheetId="29">#REF!</definedName>
    <definedName name="IncomeStatement">#REF!</definedName>
    <definedName name="INDIA_PLASTIC_in_KUSD" localSheetId="4">#REF!</definedName>
    <definedName name="INDIA_PLASTIC_in_KUSD" localSheetId="29">#REF!</definedName>
    <definedName name="INDIA_PLASTIC_in_KUSD">#REF!</definedName>
    <definedName name="INM" localSheetId="4">#REF!</definedName>
    <definedName name="INM" localSheetId="29">#REF!</definedName>
    <definedName name="INM">#REF!</definedName>
    <definedName name="Inputs" localSheetId="4">#REF!</definedName>
    <definedName name="Inputs" localSheetId="29">#REF!</definedName>
    <definedName name="Inputs">#REF!</definedName>
    <definedName name="inr" localSheetId="4">#REF!</definedName>
    <definedName name="inr" localSheetId="29">#REF!</definedName>
    <definedName name="inr">#REF!</definedName>
    <definedName name="insert_row" localSheetId="4">#REF!</definedName>
    <definedName name="insert_row" localSheetId="29">#REF!</definedName>
    <definedName name="insert_row">#REF!</definedName>
    <definedName name="Int_Value_list" localSheetId="4">#REF!</definedName>
    <definedName name="Int_Value_list" localSheetId="29">#REF!</definedName>
    <definedName name="Int_Value_list">#REF!</definedName>
    <definedName name="Interest_Accrued_1" localSheetId="4">'[48]BS_Drop Down'!#REF!</definedName>
    <definedName name="Interest_Accrued_1" localSheetId="29">'[48]BS_Drop Down'!#REF!</definedName>
    <definedName name="Interest_Accrued_1">'[48]BS_Drop Down'!#REF!</definedName>
    <definedName name="intratm" localSheetId="4">#REF!</definedName>
    <definedName name="intratm" localSheetId="29">#REF!</definedName>
    <definedName name="intratm">#REF!</definedName>
    <definedName name="intratm1" localSheetId="4">#REF!</definedName>
    <definedName name="intratm1" localSheetId="29">#REF!</definedName>
    <definedName name="intratm1">#REF!</definedName>
    <definedName name="Inv" localSheetId="4" hidden="1">[49]Accounts!#REF!</definedName>
    <definedName name="Inv" localSheetId="29" hidden="1">[49]Accounts!#REF!</definedName>
    <definedName name="Inv" hidden="1">[49]Accounts!#REF!</definedName>
    <definedName name="IOP" localSheetId="4">#REF!</definedName>
    <definedName name="IOP" localSheetId="29">#REF!</definedName>
    <definedName name="IOP">#REF!</definedName>
    <definedName name="isdnbaper" localSheetId="4">#REF!</definedName>
    <definedName name="isdnbaper" localSheetId="29">#REF!</definedName>
    <definedName name="isdnbaper">#REF!</definedName>
    <definedName name="isdnbasub" localSheetId="4">#REF!</definedName>
    <definedName name="isdnbasub" localSheetId="29">#REF!</definedName>
    <definedName name="isdnbasub">#REF!</definedName>
    <definedName name="isdnbasubs" localSheetId="4">#REF!</definedName>
    <definedName name="isdnbasubs" localSheetId="29">#REF!</definedName>
    <definedName name="isdnbasubs">#REF!</definedName>
    <definedName name="isdnbasubs1" localSheetId="4">#REF!</definedName>
    <definedName name="isdnbasubs1" localSheetId="29">#REF!</definedName>
    <definedName name="isdnbasubs1">#REF!</definedName>
    <definedName name="isdnpa" localSheetId="4">#REF!</definedName>
    <definedName name="isdnpa" localSheetId="29">#REF!</definedName>
    <definedName name="isdnpa">#REF!</definedName>
    <definedName name="isdnpa1" localSheetId="4">#REF!</definedName>
    <definedName name="isdnpa1" localSheetId="29">#REF!</definedName>
    <definedName name="isdnpa1">#REF!</definedName>
    <definedName name="ISR">[32]Enero!$O$12:$R$19</definedName>
    <definedName name="it" localSheetId="4">#REF!</definedName>
    <definedName name="it" localSheetId="29">#REF!</definedName>
    <definedName name="it">#REF!</definedName>
    <definedName name="itdepmlpl" localSheetId="4">#REF!</definedName>
    <definedName name="itdepmlpl" localSheetId="29">#REF!</definedName>
    <definedName name="itdepmlpl">#REF!</definedName>
    <definedName name="item_col" localSheetId="4">#REF!</definedName>
    <definedName name="item_col" localSheetId="29">#REF!</definedName>
    <definedName name="item_col">#REF!</definedName>
    <definedName name="Item_Del_Col" localSheetId="4">#REF!</definedName>
    <definedName name="Item_Del_Col" localSheetId="29">#REF!</definedName>
    <definedName name="Item_Del_Col">#REF!</definedName>
    <definedName name="item_heading" localSheetId="4">#REF!</definedName>
    <definedName name="item_heading" localSheetId="29">#REF!</definedName>
    <definedName name="item_heading">#REF!</definedName>
    <definedName name="itemNum_col" localSheetId="4">#REF!</definedName>
    <definedName name="itemNum_col" localSheetId="29">#REF!</definedName>
    <definedName name="itemNum_col">#REF!</definedName>
    <definedName name="j" localSheetId="4">#REF!</definedName>
    <definedName name="j" localSheetId="29">#REF!</definedName>
    <definedName name="j" localSheetId="22">#REF!</definedName>
    <definedName name="j">#REF!</definedName>
    <definedName name="Jambu" localSheetId="4">#REF!</definedName>
    <definedName name="Jambu" localSheetId="29">#REF!</definedName>
    <definedName name="Jambu">#REF!</definedName>
    <definedName name="janak" localSheetId="4" hidden="1">{"form-D1",#N/A,FALSE,"FORM-D1";"form-D1_amt",#N/A,FALSE,"FORM-D1"}</definedName>
    <definedName name="janak" localSheetId="6" hidden="1">{"form-D1",#N/A,FALSE,"FORM-D1";"form-D1_amt",#N/A,FALSE,"FORM-D1"}</definedName>
    <definedName name="janak" localSheetId="9" hidden="1">{"form-D1",#N/A,FALSE,"FORM-D1";"form-D1_amt",#N/A,FALSE,"FORM-D1"}</definedName>
    <definedName name="janak" hidden="1">{"form-D1",#N/A,FALSE,"FORM-D1";"form-D1_amt",#N/A,FALSE,"FORM-D1"}</definedName>
    <definedName name="janak1" localSheetId="4" hidden="1">{"form-D1",#N/A,FALSE,"FORM-D1";"form-D1_amt",#N/A,FALSE,"FORM-D1"}</definedName>
    <definedName name="janak1" localSheetId="6" hidden="1">{"form-D1",#N/A,FALSE,"FORM-D1";"form-D1_amt",#N/A,FALSE,"FORM-D1"}</definedName>
    <definedName name="janak1" localSheetId="9" hidden="1">{"form-D1",#N/A,FALSE,"FORM-D1";"form-D1_amt",#N/A,FALSE,"FORM-D1"}</definedName>
    <definedName name="janak1" hidden="1">{"form-D1",#N/A,FALSE,"FORM-D1";"form-D1_amt",#N/A,FALSE,"FORM-D1"}</definedName>
    <definedName name="janak11">[50]PLAN_FEB97!$A$2</definedName>
    <definedName name="jap" localSheetId="4" hidden="1">{"FTS",#N/A,FALSE,"E"}</definedName>
    <definedName name="jap" localSheetId="6" hidden="1">{"FTS",#N/A,FALSE,"E"}</definedName>
    <definedName name="jap" localSheetId="9" hidden="1">{"FTS",#N/A,FALSE,"E"}</definedName>
    <definedName name="jap" hidden="1">{"FTS",#N/A,FALSE,"E"}</definedName>
    <definedName name="jjj" localSheetId="4">#REF!</definedName>
    <definedName name="jjj" localSheetId="29">#REF!</definedName>
    <definedName name="jjj" localSheetId="22">#REF!</definedName>
    <definedName name="jjj">#REF!</definedName>
    <definedName name="JJJJ" localSheetId="4">'[2]CMA DATA'!#REF!</definedName>
    <definedName name="JJJJ" localSheetId="29">'[2]CMA DATA'!#REF!</definedName>
    <definedName name="JJJJ" localSheetId="22">'[2]CMA DATA'!#REF!</definedName>
    <definedName name="JJJJ">'[2]CMA DATA'!#REF!</definedName>
    <definedName name="JK" localSheetId="4" hidden="1">{#N/A,#N/A,FALSE,"MODULE3"}</definedName>
    <definedName name="JK" localSheetId="6" hidden="1">{#N/A,#N/A,FALSE,"MODULE3"}</definedName>
    <definedName name="JK" localSheetId="9" hidden="1">{#N/A,#N/A,FALSE,"MODULE3"}</definedName>
    <definedName name="JK" hidden="1">{#N/A,#N/A,FALSE,"MODULE3"}</definedName>
    <definedName name="jmp" localSheetId="4">#REF!</definedName>
    <definedName name="jmp" localSheetId="29">#REF!</definedName>
    <definedName name="jmp">#REF!</definedName>
    <definedName name="JOBLIST">[51]Sheet1!$A$2:$A$65536</definedName>
    <definedName name="june">'[14]TB ERP-16'!$B:$K</definedName>
    <definedName name="K" localSheetId="4">#REF!</definedName>
    <definedName name="K" localSheetId="29">#REF!</definedName>
    <definedName name="K" localSheetId="22">#REF!</definedName>
    <definedName name="K">#REF!</definedName>
    <definedName name="KA" localSheetId="4">#REF!</definedName>
    <definedName name="KA" localSheetId="29">#REF!</definedName>
    <definedName name="KA">#REF!</definedName>
    <definedName name="kar_std" localSheetId="4">#REF!</definedName>
    <definedName name="kar_std" localSheetId="29">#REF!</definedName>
    <definedName name="kar_std">#REF!</definedName>
    <definedName name="Key_Indicators" localSheetId="4">#REF!</definedName>
    <definedName name="Key_Indicators" localSheetId="29">#REF!</definedName>
    <definedName name="Key_Indicators">#REF!</definedName>
    <definedName name="KHF" localSheetId="4" hidden="1">{"PLANNING",#N/A,FALSE,"A"}</definedName>
    <definedName name="KHF" localSheetId="6" hidden="1">{"PLANNING",#N/A,FALSE,"A"}</definedName>
    <definedName name="KHF" localSheetId="9" hidden="1">{"PLANNING",#N/A,FALSE,"A"}</definedName>
    <definedName name="KHF" hidden="1">{"PLANNING",#N/A,FALSE,"A"}</definedName>
    <definedName name="khfond" localSheetId="4">#REF!</definedName>
    <definedName name="khfond" localSheetId="29">#REF!</definedName>
    <definedName name="khfond">#REF!</definedName>
    <definedName name="khiljun98" localSheetId="4">#REF!</definedName>
    <definedName name="khiljun98" localSheetId="29">#REF!</definedName>
    <definedName name="khiljun98">#REF!</definedName>
    <definedName name="KIL" localSheetId="4" hidden="1">{"PLANT BREAKUP",#N/A,FALSE,"E"}</definedName>
    <definedName name="KIL" localSheetId="6" hidden="1">{"PLANT BREAKUP",#N/A,FALSE,"E"}</definedName>
    <definedName name="KIL" localSheetId="9" hidden="1">{"PLANT BREAKUP",#N/A,FALSE,"E"}</definedName>
    <definedName name="KIL" hidden="1">{"PLANT BREAKUP",#N/A,FALSE,"E"}</definedName>
    <definedName name="KK" localSheetId="4">#REF!</definedName>
    <definedName name="KK" localSheetId="29">#REF!</definedName>
    <definedName name="KK" localSheetId="22">#REF!</definedName>
    <definedName name="KK">#REF!</definedName>
    <definedName name="kkk" localSheetId="4">#REF!</definedName>
    <definedName name="kkk" localSheetId="29">#REF!</definedName>
    <definedName name="kkk" localSheetId="22">#REF!</definedName>
    <definedName name="kkk">#REF!</definedName>
    <definedName name="KKKK" localSheetId="4" hidden="1">{"ss",#N/A,FALSE,"MODULE3"}</definedName>
    <definedName name="KKKK" localSheetId="6" hidden="1">{"ss",#N/A,FALSE,"MODULE3"}</definedName>
    <definedName name="KKKK" localSheetId="9" hidden="1">{"ss",#N/A,FALSE,"MODULE3"}</definedName>
    <definedName name="KKKK" hidden="1">{"ss",#N/A,FALSE,"MODULE3"}</definedName>
    <definedName name="KKKKK" localSheetId="4" hidden="1">{"ss",#N/A,FALSE,"MODULE3"}</definedName>
    <definedName name="KKKKK" localSheetId="6" hidden="1">{"ss",#N/A,FALSE,"MODULE3"}</definedName>
    <definedName name="KKKKK" localSheetId="9" hidden="1">{"ss",#N/A,FALSE,"MODULE3"}</definedName>
    <definedName name="KKKKK" hidden="1">{"ss",#N/A,FALSE,"MODULE3"}</definedName>
    <definedName name="kkp" localSheetId="4"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kp" localSheetId="6"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kp" localSheetId="9"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kp"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ONTCASH" localSheetId="4">#REF!</definedName>
    <definedName name="KONTCASH" localSheetId="29">#REF!</definedName>
    <definedName name="KONTCASH" localSheetId="22">#REF!</definedName>
    <definedName name="KONTCASH">#REF!</definedName>
    <definedName name="KOREA_PLASTIC_in_KUSD" localSheetId="4">#REF!</definedName>
    <definedName name="KOREA_PLASTIC_in_KUSD" localSheetId="29">#REF!</definedName>
    <definedName name="KOREA_PLASTIC_in_KUSD">#REF!</definedName>
    <definedName name="kou" localSheetId="4">'[52]Sub Sch BS ROUGH'!#REF!</definedName>
    <definedName name="kou" localSheetId="29">'[52]Sub Sch BS ROUGH'!#REF!</definedName>
    <definedName name="kou">'[52]Sub Sch BS ROUGH'!#REF!</definedName>
    <definedName name="KPI" localSheetId="6" hidden="1">{#N/A,#N/A,FALSE,"Staffnos &amp; cost"}</definedName>
    <definedName name="KPI" localSheetId="9" hidden="1">{#N/A,#N/A,FALSE,"Staffnos &amp; cost"}</definedName>
    <definedName name="KPI" hidden="1">{#N/A,#N/A,FALSE,"Staffnos &amp; cost"}</definedName>
    <definedName name="ku" localSheetId="4">#REF!,#REF!,#REF!,#REF!,#REF!,#REF!,#REF!,#REF!,#REF!</definedName>
    <definedName name="ku" localSheetId="29">#REF!,#REF!,#REF!,#REF!,#REF!,#REF!,#REF!,#REF!,#REF!</definedName>
    <definedName name="ku">#REF!,#REF!,#REF!,#REF!,#REF!,#REF!,#REF!,#REF!,#REF!</definedName>
    <definedName name="KUKULE_GANGA_HYDROPOWER_PROJECT" localSheetId="4">#REF!,#REF!,#REF!,#REF!,#REF!,#REF!,#REF!,#REF!,#REF!</definedName>
    <definedName name="KUKULE_GANGA_HYDROPOWER_PROJECT" localSheetId="29">#REF!,#REF!,#REF!,#REF!,#REF!,#REF!,#REF!,#REF!,#REF!</definedName>
    <definedName name="KUKULE_GANGA_HYDROPOWER_PROJECT">#REF!,#REF!,#REF!,#REF!,#REF!,#REF!,#REF!,#REF!,#REF!</definedName>
    <definedName name="l" localSheetId="4">#REF!</definedName>
    <definedName name="l" localSheetId="29">#REF!</definedName>
    <definedName name="l" localSheetId="22">#REF!</definedName>
    <definedName name="l">#REF!</definedName>
    <definedName name="LAC">[53]S3workplanqty!$G$5</definedName>
    <definedName name="LACS">[54]PLAN_FEB97!$A$2</definedName>
    <definedName name="LE" localSheetId="4">#REF!</definedName>
    <definedName name="LE" localSheetId="29">#REF!</definedName>
    <definedName name="LE">#REF!</definedName>
    <definedName name="liab" localSheetId="4">#REF!</definedName>
    <definedName name="liab" localSheetId="29">#REF!</definedName>
    <definedName name="liab">#REF!</definedName>
    <definedName name="liab\inc\intt" localSheetId="4">#REF!</definedName>
    <definedName name="liab\inc\intt" localSheetId="29">#REF!</definedName>
    <definedName name="liab\inc\intt">#REF!</definedName>
    <definedName name="Liab1" localSheetId="4">#REF!</definedName>
    <definedName name="Liab1" localSheetId="29">#REF!</definedName>
    <definedName name="Liab1">#REF!</definedName>
    <definedName name="LIABS" localSheetId="4">#REF!</definedName>
    <definedName name="LIABS" localSheetId="29">#REF!</definedName>
    <definedName name="LIABS" localSheetId="22">#REF!</definedName>
    <definedName name="LIABS">#REF!</definedName>
    <definedName name="limcount" hidden="1">1</definedName>
    <definedName name="LIST" localSheetId="4">'[5]PL PBC'!#REF!</definedName>
    <definedName name="LIST" localSheetId="29">'[5]PL PBC'!#REF!</definedName>
    <definedName name="LIST" localSheetId="22">'[5]PL PBC'!#REF!</definedName>
    <definedName name="LIST">'[5]PL PBC'!#REF!</definedName>
    <definedName name="List_Curr">[37]Currency!$B$9:$B$31</definedName>
    <definedName name="List_of_Material" localSheetId="4">#REF!</definedName>
    <definedName name="List_of_Material" localSheetId="29">#REF!</definedName>
    <definedName name="List_of_Material">#REF!</definedName>
    <definedName name="liste" localSheetId="4">[43]PL!$B$54:$D$59</definedName>
    <definedName name="liste">[43]PL!$B$54:$D$59</definedName>
    <definedName name="ListPrice" localSheetId="4">#REF!</definedName>
    <definedName name="ListPrice" localSheetId="29">#REF!</definedName>
    <definedName name="ListPrice">#REF!</definedName>
    <definedName name="lklkljl" localSheetId="4" hidden="1">{"SUMMARY",#N/A,FALSE,"C"}</definedName>
    <definedName name="lklkljl" localSheetId="6" hidden="1">{"SUMMARY",#N/A,FALSE,"C"}</definedName>
    <definedName name="lklkljl" localSheetId="9" hidden="1">{"SUMMARY",#N/A,FALSE,"C"}</definedName>
    <definedName name="lklkljl" hidden="1">{"SUMMARY",#N/A,FALSE,"C"}</definedName>
    <definedName name="lko" localSheetId="4">#REF!</definedName>
    <definedName name="lko" localSheetId="29">#REF!</definedName>
    <definedName name="lko" localSheetId="22">#REF!</definedName>
    <definedName name="lko">#REF!</definedName>
    <definedName name="ll" localSheetId="4">#REF!</definedName>
    <definedName name="ll" localSheetId="29">#REF!</definedName>
    <definedName name="ll" localSheetId="22">#REF!</definedName>
    <definedName name="ll">#REF!</definedName>
    <definedName name="LList">[55]Listing!$P$4:$P$6</definedName>
    <definedName name="llper" localSheetId="4">#REF!</definedName>
    <definedName name="llper" localSheetId="29">#REF!</definedName>
    <definedName name="llper">#REF!</definedName>
    <definedName name="llsub" localSheetId="4">#REF!</definedName>
    <definedName name="llsub" localSheetId="29">#REF!</definedName>
    <definedName name="llsub">#REF!</definedName>
    <definedName name="llsubs" localSheetId="4">#REF!</definedName>
    <definedName name="llsubs" localSheetId="29">#REF!</definedName>
    <definedName name="llsubs">#REF!</definedName>
    <definedName name="llsubs1" localSheetId="4">#REF!</definedName>
    <definedName name="llsubs1" localSheetId="29">#REF!</definedName>
    <definedName name="llsubs1">#REF!</definedName>
    <definedName name="lo" localSheetId="4" hidden="1">{"PLANT BREAKUP",#N/A,FALSE,"E"}</definedName>
    <definedName name="lo" localSheetId="6" hidden="1">{"PLANT BREAKUP",#N/A,FALSE,"E"}</definedName>
    <definedName name="lo" localSheetId="9" hidden="1">{"PLANT BREAKUP",#N/A,FALSE,"E"}</definedName>
    <definedName name="lo" hidden="1">{"PLANT BREAKUP",#N/A,FALSE,"E"}</definedName>
    <definedName name="loankhil1" localSheetId="4">#REF!</definedName>
    <definedName name="loankhil1" localSheetId="29">#REF!</definedName>
    <definedName name="loankhil1">#REF!</definedName>
    <definedName name="loankhil2" localSheetId="4">#REF!</definedName>
    <definedName name="loankhil2" localSheetId="29">#REF!</definedName>
    <definedName name="loankhil2">#REF!</definedName>
    <definedName name="loanphil" localSheetId="4">#REF!</definedName>
    <definedName name="loanphil" localSheetId="29">#REF!</definedName>
    <definedName name="loanphil">#REF!</definedName>
    <definedName name="loanthpl" localSheetId="4">#REF!</definedName>
    <definedName name="loanthpl" localSheetId="29">#REF!</definedName>
    <definedName name="loanthpl">#REF!</definedName>
    <definedName name="loanzipl" localSheetId="4">#REF!</definedName>
    <definedName name="loanzipl" localSheetId="29">#REF!</definedName>
    <definedName name="loanzipl">#REF!</definedName>
    <definedName name="loc" localSheetId="4">#REF!</definedName>
    <definedName name="loc" localSheetId="29">#REF!</definedName>
    <definedName name="loc">#REF!</definedName>
    <definedName name="Location" localSheetId="4">#REF!</definedName>
    <definedName name="Location" localSheetId="29">#REF!</definedName>
    <definedName name="Location">#REF!</definedName>
    <definedName name="Long_service_leave">'[56]LSL at 31 Dec 01'!$F$27:$G$37</definedName>
    <definedName name="Long_service_leave2">'[56]LSL at 31 Dec 01'!$G$27:$G$37</definedName>
    <definedName name="LOSS" localSheetId="4">#REF!</definedName>
    <definedName name="LOSS" localSheetId="29">#REF!</definedName>
    <definedName name="LOSS" localSheetId="22">#REF!</definedName>
    <definedName name="LOSS">#REF!</definedName>
    <definedName name="LT_POTS" localSheetId="4">#REF!</definedName>
    <definedName name="LT_POTS" localSheetId="29">#REF!</definedName>
    <definedName name="LT_POTS">#REF!</definedName>
    <definedName name="LTA" localSheetId="4">#REF!</definedName>
    <definedName name="LTA" localSheetId="29">#REF!</definedName>
    <definedName name="LTA">#REF!</definedName>
    <definedName name="LTB" localSheetId="4">#REF!</definedName>
    <definedName name="LTB" localSheetId="29">#REF!</definedName>
    <definedName name="LTB">#REF!</definedName>
    <definedName name="LTC" localSheetId="4">#REF!</definedName>
    <definedName name="LTC" localSheetId="29">#REF!</definedName>
    <definedName name="LTC">#REF!</definedName>
    <definedName name="LTD" localSheetId="4">#REF!</definedName>
    <definedName name="LTD" localSheetId="29">#REF!</definedName>
    <definedName name="LTD">#REF!</definedName>
    <definedName name="ltg_fac" localSheetId="4">#REF!</definedName>
    <definedName name="ltg_fac" localSheetId="29">#REF!</definedName>
    <definedName name="ltg_fac">#REF!</definedName>
    <definedName name="ltgb" localSheetId="4">#REF!</definedName>
    <definedName name="ltgb" localSheetId="29">#REF!</definedName>
    <definedName name="ltgb">#REF!</definedName>
    <definedName name="ltgboss" localSheetId="4">#REF!</definedName>
    <definedName name="ltgboss" localSheetId="29">#REF!</definedName>
    <definedName name="ltgboss">#REF!</definedName>
    <definedName name="ltgbtr" localSheetId="4">#REF!</definedName>
    <definedName name="ltgbtr" localSheetId="29">#REF!</definedName>
    <definedName name="ltgbtr">#REF!</definedName>
    <definedName name="ltgc" localSheetId="4">#REF!</definedName>
    <definedName name="ltgc" localSheetId="29">#REF!</definedName>
    <definedName name="ltgc">#REF!</definedName>
    <definedName name="ltgcb" localSheetId="4">#REF!</definedName>
    <definedName name="ltgcb" localSheetId="29">#REF!</definedName>
    <definedName name="ltgcb">#REF!</definedName>
    <definedName name="ltgd" localSheetId="4">#REF!</definedName>
    <definedName name="ltgd" localSheetId="29">#REF!</definedName>
    <definedName name="ltgd">#REF!</definedName>
    <definedName name="LTGGBL" localSheetId="4">#REF!</definedName>
    <definedName name="LTGGBL" localSheetId="29">#REF!</definedName>
    <definedName name="LTGGBL">#REF!</definedName>
    <definedName name="LTGGBR" localSheetId="4">#REF!</definedName>
    <definedName name="LTGGBR" localSheetId="29">#REF!</definedName>
    <definedName name="LTGGBR">#REF!</definedName>
    <definedName name="LTGGCL" localSheetId="4">#REF!</definedName>
    <definedName name="LTGGCL" localSheetId="29">#REF!</definedName>
    <definedName name="LTGGCL">#REF!</definedName>
    <definedName name="ltpcsubs" localSheetId="4">#REF!</definedName>
    <definedName name="ltpcsubs" localSheetId="29">#REF!</definedName>
    <definedName name="ltpcsubs">#REF!</definedName>
    <definedName name="ltpcsubs1" localSheetId="4">#REF!</definedName>
    <definedName name="ltpcsubs1" localSheetId="29">#REF!</definedName>
    <definedName name="ltpcsubs1">#REF!</definedName>
    <definedName name="lu" localSheetId="4">#REF!</definedName>
    <definedName name="lu" localSheetId="29">#REF!</definedName>
    <definedName name="lu">#REF!</definedName>
    <definedName name="LU_x3" localSheetId="4">#REF!</definedName>
    <definedName name="LU_x3" localSheetId="29">#REF!</definedName>
    <definedName name="LU_x3">#REF!</definedName>
    <definedName name="LU155E" localSheetId="4">#REF!</definedName>
    <definedName name="LU155E" localSheetId="29">#REF!</definedName>
    <definedName name="LU155E">#REF!</definedName>
    <definedName name="LU155OL" localSheetId="4">#REF!</definedName>
    <definedName name="LU155OL" localSheetId="29">#REF!</definedName>
    <definedName name="LU155OL">#REF!</definedName>
    <definedName name="LU155OM" localSheetId="4">#REF!</definedName>
    <definedName name="LU155OM" localSheetId="29">#REF!</definedName>
    <definedName name="LU155OM">#REF!</definedName>
    <definedName name="LY" localSheetId="4">'[44]Financials -Jan 03-Mar04'!#REF!</definedName>
    <definedName name="LY" localSheetId="29">'[44]Financials -Jan 03-Mar04'!#REF!</definedName>
    <definedName name="LY">'[44]Financials -Jan 03-Mar04'!#REF!</definedName>
    <definedName name="M" localSheetId="4">#REF!</definedName>
    <definedName name="M" localSheetId="29">#REF!</definedName>
    <definedName name="M" localSheetId="22">#REF!</definedName>
    <definedName name="M">#REF!</definedName>
    <definedName name="maha" localSheetId="4" hidden="1">{"ss",#N/A,FALSE,"MODULE3"}</definedName>
    <definedName name="maha" localSheetId="6" hidden="1">{"ss",#N/A,FALSE,"MODULE3"}</definedName>
    <definedName name="maha" localSheetId="9" hidden="1">{"ss",#N/A,FALSE,"MODULE3"}</definedName>
    <definedName name="maha" hidden="1">{"ss",#N/A,FALSE,"MODULE3"}</definedName>
    <definedName name="maindmn" localSheetId="4">#REF!</definedName>
    <definedName name="maindmn" localSheetId="29">#REF!</definedName>
    <definedName name="maindmn">#REF!</definedName>
    <definedName name="Maint_IFs" localSheetId="4">#REF!</definedName>
    <definedName name="Maint_IFs" localSheetId="29">#REF!</definedName>
    <definedName name="Maint_IFs">#REF!</definedName>
    <definedName name="Make_Summary" localSheetId="4">#REF!</definedName>
    <definedName name="Make_Summary" localSheetId="29">#REF!</definedName>
    <definedName name="Make_Summary">#REF!</definedName>
    <definedName name="MANOJ" localSheetId="4">#REF!</definedName>
    <definedName name="MANOJ" localSheetId="29">#REF!</definedName>
    <definedName name="MANOJ" localSheetId="22">#REF!</definedName>
    <definedName name="MANOJ">#REF!</definedName>
    <definedName name="mar" localSheetId="4">[57]Main!#REF!</definedName>
    <definedName name="mar" localSheetId="29">[57]Main!#REF!</definedName>
    <definedName name="mar">[57]Main!#REF!</definedName>
    <definedName name="march" localSheetId="4">'[5]PL PBC'!#REF!</definedName>
    <definedName name="march" localSheetId="29">'[5]PL PBC'!#REF!</definedName>
    <definedName name="march" localSheetId="22">'[5]PL PBC'!#REF!</definedName>
    <definedName name="march">'[5]PL PBC'!#REF!</definedName>
    <definedName name="MARGIN" localSheetId="4">#REF!</definedName>
    <definedName name="MARGIN" localSheetId="29">#REF!</definedName>
    <definedName name="MARGIN">#REF!</definedName>
    <definedName name="Maria" localSheetId="4">#REF!</definedName>
    <definedName name="Maria" localSheetId="29">#REF!</definedName>
    <definedName name="Maria">#REF!</definedName>
    <definedName name="MASON">'[24]#REF'!$B$14</definedName>
    <definedName name="Mat.Liab.1">[58]Encl.12!$B$5</definedName>
    <definedName name="MATE">'[24]#REF'!$B$15</definedName>
    <definedName name="Material" localSheetId="4">#REF!</definedName>
    <definedName name="Material" localSheetId="29">#REF!</definedName>
    <definedName name="Material" localSheetId="22">#REF!</definedName>
    <definedName name="Material">#REF!</definedName>
    <definedName name="md" localSheetId="4">#REF!</definedName>
    <definedName name="md" localSheetId="29">#REF!</definedName>
    <definedName name="md">#REF!</definedName>
    <definedName name="mddgn" localSheetId="4">#REF!</definedName>
    <definedName name="mddgn" localSheetId="29">#REF!</definedName>
    <definedName name="mddgn">#REF!</definedName>
    <definedName name="MDEVISES" localSheetId="4">#REF!,#REF!,#REF!</definedName>
    <definedName name="MDEVISES" localSheetId="29">#REF!,#REF!,#REF!</definedName>
    <definedName name="MDEVISES">#REF!,#REF!,#REF!</definedName>
    <definedName name="mdname" localSheetId="4">#REF!</definedName>
    <definedName name="mdname" localSheetId="29">#REF!</definedName>
    <definedName name="mdname">#REF!</definedName>
    <definedName name="MEASUREMENTS" localSheetId="4">#REF!</definedName>
    <definedName name="MEASUREMENTS" localSheetId="29">#REF!</definedName>
    <definedName name="MEASUREMENTS" localSheetId="22">#REF!</definedName>
    <definedName name="MEASUREMENTS">#REF!</definedName>
    <definedName name="mela" localSheetId="4" hidden="1">{"ss",#N/A,FALSE,"MODULE3"}</definedName>
    <definedName name="mela" localSheetId="6" hidden="1">{"ss",#N/A,FALSE,"MODULE3"}</definedName>
    <definedName name="mela" localSheetId="9" hidden="1">{"ss",#N/A,FALSE,"MODULE3"}</definedName>
    <definedName name="mela" hidden="1">{"ss",#N/A,FALSE,"MODULE3"}</definedName>
    <definedName name="menu" localSheetId="4">#REF!</definedName>
    <definedName name="menu" localSheetId="29">#REF!</definedName>
    <definedName name="menu">#REF!</definedName>
    <definedName name="Method_abbrev" localSheetId="4">#REF!</definedName>
    <definedName name="Method_abbrev" localSheetId="29">#REF!</definedName>
    <definedName name="Method_abbrev">#REF!</definedName>
    <definedName name="MethodAcc">[26]Masters!$C$46</definedName>
    <definedName name="MFRF" localSheetId="4">#REF!,#REF!,#REF!,#REF!,#REF!</definedName>
    <definedName name="MFRF" localSheetId="29">#REF!,#REF!,#REF!,#REF!,#REF!</definedName>
    <definedName name="MFRF">#REF!,#REF!,#REF!,#REF!,#REF!</definedName>
    <definedName name="mhd" localSheetId="4">#REF!</definedName>
    <definedName name="mhd" localSheetId="29">#REF!</definedName>
    <definedName name="mhd">#REF!</definedName>
    <definedName name="mhd_c" localSheetId="4">#REF!</definedName>
    <definedName name="mhd_c" localSheetId="29">#REF!</definedName>
    <definedName name="mhd_c">#REF!</definedName>
    <definedName name="mhkbanksummary9798" localSheetId="4">#REF!</definedName>
    <definedName name="mhkbanksummary9798" localSheetId="29">#REF!</definedName>
    <definedName name="mhkbanksummary9798">#REF!</definedName>
    <definedName name="mi" localSheetId="4" hidden="1">{"FTS",#N/A,FALSE,"E"}</definedName>
    <definedName name="mi" localSheetId="6" hidden="1">{"FTS",#N/A,FALSE,"E"}</definedName>
    <definedName name="mi" localSheetId="9" hidden="1">{"FTS",#N/A,FALSE,"E"}</definedName>
    <definedName name="mi" hidden="1">{"FTS",#N/A,FALSE,"E"}</definedName>
    <definedName name="Michael" localSheetId="4">#REF!</definedName>
    <definedName name="Michael" localSheetId="29">#REF!</definedName>
    <definedName name="Michael">#REF!</definedName>
    <definedName name="mimim" localSheetId="4" hidden="1">{"CASH FLOW",#N/A,FALSE,"A"}</definedName>
    <definedName name="mimim" localSheetId="6" hidden="1">{"CASH FLOW",#N/A,FALSE,"A"}</definedName>
    <definedName name="mimim" localSheetId="9" hidden="1">{"CASH FLOW",#N/A,FALSE,"A"}</definedName>
    <definedName name="mimim" hidden="1">{"CASH FLOW",#N/A,FALSE,"A"}</definedName>
    <definedName name="miou" localSheetId="4">#REF!</definedName>
    <definedName name="miou" localSheetId="29">#REF!</definedName>
    <definedName name="miou" localSheetId="22">#REF!</definedName>
    <definedName name="miou">#REF!</definedName>
    <definedName name="MIS" localSheetId="4">#REF!</definedName>
    <definedName name="MIS" localSheetId="29">#REF!</definedName>
    <definedName name="MIS">#REF!</definedName>
    <definedName name="mkt_share" localSheetId="4">#REF!</definedName>
    <definedName name="mkt_share" localSheetId="29">#REF!</definedName>
    <definedName name="mkt_share">#REF!</definedName>
    <definedName name="mm" localSheetId="4" hidden="1">{#N/A,#N/A,FALSE,"MODULE3"}</definedName>
    <definedName name="mm" localSheetId="6" hidden="1">{#N/A,#N/A,FALSE,"MODULE3"}</definedName>
    <definedName name="mm" localSheetId="9" hidden="1">{#N/A,#N/A,FALSE,"MODULE3"}</definedName>
    <definedName name="mm" hidden="1">{#N/A,#N/A,FALSE,"MODULE3"}</definedName>
    <definedName name="MMM" localSheetId="4" hidden="1">{"FTS",#N/A,FALSE,"E"}</definedName>
    <definedName name="MMM" localSheetId="6" hidden="1">{"FTS",#N/A,FALSE,"E"}</definedName>
    <definedName name="MMM" localSheetId="9" hidden="1">{"FTS",#N/A,FALSE,"E"}</definedName>
    <definedName name="MMM" hidden="1">{"FTS",#N/A,FALSE,"E"}</definedName>
    <definedName name="MN" localSheetId="4">#REF!</definedName>
    <definedName name="MN" localSheetId="29">#REF!</definedName>
    <definedName name="MN">#REF!</definedName>
    <definedName name="mndim" localSheetId="4">#REF!</definedName>
    <definedName name="mndim" localSheetId="29">#REF!</definedName>
    <definedName name="mndim">#REF!</definedName>
    <definedName name="Model" localSheetId="4">#REF!</definedName>
    <definedName name="Model" localSheetId="29">#REF!</definedName>
    <definedName name="Model">#REF!</definedName>
    <definedName name="Mon_1995" localSheetId="4">#REF!</definedName>
    <definedName name="Mon_1995" localSheetId="29">#REF!</definedName>
    <definedName name="Mon_1995">#REF!</definedName>
    <definedName name="Mon_Actl" localSheetId="4">#REF!</definedName>
    <definedName name="Mon_Actl" localSheetId="29">#REF!</definedName>
    <definedName name="Mon_Actl">#REF!</definedName>
    <definedName name="Mon_Plan" localSheetId="4">#REF!</definedName>
    <definedName name="Mon_Plan" localSheetId="29">#REF!</definedName>
    <definedName name="Mon_Plan">#REF!</definedName>
    <definedName name="month" localSheetId="4">#REF!</definedName>
    <definedName name="month" localSheetId="29">#REF!</definedName>
    <definedName name="month">#REF!</definedName>
    <definedName name="Month_Days" localSheetId="4">#REF!</definedName>
    <definedName name="Month_Days" localSheetId="29">#REF!</definedName>
    <definedName name="Month_Days">#REF!</definedName>
    <definedName name="Monthly_Variance" localSheetId="4">#REF!</definedName>
    <definedName name="Monthly_Variance" localSheetId="29">#REF!</definedName>
    <definedName name="Monthly_Variance">#REF!</definedName>
    <definedName name="MOR_OSC" localSheetId="4">#REF!</definedName>
    <definedName name="MOR_OSC" localSheetId="29">#REF!</definedName>
    <definedName name="MOR_OSC">#REF!</definedName>
    <definedName name="MPbackup">[59]S1BOQ!$HS$1</definedName>
    <definedName name="MRT">[60]GRP!$C$1:$E$65536</definedName>
    <definedName name="MStVal">[26]Masters!$C$47</definedName>
    <definedName name="myrtet" localSheetId="4" hidden="1">{"PLANT BREAKUP",#N/A,FALSE,"E"}</definedName>
    <definedName name="myrtet" localSheetId="6" hidden="1">{"PLANT BREAKUP",#N/A,FALSE,"E"}</definedName>
    <definedName name="myrtet" localSheetId="9" hidden="1">{"PLANT BREAKUP",#N/A,FALSE,"E"}</definedName>
    <definedName name="myrtet" hidden="1">{"PLANT BREAKUP",#N/A,FALSE,"E"}</definedName>
    <definedName name="n" localSheetId="4" hidden="1">#REF!</definedName>
    <definedName name="n" localSheetId="29" hidden="1">#REF!</definedName>
    <definedName name="n" localSheetId="22" hidden="1">#REF!</definedName>
    <definedName name="n" hidden="1">#REF!</definedName>
    <definedName name="N_B_SW" localSheetId="4">#REF!</definedName>
    <definedName name="N_B_SW" localSheetId="29">#REF!</definedName>
    <definedName name="N_B_SW">#REF!</definedName>
    <definedName name="N_CMU" localSheetId="4">#REF!</definedName>
    <definedName name="N_CMU" localSheetId="29">#REF!</definedName>
    <definedName name="N_CMU">#REF!</definedName>
    <definedName name="N_DLU_EU" localSheetId="4">#REF!</definedName>
    <definedName name="N_DLU_EU" localSheetId="29">#REF!</definedName>
    <definedName name="N_DLU_EU">#REF!</definedName>
    <definedName name="N_DLU_NU" localSheetId="4">#REF!</definedName>
    <definedName name="N_DLU_NU" localSheetId="29">#REF!</definedName>
    <definedName name="N_DLU_NU">#REF!</definedName>
    <definedName name="N_Door_x" localSheetId="4">#REF!</definedName>
    <definedName name="N_Door_x" localSheetId="29">#REF!</definedName>
    <definedName name="N_Door_x">#REF!</definedName>
    <definedName name="N_LT_ISDN" localSheetId="4">#REF!</definedName>
    <definedName name="N_LT_ISDN" localSheetId="29">#REF!</definedName>
    <definedName name="N_LT_ISDN">#REF!</definedName>
    <definedName name="N_LT_POTS" localSheetId="4">#REF!</definedName>
    <definedName name="N_LT_POTS" localSheetId="29">#REF!</definedName>
    <definedName name="N_LT_POTS">#REF!</definedName>
    <definedName name="N_LU_x3" localSheetId="4">#REF!</definedName>
    <definedName name="N_LU_x3" localSheetId="29">#REF!</definedName>
    <definedName name="N_LU_x3">#REF!</definedName>
    <definedName name="N_LU155E" localSheetId="4">#REF!</definedName>
    <definedName name="N_LU155E" localSheetId="29">#REF!</definedName>
    <definedName name="N_LU155E">#REF!</definedName>
    <definedName name="N_LU155OL" localSheetId="4">#REF!</definedName>
    <definedName name="N_LU155OL" localSheetId="29">#REF!</definedName>
    <definedName name="N_LU155OL">#REF!</definedName>
    <definedName name="N_LU155OM" localSheetId="4">#REF!</definedName>
    <definedName name="N_LU155OM" localSheetId="29">#REF!</definedName>
    <definedName name="N_LU155OM">#REF!</definedName>
    <definedName name="N_Panel_m" localSheetId="4">#REF!</definedName>
    <definedName name="N_Panel_m" localSheetId="29">#REF!</definedName>
    <definedName name="N_Panel_m">#REF!</definedName>
    <definedName name="N_Panel_u" localSheetId="4">#REF!</definedName>
    <definedName name="N_Panel_u" localSheetId="29">#REF!</definedName>
    <definedName name="N_Panel_u">#REF!</definedName>
    <definedName name="N_Rack_m" localSheetId="4">#REF!</definedName>
    <definedName name="N_Rack_m" localSheetId="29">#REF!</definedName>
    <definedName name="N_Rack_m">#REF!</definedName>
    <definedName name="N_Rack_o" localSheetId="4">#REF!</definedName>
    <definedName name="N_Rack_o" localSheetId="29">#REF!</definedName>
    <definedName name="N_Rack_o">#REF!</definedName>
    <definedName name="N_Rack_u" localSheetId="4">#REF!</definedName>
    <definedName name="N_Rack_u" localSheetId="29">#REF!</definedName>
    <definedName name="N_Rack_u">#REF!</definedName>
    <definedName name="N_SLMA_CMRL_E" localSheetId="4">#REF!</definedName>
    <definedName name="N_SLMA_CMRL_E" localSheetId="29">#REF!</definedName>
    <definedName name="N_SLMA_CMRL_E">#REF!</definedName>
    <definedName name="N_SLMA_CMRL_N" localSheetId="4">#REF!</definedName>
    <definedName name="N_SLMA_CMRL_N" localSheetId="29">#REF!</definedName>
    <definedName name="N_SLMA_CMRL_N">#REF!</definedName>
    <definedName name="N_SLMA_COS_E" localSheetId="4">#REF!</definedName>
    <definedName name="N_SLMA_COS_E" localSheetId="29">#REF!</definedName>
    <definedName name="N_SLMA_COS_E">#REF!</definedName>
    <definedName name="N_SLMA_COS_N" localSheetId="4">#REF!</definedName>
    <definedName name="N_SLMA_COS_N" localSheetId="29">#REF!</definedName>
    <definedName name="N_SLMA_COS_N">#REF!</definedName>
    <definedName name="N_SLMD_E" localSheetId="4">#REF!</definedName>
    <definedName name="N_SLMD_E" localSheetId="29">#REF!</definedName>
    <definedName name="N_SLMD_E">#REF!</definedName>
    <definedName name="N_SLMD_N" localSheetId="4">#REF!</definedName>
    <definedName name="N_SLMD_N" localSheetId="29">#REF!</definedName>
    <definedName name="N_SLMD_N">#REF!</definedName>
    <definedName name="N_UPL" localSheetId="4">#REF!</definedName>
    <definedName name="N_UPL" localSheetId="29">#REF!</definedName>
    <definedName name="N_UPL">#REF!</definedName>
    <definedName name="NA_Value_list" localSheetId="4">#REF!</definedName>
    <definedName name="NA_Value_list" localSheetId="29">#REF!</definedName>
    <definedName name="NA_Value_list">#REF!</definedName>
    <definedName name="NADs" localSheetId="4">#REF!</definedName>
    <definedName name="NADs" localSheetId="29">#REF!</definedName>
    <definedName name="NADs">#REF!</definedName>
    <definedName name="name" localSheetId="4">#REF!</definedName>
    <definedName name="Name">[23]Info!$B$1</definedName>
    <definedName name="NAMELOOK" localSheetId="4">#REF!</definedName>
    <definedName name="NAMELOOK" localSheetId="29">#REF!</definedName>
    <definedName name="NAMELOOK" localSheetId="22">#REF!</definedName>
    <definedName name="NAMELOOK">#REF!</definedName>
    <definedName name="nana" localSheetId="6">{7}</definedName>
    <definedName name="nana" localSheetId="9">{7}</definedName>
    <definedName name="nana">{7}</definedName>
    <definedName name="NatureBusiness">[26]Masters!$C$45</definedName>
    <definedName name="NC1A" localSheetId="4">#REF!</definedName>
    <definedName name="NC1A" localSheetId="29">#REF!</definedName>
    <definedName name="NC1A">#REF!</definedName>
    <definedName name="NC1B" localSheetId="4">#REF!</definedName>
    <definedName name="NC1B" localSheetId="29">#REF!</definedName>
    <definedName name="NC1B">#REF!</definedName>
    <definedName name="NC2A" localSheetId="4">#REF!</definedName>
    <definedName name="NC2A" localSheetId="29">#REF!</definedName>
    <definedName name="NC2A">#REF!</definedName>
    <definedName name="nccb" localSheetId="4">#REF!</definedName>
    <definedName name="nccb" localSheetId="29">#REF!</definedName>
    <definedName name="nccb">#REF!</definedName>
    <definedName name="ncmrl" localSheetId="4">#REF!</definedName>
    <definedName name="ncmrl" localSheetId="29">#REF!</definedName>
    <definedName name="ncmrl">#REF!</definedName>
    <definedName name="ncos" localSheetId="4">#REF!</definedName>
    <definedName name="ncos" localSheetId="29">#REF!</definedName>
    <definedName name="ncos">#REF!</definedName>
    <definedName name="ncoub" localSheetId="4">#REF!</definedName>
    <definedName name="ncoub" localSheetId="29">#REF!</definedName>
    <definedName name="ncoub">#REF!</definedName>
    <definedName name="ndiu" localSheetId="4">#REF!</definedName>
    <definedName name="ndiu" localSheetId="29">#REF!</definedName>
    <definedName name="ndiu">#REF!</definedName>
    <definedName name="ndiurdlu" localSheetId="4">#REF!</definedName>
    <definedName name="ndiurdlu" localSheetId="29">#REF!</definedName>
    <definedName name="ndiurdlu">#REF!</definedName>
    <definedName name="ndiutr" localSheetId="4">#REF!</definedName>
    <definedName name="ndiutr" localSheetId="29">#REF!</definedName>
    <definedName name="ndiutr">#REF!</definedName>
    <definedName name="ndlu" localSheetId="4">#REF!</definedName>
    <definedName name="ndlu" localSheetId="29">#REF!</definedName>
    <definedName name="ndlu">#REF!</definedName>
    <definedName name="ndlu60" localSheetId="4">#REF!</definedName>
    <definedName name="ndlu60" localSheetId="29">#REF!</definedName>
    <definedName name="ndlu60">#REF!</definedName>
    <definedName name="NDLUT" localSheetId="4">#REF!</definedName>
    <definedName name="NDLUT" localSheetId="29">#REF!</definedName>
    <definedName name="NDLUT">#REF!</definedName>
    <definedName name="ndn" localSheetId="4">#REF!</definedName>
    <definedName name="ndn" localSheetId="29">#REF!</definedName>
    <definedName name="ndn" localSheetId="22">#REF!</definedName>
    <definedName name="ndn">#REF!</definedName>
    <definedName name="NE_RTU_INPUT_RANGE" localSheetId="4">#REF!</definedName>
    <definedName name="NE_RTU_INPUT_RANGE" localSheetId="29">#REF!</definedName>
    <definedName name="NE_RTU_INPUT_RANGE">#REF!</definedName>
    <definedName name="nego_mar" localSheetId="4">#REF!</definedName>
    <definedName name="nego_mar" localSheetId="29">#REF!</definedName>
    <definedName name="nego_mar">#REF!</definedName>
    <definedName name="NERTUINPUT" localSheetId="4">#REF!</definedName>
    <definedName name="NERTUINPUT" localSheetId="29">#REF!</definedName>
    <definedName name="NERTUINPUT">#REF!</definedName>
    <definedName name="NET" localSheetId="4">#REF!</definedName>
    <definedName name="NET" localSheetId="29">#REF!</definedName>
    <definedName name="NET">#REF!</definedName>
    <definedName name="NetPrice" localSheetId="4">#REF!</definedName>
    <definedName name="NetPrice" localSheetId="29">#REF!</definedName>
    <definedName name="NetPrice">#REF!</definedName>
    <definedName name="new" localSheetId="4">#REF!</definedName>
    <definedName name="new" localSheetId="29">#REF!</definedName>
    <definedName name="new">#REF!</definedName>
    <definedName name="new_plant_financed" localSheetId="4">#REF!</definedName>
    <definedName name="new_plant_financed" localSheetId="29">#REF!</definedName>
    <definedName name="new_plant_financed">#REF!</definedName>
    <definedName name="New_Salaries" localSheetId="4">#REF!</definedName>
    <definedName name="New_Salaries" localSheetId="29">#REF!</definedName>
    <definedName name="New_Salaries">#REF!</definedName>
    <definedName name="newname" localSheetId="4">#REF!</definedName>
    <definedName name="newname" localSheetId="29">#REF!</definedName>
    <definedName name="newname" localSheetId="22">#REF!</definedName>
    <definedName name="newname">#REF!</definedName>
    <definedName name="NFE_database" localSheetId="4">#REF!</definedName>
    <definedName name="NFE_database" localSheetId="29">#REF!</definedName>
    <definedName name="NFE_database">#REF!</definedName>
    <definedName name="NFE_Database_1" localSheetId="4">#REF!</definedName>
    <definedName name="NFE_Database_1" localSheetId="29">#REF!</definedName>
    <definedName name="NFE_Database_1">#REF!</definedName>
    <definedName name="nhome" localSheetId="4">#REF!</definedName>
    <definedName name="nhome" localSheetId="29">#REF!</definedName>
    <definedName name="nhome">#REF!</definedName>
    <definedName name="ni" localSheetId="4">#REF!</definedName>
    <definedName name="ni" localSheetId="29">#REF!</definedName>
    <definedName name="ni" localSheetId="22">#REF!</definedName>
    <definedName name="ni">#REF!</definedName>
    <definedName name="nidhi" localSheetId="4">#REF!</definedName>
    <definedName name="nidhi" localSheetId="29">#REF!</definedName>
    <definedName name="nidhi">#REF!</definedName>
    <definedName name="Ninety_Day_Balances">'[61]AR Graphs'!$A$65:$I$122</definedName>
    <definedName name="nisdnba" localSheetId="4">#REF!</definedName>
    <definedName name="nisdnba" localSheetId="29">#REF!</definedName>
    <definedName name="nisdnba">#REF!</definedName>
    <definedName name="nisdnpa" localSheetId="4">#REF!</definedName>
    <definedName name="nisdnpa" localSheetId="29">#REF!</definedName>
    <definedName name="nisdnpa">#REF!</definedName>
    <definedName name="nk" localSheetId="4">#REF!</definedName>
    <definedName name="nk" localSheetId="29">#REF!</definedName>
    <definedName name="nk" localSheetId="22">#REF!</definedName>
    <definedName name="nk">#REF!</definedName>
    <definedName name="nldib" localSheetId="4">#REF!</definedName>
    <definedName name="nldib" localSheetId="29">#REF!</definedName>
    <definedName name="nldib">#REF!</definedName>
    <definedName name="NLG" localSheetId="4">'[5]PL PBC'!#REF!</definedName>
    <definedName name="NLG" localSheetId="29">'[5]PL PBC'!#REF!</definedName>
    <definedName name="NLG" localSheetId="22">'[5]PL PBC'!#REF!</definedName>
    <definedName name="NLG">'[5]PL PBC'!#REF!</definedName>
    <definedName name="NLGMONTH" localSheetId="4">'[5]PL PBC'!#REF!</definedName>
    <definedName name="NLGMONTH" localSheetId="29">'[5]PL PBC'!#REF!</definedName>
    <definedName name="NLGMONTH" localSheetId="22">'[5]PL PBC'!#REF!</definedName>
    <definedName name="NLGMONTH">'[5]PL PBC'!#REF!</definedName>
    <definedName name="nlinks" localSheetId="4">#REF!</definedName>
    <definedName name="nlinks" localSheetId="29">#REF!</definedName>
    <definedName name="nlinks">#REF!</definedName>
    <definedName name="nlong" localSheetId="4">#REF!</definedName>
    <definedName name="nlong" localSheetId="29">#REF!</definedName>
    <definedName name="nlong">#REF!</definedName>
    <definedName name="nltg" localSheetId="4">#REF!</definedName>
    <definedName name="nltg" localSheetId="29">#REF!</definedName>
    <definedName name="nltg">#REF!</definedName>
    <definedName name="nltgb" localSheetId="4">#REF!</definedName>
    <definedName name="nltgb" localSheetId="29">#REF!</definedName>
    <definedName name="nltgb">#REF!</definedName>
    <definedName name="nltgc" localSheetId="4">#REF!</definedName>
    <definedName name="nltgc" localSheetId="29">#REF!</definedName>
    <definedName name="nltgc">#REF!</definedName>
    <definedName name="nltpc" localSheetId="4">#REF!</definedName>
    <definedName name="nltpc" localSheetId="29">#REF!</definedName>
    <definedName name="nltpc">#REF!</definedName>
    <definedName name="nlws" localSheetId="4">#REF!</definedName>
    <definedName name="nlws" localSheetId="29">#REF!</definedName>
    <definedName name="nlws">#REF!</definedName>
    <definedName name="nn" localSheetId="4" hidden="1">{"FTS",#N/A,FALSE,"E"}</definedName>
    <definedName name="nn" localSheetId="6" hidden="1">{"FTS",#N/A,FALSE,"E"}</definedName>
    <definedName name="nn" localSheetId="9" hidden="1">{"FTS",#N/A,FALSE,"E"}</definedName>
    <definedName name="nn" hidden="1">{"FTS",#N/A,FALSE,"E"}</definedName>
    <definedName name="no_control" localSheetId="4">#REF!</definedName>
    <definedName name="no_control" localSheetId="29">#REF!</definedName>
    <definedName name="no_control">#REF!</definedName>
    <definedName name="no_traffic" localSheetId="4">#REF!</definedName>
    <definedName name="no_traffic" localSheetId="29">#REF!</definedName>
    <definedName name="no_traffic">#REF!</definedName>
    <definedName name="nord" localSheetId="4">#REF!</definedName>
    <definedName name="nord" localSheetId="29">#REF!</definedName>
    <definedName name="nord">#REF!</definedName>
    <definedName name="Nortel_Margin" localSheetId="4">#REF!</definedName>
    <definedName name="Nortel_Margin" localSheetId="29">#REF!</definedName>
    <definedName name="Nortel_Margin">#REF!</definedName>
    <definedName name="North_America" localSheetId="4">#REF!</definedName>
    <definedName name="North_America" localSheetId="29">#REF!</definedName>
    <definedName name="North_America">#REF!</definedName>
    <definedName name="npabx" localSheetId="4">#REF!</definedName>
    <definedName name="npabx" localSheetId="29">#REF!</definedName>
    <definedName name="npabx">#REF!</definedName>
    <definedName name="npcorp" localSheetId="4">#REF!</definedName>
    <definedName name="npcorp" localSheetId="29">#REF!</definedName>
    <definedName name="npcorp" localSheetId="22">#REF!</definedName>
    <definedName name="npcorp">#REF!</definedName>
    <definedName name="npdiv1" localSheetId="4">#REF!</definedName>
    <definedName name="npdiv1" localSheetId="29">#REF!</definedName>
    <definedName name="npdiv1" localSheetId="22">#REF!</definedName>
    <definedName name="npdiv1">#REF!</definedName>
    <definedName name="npdiv2" localSheetId="4">#REF!</definedName>
    <definedName name="npdiv2" localSheetId="29">#REF!</definedName>
    <definedName name="npdiv2" localSheetId="22">#REF!</definedName>
    <definedName name="npdiv2">#REF!</definedName>
    <definedName name="npdiv3" localSheetId="4">#REF!</definedName>
    <definedName name="npdiv3" localSheetId="29">#REF!</definedName>
    <definedName name="npdiv3" localSheetId="22">#REF!</definedName>
    <definedName name="npdiv3">#REF!</definedName>
    <definedName name="npdiv4" localSheetId="4">#REF!</definedName>
    <definedName name="npdiv4" localSheetId="29">#REF!</definedName>
    <definedName name="npdiv4" localSheetId="22">#REF!</definedName>
    <definedName name="npdiv4">#REF!</definedName>
    <definedName name="npdivplant" localSheetId="4">#REF!</definedName>
    <definedName name="npdivplant" localSheetId="29">#REF!</definedName>
    <definedName name="npdivplant" localSheetId="22">#REF!</definedName>
    <definedName name="npdivplant">#REF!</definedName>
    <definedName name="NRM" localSheetId="4">#REF!</definedName>
    <definedName name="NRM" localSheetId="29">#REF!</definedName>
    <definedName name="NRM">#REF!</definedName>
    <definedName name="nrmux" localSheetId="4">#REF!</definedName>
    <definedName name="nrmux" localSheetId="29">#REF!</definedName>
    <definedName name="nrmux">#REF!</definedName>
    <definedName name="nrrlu" localSheetId="4">#REF!</definedName>
    <definedName name="nrrlu" localSheetId="29">#REF!</definedName>
    <definedName name="nrrlu">#REF!</definedName>
    <definedName name="nslmd" localSheetId="4">#REF!</definedName>
    <definedName name="nslmd" localSheetId="29">#REF!</definedName>
    <definedName name="nslmd">#REF!</definedName>
    <definedName name="ntsmb" localSheetId="4">#REF!</definedName>
    <definedName name="ntsmb" localSheetId="29">#REF!</definedName>
    <definedName name="ntsmb">#REF!</definedName>
    <definedName name="num_sites" localSheetId="4">#REF!</definedName>
    <definedName name="num_sites" localSheetId="29">#REF!</definedName>
    <definedName name="num_sites">#REF!</definedName>
    <definedName name="NvsASD">"V2007-12-31"</definedName>
    <definedName name="NvsAutoDrillOk">"VN"</definedName>
    <definedName name="NvsElapsedTime">0.0000347222230629995</definedName>
    <definedName name="NvsEndTime">39479.2449189815</definedName>
    <definedName name="NvsInstLang">"VENG"</definedName>
    <definedName name="NvsInstSpec">"%,FBUSINESS_UNIT,V24000"</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"V2006-12-16"</definedName>
    <definedName name="NvsPanelSetid">"VSHARE"</definedName>
    <definedName name="NvsReqBU">"V21000"</definedName>
    <definedName name="NvsReqBUOnly">"VN"</definedName>
    <definedName name="NvsTransLed">"VN"</definedName>
    <definedName name="NvsTreeASD">"V2007-12-31"</definedName>
    <definedName name="NvsValTbl.BOOK_CODE">"BOOK_CODE_TBL"</definedName>
    <definedName name="NvsValTbl.BUSINESS_UNIT">"BUS_UNIT_TBL_GL"</definedName>
    <definedName name="NvsValTbl.CURRENCY_CD">"CURRENCY_CD_TBL"</definedName>
    <definedName name="NvsValTbl.OPERATING_UNIT">"OPER_UNIT_TBL"</definedName>
    <definedName name="nxt" localSheetId="4">#REF!</definedName>
    <definedName name="nxt" localSheetId="29">#REF!</definedName>
    <definedName name="nxt">#REF!</definedName>
    <definedName name="o" localSheetId="4">#REF!</definedName>
    <definedName name="o" localSheetId="29">#REF!</definedName>
    <definedName name="o" localSheetId="22">#REF!</definedName>
    <definedName name="o">#REF!</definedName>
    <definedName name="OB" localSheetId="4">#REF!</definedName>
    <definedName name="OB" localSheetId="29">#REF!</definedName>
    <definedName name="OB">#REF!</definedName>
    <definedName name="OC12_carrier" localSheetId="4">#REF!</definedName>
    <definedName name="OC12_carrier" localSheetId="29">#REF!</definedName>
    <definedName name="OC12_carrier">#REF!</definedName>
    <definedName name="OC12_Tribs" localSheetId="4">#REF!</definedName>
    <definedName name="OC12_Tribs" localSheetId="29">#REF!</definedName>
    <definedName name="OC12_Tribs">#REF!</definedName>
    <definedName name="OC192_HS" localSheetId="4">#REF!</definedName>
    <definedName name="OC192_HS" localSheetId="29">#REF!</definedName>
    <definedName name="OC192_HS">#REF!</definedName>
    <definedName name="OC48_Tribs" localSheetId="4">#REF!</definedName>
    <definedName name="OC48_Tribs" localSheetId="29">#REF!</definedName>
    <definedName name="OC48_Tribs">#REF!</definedName>
    <definedName name="offsetrange" localSheetId="4">OFFSET('[20]Budget 2010-11'!$C$59,-1,MATCH(CurrMonth,'[20]Budget 2010-11'!$D$60:$Q$60,0),1,1)</definedName>
    <definedName name="offsetrange" localSheetId="29">OFFSET('[20]Budget 2010-11'!$C$59,-1,MATCH(CurrMonth,'[20]Budget 2010-11'!$D$60:$Q$60,0),1,1)</definedName>
    <definedName name="offsetrange" localSheetId="27">OFFSET('[20]Budget 2010-11'!$C$59,-1,MATCH(CurrMonth,'[20]Budget 2010-11'!$D$60:$Q$60,0),1,1)</definedName>
    <definedName name="offsetrange" localSheetId="26">OFFSET('[20]Budget 2010-11'!$C$59,-1,MATCH(CurrMonth,'[20]Budget 2010-11'!$D$60:$Q$60,0),1,1)</definedName>
    <definedName name="offsetrange" localSheetId="23">OFFSET('[20]Budget 2010-11'!$C$59,-1,MATCH(CurrMonth,'[20]Budget 2010-11'!$D$60:$Q$60,0),1,1)</definedName>
    <definedName name="offsetrange" localSheetId="6">OFFSET('[20]Budget 2010-11'!$C$59,-1,MATCH(CurrMonth,'[20]Budget 2010-11'!$D$60:$Q$60,0),1,1)</definedName>
    <definedName name="offsetrange" localSheetId="9">OFFSET('[20]Budget 2010-11'!$C$59,-1,MATCH(CurrMonth,'[20]Budget 2010-11'!$D$60:$Q$60,0),1,1)</definedName>
    <definedName name="offsetrange" localSheetId="18">OFFSET('[20]Budget 2010-11'!$C$59,-1,MATCH(CurrMonth,'[20]Budget 2010-11'!$D$60:$Q$60,0),1,1)</definedName>
    <definedName name="offsetrange" localSheetId="22">OFFSET('[20]Budget 2010-11'!$C$59,-1,MATCH(CurrMonth,'[20]Budget 2010-11'!$D$60:$Q$60,0),1,1)</definedName>
    <definedName name="offsetrange">OFFSET('[20]Budget 2010-11'!$C$59,-1,MATCH(CurrMonth,'[20]Budget 2010-11'!$D$60:$Q$60,0),1,1)</definedName>
    <definedName name="ogtrnks" localSheetId="4">#REF!</definedName>
    <definedName name="ogtrnks" localSheetId="29">#REF!</definedName>
    <definedName name="ogtrnks">#REF!</definedName>
    <definedName name="ohwiohw" localSheetId="4" hidden="1">{"PLANT BREAKUP",#N/A,FALSE,"E"}</definedName>
    <definedName name="ohwiohw" localSheetId="6" hidden="1">{"PLANT BREAKUP",#N/A,FALSE,"E"}</definedName>
    <definedName name="ohwiohw" localSheetId="9" hidden="1">{"PLANT BREAKUP",#N/A,FALSE,"E"}</definedName>
    <definedName name="ohwiohw" hidden="1">{"PLANT BREAKUP",#N/A,FALSE,"E"}</definedName>
    <definedName name="oi" localSheetId="4" hidden="1">{"FTS",#N/A,FALSE,"E"}</definedName>
    <definedName name="oi" localSheetId="6" hidden="1">{"FTS",#N/A,FALSE,"E"}</definedName>
    <definedName name="oi" localSheetId="9" hidden="1">{"FTS",#N/A,FALSE,"E"}</definedName>
    <definedName name="oi" hidden="1">{"FTS",#N/A,FALSE,"E"}</definedName>
    <definedName name="OIFHWIOQGH" localSheetId="4" hidden="1">{"SUMMARY",#N/A,FALSE,"C"}</definedName>
    <definedName name="OIFHWIOQGH" localSheetId="6" hidden="1">{"SUMMARY",#N/A,FALSE,"C"}</definedName>
    <definedName name="OIFHWIOQGH" localSheetId="9" hidden="1">{"SUMMARY",#N/A,FALSE,"C"}</definedName>
    <definedName name="OIFHWIOQGH" hidden="1">{"SUMMARY",#N/A,FALSE,"C"}</definedName>
    <definedName name="oio" localSheetId="4">#REF!</definedName>
    <definedName name="oio" localSheetId="29">#REF!</definedName>
    <definedName name="oio" localSheetId="22">#REF!</definedName>
    <definedName name="oio">#REF!</definedName>
    <definedName name="old" localSheetId="4">#REF!</definedName>
    <definedName name="old" localSheetId="29">#REF!</definedName>
    <definedName name="old">#REF!</definedName>
    <definedName name="oldd" localSheetId="4">#REF!</definedName>
    <definedName name="oldd" localSheetId="29">#REF!</definedName>
    <definedName name="oldd">#REF!</definedName>
    <definedName name="On_Site" localSheetId="4">#REF!</definedName>
    <definedName name="On_Site" localSheetId="29">#REF!</definedName>
    <definedName name="On_Site">#REF!</definedName>
    <definedName name="ONE" localSheetId="4">#REF!</definedName>
    <definedName name="ONE" localSheetId="29">#REF!</definedName>
    <definedName name="ONE">#REF!</definedName>
    <definedName name="op" localSheetId="4">#REF!</definedName>
    <definedName name="op" localSheetId="29">#REF!</definedName>
    <definedName name="op" localSheetId="22">#REF!</definedName>
    <definedName name="op">#REF!</definedName>
    <definedName name="OPC_BBs" localSheetId="4">#REF!</definedName>
    <definedName name="OPC_BBs" localSheetId="29">#REF!</definedName>
    <definedName name="OPC_BBs">#REF!</definedName>
    <definedName name="OPC_Controller_IO" localSheetId="4">#REF!</definedName>
    <definedName name="OPC_Controller_IO" localSheetId="29">#REF!</definedName>
    <definedName name="OPC_Controller_IO">#REF!</definedName>
    <definedName name="OPC_Disk" localSheetId="4">#REF!</definedName>
    <definedName name="OPC_Disk" localSheetId="29">#REF!</definedName>
    <definedName name="OPC_Disk">#REF!</definedName>
    <definedName name="Operating_Expenses" localSheetId="4">#REF!</definedName>
    <definedName name="Operating_Expenses" localSheetId="29">#REF!</definedName>
    <definedName name="Operating_Expenses">#REF!</definedName>
    <definedName name="operations" localSheetId="4">#REF!</definedName>
    <definedName name="operations" localSheetId="29">#REF!</definedName>
    <definedName name="operations">#REF!</definedName>
    <definedName name="OpNADs" localSheetId="4">#REF!</definedName>
    <definedName name="OpNADs" localSheetId="29">#REF!</definedName>
    <definedName name="OpNADs">#REF!</definedName>
    <definedName name="OPSauto_upsell" localSheetId="4">#REF!</definedName>
    <definedName name="OPSauto_upsell" localSheetId="29">#REF!</definedName>
    <definedName name="OPSauto_upsell">#REF!</definedName>
    <definedName name="OPSauto_upsellY3" localSheetId="4">#REF!</definedName>
    <definedName name="OPSauto_upsellY3" localSheetId="29">#REF!</definedName>
    <definedName name="OPSauto_upsellY3">#REF!</definedName>
    <definedName name="OPSEX_upsell" localSheetId="4">#REF!</definedName>
    <definedName name="OPSEX_upsell" localSheetId="29">#REF!</definedName>
    <definedName name="OPSEX_upsell">#REF!</definedName>
    <definedName name="OPTeraConnectDX" localSheetId="4">#REF!</definedName>
    <definedName name="OPTeraConnectDX" localSheetId="29">#REF!</definedName>
    <definedName name="OPTeraConnectDX">#REF!</definedName>
    <definedName name="OPTeraLH" localSheetId="4">#REF!</definedName>
    <definedName name="OPTeraLH" localSheetId="29">#REF!</definedName>
    <definedName name="OPTeraLH">#REF!</definedName>
    <definedName name="OPTeraMetro" localSheetId="4">#REF!</definedName>
    <definedName name="OPTeraMetro" localSheetId="29">#REF!</definedName>
    <definedName name="OPTeraMetro">#REF!</definedName>
    <definedName name="Option" localSheetId="4">#REF!</definedName>
    <definedName name="Option" localSheetId="29">#REF!</definedName>
    <definedName name="Option">#REF!</definedName>
    <definedName name="OR_IR_Ratio">[19]PC_Cost_Ku!$B$11</definedName>
    <definedName name="Order_Code" localSheetId="4">#REF!</definedName>
    <definedName name="Order_Code" localSheetId="29">#REF!</definedName>
    <definedName name="Order_Code">#REF!</definedName>
    <definedName name="OrderTable" localSheetId="4" hidden="1">#REF!</definedName>
    <definedName name="OrderTable" localSheetId="29" hidden="1">#REF!</definedName>
    <definedName name="OrderTable" localSheetId="22" hidden="1">#REF!</definedName>
    <definedName name="OrderTable" hidden="1">#REF!</definedName>
    <definedName name="orgcb" localSheetId="4">#REF!</definedName>
    <definedName name="orgcb" localSheetId="29">#REF!</definedName>
    <definedName name="orgcb">#REF!</definedName>
    <definedName name="orgcb1" localSheetId="4">#REF!</definedName>
    <definedName name="orgcb1" localSheetId="29">#REF!</definedName>
    <definedName name="orgcb1">#REF!</definedName>
    <definedName name="orghm" localSheetId="4">#REF!</definedName>
    <definedName name="orghm" localSheetId="29">#REF!</definedName>
    <definedName name="orghm">#REF!</definedName>
    <definedName name="orgisdn" localSheetId="4">#REF!</definedName>
    <definedName name="orgisdn" localSheetId="29">#REF!</definedName>
    <definedName name="orgisdn">#REF!</definedName>
    <definedName name="orgisdn1" localSheetId="4">#REF!</definedName>
    <definedName name="orgisdn1" localSheetId="29">#REF!</definedName>
    <definedName name="orgisdn1">#REF!</definedName>
    <definedName name="orgord" localSheetId="4">#REF!</definedName>
    <definedName name="orgord" localSheetId="29">#REF!</definedName>
    <definedName name="orgord">#REF!</definedName>
    <definedName name="orgord1" localSheetId="4">#REF!</definedName>
    <definedName name="orgord1" localSheetId="29">#REF!</definedName>
    <definedName name="orgord1">#REF!</definedName>
    <definedName name="orgpbx" localSheetId="4">#REF!</definedName>
    <definedName name="orgpbx" localSheetId="29">#REF!</definedName>
    <definedName name="orgpbx">#REF!</definedName>
    <definedName name="orgpbx1" localSheetId="4">#REF!</definedName>
    <definedName name="orgpbx1" localSheetId="29">#REF!</definedName>
    <definedName name="orgpbx1">#REF!</definedName>
    <definedName name="OS" localSheetId="4">#REF!</definedName>
    <definedName name="OS" localSheetId="29">#REF!</definedName>
    <definedName name="OS">#REF!</definedName>
    <definedName name="OS_Svcs" localSheetId="4">#REF!</definedName>
    <definedName name="OS_Svcs" localSheetId="29">#REF!</definedName>
    <definedName name="OS_Svcs">#REF!</definedName>
    <definedName name="oss" localSheetId="4">#REF!</definedName>
    <definedName name="oss" localSheetId="29">#REF!</definedName>
    <definedName name="oss">#REF!</definedName>
    <definedName name="Other_Amort" localSheetId="4">#REF!</definedName>
    <definedName name="Other_Amort" localSheetId="29">#REF!</definedName>
    <definedName name="Other_Amort">#REF!</definedName>
    <definedName name="OtherComprehensive" localSheetId="4">#REF!</definedName>
    <definedName name="OtherComprehensive" localSheetId="29">#REF!</definedName>
    <definedName name="OtherComprehensive">#REF!</definedName>
    <definedName name="OTHERS">'[27]BOQ Distribution'!$A$50:$G$51</definedName>
    <definedName name="Others_1" localSheetId="4">'[48]BS_Drop Down'!#REF!</definedName>
    <definedName name="Others_1" localSheetId="29">'[48]BS_Drop Down'!#REF!</definedName>
    <definedName name="Others_1">'[48]BS_Drop Down'!#REF!</definedName>
    <definedName name="Others1" localSheetId="4">'[48]BS_Drop Down'!#REF!</definedName>
    <definedName name="Others1" localSheetId="29">'[48]BS_Drop Down'!#REF!</definedName>
    <definedName name="Others1">'[48]BS_Drop Down'!#REF!</definedName>
    <definedName name="OUTPUT" localSheetId="4">#REF!</definedName>
    <definedName name="OUTPUT" localSheetId="29">#REF!</definedName>
    <definedName name="OUTPUT">#REF!</definedName>
    <definedName name="Outputs" localSheetId="4">#REF!</definedName>
    <definedName name="Outputs" localSheetId="29">#REF!</definedName>
    <definedName name="Outputs">#REF!</definedName>
    <definedName name="outtm" localSheetId="4">#REF!</definedName>
    <definedName name="outtm" localSheetId="29">#REF!</definedName>
    <definedName name="outtm">#REF!</definedName>
    <definedName name="outtm1" localSheetId="4">#REF!</definedName>
    <definedName name="outtm1" localSheetId="29">#REF!</definedName>
    <definedName name="outtm1">#REF!</definedName>
    <definedName name="overheads" localSheetId="4">#REF!</definedName>
    <definedName name="overheads" localSheetId="29">#REF!</definedName>
    <definedName name="overheads" localSheetId="22">#REF!</definedName>
    <definedName name="overheads">#REF!</definedName>
    <definedName name="Overtime" localSheetId="4">#REF!</definedName>
    <definedName name="Overtime" localSheetId="29">#REF!</definedName>
    <definedName name="Overtime">#REF!</definedName>
    <definedName name="p" localSheetId="4">#REF!</definedName>
    <definedName name="p" localSheetId="29">#REF!</definedName>
    <definedName name="p" localSheetId="22">#REF!</definedName>
    <definedName name="p">#REF!</definedName>
    <definedName name="P___L___Statement" localSheetId="4">#REF!</definedName>
    <definedName name="P___L___Statement" localSheetId="29">#REF!</definedName>
    <definedName name="P___L___Statement">#REF!</definedName>
    <definedName name="pabxper" localSheetId="4">#REF!</definedName>
    <definedName name="pabxper" localSheetId="29">#REF!</definedName>
    <definedName name="pabxper">#REF!</definedName>
    <definedName name="pabxsub" localSheetId="4">#REF!</definedName>
    <definedName name="pabxsub" localSheetId="29">#REF!</definedName>
    <definedName name="pabxsub">#REF!</definedName>
    <definedName name="pabxsubs" localSheetId="4">#REF!</definedName>
    <definedName name="pabxsubs" localSheetId="29">#REF!</definedName>
    <definedName name="pabxsubs">#REF!</definedName>
    <definedName name="pabxsubs1" localSheetId="4">#REF!</definedName>
    <definedName name="pabxsubs1" localSheetId="29">#REF!</definedName>
    <definedName name="pabxsubs1">#REF!</definedName>
    <definedName name="Page_1" localSheetId="4">#REF!</definedName>
    <definedName name="Page_1" localSheetId="29">#REF!</definedName>
    <definedName name="Page_1">#REF!</definedName>
    <definedName name="Page_1_YTD" localSheetId="4">#REF!</definedName>
    <definedName name="Page_1_YTD" localSheetId="29">#REF!</definedName>
    <definedName name="Page_1_YTD">#REF!</definedName>
    <definedName name="Page_2" localSheetId="4">#REF!</definedName>
    <definedName name="Page_2" localSheetId="29">#REF!</definedName>
    <definedName name="Page_2">#REF!</definedName>
    <definedName name="Page_2_YTD" localSheetId="4">#REF!</definedName>
    <definedName name="Page_2_YTD" localSheetId="29">#REF!</definedName>
    <definedName name="Page_2_YTD">#REF!</definedName>
    <definedName name="Page1" localSheetId="4">#REF!</definedName>
    <definedName name="Page1" localSheetId="29">#REF!</definedName>
    <definedName name="Page1">#REF!</definedName>
    <definedName name="Page10" localSheetId="4">#REF!</definedName>
    <definedName name="Page10" localSheetId="29">#REF!</definedName>
    <definedName name="Page10">#REF!</definedName>
    <definedName name="Page11" localSheetId="4">#REF!</definedName>
    <definedName name="Page11" localSheetId="29">#REF!</definedName>
    <definedName name="Page11">#REF!</definedName>
    <definedName name="Page12" localSheetId="4">#REF!</definedName>
    <definedName name="Page12" localSheetId="29">#REF!</definedName>
    <definedName name="Page12">#REF!</definedName>
    <definedName name="Page13" localSheetId="4">#REF!</definedName>
    <definedName name="Page13" localSheetId="29">#REF!</definedName>
    <definedName name="Page13">#REF!</definedName>
    <definedName name="Page14" localSheetId="4">#REF!</definedName>
    <definedName name="Page14" localSheetId="29">#REF!</definedName>
    <definedName name="Page14">#REF!</definedName>
    <definedName name="Page15" localSheetId="4">#REF!</definedName>
    <definedName name="Page15" localSheetId="29">#REF!</definedName>
    <definedName name="Page15">#REF!</definedName>
    <definedName name="Page16" localSheetId="4">#REF!</definedName>
    <definedName name="Page16" localSheetId="29">#REF!</definedName>
    <definedName name="Page16">#REF!</definedName>
    <definedName name="Page17" localSheetId="4">#REF!</definedName>
    <definedName name="Page17" localSheetId="29">#REF!</definedName>
    <definedName name="Page17">#REF!</definedName>
    <definedName name="Page2" localSheetId="4">#REF!</definedName>
    <definedName name="Page2" localSheetId="29">#REF!</definedName>
    <definedName name="Page2">#REF!</definedName>
    <definedName name="Page26" localSheetId="4">#REF!</definedName>
    <definedName name="Page26" localSheetId="29">#REF!</definedName>
    <definedName name="Page26">#REF!</definedName>
    <definedName name="Page27" localSheetId="4">#REF!</definedName>
    <definedName name="Page27" localSheetId="29">#REF!</definedName>
    <definedName name="Page27">#REF!</definedName>
    <definedName name="Page3" localSheetId="4">#REF!</definedName>
    <definedName name="Page3" localSheetId="29">#REF!</definedName>
    <definedName name="Page3">#REF!</definedName>
    <definedName name="Page4" localSheetId="4">#REF!</definedName>
    <definedName name="Page4" localSheetId="29">#REF!</definedName>
    <definedName name="Page4">#REF!</definedName>
    <definedName name="Page5" localSheetId="4">#REF!</definedName>
    <definedName name="Page5" localSheetId="29">#REF!</definedName>
    <definedName name="Page5">#REF!</definedName>
    <definedName name="Page6" localSheetId="4">#REF!</definedName>
    <definedName name="Page6" localSheetId="29">#REF!</definedName>
    <definedName name="Page6">#REF!</definedName>
    <definedName name="Page7" localSheetId="4">#REF!</definedName>
    <definedName name="Page7" localSheetId="29">#REF!</definedName>
    <definedName name="Page7">#REF!</definedName>
    <definedName name="Page8" localSheetId="4">#REF!</definedName>
    <definedName name="Page8" localSheetId="29">#REF!</definedName>
    <definedName name="Page8">#REF!</definedName>
    <definedName name="Page9" localSheetId="4">#REF!</definedName>
    <definedName name="Page9" localSheetId="29">#REF!</definedName>
    <definedName name="Page9">#REF!</definedName>
    <definedName name="pal" localSheetId="4">#REF!</definedName>
    <definedName name="pal" localSheetId="29">#REF!</definedName>
    <definedName name="pal" localSheetId="22">#REF!</definedName>
    <definedName name="pal">#REF!</definedName>
    <definedName name="PAN">[26]Masters!$C$11</definedName>
    <definedName name="pan_std" localSheetId="4">#REF!</definedName>
    <definedName name="pan_std" localSheetId="29">#REF!</definedName>
    <definedName name="pan_std">#REF!</definedName>
    <definedName name="Panel_m" localSheetId="4">#REF!</definedName>
    <definedName name="Panel_m" localSheetId="29">#REF!</definedName>
    <definedName name="Panel_m">#REF!</definedName>
    <definedName name="Panel_u" localSheetId="4">#REF!</definedName>
    <definedName name="Panel_u" localSheetId="29">#REF!</definedName>
    <definedName name="Panel_u">#REF!</definedName>
    <definedName name="PARCIAL" localSheetId="4">#REF!</definedName>
    <definedName name="PARCIAL" localSheetId="29">#REF!</definedName>
    <definedName name="PARCIAL">#REF!</definedName>
    <definedName name="PARCIAL1" localSheetId="4">#REF!</definedName>
    <definedName name="PARCIAL1" localSheetId="29">#REF!</definedName>
    <definedName name="PARCIAL1">#REF!</definedName>
    <definedName name="PARCIAL2" localSheetId="4">#REF!</definedName>
    <definedName name="PARCIAL2" localSheetId="29">#REF!</definedName>
    <definedName name="PARCIAL2">#REF!</definedName>
    <definedName name="PARCIAL4" localSheetId="4">#REF!</definedName>
    <definedName name="PARCIAL4" localSheetId="29">#REF!</definedName>
    <definedName name="PARCIAL4">#REF!</definedName>
    <definedName name="PARCIAL5" localSheetId="4">#REF!</definedName>
    <definedName name="PARCIAL5" localSheetId="29">#REF!</definedName>
    <definedName name="PARCIAL5">#REF!</definedName>
    <definedName name="PARCIAL6" localSheetId="4">#REF!</definedName>
    <definedName name="PARCIAL6" localSheetId="29">#REF!</definedName>
    <definedName name="PARCIAL6">#REF!</definedName>
    <definedName name="PartDesignation">[26]Masters!$C$16</definedName>
    <definedName name="patactper">OFFSET('[20]Bar Chart - FHL (M)'!$A$48,0,2,MATCH('[20]Bar Chart - FHL (M)'!$F$1,'[20]Bar Chart - FHL (M)'!$A$48:$A$59,0),1)</definedName>
    <definedName name="patactual">OFFSET('[20]Bar Chart - FHL (M)'!$A$48,0,5,MATCH('[20]Bar Chart - FHL (M)'!$F$1,'[20]Bar Chart - FHL (M)'!$A$48:$A$59,0),1)</definedName>
    <definedName name="patbudget">OFFSET('[20]Bar Chart - FHL (M)'!$A$48,0,4,MATCH('[20]Bar Chart - FHL (M)'!$F$1,'[20]Bar Chart - FHL (M)'!$A$48:$A$59,0),1)</definedName>
    <definedName name="patbudper">OFFSET('[20]Bar Chart - FHL (M)'!$A$48,0,1,MATCH('[20]Bar Chart - FHL (M)'!$F$1,'[20]Bar Chart - FHL (M)'!$A$48:$A$59,0),1)</definedName>
    <definedName name="pbper" localSheetId="4">#REF!</definedName>
    <definedName name="pbper" localSheetId="29">#REF!</definedName>
    <definedName name="pbper">#REF!</definedName>
    <definedName name="pbsub" localSheetId="4">#REF!</definedName>
    <definedName name="pbsub" localSheetId="29">#REF!</definedName>
    <definedName name="pbsub">#REF!</definedName>
    <definedName name="pbsubs" localSheetId="4">#REF!</definedName>
    <definedName name="pbsubs" localSheetId="29">#REF!</definedName>
    <definedName name="pbsubs">#REF!</definedName>
    <definedName name="pbsubs1" localSheetId="4">#REF!</definedName>
    <definedName name="pbsubs1" localSheetId="29">#REF!</definedName>
    <definedName name="pbsubs1">#REF!</definedName>
    <definedName name="PC_ATM25" localSheetId="4">#REF!</definedName>
    <definedName name="PC_ATM25" localSheetId="29">#REF!</definedName>
    <definedName name="PC_ATM25">#REF!</definedName>
    <definedName name="pcactual">OFFSET('[20]Bar Chart - FHL (M)'!$A$65,0,2,MATCH('[20]Bar Chart - FHL (M)'!$F$1,'[20]Bar Chart - FHL (M)'!$A$65:$A$76,0),1)</definedName>
    <definedName name="pcbudget">OFFSET('[20]Bar Chart - FHL (M)'!$A$65,0,1,MATCH('[20]Bar Chart - FHL (M)'!$F$1,'[20]Bar Chart - FHL (M)'!$A$65:$A$76,0),1)</definedName>
    <definedName name="pcdc14" localSheetId="4">#REF!</definedName>
    <definedName name="pcdc14" localSheetId="29">#REF!</definedName>
    <definedName name="pcdc14" localSheetId="22">#REF!</definedName>
    <definedName name="pcdc14">#REF!</definedName>
    <definedName name="pcdn14" localSheetId="4">#REF!</definedName>
    <definedName name="pcdn14" localSheetId="29">#REF!</definedName>
    <definedName name="pcdn14" localSheetId="22">#REF!</definedName>
    <definedName name="pcdn14">#REF!</definedName>
    <definedName name="pcdndec" localSheetId="4">#REF!</definedName>
    <definedName name="pcdndec" localSheetId="29">#REF!</definedName>
    <definedName name="pcdndec" localSheetId="22">#REF!</definedName>
    <definedName name="pcdndec">#REF!</definedName>
    <definedName name="pcdt" localSheetId="4">#REF!</definedName>
    <definedName name="pcdt" localSheetId="29">#REF!</definedName>
    <definedName name="pcdt" localSheetId="22">#REF!</definedName>
    <definedName name="pcdt">#REF!</definedName>
    <definedName name="pcm" localSheetId="4">#REF!</definedName>
    <definedName name="pcm" localSheetId="29">#REF!</definedName>
    <definedName name="pcm">#REF!</definedName>
    <definedName name="PD_ID" localSheetId="4">#REF!</definedName>
    <definedName name="PD_ID" localSheetId="29">#REF!</definedName>
    <definedName name="PD_ID">#REF!</definedName>
    <definedName name="PDMXE" localSheetId="4">#REF!</definedName>
    <definedName name="PDMXE" localSheetId="29">#REF!</definedName>
    <definedName name="PDMXE">#REF!</definedName>
    <definedName name="PEC" localSheetId="4">#REF!</definedName>
    <definedName name="PEC" localSheetId="29">#REF!</definedName>
    <definedName name="PEC">#REF!</definedName>
    <definedName name="Percent">'[56]LSL at 31 Dec 01 Problem'!$G$27:$G$37</definedName>
    <definedName name="PERIOD_END" localSheetId="4">#REF!</definedName>
    <definedName name="PERIOD_END" localSheetId="29">#REF!</definedName>
    <definedName name="PERIOD_END">#REF!</definedName>
    <definedName name="PERSONAL" localSheetId="4">#REF!</definedName>
    <definedName name="PERSONAL" localSheetId="29">#REF!</definedName>
    <definedName name="PERSONAL">#REF!</definedName>
    <definedName name="pil" localSheetId="4">#REF!</definedName>
    <definedName name="pil" localSheetId="29">#REF!</definedName>
    <definedName name="pil">#REF!</definedName>
    <definedName name="PivotStart" localSheetId="4">#REF!</definedName>
    <definedName name="PivotStart" localSheetId="29">#REF!</definedName>
    <definedName name="PivotStart">#REF!</definedName>
    <definedName name="PK" localSheetId="4">#REF!</definedName>
    <definedName name="PK" localSheetId="29">#REF!</definedName>
    <definedName name="PK">#REF!</definedName>
    <definedName name="pl" localSheetId="4" hidden="1">{"PLANT BREAKUP",#N/A,FALSE,"E"}</definedName>
    <definedName name="pl" localSheetId="6" hidden="1">{"PLANT BREAKUP",#N/A,FALSE,"E"}</definedName>
    <definedName name="pl" localSheetId="9" hidden="1">{"PLANT BREAKUP",#N/A,FALSE,"E"}</definedName>
    <definedName name="pl" hidden="1">{"PLANT BREAKUP",#N/A,FALSE,"E"}</definedName>
    <definedName name="PLAN_AEC_DEV" localSheetId="4">#REF!</definedName>
    <definedName name="PLAN_AEC_DEV" localSheetId="29">#REF!</definedName>
    <definedName name="PLAN_AEC_DEV">#REF!</definedName>
    <definedName name="PLAN_AMD" localSheetId="4">#REF!</definedName>
    <definedName name="PLAN_AMD" localSheetId="29">#REF!</definedName>
    <definedName name="PLAN_AMD">#REF!</definedName>
    <definedName name="PLAN_CCD_CNEXT" localSheetId="4">#REF!</definedName>
    <definedName name="PLAN_CCD_CNEXT" localSheetId="29">#REF!</definedName>
    <definedName name="PLAN_CCD_CNEXT">#REF!</definedName>
    <definedName name="PLAN_DSA" localSheetId="4">#REF!</definedName>
    <definedName name="PLAN_DSA" localSheetId="29">#REF!</definedName>
    <definedName name="PLAN_DSA">#REF!</definedName>
    <definedName name="PLAN_ELIM" localSheetId="4">#REF!</definedName>
    <definedName name="PLAN_ELIM" localSheetId="29">#REF!</definedName>
    <definedName name="PLAN_ELIM">#REF!</definedName>
    <definedName name="PLAN_GA_MIS" localSheetId="4">#REF!</definedName>
    <definedName name="PLAN_GA_MIS" localSheetId="29">#REF!</definedName>
    <definedName name="PLAN_GA_MIS">#REF!</definedName>
    <definedName name="PLAN_LAT_AM" localSheetId="4">#REF!</definedName>
    <definedName name="PLAN_LAT_AM" localSheetId="29">#REF!</definedName>
    <definedName name="PLAN_LAT_AM">#REF!</definedName>
    <definedName name="PLAN_MKT_COMM" localSheetId="4">#REF!</definedName>
    <definedName name="PLAN_MKT_COMM" localSheetId="29">#REF!</definedName>
    <definedName name="PLAN_MKT_COMM">#REF!</definedName>
    <definedName name="PLAN_MKTG" localSheetId="4">#REF!</definedName>
    <definedName name="PLAN_MKTG" localSheetId="29">#REF!</definedName>
    <definedName name="PLAN_MKTG">#REF!</definedName>
    <definedName name="PLAN_NAS_AEC" localSheetId="4">#REF!</definedName>
    <definedName name="PLAN_NAS_AEC" localSheetId="29">#REF!</definedName>
    <definedName name="PLAN_NAS_AEC">#REF!</definedName>
    <definedName name="PLAN_NAS_MECH" localSheetId="4">#REF!</definedName>
    <definedName name="PLAN_NAS_MECH" localSheetId="29">#REF!</definedName>
    <definedName name="PLAN_NAS_MECH">#REF!</definedName>
    <definedName name="PLAN_NEWCO" localSheetId="4">#REF!</definedName>
    <definedName name="PLAN_NEWCO" localSheetId="29">#REF!</definedName>
    <definedName name="PLAN_NEWCO">#REF!</definedName>
    <definedName name="PLAN_NEWCO_MO" localSheetId="4">#REF!</definedName>
    <definedName name="PLAN_NEWCO_MO" localSheetId="29">#REF!</definedName>
    <definedName name="PLAN_NEWCO_MO">#REF!</definedName>
    <definedName name="PLAN_PSD" localSheetId="4">#REF!</definedName>
    <definedName name="PLAN_PSD" localSheetId="29">#REF!</definedName>
    <definedName name="PLAN_PSD">#REF!</definedName>
    <definedName name="PLAN_VPM" localSheetId="4">#REF!</definedName>
    <definedName name="PLAN_VPM" localSheetId="29">#REF!</definedName>
    <definedName name="PLAN_VPM">#REF!</definedName>
    <definedName name="PLANT" localSheetId="4" hidden="1">{"PLANT BREAKUP",#N/A,FALSE,"E"}</definedName>
    <definedName name="PLANT" localSheetId="6" hidden="1">{"PLANT BREAKUP",#N/A,FALSE,"E"}</definedName>
    <definedName name="PLANT" localSheetId="9" hidden="1">{"PLANT BREAKUP",#N/A,FALSE,"E"}</definedName>
    <definedName name="PLANT" hidden="1">{"PLANT BREAKUP",#N/A,FALSE,"E"}</definedName>
    <definedName name="Plat_Mark_Dn">[19]PC_Cost_Ku!$B$12</definedName>
    <definedName name="plpd" localSheetId="4">#REF!</definedName>
    <definedName name="plpd" localSheetId="29">#REF!</definedName>
    <definedName name="plpd">#REF!</definedName>
    <definedName name="PM" localSheetId="4">#REF!</definedName>
    <definedName name="pm" localSheetId="29">#REF!</definedName>
    <definedName name="pm">#REF!</definedName>
    <definedName name="PO" localSheetId="4" hidden="1">{"PLANT BREAKUP",#N/A,FALSE,"E"}</definedName>
    <definedName name="PO" localSheetId="6" hidden="1">{"PLANT BREAKUP",#N/A,FALSE,"E"}</definedName>
    <definedName name="PO" localSheetId="9" hidden="1">{"PLANT BREAKUP",#N/A,FALSE,"E"}</definedName>
    <definedName name="PO" hidden="1">{"PLANT BREAKUP",#N/A,FALSE,"E"}</definedName>
    <definedName name="poipo" localSheetId="4" hidden="1">{"CASH FLOW",#N/A,FALSE,"A"}</definedName>
    <definedName name="poipo" localSheetId="6" hidden="1">{"CASH FLOW",#N/A,FALSE,"A"}</definedName>
    <definedName name="poipo" localSheetId="9" hidden="1">{"CASH FLOW",#N/A,FALSE,"A"}</definedName>
    <definedName name="poipo" hidden="1">{"CASH FLOW",#N/A,FALSE,"A"}</definedName>
    <definedName name="pooiwut" localSheetId="4" hidden="1">{"PLANNING",#N/A,FALSE,"A"}</definedName>
    <definedName name="pooiwut" localSheetId="6" hidden="1">{"PLANNING",#N/A,FALSE,"A"}</definedName>
    <definedName name="pooiwut" localSheetId="9" hidden="1">{"PLANNING",#N/A,FALSE,"A"}</definedName>
    <definedName name="pooiwut" hidden="1">{"PLANNING",#N/A,FALSE,"A"}</definedName>
    <definedName name="pop" localSheetId="4" hidden="1">{"PLANNING",#N/A,FALSE,"A"}</definedName>
    <definedName name="pop" localSheetId="6" hidden="1">{"PLANNING",#N/A,FALSE,"A"}</definedName>
    <definedName name="pop" localSheetId="9" hidden="1">{"PLANNING",#N/A,FALSE,"A"}</definedName>
    <definedName name="pop" hidden="1">{"PLANNING",#N/A,FALSE,"A"}</definedName>
    <definedName name="popo" localSheetId="4" hidden="1">#REF!</definedName>
    <definedName name="popo" localSheetId="29" hidden="1">#REF!</definedName>
    <definedName name="popo" localSheetId="22" hidden="1">#REF!</definedName>
    <definedName name="popo" hidden="1">#REF!</definedName>
    <definedName name="POPUH1IPO" localSheetId="4" hidden="1">{"PLANNING",#N/A,FALSE,"A"}</definedName>
    <definedName name="POPUH1IPO" localSheetId="6" hidden="1">{"PLANNING",#N/A,FALSE,"A"}</definedName>
    <definedName name="POPUH1IPO" localSheetId="9" hidden="1">{"PLANNING",#N/A,FALSE,"A"}</definedName>
    <definedName name="POPUH1IPO" hidden="1">{"PLANNING",#N/A,FALSE,"A"}</definedName>
    <definedName name="popuoy" localSheetId="4" hidden="1">{"FTS",#N/A,FALSE,"E"}</definedName>
    <definedName name="popuoy" localSheetId="6" hidden="1">{"FTS",#N/A,FALSE,"E"}</definedName>
    <definedName name="popuoy" localSheetId="9" hidden="1">{"FTS",#N/A,FALSE,"E"}</definedName>
    <definedName name="popuoy" hidden="1">{"FTS",#N/A,FALSE,"E"}</definedName>
    <definedName name="POSN_C" localSheetId="4">#REF!</definedName>
    <definedName name="POSN_C" localSheetId="29">#REF!</definedName>
    <definedName name="POSN_C">#REF!</definedName>
    <definedName name="POSN_I" localSheetId="4">#REF!</definedName>
    <definedName name="POSN_I" localSheetId="29">#REF!</definedName>
    <definedName name="POSN_I">#REF!</definedName>
    <definedName name="POSN_P" localSheetId="4">#REF!</definedName>
    <definedName name="POSN_P" localSheetId="29">#REF!</definedName>
    <definedName name="POSN_P">#REF!</definedName>
    <definedName name="POSU_C" localSheetId="4">#REF!</definedName>
    <definedName name="POSU_C" localSheetId="29">#REF!</definedName>
    <definedName name="POSU_C">#REF!</definedName>
    <definedName name="POSU_P" localSheetId="4">#REF!</definedName>
    <definedName name="POSU_P" localSheetId="29">#REF!</definedName>
    <definedName name="POSU_P">#REF!</definedName>
    <definedName name="Power_consumption_norms" localSheetId="4">#REF!</definedName>
    <definedName name="Power_consumption_norms" localSheetId="29">#REF!</definedName>
    <definedName name="Power_consumption_norms">#REF!</definedName>
    <definedName name="poy" localSheetId="4">#REF!</definedName>
    <definedName name="poy" localSheetId="29">#REF!</definedName>
    <definedName name="poy" localSheetId="22">#REF!</definedName>
    <definedName name="poy">#REF!</definedName>
    <definedName name="prap" localSheetId="4">#REF!</definedName>
    <definedName name="prap" localSheetId="29">#REF!</definedName>
    <definedName name="prap">#REF!</definedName>
    <definedName name="PRASAD" localSheetId="4"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ASAD" localSheetId="6"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ASAD" localSheetId="9"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ASAD"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CIAL3" localSheetId="4">#REF!</definedName>
    <definedName name="PRCIAL3" localSheetId="29">#REF!</definedName>
    <definedName name="PRCIAL3">#REF!</definedName>
    <definedName name="predial" localSheetId="4">#REF!</definedName>
    <definedName name="predial" localSheetId="29">#REF!</definedName>
    <definedName name="predial">#REF!</definedName>
    <definedName name="predial1" localSheetId="4">#REF!</definedName>
    <definedName name="predial1" localSheetId="29">#REF!</definedName>
    <definedName name="predial1">#REF!</definedName>
    <definedName name="PrefSh" localSheetId="4" hidden="1">#REF!</definedName>
    <definedName name="PrefSh" localSheetId="29" hidden="1">#REF!</definedName>
    <definedName name="PrefSh" localSheetId="22" hidden="1">#REF!</definedName>
    <definedName name="PrefSh" hidden="1">#REF!</definedName>
    <definedName name="PREPAID_OTHER" localSheetId="4">#REF!</definedName>
    <definedName name="PREPAID_OTHER" localSheetId="29">#REF!</definedName>
    <definedName name="PREPAID_OTHER">#REF!</definedName>
    <definedName name="PREPARED_BY" localSheetId="4">#REF!</definedName>
    <definedName name="PREPARED_BY" localSheetId="29">#REF!</definedName>
    <definedName name="PREPARED_BY">#REF!</definedName>
    <definedName name="PREPARED_DATE" localSheetId="4">#REF!</definedName>
    <definedName name="PREPARED_DATE" localSheetId="29">#REF!</definedName>
    <definedName name="PREPARED_DATE">#REF!</definedName>
    <definedName name="Pres" localSheetId="4" hidden="1">{#N/A,#N/A,TRUE,"Cover sheet";#N/A,#N/A,TRUE,"Summary";#N/A,#N/A,TRUE,"Key Assumptions";#N/A,#N/A,TRUE,"Profit &amp; Loss";#N/A,#N/A,TRUE,"Balance Sheet";#N/A,#N/A,TRUE,"Cashflow";#N/A,#N/A,TRUE,"IRR";#N/A,#N/A,TRUE,"Ratios";#N/A,#N/A,TRUE,"Debt analysis"}</definedName>
    <definedName name="Pres" localSheetId="6" hidden="1">{#N/A,#N/A,TRUE,"Cover sheet";#N/A,#N/A,TRUE,"Summary";#N/A,#N/A,TRUE,"Key Assumptions";#N/A,#N/A,TRUE,"Profit &amp; Loss";#N/A,#N/A,TRUE,"Balance Sheet";#N/A,#N/A,TRUE,"Cashflow";#N/A,#N/A,TRUE,"IRR";#N/A,#N/A,TRUE,"Ratios";#N/A,#N/A,TRUE,"Debt analysis"}</definedName>
    <definedName name="Pres" localSheetId="9" hidden="1">{#N/A,#N/A,TRUE,"Cover sheet";#N/A,#N/A,TRUE,"Summary";#N/A,#N/A,TRUE,"Key Assumptions";#N/A,#N/A,TRUE,"Profit &amp; Loss";#N/A,#N/A,TRUE,"Balance Sheet";#N/A,#N/A,TRUE,"Cashflow";#N/A,#N/A,TRUE,"IRR";#N/A,#N/A,TRUE,"Ratios";#N/A,#N/A,TRUE,"Debt analysis"}</definedName>
    <definedName name="Pres" hidden="1">{#N/A,#N/A,TRUE,"Cover sheet";#N/A,#N/A,TRUE,"Summary";#N/A,#N/A,TRUE,"Key Assumptions";#N/A,#N/A,TRUE,"Profit &amp; Loss";#N/A,#N/A,TRUE,"Balance Sheet";#N/A,#N/A,TRUE,"Cashflow";#N/A,#N/A,TRUE,"IRR";#N/A,#N/A,TRUE,"Ratios";#N/A,#N/A,TRUE,"Debt analysis"}</definedName>
    <definedName name="PREV_GRF">'[22]IS Mo'!$EX$10:$FI$62</definedName>
    <definedName name="PREV_INN">'[22]IS Mo'!$GB$10:$GM$62</definedName>
    <definedName name="PREV_PUB">'[22]IS Mo'!$FM$10:$FX$62</definedName>
    <definedName name="price" localSheetId="4">#REF!</definedName>
    <definedName name="price" localSheetId="29">#REF!</definedName>
    <definedName name="price">#REF!</definedName>
    <definedName name="_xlnm.Print_Area" localSheetId="4">'Accounting Policies'!$A$1:$H$224</definedName>
    <definedName name="_xlnm.Print_Area" localSheetId="1">BS!$A$1:$F$68</definedName>
    <definedName name="_xlnm.Print_Area" localSheetId="2">'Cash flow'!$A$1:$E$64</definedName>
    <definedName name="_xlnm.Print_Area" localSheetId="29">#REF!</definedName>
    <definedName name="_xlnm.Print_Area" localSheetId="10">'Employee benefits Note 36'!$A$1:$G$81</definedName>
    <definedName name="_xlnm.Print_Area" localSheetId="7">'FA prev year'!$A$1:$M$75</definedName>
    <definedName name="_xlnm.Print_Area" localSheetId="6">'FA sch'!$A$1:$N$77</definedName>
    <definedName name="_xlnm.Print_Area" localSheetId="9">'FA sep'!$A$1:$M$75</definedName>
    <definedName name="_xlnm.Print_Area" localSheetId="11">'Note 37'!$A$1:$F$132</definedName>
    <definedName name="_xlnm.Print_Area" localSheetId="13">'Note 39 FVM_1'!$A$1:$H$51</definedName>
    <definedName name="_xlnm.Print_Area" localSheetId="14">'Note 39credit &amp; liquidity'!$A$1:$E$41</definedName>
    <definedName name="_xlnm.Print_Area" localSheetId="8">Notes!$A$1:$E$553</definedName>
    <definedName name="_xlnm.Print_Area" localSheetId="16">'Notes 40 to 42'!$A$1:$F$37</definedName>
    <definedName name="_xlnm.Print_Area" localSheetId="17">'Notes 43 to 48'!$A$1:$G$48</definedName>
    <definedName name="_xlnm.Print_Area" localSheetId="0">PL!$A$1:$G$58</definedName>
    <definedName name="_xlnm.Print_Area" localSheetId="5">'Profit reco'!$A$1:$G$31</definedName>
    <definedName name="_xlnm.Print_Area" localSheetId="22">#REF!</definedName>
    <definedName name="_xlnm.Print_Area" localSheetId="3">SOCE!$A$1:$G$83</definedName>
    <definedName name="_xlnm.Print_Area">#REF!</definedName>
    <definedName name="PRINT_AREA_MI" localSheetId="4">#REF!</definedName>
    <definedName name="PRINT_AREA_MI" localSheetId="29">#REF!</definedName>
    <definedName name="PRINT_AREA_MI" localSheetId="22">#REF!</definedName>
    <definedName name="PRINT_AREA_MI">#REF!</definedName>
    <definedName name="Print_Month">'[22]IS Mo'!$A$1:$AE$64</definedName>
    <definedName name="Print_SM_GA">'[22]Fiscal View'!$A$46:$K$88</definedName>
    <definedName name="Print_Title">'[62]Monthly rate'!$A$1:$A$65536,'[62]Monthly rate'!$A$10:$B$10,'[62]Monthly rate'!$A$1:$Z$10</definedName>
    <definedName name="_xlnm.Print_Titles" localSheetId="4">'Accounting Policies'!$1:$3</definedName>
    <definedName name="_xlnm.Print_Titles" localSheetId="29">#REF!</definedName>
    <definedName name="_xlnm.Print_Titles" localSheetId="10">'Employee benefits Note 36'!$1:$3</definedName>
    <definedName name="_xlnm.Print_Titles" localSheetId="11">'Note 37'!$1:$3</definedName>
    <definedName name="_xlnm.Print_Titles" localSheetId="8">Notes!$1:$3</definedName>
    <definedName name="_xlnm.Print_Titles" localSheetId="22">#REF!</definedName>
    <definedName name="_xlnm.Print_Titles">#REF!</definedName>
    <definedName name="PRINT_TITLES_MI" localSheetId="4">#REF!</definedName>
    <definedName name="PRINT_TITLES_MI" localSheetId="29">#REF!</definedName>
    <definedName name="PRINT_TITLES_MI" localSheetId="22">#REF!</definedName>
    <definedName name="PRINT_TITLES_MI">#REF!</definedName>
    <definedName name="Print_YTD">'[22]IS Mo'!$A$67:$AE$131</definedName>
    <definedName name="PRINT1" localSheetId="4">#REF!</definedName>
    <definedName name="PRINT1" localSheetId="29">#REF!</definedName>
    <definedName name="PRINT1">#REF!</definedName>
    <definedName name="PRINT2" localSheetId="4">#REF!</definedName>
    <definedName name="PRINT2" localSheetId="29">#REF!</definedName>
    <definedName name="PRINT2">#REF!</definedName>
    <definedName name="Prior1Qtr" localSheetId="4">#REF!</definedName>
    <definedName name="Prior1Qtr" localSheetId="29">#REF!</definedName>
    <definedName name="Prior1Qtr">#REF!</definedName>
    <definedName name="Prior2Qtr" localSheetId="4">#REF!</definedName>
    <definedName name="Prior2Qtr" localSheetId="29">#REF!</definedName>
    <definedName name="Prior2Qtr">#REF!</definedName>
    <definedName name="Prior3Qtr" localSheetId="4">#REF!</definedName>
    <definedName name="Prior3Qtr" localSheetId="29">#REF!</definedName>
    <definedName name="Prior3Qtr">#REF!</definedName>
    <definedName name="PRN_MAJ_QUANTITY" localSheetId="4">#REF!</definedName>
    <definedName name="PRN_MAJ_QUANTITY" localSheetId="29">#REF!</definedName>
    <definedName name="PRN_MAJ_QUANTITY">#REF!</definedName>
    <definedName name="ProdForm" localSheetId="4" hidden="1">#REF!</definedName>
    <definedName name="ProdForm" localSheetId="29" hidden="1">#REF!</definedName>
    <definedName name="ProdForm" localSheetId="22" hidden="1">#REF!</definedName>
    <definedName name="ProdForm" hidden="1">#REF!</definedName>
    <definedName name="PRODSALES" localSheetId="4">#REF!</definedName>
    <definedName name="PRODSALES" localSheetId="29">#REF!</definedName>
    <definedName name="PRODSALES">#REF!</definedName>
    <definedName name="Product" localSheetId="4" hidden="1">#REF!</definedName>
    <definedName name="Product" localSheetId="29" hidden="1">#REF!</definedName>
    <definedName name="Product" localSheetId="22" hidden="1">#REF!</definedName>
    <definedName name="Product" hidden="1">#REF!</definedName>
    <definedName name="Product_Line" localSheetId="4">#REF!</definedName>
    <definedName name="Product_Line" localSheetId="29">#REF!</definedName>
    <definedName name="Product_Line">#REF!</definedName>
    <definedName name="Professional_svc" localSheetId="4">#REF!</definedName>
    <definedName name="Professional_svc" localSheetId="29">#REF!</definedName>
    <definedName name="Professional_svc">#REF!</definedName>
    <definedName name="Profit\Loss" localSheetId="4">#REF!</definedName>
    <definedName name="Profit\Loss" localSheetId="29">#REF!</definedName>
    <definedName name="Profit\Loss">#REF!</definedName>
    <definedName name="profit_before_tax" localSheetId="4">'[39]PBV Cons'!#REF!</definedName>
    <definedName name="profit_before_tax" localSheetId="29">'[39]PBV Cons'!#REF!</definedName>
    <definedName name="profit_before_tax">'[39]PBV Cons'!#REF!</definedName>
    <definedName name="progress" localSheetId="4">#REF!</definedName>
    <definedName name="progress" localSheetId="29">#REF!</definedName>
    <definedName name="progress">#REF!</definedName>
    <definedName name="Project" localSheetId="4">#REF!</definedName>
    <definedName name="Project" localSheetId="29">#REF!</definedName>
    <definedName name="Project">#REF!</definedName>
    <definedName name="ProjectName" localSheetId="4">{"Client Name or Project Name"}</definedName>
    <definedName name="ProjectName" localSheetId="6">{"Client Name or Project Name"}</definedName>
    <definedName name="ProjectName" localSheetId="9">{"Client Name or Project Name"}</definedName>
    <definedName name="ProjectName">{"Client Name or Project Name"}</definedName>
    <definedName name="PROMEDIO_ACTIVOS" localSheetId="4">#REF!,#REF!,#REF!,#REF!,#REF!,#REF!</definedName>
    <definedName name="PROMEDIO_ACTIVOS" localSheetId="29">#REF!,#REF!,#REF!,#REF!,#REF!,#REF!</definedName>
    <definedName name="PROMEDIO_ACTIVOS">#REF!,#REF!,#REF!,#REF!,#REF!,#REF!</definedName>
    <definedName name="Prov_liab_Mate" localSheetId="4">'[63]Exp. Liab.'!#REF!</definedName>
    <definedName name="Prov_liab_Mate" localSheetId="29">'[63]Exp. Liab.'!#REF!</definedName>
    <definedName name="Prov_liab_Mate">'[63]Exp. Liab.'!#REF!</definedName>
    <definedName name="PRUEBA" localSheetId="4">#REF!</definedName>
    <definedName name="PRUEBA" localSheetId="29">#REF!</definedName>
    <definedName name="PRUEBA">#REF!</definedName>
    <definedName name="PSM">[60]TB_TURBHE1214!$B$2:$AH$879</definedName>
    <definedName name="PUB_FileID" hidden="1">"L10003649.xls"</definedName>
    <definedName name="PUB_Graphs" localSheetId="4">#REF!</definedName>
    <definedName name="PUB_Graphs" localSheetId="29">#REF!</definedName>
    <definedName name="PUB_Graphs">#REF!</definedName>
    <definedName name="PUB_UserID" hidden="1">"MAYERX"</definedName>
    <definedName name="pulsea" localSheetId="4">#REF!</definedName>
    <definedName name="pulsea" localSheetId="29">#REF!</definedName>
    <definedName name="pulsea">#REF!</definedName>
    <definedName name="pulsea1" localSheetId="4">#REF!</definedName>
    <definedName name="pulsea1" localSheetId="29">#REF!</definedName>
    <definedName name="pulsea1">#REF!</definedName>
    <definedName name="Q" localSheetId="4" hidden="1">{"PLANNING",#N/A,FALSE,"A"}</definedName>
    <definedName name="Q" localSheetId="6" hidden="1">{"PLANNING",#N/A,FALSE,"A"}</definedName>
    <definedName name="Q" localSheetId="9" hidden="1">{"PLANNING",#N/A,FALSE,"A"}</definedName>
    <definedName name="Q" hidden="1">{"PLANNING",#N/A,FALSE,"A"}</definedName>
    <definedName name="QQQ" localSheetId="4" hidden="1">{"SUMMARY",#N/A,FALSE,"C"}</definedName>
    <definedName name="QQQ" localSheetId="6" hidden="1">{"SUMMARY",#N/A,FALSE,"C"}</definedName>
    <definedName name="QQQ" localSheetId="9" hidden="1">{"SUMMARY",#N/A,FALSE,"C"}</definedName>
    <definedName name="QQQ" hidden="1">{"SUMMARY",#N/A,FALSE,"C"}</definedName>
    <definedName name="QTempAllAreas" localSheetId="4">#REF!</definedName>
    <definedName name="QTempAllAreas" localSheetId="29">#REF!</definedName>
    <definedName name="QTempAllAreas">#REF!</definedName>
    <definedName name="qty_col" localSheetId="4">#REF!</definedName>
    <definedName name="qty_col" localSheetId="29">#REF!</definedName>
    <definedName name="qty_col">#REF!</definedName>
    <definedName name="Quad_OC12" localSheetId="4">#REF!</definedName>
    <definedName name="Quad_OC12" localSheetId="29">#REF!</definedName>
    <definedName name="Quad_OC12">#REF!</definedName>
    <definedName name="qwdqwdqad" localSheetId="6" hidden="1">{#N/A,#N/A,TRUE,"Staffnos &amp; cost"}</definedName>
    <definedName name="qwdqwdqad" localSheetId="9" hidden="1">{#N/A,#N/A,TRUE,"Staffnos &amp; cost"}</definedName>
    <definedName name="qwdqwdqad" hidden="1">{#N/A,#N/A,TRUE,"Staffnos &amp; cost"}</definedName>
    <definedName name="qwedqqdq" localSheetId="6" hidden="1">{#N/A,#N/A,TRUE,"Staffnos &amp; cost"}</definedName>
    <definedName name="qwedqqdq" localSheetId="9" hidden="1">{#N/A,#N/A,TRUE,"Staffnos &amp; cost"}</definedName>
    <definedName name="qwedqqdq" hidden="1">{#N/A,#N/A,TRUE,"Staffnos &amp; cost"}</definedName>
    <definedName name="R_" localSheetId="4">#REF!</definedName>
    <definedName name="R_" localSheetId="29">#REF!</definedName>
    <definedName name="R_">#REF!</definedName>
    <definedName name="r24." localSheetId="4">#REF!</definedName>
    <definedName name="r24." localSheetId="29">#REF!</definedName>
    <definedName name="r24.">#REF!</definedName>
    <definedName name="Rack_m" localSheetId="4">#REF!</definedName>
    <definedName name="Rack_m" localSheetId="29">#REF!</definedName>
    <definedName name="Rack_m">#REF!</definedName>
    <definedName name="Rack_o" localSheetId="4">#REF!</definedName>
    <definedName name="Rack_o" localSheetId="29">#REF!</definedName>
    <definedName name="Rack_o">#REF!</definedName>
    <definedName name="Rack_u" localSheetId="4">#REF!</definedName>
    <definedName name="Rack_u" localSheetId="29">#REF!</definedName>
    <definedName name="Rack_u">#REF!</definedName>
    <definedName name="Racks" localSheetId="4">#REF!</definedName>
    <definedName name="Racks" localSheetId="29">#REF!</definedName>
    <definedName name="Racks">#REF!</definedName>
    <definedName name="raj" localSheetId="4">#REF!</definedName>
    <definedName name="raj" localSheetId="29">#REF!</definedName>
    <definedName name="raj">#REF!</definedName>
    <definedName name="ram" localSheetId="4" hidden="1">#REF!</definedName>
    <definedName name="ram" localSheetId="29" hidden="1">#REF!</definedName>
    <definedName name="ram" hidden="1">#REF!</definedName>
    <definedName name="RANA" localSheetId="4">#REF!</definedName>
    <definedName name="RANA" localSheetId="29">#REF!</definedName>
    <definedName name="RANA" localSheetId="22">#REF!</definedName>
    <definedName name="RANA">#REF!</definedName>
    <definedName name="RANGE" localSheetId="4">#REF!</definedName>
    <definedName name="RANGE" localSheetId="29">#REF!</definedName>
    <definedName name="RANGE" localSheetId="22">#REF!</definedName>
    <definedName name="RANGE">#REF!</definedName>
    <definedName name="rate" localSheetId="4">#REF!</definedName>
    <definedName name="rate" localSheetId="29">#REF!</definedName>
    <definedName name="rate">#REF!</definedName>
    <definedName name="rate1" localSheetId="4">#REF!</definedName>
    <definedName name="rate1" localSheetId="29">#REF!</definedName>
    <definedName name="rate1">#REF!</definedName>
    <definedName name="RATES" localSheetId="4">#REF!</definedName>
    <definedName name="RATES" localSheetId="29">#REF!</definedName>
    <definedName name="RATES">#REF!</definedName>
    <definedName name="ratra" localSheetId="4"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atra" localSheetId="6"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atra" localSheetId="9"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atra"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CArea" localSheetId="4" hidden="1">#REF!</definedName>
    <definedName name="RCArea" localSheetId="29" hidden="1">#REF!</definedName>
    <definedName name="RCArea" localSheetId="22" hidden="1">#REF!</definedName>
    <definedName name="RCArea" hidden="1">#REF!</definedName>
    <definedName name="RDD" localSheetId="4">#REF!</definedName>
    <definedName name="RDD" localSheetId="29">#REF!</definedName>
    <definedName name="RDD">#REF!</definedName>
    <definedName name="Realisations_salevalue" localSheetId="4">#REF!</definedName>
    <definedName name="Realisations_salevalue" localSheetId="29">#REF!</definedName>
    <definedName name="Realisations_salevalue">#REF!</definedName>
    <definedName name="_xlnm.Recorder" localSheetId="4">#REF!</definedName>
    <definedName name="_xlnm.Recorder" localSheetId="29">#REF!</definedName>
    <definedName name="_xlnm.Recorder">#REF!</definedName>
    <definedName name="redo" localSheetId="4" hidden="1">{#N/A,#N/A,FALSE,"ACQ_GRAPHS";#N/A,#N/A,FALSE,"T_1 GRAPHS";#N/A,#N/A,FALSE,"T_2 GRAPHS";#N/A,#N/A,FALSE,"COMB_GRAPHS"}</definedName>
    <definedName name="redo" localSheetId="6" hidden="1">{#N/A,#N/A,FALSE,"ACQ_GRAPHS";#N/A,#N/A,FALSE,"T_1 GRAPHS";#N/A,#N/A,FALSE,"T_2 GRAPHS";#N/A,#N/A,FALSE,"COMB_GRAPHS"}</definedName>
    <definedName name="redo" localSheetId="9" hidden="1">{#N/A,#N/A,FALSE,"ACQ_GRAPHS";#N/A,#N/A,FALSE,"T_1 GRAPHS";#N/A,#N/A,FALSE,"T_2 GRAPHS";#N/A,#N/A,FALSE,"COMB_GRAPHS"}</definedName>
    <definedName name="redo" hidden="1">{#N/A,#N/A,FALSE,"ACQ_GRAPHS";#N/A,#N/A,FALSE,"T_1 GRAPHS";#N/A,#N/A,FALSE,"T_2 GRAPHS";#N/A,#N/A,FALSE,"COMB_GRAPHS"}</definedName>
    <definedName name="Redundant" localSheetId="4">#REF!</definedName>
    <definedName name="Redundant" localSheetId="29">#REF!</definedName>
    <definedName name="Redundant">#REF!</definedName>
    <definedName name="Reference" localSheetId="4">#REF!</definedName>
    <definedName name="Reference" localSheetId="29">#REF!</definedName>
    <definedName name="Reference">#REF!</definedName>
    <definedName name="Regen_CE_BB" localSheetId="4">#REF!</definedName>
    <definedName name="Regen_CE_BB" localSheetId="29">#REF!</definedName>
    <definedName name="Regen_CE_BB">#REF!</definedName>
    <definedName name="Rejuvenation" localSheetId="4">#REF!</definedName>
    <definedName name="Rejuvenation" localSheetId="29">#REF!</definedName>
    <definedName name="Rejuvenation">#REF!</definedName>
    <definedName name="REPOMO" localSheetId="4">#REF!</definedName>
    <definedName name="REPOMO" localSheetId="29">#REF!</definedName>
    <definedName name="REPOMO">#REF!</definedName>
    <definedName name="Report_Day" localSheetId="4">#REF!</definedName>
    <definedName name="Report_Day" localSheetId="29">#REF!</definedName>
    <definedName name="Report_Day">#REF!</definedName>
    <definedName name="ReportTitle1" localSheetId="4">#REF!</definedName>
    <definedName name="ReportTitle1" localSheetId="29">#REF!</definedName>
    <definedName name="ReportTitle1">#REF!</definedName>
    <definedName name="RES" localSheetId="4">#REF!</definedName>
    <definedName name="RES" localSheetId="29">#REF!</definedName>
    <definedName name="RES">#REF!</definedName>
    <definedName name="Res_upsell" localSheetId="4">#REF!</definedName>
    <definedName name="Res_upsell" localSheetId="29">#REF!</definedName>
    <definedName name="Res_upsell">#REF!</definedName>
    <definedName name="Res_upsell3Y" localSheetId="4">#REF!</definedName>
    <definedName name="Res_upsell3Y" localSheetId="29">#REF!</definedName>
    <definedName name="Res_upsell3Y">#REF!</definedName>
    <definedName name="Resiliant" localSheetId="4">#REF!</definedName>
    <definedName name="Resiliant" localSheetId="29">#REF!</definedName>
    <definedName name="Resiliant">#REF!</definedName>
    <definedName name="Resilient" localSheetId="4">#REF!</definedName>
    <definedName name="Resilient" localSheetId="29">#REF!</definedName>
    <definedName name="Resilient">#REF!</definedName>
    <definedName name="Resource_Optimisation" localSheetId="4">#REF!</definedName>
    <definedName name="Resource_Optimisation" localSheetId="29">#REF!</definedName>
    <definedName name="Resource_Optimisation">#REF!</definedName>
    <definedName name="rest" localSheetId="4">#REF!</definedName>
    <definedName name="rest" localSheetId="29">#REF!</definedName>
    <definedName name="rest">#REF!</definedName>
    <definedName name="RESUL.ACUM." localSheetId="4">#REF!</definedName>
    <definedName name="RESUL.ACUM." localSheetId="29">#REF!</definedName>
    <definedName name="RESUL.ACUM.">#REF!</definedName>
    <definedName name="RESUL.EJER." localSheetId="4">#REF!</definedName>
    <definedName name="RESUL.EJER." localSheetId="29">#REF!</definedName>
    <definedName name="RESUL.EJER.">#REF!</definedName>
    <definedName name="RESUMEN" localSheetId="4">#REF!</definedName>
    <definedName name="RESUMEN" localSheetId="29">#REF!</definedName>
    <definedName name="RESUMEN">#REF!</definedName>
    <definedName name="revact" localSheetId="4">OFFSET('[20]Bar Chart - FHL (M)'!$A$103,0,2,MATCH(CurrMonth,'[20]Bar Chart - FHL (M)'!$A$103:$A$114,0),1)</definedName>
    <definedName name="revact" localSheetId="29">OFFSET('[20]Bar Chart - FHL (M)'!$A$103,0,2,MATCH(CurrMonth,'[20]Bar Chart - FHL (M)'!$A$103:$A$114,0),1)</definedName>
    <definedName name="revact" localSheetId="27">OFFSET('[20]Bar Chart - FHL (M)'!$A$103,0,2,MATCH(CurrMonth,'[20]Bar Chart - FHL (M)'!$A$103:$A$114,0),1)</definedName>
    <definedName name="revact" localSheetId="26">OFFSET('[20]Bar Chart - FHL (M)'!$A$103,0,2,MATCH(CurrMonth,'[20]Bar Chart - FHL (M)'!$A$103:$A$114,0),1)</definedName>
    <definedName name="revact" localSheetId="23">OFFSET('[20]Bar Chart - FHL (M)'!$A$103,0,2,MATCH(CurrMonth,'[20]Bar Chart - FHL (M)'!$A$103:$A$114,0),1)</definedName>
    <definedName name="revact" localSheetId="6">OFFSET('[20]Bar Chart - FHL (M)'!$A$103,0,2,MATCH(CurrMonth,'[20]Bar Chart - FHL (M)'!$A$103:$A$114,0),1)</definedName>
    <definedName name="revact" localSheetId="9">OFFSET('[20]Bar Chart - FHL (M)'!$A$103,0,2,MATCH(CurrMonth,'[20]Bar Chart - FHL (M)'!$A$103:$A$114,0),1)</definedName>
    <definedName name="revact" localSheetId="18">OFFSET('[20]Bar Chart - FHL (M)'!$A$103,0,2,MATCH(CurrMonth,'[20]Bar Chart - FHL (M)'!$A$103:$A$114,0),1)</definedName>
    <definedName name="revact" localSheetId="22">OFFSET('[20]Bar Chart - FHL (M)'!$A$103,0,2,MATCH(CurrMonth,'[20]Bar Chart - FHL (M)'!$A$103:$A$114,0),1)</definedName>
    <definedName name="revact">OFFSET('[20]Bar Chart - FHL (M)'!$A$103,0,2,MATCH(CurrMonth,'[20]Bar Chart - FHL (M)'!$A$103:$A$114,0),1)</definedName>
    <definedName name="revactpy" localSheetId="4">OFFSET('[20]Bar Chart - FHL (M)'!$A$103,0,4,MATCH(CurrMonth,'[20]Bar Chart - FHL (M)'!$A$103:$A$114,0),1)</definedName>
    <definedName name="revactpy" localSheetId="29">OFFSET('[20]Bar Chart - FHL (M)'!$A$103,0,4,MATCH(CurrMonth,'[20]Bar Chart - FHL (M)'!$A$103:$A$114,0),1)</definedName>
    <definedName name="revactpy" localSheetId="27">OFFSET('[20]Bar Chart - FHL (M)'!$A$103,0,4,MATCH(CurrMonth,'[20]Bar Chart - FHL (M)'!$A$103:$A$114,0),1)</definedName>
    <definedName name="revactpy" localSheetId="26">OFFSET('[20]Bar Chart - FHL (M)'!$A$103,0,4,MATCH(CurrMonth,'[20]Bar Chart - FHL (M)'!$A$103:$A$114,0),1)</definedName>
    <definedName name="revactpy" localSheetId="23">OFFSET('[20]Bar Chart - FHL (M)'!$A$103,0,4,MATCH(CurrMonth,'[20]Bar Chart - FHL (M)'!$A$103:$A$114,0),1)</definedName>
    <definedName name="revactpy" localSheetId="6">OFFSET('[20]Bar Chart - FHL (M)'!$A$103,0,4,MATCH(CurrMonth,'[20]Bar Chart - FHL (M)'!$A$103:$A$114,0),1)</definedName>
    <definedName name="revactpy" localSheetId="9">OFFSET('[20]Bar Chart - FHL (M)'!$A$103,0,4,MATCH(CurrMonth,'[20]Bar Chart - FHL (M)'!$A$103:$A$114,0),1)</definedName>
    <definedName name="revactpy" localSheetId="18">OFFSET('[20]Bar Chart - FHL (M)'!$A$103,0,4,MATCH(CurrMonth,'[20]Bar Chart - FHL (M)'!$A$103:$A$114,0),1)</definedName>
    <definedName name="revactpy" localSheetId="22">OFFSET('[20]Bar Chart - FHL (M)'!$A$103,0,4,MATCH(CurrMonth,'[20]Bar Chart - FHL (M)'!$A$103:$A$114,0),1)</definedName>
    <definedName name="revactpy">OFFSET('[20]Bar Chart - FHL (M)'!$A$103,0,4,MATCH(CurrMonth,'[20]Bar Chart - FHL (M)'!$A$103:$A$114,0),1)</definedName>
    <definedName name="revbud" localSheetId="4">OFFSET('[20]Bar Chart - FHL (M)'!$A$103,0,1,MATCH(CurrMonth,'[20]Bar Chart - FHL (M)'!$A$103:$A$114,0),1)</definedName>
    <definedName name="revbud" localSheetId="29">OFFSET('[20]Bar Chart - FHL (M)'!$A$103,0,1,MATCH(CurrMonth,'[20]Bar Chart - FHL (M)'!$A$103:$A$114,0),1)</definedName>
    <definedName name="revbud" localSheetId="27">OFFSET('[20]Bar Chart - FHL (M)'!$A$103,0,1,MATCH(CurrMonth,'[20]Bar Chart - FHL (M)'!$A$103:$A$114,0),1)</definedName>
    <definedName name="revbud" localSheetId="26">OFFSET('[20]Bar Chart - FHL (M)'!$A$103,0,1,MATCH(CurrMonth,'[20]Bar Chart - FHL (M)'!$A$103:$A$114,0),1)</definedName>
    <definedName name="revbud" localSheetId="23">OFFSET('[20]Bar Chart - FHL (M)'!$A$103,0,1,MATCH(CurrMonth,'[20]Bar Chart - FHL (M)'!$A$103:$A$114,0),1)</definedName>
    <definedName name="revbud" localSheetId="6">OFFSET('[20]Bar Chart - FHL (M)'!$A$103,0,1,MATCH(CurrMonth,'[20]Bar Chart - FHL (M)'!$A$103:$A$114,0),1)</definedName>
    <definedName name="revbud" localSheetId="9">OFFSET('[20]Bar Chart - FHL (M)'!$A$103,0,1,MATCH(CurrMonth,'[20]Bar Chart - FHL (M)'!$A$103:$A$114,0),1)</definedName>
    <definedName name="revbud" localSheetId="18">OFFSET('[20]Bar Chart - FHL (M)'!$A$103,0,1,MATCH(CurrMonth,'[20]Bar Chart - FHL (M)'!$A$103:$A$114,0),1)</definedName>
    <definedName name="revbud" localSheetId="22">OFFSET('[20]Bar Chart - FHL (M)'!$A$103,0,1,MATCH(CurrMonth,'[20]Bar Chart - FHL (M)'!$A$103:$A$114,0),1)</definedName>
    <definedName name="revbud">OFFSET('[20]Bar Chart - FHL (M)'!$A$103,0,1,MATCH(CurrMonth,'[20]Bar Chart - FHL (M)'!$A$103:$A$114,0),1)</definedName>
    <definedName name="Revenue" localSheetId="4">#REF!</definedName>
    <definedName name="Revenue" localSheetId="29">#REF!</definedName>
    <definedName name="Revenue">#REF!</definedName>
    <definedName name="Revenue_Assumptions" localSheetId="4">#REF!</definedName>
    <definedName name="Revenue_Assumptions" localSheetId="29">#REF!</definedName>
    <definedName name="Revenue_Assumptions">#REF!</definedName>
    <definedName name="Revenue_Graphs" localSheetId="4">#REF!</definedName>
    <definedName name="Revenue_Graphs" localSheetId="29">#REF!</definedName>
    <definedName name="Revenue_Graphs">#REF!</definedName>
    <definedName name="revised" localSheetId="4">#REF!</definedName>
    <definedName name="revised" localSheetId="29">#REF!</definedName>
    <definedName name="revised">#REF!</definedName>
    <definedName name="RFormula" localSheetId="4">#REF!</definedName>
    <definedName name="RFormula" localSheetId="29">#REF!</definedName>
    <definedName name="RFormula">#REF!</definedName>
    <definedName name="Rls8_Req_list" localSheetId="4">#REF!</definedName>
    <definedName name="Rls8_Req_list" localSheetId="29">#REF!</definedName>
    <definedName name="Rls8_Req_list">#REF!</definedName>
    <definedName name="RMB">[64]Data!$D$10</definedName>
    <definedName name="RMBCD" hidden="1">[65]sti!$B$543:$I$570</definedName>
    <definedName name="ROADWORKS">'[27]BOQ Distribution'!$A$5:$G$24</definedName>
    <definedName name="RowDetails1" localSheetId="4">#REF!</definedName>
    <definedName name="RowDetails1" localSheetId="29">#REF!</definedName>
    <definedName name="RowDetails1">#REF!</definedName>
    <definedName name="RRR" localSheetId="4" hidden="1">{"FTS",#N/A,FALSE,"E"}</definedName>
    <definedName name="RRR" localSheetId="6" hidden="1">{"FTS",#N/A,FALSE,"E"}</definedName>
    <definedName name="RRR" localSheetId="9" hidden="1">{"FTS",#N/A,FALSE,"E"}</definedName>
    <definedName name="RRR" hidden="1">{"FTS",#N/A,FALSE,"E"}</definedName>
    <definedName name="RRRR" localSheetId="4" hidden="1">{"CASH FLOW",#N/A,FALSE,"A"}</definedName>
    <definedName name="RRRR" localSheetId="6" hidden="1">{"CASH FLOW",#N/A,FALSE,"A"}</definedName>
    <definedName name="RRRR" localSheetId="9" hidden="1">{"CASH FLOW",#N/A,FALSE,"A"}</definedName>
    <definedName name="RRRR" hidden="1">{"CASH FLOW",#N/A,FALSE,"A"}</definedName>
    <definedName name="RSP" localSheetId="4">#REF!</definedName>
    <definedName name="RSP" localSheetId="29">#REF!</definedName>
    <definedName name="RSP">#REF!</definedName>
    <definedName name="rsu" localSheetId="4">#REF!</definedName>
    <definedName name="rsu" localSheetId="29">#REF!</definedName>
    <definedName name="rsu">#REF!</definedName>
    <definedName name="RSU0" localSheetId="4">#REF!</definedName>
    <definedName name="RSU0" localSheetId="29">#REF!</definedName>
    <definedName name="RSU0">#REF!</definedName>
    <definedName name="RSU00" localSheetId="4">#REF!</definedName>
    <definedName name="RSU00" localSheetId="29">#REF!</definedName>
    <definedName name="RSU00">#REF!</definedName>
    <definedName name="RT" localSheetId="4">#REF!</definedName>
    <definedName name="RT" localSheetId="29">#REF!</definedName>
    <definedName name="RT">#REF!</definedName>
    <definedName name="rty" localSheetId="6"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rty" localSheetId="9"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rty"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s" localSheetId="4" hidden="1">{"FTS",#N/A,FALSE,"E"}</definedName>
    <definedName name="s" localSheetId="6" hidden="1">{"FTS",#N/A,FALSE,"E"}</definedName>
    <definedName name="s" localSheetId="9" hidden="1">{"FTS",#N/A,FALSE,"E"}</definedName>
    <definedName name="s" hidden="1">{"FTS",#N/A,FALSE,"E"}</definedName>
    <definedName name="s_6" localSheetId="4">#REF!</definedName>
    <definedName name="s_6" localSheetId="29">#REF!</definedName>
    <definedName name="s_6">#REF!</definedName>
    <definedName name="sa" localSheetId="4">#REF!</definedName>
    <definedName name="sa" localSheetId="29">#REF!</definedName>
    <definedName name="sa" localSheetId="22">#REF!</definedName>
    <definedName name="sa">#REF!</definedName>
    <definedName name="saa" localSheetId="4">#REF!</definedName>
    <definedName name="saa" localSheetId="29">#REF!</definedName>
    <definedName name="saa" localSheetId="22">#REF!</definedName>
    <definedName name="saa">#REF!</definedName>
    <definedName name="saaa" localSheetId="4">#REF!</definedName>
    <definedName name="saaa" localSheetId="29">#REF!</definedName>
    <definedName name="saaa" localSheetId="22">#REF!</definedName>
    <definedName name="saaa">#REF!</definedName>
    <definedName name="saaas" localSheetId="4" hidden="1">{"PLANNING",#N/A,FALSE,"A"}</definedName>
    <definedName name="saaas" localSheetId="6" hidden="1">{"PLANNING",#N/A,FALSE,"A"}</definedName>
    <definedName name="saaas" localSheetId="9" hidden="1">{"PLANNING",#N/A,FALSE,"A"}</definedName>
    <definedName name="saaas" hidden="1">{"PLANNING",#N/A,FALSE,"A"}</definedName>
    <definedName name="sal" localSheetId="4" hidden="1">{"CASH FLOW",#N/A,FALSE,"A"}</definedName>
    <definedName name="sal" localSheetId="6" hidden="1">{"CASH FLOW",#N/A,FALSE,"A"}</definedName>
    <definedName name="sal" localSheetId="9" hidden="1">{"CASH FLOW",#N/A,FALSE,"A"}</definedName>
    <definedName name="sal" hidden="1">{"CASH FLOW",#N/A,FALSE,"A"}</definedName>
    <definedName name="Salaries" localSheetId="4">#REF!</definedName>
    <definedName name="Salaries" localSheetId="29">#REF!</definedName>
    <definedName name="Salaries">#REF!</definedName>
    <definedName name="Salary" localSheetId="4">#REF!</definedName>
    <definedName name="Salary" localSheetId="29">#REF!</definedName>
    <definedName name="Salary">#REF!</definedName>
    <definedName name="SALES" localSheetId="4">#REF!</definedName>
    <definedName name="SALES" localSheetId="29">#REF!</definedName>
    <definedName name="SALES">#REF!</definedName>
    <definedName name="sam" localSheetId="4" hidden="1">{"PLANT BREAKUP",#N/A,FALSE,"E"}</definedName>
    <definedName name="sam" localSheetId="6" hidden="1">{"PLANT BREAKUP",#N/A,FALSE,"E"}</definedName>
    <definedName name="sam" localSheetId="9" hidden="1">{"PLANT BREAKUP",#N/A,FALSE,"E"}</definedName>
    <definedName name="sam" hidden="1">{"PLANT BREAKUP",#N/A,FALSE,"E"}</definedName>
    <definedName name="Samp_TM_Exp_Diff" localSheetId="4">'[37]Non-Statistical Sampling'!#REF!</definedName>
    <definedName name="Samp_TM_Exp_Diff" localSheetId="29">'[37]Non-Statistical Sampling'!#REF!</definedName>
    <definedName name="Samp_TM_Exp_Diff" localSheetId="22">'[37]Non-Statistical Sampling'!#REF!</definedName>
    <definedName name="Samp_TM_Exp_Diff">'[37]Non-Statistical Sampling'!#REF!</definedName>
    <definedName name="SAND" localSheetId="4">'[24]#REF'!#REF!</definedName>
    <definedName name="SAND" localSheetId="29">'[24]#REF'!#REF!</definedName>
    <definedName name="SAND">'[24]#REF'!#REF!</definedName>
    <definedName name="SBI_Apr06" localSheetId="4">[66]GLED!$A$1:$K$35</definedName>
    <definedName name="SBI_Apr06">[66]GLED!$A$1:$K$35</definedName>
    <definedName name="SCH_5" localSheetId="4">#REF!</definedName>
    <definedName name="SCH_5" localSheetId="29">#REF!</definedName>
    <definedName name="SCH_5">#REF!</definedName>
    <definedName name="sche" localSheetId="4">#REF!</definedName>
    <definedName name="sche" localSheetId="29">#REF!</definedName>
    <definedName name="sche">#REF!</definedName>
    <definedName name="sdate" localSheetId="4">#REF!</definedName>
    <definedName name="sdate" localSheetId="29">#REF!</definedName>
    <definedName name="sdate">#REF!</definedName>
    <definedName name="SDCS" localSheetId="6" hidden="1">{#N/A,#N/A,TRUE,"Staffnos &amp; cost"}</definedName>
    <definedName name="SDCS" localSheetId="9" hidden="1">{#N/A,#N/A,TRUE,"Staffnos &amp; cost"}</definedName>
    <definedName name="SDCS" hidden="1">{#N/A,#N/A,TRUE,"Staffnos &amp; cost"}</definedName>
    <definedName name="sec" localSheetId="4">#REF!</definedName>
    <definedName name="sec" localSheetId="29">#REF!</definedName>
    <definedName name="sec">#REF!</definedName>
    <definedName name="Second" localSheetId="4">[45]Int.!#REF!,[45]Int.!#REF!,[45]Int.!#REF!,[45]Int.!#REF!</definedName>
    <definedName name="Second" localSheetId="29">[45]Int.!#REF!,[45]Int.!#REF!,[45]Int.!#REF!,[45]Int.!#REF!</definedName>
    <definedName name="Second" localSheetId="6">[45]Int.!#REF!,[45]Int.!#REF!,[45]Int.!#REF!,[45]Int.!#REF!</definedName>
    <definedName name="Second" localSheetId="9">[45]Int.!#REF!,[45]Int.!#REF!,[45]Int.!#REF!,[45]Int.!#REF!</definedName>
    <definedName name="Second">[45]Int.!#REF!,[45]Int.!#REF!,[45]Int.!#REF!,[45]Int.!#REF!</definedName>
    <definedName name="section" localSheetId="4">[67]manager!$F$3</definedName>
    <definedName name="section">[67]manager!$F$3</definedName>
    <definedName name="Section1" localSheetId="4">#REF!</definedName>
    <definedName name="Section1" localSheetId="29">#REF!</definedName>
    <definedName name="Section1">#REF!</definedName>
    <definedName name="Section10" localSheetId="4">#REF!</definedName>
    <definedName name="Section10" localSheetId="29">#REF!</definedName>
    <definedName name="Section10">#REF!</definedName>
    <definedName name="Section11" localSheetId="4">#REF!</definedName>
    <definedName name="Section11" localSheetId="29">#REF!</definedName>
    <definedName name="Section11">#REF!</definedName>
    <definedName name="Section12" localSheetId="4">#REF!</definedName>
    <definedName name="Section12" localSheetId="29">#REF!</definedName>
    <definedName name="Section12">#REF!</definedName>
    <definedName name="Section13" localSheetId="4">#REF!</definedName>
    <definedName name="Section13" localSheetId="29">#REF!</definedName>
    <definedName name="Section13">#REF!</definedName>
    <definedName name="Section14" localSheetId="4">#REF!</definedName>
    <definedName name="Section14" localSheetId="29">#REF!</definedName>
    <definedName name="Section14">#REF!</definedName>
    <definedName name="Section2" localSheetId="4">#REF!</definedName>
    <definedName name="Section2" localSheetId="29">#REF!</definedName>
    <definedName name="Section2">#REF!</definedName>
    <definedName name="Section3" localSheetId="4">#REF!</definedName>
    <definedName name="Section3" localSheetId="29">#REF!</definedName>
    <definedName name="Section3">#REF!</definedName>
    <definedName name="Section4" localSheetId="4">#REF!</definedName>
    <definedName name="Section4" localSheetId="29">#REF!</definedName>
    <definedName name="Section4">#REF!</definedName>
    <definedName name="Section5" localSheetId="4">#REF!</definedName>
    <definedName name="Section5" localSheetId="29">#REF!</definedName>
    <definedName name="Section5">#REF!</definedName>
    <definedName name="Section6" localSheetId="4">#REF!</definedName>
    <definedName name="Section6" localSheetId="29">#REF!</definedName>
    <definedName name="Section6">#REF!</definedName>
    <definedName name="Section7" localSheetId="4">#REF!</definedName>
    <definedName name="Section7" localSheetId="29">#REF!</definedName>
    <definedName name="Section7">#REF!</definedName>
    <definedName name="Section8" localSheetId="4">#REF!</definedName>
    <definedName name="Section8" localSheetId="29">#REF!</definedName>
    <definedName name="Section8">#REF!</definedName>
    <definedName name="Section9" localSheetId="4">#REF!</definedName>
    <definedName name="Section9" localSheetId="29">#REF!</definedName>
    <definedName name="Section9">#REF!</definedName>
    <definedName name="sectionB" localSheetId="4">#REF!</definedName>
    <definedName name="sectionB" localSheetId="29">#REF!</definedName>
    <definedName name="sectionB">#REF!</definedName>
    <definedName name="sectionC" localSheetId="4">#REF!</definedName>
    <definedName name="sectionC" localSheetId="29">#REF!</definedName>
    <definedName name="sectionC">#REF!</definedName>
    <definedName name="sectionD" localSheetId="4">#REF!</definedName>
    <definedName name="sectionD" localSheetId="29">#REF!</definedName>
    <definedName name="sectionD">#REF!</definedName>
    <definedName name="sectionE" localSheetId="4">#REF!</definedName>
    <definedName name="sectionE" localSheetId="29">#REF!</definedName>
    <definedName name="sectionE">#REF!</definedName>
    <definedName name="sectionF" localSheetId="4">#REF!</definedName>
    <definedName name="sectionF" localSheetId="29">#REF!</definedName>
    <definedName name="sectionF">#REF!</definedName>
    <definedName name="sectionG" localSheetId="4">#REF!</definedName>
    <definedName name="sectionG" localSheetId="29">#REF!</definedName>
    <definedName name="sectionG">#REF!</definedName>
    <definedName name="sectionH" localSheetId="4">#REF!</definedName>
    <definedName name="sectionH" localSheetId="29">#REF!</definedName>
    <definedName name="sectionH">#REF!</definedName>
    <definedName name="sectionJ" localSheetId="4">#REF!</definedName>
    <definedName name="sectionJ" localSheetId="29">#REF!</definedName>
    <definedName name="sectionJ">#REF!</definedName>
    <definedName name="sectionK" localSheetId="4">#REF!</definedName>
    <definedName name="sectionK" localSheetId="29">#REF!</definedName>
    <definedName name="sectionK">#REF!</definedName>
    <definedName name="sectionM" localSheetId="4">#REF!</definedName>
    <definedName name="sectionM" localSheetId="29">#REF!</definedName>
    <definedName name="sectionM">#REF!</definedName>
    <definedName name="sectionO" localSheetId="4">#REF!</definedName>
    <definedName name="sectionO" localSheetId="29">#REF!</definedName>
    <definedName name="sectionO">#REF!</definedName>
    <definedName name="sencount" hidden="1">1</definedName>
    <definedName name="ser" localSheetId="4">#REF!</definedName>
    <definedName name="ser" localSheetId="29">#REF!</definedName>
    <definedName name="ser">#REF!</definedName>
    <definedName name="ser_fac" localSheetId="4">#REF!</definedName>
    <definedName name="ser_fac" localSheetId="29">#REF!</definedName>
    <definedName name="ser_fac">#REF!</definedName>
    <definedName name="sertm" localSheetId="4">#REF!</definedName>
    <definedName name="sertm" localSheetId="29">#REF!</definedName>
    <definedName name="sertm">#REF!</definedName>
    <definedName name="sertm1" localSheetId="4">#REF!</definedName>
    <definedName name="sertm1" localSheetId="29">#REF!</definedName>
    <definedName name="sertm1">#REF!</definedName>
    <definedName name="Service_Price_Column" localSheetId="4">#REF!</definedName>
    <definedName name="Service_Price_Column" localSheetId="29">#REF!</definedName>
    <definedName name="Service_Price_Column">#REF!</definedName>
    <definedName name="SFormula" localSheetId="4">#REF!</definedName>
    <definedName name="SFormula" localSheetId="29">#REF!</definedName>
    <definedName name="SFormula">#REF!</definedName>
    <definedName name="SHARED_FORMULA_0">#N/A</definedName>
    <definedName name="SHARED_FORMULA_1">#N/A</definedName>
    <definedName name="SHARED_FORMULA_1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IGNING" localSheetId="4">#REF!</definedName>
    <definedName name="SIGNING" localSheetId="29">#REF!</definedName>
    <definedName name="SIGNING">#REF!</definedName>
    <definedName name="SITE_1" localSheetId="4">#REF!</definedName>
    <definedName name="SITE_1" localSheetId="29">#REF!</definedName>
    <definedName name="SITE_1">#REF!</definedName>
    <definedName name="SITENAMES" localSheetId="4">#REF!</definedName>
    <definedName name="SITENAMES" localSheetId="29">#REF!</definedName>
    <definedName name="SITENAMES">#REF!</definedName>
    <definedName name="sjhsl" localSheetId="4" hidden="1">{"form-D1",#N/A,FALSE,"FORM-D1";"form-D1_amt",#N/A,FALSE,"FORM-D1"}</definedName>
    <definedName name="sjhsl" localSheetId="6" hidden="1">{"form-D1",#N/A,FALSE,"FORM-D1";"form-D1_amt",#N/A,FALSE,"FORM-D1"}</definedName>
    <definedName name="sjhsl" localSheetId="9" hidden="1">{"form-D1",#N/A,FALSE,"FORM-D1";"form-D1_amt",#N/A,FALSE,"FORM-D1"}</definedName>
    <definedName name="sjhsl" hidden="1">{"form-D1",#N/A,FALSE,"FORM-D1";"form-D1_amt",#N/A,FALSE,"FORM-D1"}</definedName>
    <definedName name="slca" localSheetId="4">#REF!</definedName>
    <definedName name="slca" localSheetId="29">#REF!</definedName>
    <definedName name="slca">#REF!</definedName>
    <definedName name="slcd" localSheetId="4">#REF!</definedName>
    <definedName name="slcd" localSheetId="29">#REF!</definedName>
    <definedName name="slcd">#REF!</definedName>
    <definedName name="SM" localSheetId="4">#REF!</definedName>
    <definedName name="SM" localSheetId="29">#REF!</definedName>
    <definedName name="SM">#REF!</definedName>
    <definedName name="sm_dms" localSheetId="4">#REF!</definedName>
    <definedName name="sm_dms" localSheetId="29">#REF!</definedName>
    <definedName name="sm_dms">#REF!</definedName>
    <definedName name="sm_sx" localSheetId="4">#REF!</definedName>
    <definedName name="sm_sx" localSheetId="29">#REF!</definedName>
    <definedName name="sm_sx">#REF!</definedName>
    <definedName name="SN" localSheetId="4" hidden="1">{#N/A,#N/A,FALSE,"MODULE3"}</definedName>
    <definedName name="SN" localSheetId="6" hidden="1">{#N/A,#N/A,FALSE,"MODULE3"}</definedName>
    <definedName name="SN" localSheetId="9" hidden="1">{#N/A,#N/A,FALSE,"MODULE3"}</definedName>
    <definedName name="SN" hidden="1">{#N/A,#N/A,FALSE,"MODULE3"}</definedName>
    <definedName name="so" localSheetId="4">#REF!</definedName>
    <definedName name="so" localSheetId="29">#REF!</definedName>
    <definedName name="so">#REF!</definedName>
    <definedName name="SOD" localSheetId="4">[41]Depreciation!#REF!</definedName>
    <definedName name="SOD" localSheetId="29">[41]Depreciation!#REF!</definedName>
    <definedName name="SOD">[41]Depreciation!#REF!</definedName>
    <definedName name="SOF" localSheetId="4">#REF!</definedName>
    <definedName name="SOF" localSheetId="29">#REF!</definedName>
    <definedName name="SOF">#REF!</definedName>
    <definedName name="solver_adj" localSheetId="4" hidden="1">'[22]IS Mo'!#REF!</definedName>
    <definedName name="solver_adj" localSheetId="29" hidden="1">'[22]IS Mo'!#REF!</definedName>
    <definedName name="solver_adj" hidden="1">'[22]IS Mo'!#REF!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'[22]IS Mo'!#REF!</definedName>
    <definedName name="solver_opt" localSheetId="29" hidden="1">'[22]IS Mo'!#REF!</definedName>
    <definedName name="solver_opt" hidden="1">'[22]IS Mo'!#REF!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0</definedName>
    <definedName name="spcnl" localSheetId="4">#REF!</definedName>
    <definedName name="spcnl" localSheetId="29">#REF!</definedName>
    <definedName name="spcnl">#REF!</definedName>
    <definedName name="SPEC" localSheetId="4">#REF!</definedName>
    <definedName name="SPEC" localSheetId="29">#REF!</definedName>
    <definedName name="SPEC">#REF!</definedName>
    <definedName name="SpecialPrice" localSheetId="4" hidden="1">#REF!</definedName>
    <definedName name="SpecialPrice" localSheetId="29" hidden="1">#REF!</definedName>
    <definedName name="SpecialPrice" localSheetId="22" hidden="1">#REF!</definedName>
    <definedName name="SpecialPrice" hidden="1">#REF!</definedName>
    <definedName name="Split_CC" localSheetId="4">#REF!</definedName>
    <definedName name="Split_CC" localSheetId="29">#REF!</definedName>
    <definedName name="Split_CC">#REF!</definedName>
    <definedName name="Split_CI" localSheetId="4">#REF!</definedName>
    <definedName name="Split_CI" localSheetId="29">#REF!</definedName>
    <definedName name="Split_CI">#REF!</definedName>
    <definedName name="Split_CP" localSheetId="4">#REF!</definedName>
    <definedName name="Split_CP" localSheetId="29">#REF!</definedName>
    <definedName name="Split_CP">#REF!</definedName>
    <definedName name="Split_NC" localSheetId="4">#REF!</definedName>
    <definedName name="Split_NC" localSheetId="29">#REF!</definedName>
    <definedName name="Split_NC">#REF!</definedName>
    <definedName name="Split_NI" localSheetId="4">#REF!</definedName>
    <definedName name="Split_NI" localSheetId="29">#REF!</definedName>
    <definedName name="Split_NI">#REF!</definedName>
    <definedName name="Split_NP" localSheetId="4">#REF!</definedName>
    <definedName name="Split_NP" localSheetId="29">#REF!</definedName>
    <definedName name="Split_NP">#REF!</definedName>
    <definedName name="SQABalSheetSummary" localSheetId="4">#REF!</definedName>
    <definedName name="SQABalSheetSummary" localSheetId="29">#REF!</definedName>
    <definedName name="SQABalSheetSummary">#REF!</definedName>
    <definedName name="SQAPandLSummary" localSheetId="4">#REF!</definedName>
    <definedName name="SQAPandLSummary" localSheetId="29">#REF!</definedName>
    <definedName name="SQAPandLSummary">#REF!</definedName>
    <definedName name="SQAWorksheet1" localSheetId="4">#REF!</definedName>
    <definedName name="SQAWorksheet1" localSheetId="29">#REF!</definedName>
    <definedName name="SQAWorksheet1">#REF!</definedName>
    <definedName name="SQAWorksheet2" localSheetId="4">#REF!</definedName>
    <definedName name="SQAWorksheet2" localSheetId="29">#REF!</definedName>
    <definedName name="SQAWorksheet2">#REF!</definedName>
    <definedName name="SQAWorksheet3" localSheetId="4">#REF!</definedName>
    <definedName name="SQAWorksheet3" localSheetId="29">#REF!</definedName>
    <definedName name="SQAWorksheet3">#REF!</definedName>
    <definedName name="ss" localSheetId="4">'[5]PL PBC'!#REF!</definedName>
    <definedName name="ss" localSheetId="29">'[5]PL PBC'!#REF!</definedName>
    <definedName name="ss" localSheetId="22">'[5]PL PBC'!#REF!</definedName>
    <definedName name="ss">'[5]PL PBC'!#REF!</definedName>
    <definedName name="ss7_perform" localSheetId="4">#REF!</definedName>
    <definedName name="ss7_perform" localSheetId="29">#REF!</definedName>
    <definedName name="ss7_perform">#REF!</definedName>
    <definedName name="SSC" localSheetId="4">#REF!</definedName>
    <definedName name="SSC" localSheetId="29">#REF!</definedName>
    <definedName name="SSC">#REF!</definedName>
    <definedName name="sshhet2" localSheetId="4" hidden="1">{#N/A,#N/A,FALSE,"MODULE3"}</definedName>
    <definedName name="sshhet2" localSheetId="6" hidden="1">{#N/A,#N/A,FALSE,"MODULE3"}</definedName>
    <definedName name="sshhet2" localSheetId="9" hidden="1">{#N/A,#N/A,FALSE,"MODULE3"}</definedName>
    <definedName name="sshhet2" hidden="1">{#N/A,#N/A,FALSE,"MODULE3"}</definedName>
    <definedName name="SSPs" localSheetId="4">#REF!</definedName>
    <definedName name="SSPs" localSheetId="29">#REF!</definedName>
    <definedName name="SSPs">#REF!</definedName>
    <definedName name="SSS" localSheetId="4" hidden="1">{"PLANT BREAKUP",#N/A,FALSE,"E"}</definedName>
    <definedName name="SSS" localSheetId="6" hidden="1">{"PLANT BREAKUP",#N/A,FALSE,"E"}</definedName>
    <definedName name="SSS" localSheetId="9" hidden="1">{"PLANT BREAKUP",#N/A,FALSE,"E"}</definedName>
    <definedName name="SSS" hidden="1">{"PLANT BREAKUP",#N/A,FALSE,"E"}</definedName>
    <definedName name="ssss" localSheetId="4">#REF!</definedName>
    <definedName name="ssss" localSheetId="29">#REF!</definedName>
    <definedName name="ssss" localSheetId="22">#REF!</definedName>
    <definedName name="ssss">#REF!</definedName>
    <definedName name="SSSSS" localSheetId="4" hidden="1">{#N/A,#N/A,TRUE,"Cover sheet";#N/A,#N/A,TRUE,"Summary";#N/A,#N/A,TRUE,"Key Assumptions";#N/A,#N/A,TRUE,"Profit &amp; Loss";#N/A,#N/A,TRUE,"Balance Sheet";#N/A,#N/A,TRUE,"Cashflow";#N/A,#N/A,TRUE,"IRR";#N/A,#N/A,TRUE,"Ratios";#N/A,#N/A,TRUE,"Debt analysis"}</definedName>
    <definedName name="SSSSS" localSheetId="6" hidden="1">{#N/A,#N/A,TRUE,"Cover sheet";#N/A,#N/A,TRUE,"Summary";#N/A,#N/A,TRUE,"Key Assumptions";#N/A,#N/A,TRUE,"Profit &amp; Loss";#N/A,#N/A,TRUE,"Balance Sheet";#N/A,#N/A,TRUE,"Cashflow";#N/A,#N/A,TRUE,"IRR";#N/A,#N/A,TRUE,"Ratios";#N/A,#N/A,TRUE,"Debt analysis"}</definedName>
    <definedName name="SSSSS" localSheetId="9" hidden="1">{#N/A,#N/A,TRUE,"Cover sheet";#N/A,#N/A,TRUE,"Summary";#N/A,#N/A,TRUE,"Key Assumptions";#N/A,#N/A,TRUE,"Profit &amp; Loss";#N/A,#N/A,TRUE,"Balance Sheet";#N/A,#N/A,TRUE,"Cashflow";#N/A,#N/A,TRUE,"IRR";#N/A,#N/A,TRUE,"Ratios";#N/A,#N/A,TRUE,"Debt analysis"}</definedName>
    <definedName name="SSSSS" hidden="1">{#N/A,#N/A,TRUE,"Cover sheet";#N/A,#N/A,TRUE,"Summary";#N/A,#N/A,TRUE,"Key Assumptions";#N/A,#N/A,TRUE,"Profit &amp; Loss";#N/A,#N/A,TRUE,"Balance Sheet";#N/A,#N/A,TRUE,"Cashflow";#N/A,#N/A,TRUE,"IRR";#N/A,#N/A,TRUE,"Ratios";#N/A,#N/A,TRUE,"Debt analysis"}</definedName>
    <definedName name="statemen" localSheetId="4">#REF!</definedName>
    <definedName name="statemen" localSheetId="29">#REF!</definedName>
    <definedName name="statemen">#REF!</definedName>
    <definedName name="Statement" localSheetId="4">#REF!</definedName>
    <definedName name="Statement" localSheetId="29">#REF!</definedName>
    <definedName name="Statement">#REF!</definedName>
    <definedName name="Statementofchangeinequity" localSheetId="4">#REF!</definedName>
    <definedName name="Statementofchangeinequity" localSheetId="29">#REF!</definedName>
    <definedName name="Statementofchangeinequity">#REF!</definedName>
    <definedName name="Statementofchangesinequity" localSheetId="4">#REF!</definedName>
    <definedName name="Statementofchangesinequity" localSheetId="29">#REF!</definedName>
    <definedName name="Statementofchangesinequity">#REF!</definedName>
    <definedName name="statements" localSheetId="4">#REF!</definedName>
    <definedName name="statements" localSheetId="29">#REF!</definedName>
    <definedName name="statements">#REF!</definedName>
    <definedName name="stdtm" localSheetId="4">#REF!</definedName>
    <definedName name="stdtm" localSheetId="29">#REF!</definedName>
    <definedName name="stdtm">#REF!</definedName>
    <definedName name="stdtm1" localSheetId="4">#REF!</definedName>
    <definedName name="stdtm1" localSheetId="29">#REF!</definedName>
    <definedName name="stdtm1">#REF!</definedName>
    <definedName name="stef" localSheetId="4" hidden="1">{#N/A,#N/A,TRUE,"Cover sheet";#N/A,#N/A,TRUE,"Summary";#N/A,#N/A,TRUE,"Key Assumptions";#N/A,#N/A,TRUE,"Profit &amp; Loss";#N/A,#N/A,TRUE,"Balance Sheet";#N/A,#N/A,TRUE,"Cashflow";#N/A,#N/A,TRUE,"IRR";#N/A,#N/A,TRUE,"Ratios";#N/A,#N/A,TRUE,"Debt analysis"}</definedName>
    <definedName name="stef" localSheetId="6" hidden="1">{#N/A,#N/A,TRUE,"Cover sheet";#N/A,#N/A,TRUE,"Summary";#N/A,#N/A,TRUE,"Key Assumptions";#N/A,#N/A,TRUE,"Profit &amp; Loss";#N/A,#N/A,TRUE,"Balance Sheet";#N/A,#N/A,TRUE,"Cashflow";#N/A,#N/A,TRUE,"IRR";#N/A,#N/A,TRUE,"Ratios";#N/A,#N/A,TRUE,"Debt analysis"}</definedName>
    <definedName name="stef" localSheetId="9" hidden="1">{#N/A,#N/A,TRUE,"Cover sheet";#N/A,#N/A,TRUE,"Summary";#N/A,#N/A,TRUE,"Key Assumptions";#N/A,#N/A,TRUE,"Profit &amp; Loss";#N/A,#N/A,TRUE,"Balance Sheet";#N/A,#N/A,TRUE,"Cashflow";#N/A,#N/A,TRUE,"IRR";#N/A,#N/A,TRUE,"Ratios";#N/A,#N/A,TRUE,"Debt analysis"}</definedName>
    <definedName name="stef" hidden="1">{#N/A,#N/A,TRUE,"Cover sheet";#N/A,#N/A,TRUE,"Summary";#N/A,#N/A,TRUE,"Key Assumptions";#N/A,#N/A,TRUE,"Profit &amp; Loss";#N/A,#N/A,TRUE,"Balance Sheet";#N/A,#N/A,TRUE,"Cashflow";#N/A,#N/A,TRUE,"IRR";#N/A,#N/A,TRUE,"Ratios";#N/A,#N/A,TRUE,"Debt analysis"}</definedName>
    <definedName name="STIF" hidden="1">[12]B!$B$70:$I$72</definedName>
    <definedName name="stmi_fac" localSheetId="4">#REF!</definedName>
    <definedName name="stmi_fac" localSheetId="29">#REF!</definedName>
    <definedName name="stmi_fac">#REF!</definedName>
    <definedName name="stmirest" localSheetId="4">#REF!</definedName>
    <definedName name="stmirest" localSheetId="29">#REF!</definedName>
    <definedName name="stmirest">#REF!</definedName>
    <definedName name="Stocks" localSheetId="4">#REF!</definedName>
    <definedName name="Stocks" localSheetId="29">#REF!</definedName>
    <definedName name="Stocks">#REF!</definedName>
    <definedName name="STPs" localSheetId="4">#REF!</definedName>
    <definedName name="STPs" localSheetId="29">#REF!</definedName>
    <definedName name="STPs">#REF!</definedName>
    <definedName name="Strat_1_Def" localSheetId="4">'[37]Non-Statistical Sampling'!#REF!</definedName>
    <definedName name="Strat_1_Def" localSheetId="29">'[37]Non-Statistical Sampling'!#REF!</definedName>
    <definedName name="Strat_1_Def" localSheetId="22">'[37]Non-Statistical Sampling'!#REF!</definedName>
    <definedName name="Strat_1_Def">'[37]Non-Statistical Sampling'!#REF!</definedName>
    <definedName name="Strat_1_It" localSheetId="4">'[37]Non-Statistical Sampling'!#REF!</definedName>
    <definedName name="Strat_1_It" localSheetId="29">'[37]Non-Statistical Sampling'!#REF!</definedName>
    <definedName name="Strat_1_It" localSheetId="22">'[37]Non-Statistical Sampling'!#REF!</definedName>
    <definedName name="Strat_1_It">'[37]Non-Statistical Sampling'!#REF!</definedName>
    <definedName name="Strat_1_T" localSheetId="4">'[37]Non-Statistical Sampling'!#REF!</definedName>
    <definedName name="Strat_1_T" localSheetId="29">'[37]Non-Statistical Sampling'!#REF!</definedName>
    <definedName name="Strat_1_T" localSheetId="22">'[37]Non-Statistical Sampling'!#REF!</definedName>
    <definedName name="Strat_1_T">'[37]Non-Statistical Sampling'!#REF!</definedName>
    <definedName name="Strat_2_Def" localSheetId="4">'[37]Non-Statistical Sampling'!#REF!</definedName>
    <definedName name="Strat_2_Def" localSheetId="29">'[37]Non-Statistical Sampling'!#REF!</definedName>
    <definedName name="Strat_2_Def" localSheetId="22">'[37]Non-Statistical Sampling'!#REF!</definedName>
    <definedName name="Strat_2_Def">'[37]Non-Statistical Sampling'!#REF!</definedName>
    <definedName name="Strat_2_It" localSheetId="4">'[37]Non-Statistical Sampling'!#REF!</definedName>
    <definedName name="Strat_2_It" localSheetId="29">'[37]Non-Statistical Sampling'!#REF!</definedName>
    <definedName name="Strat_2_It" localSheetId="22">'[37]Non-Statistical Sampling'!#REF!</definedName>
    <definedName name="Strat_2_It">'[37]Non-Statistical Sampling'!#REF!</definedName>
    <definedName name="Strat_2_T" localSheetId="4">'[37]Non-Statistical Sampling'!#REF!</definedName>
    <definedName name="Strat_2_T" localSheetId="29">'[37]Non-Statistical Sampling'!#REF!</definedName>
    <definedName name="Strat_2_T" localSheetId="22">'[37]Non-Statistical Sampling'!#REF!</definedName>
    <definedName name="Strat_2_T">'[37]Non-Statistical Sampling'!#REF!</definedName>
    <definedName name="Strat_Def" localSheetId="4">'[37]Non-Statistical Sampling'!#REF!</definedName>
    <definedName name="Strat_Def" localSheetId="29">'[37]Non-Statistical Sampling'!#REF!</definedName>
    <definedName name="Strat_Def" localSheetId="22">'[37]Non-Statistical Sampling'!#REF!</definedName>
    <definedName name="Strat_Def">'[37]Non-Statistical Sampling'!#REF!</definedName>
    <definedName name="Strat_T_It" localSheetId="4">'[37]Non-Statistical Sampling'!#REF!</definedName>
    <definedName name="Strat_T_It" localSheetId="29">'[37]Non-Statistical Sampling'!#REF!</definedName>
    <definedName name="Strat_T_It" localSheetId="22">'[37]Non-Statistical Sampling'!#REF!</definedName>
    <definedName name="Strat_T_It">'[37]Non-Statistical Sampling'!#REF!</definedName>
    <definedName name="Strat_T_T" localSheetId="4">'[37]Non-Statistical Sampling'!#REF!</definedName>
    <definedName name="Strat_T_T" localSheetId="29">'[37]Non-Statistical Sampling'!#REF!</definedName>
    <definedName name="Strat_T_T" localSheetId="22">'[37]Non-Statistical Sampling'!#REF!</definedName>
    <definedName name="Strat_T_T">'[37]Non-Statistical Sampling'!#REF!</definedName>
    <definedName name="Strategy_Sheet_Template_xlt_Strategy_Sheet_List" localSheetId="4">#REF!</definedName>
    <definedName name="Strategy_Sheet_Template_xlt_Strategy_Sheet_List" localSheetId="29">#REF!</definedName>
    <definedName name="Strategy_Sheet_Template_xlt_Strategy_Sheet_List">#REF!</definedName>
    <definedName name="su" localSheetId="4">#REF!</definedName>
    <definedName name="su" localSheetId="29">#REF!</definedName>
    <definedName name="su">#REF!</definedName>
    <definedName name="SU_AD16" localSheetId="4">#REF!</definedName>
    <definedName name="SU_AD16" localSheetId="29">#REF!</definedName>
    <definedName name="SU_AD16">#REF!</definedName>
    <definedName name="SUBFINAL" localSheetId="4">#REF!</definedName>
    <definedName name="SUBFINAL" localSheetId="29">#REF!</definedName>
    <definedName name="SUBFINAL" localSheetId="22">#REF!</definedName>
    <definedName name="SUBFINAL">#REF!</definedName>
    <definedName name="SUBS" localSheetId="4">#REF!</definedName>
    <definedName name="SUBS" localSheetId="29">#REF!</definedName>
    <definedName name="SUBS">#REF!</definedName>
    <definedName name="Subscribers" localSheetId="4">#REF!</definedName>
    <definedName name="Subscribers" localSheetId="29">#REF!</definedName>
    <definedName name="Subscribers">#REF!</definedName>
    <definedName name="Subsidio" localSheetId="4">#REF!</definedName>
    <definedName name="Subsidio" localSheetId="29">#REF!</definedName>
    <definedName name="Subsidio">#REF!</definedName>
    <definedName name="subspv" localSheetId="4">#REF!</definedName>
    <definedName name="subspv" localSheetId="29">#REF!</definedName>
    <definedName name="subspv">#REF!</definedName>
    <definedName name="subtotal" localSheetId="4">#REF!</definedName>
    <definedName name="subtotal" localSheetId="29">#REF!</definedName>
    <definedName name="subtotal">#REF!</definedName>
    <definedName name="SUMA1" localSheetId="4">#REF!</definedName>
    <definedName name="SUMA1" localSheetId="29">#REF!</definedName>
    <definedName name="SUMA1">#REF!</definedName>
    <definedName name="SUMA2" localSheetId="4">#REF!</definedName>
    <definedName name="SUMA2" localSheetId="29">#REF!</definedName>
    <definedName name="SUMA2">#REF!</definedName>
    <definedName name="SUMA3" localSheetId="4">#REF!</definedName>
    <definedName name="SUMA3" localSheetId="29">#REF!</definedName>
    <definedName name="SUMA3">#REF!</definedName>
    <definedName name="SUMA4" localSheetId="4">#REF!</definedName>
    <definedName name="SUMA4" localSheetId="29">#REF!</definedName>
    <definedName name="SUMA4">#REF!</definedName>
    <definedName name="SUMA5" localSheetId="4">#REF!</definedName>
    <definedName name="SUMA5" localSheetId="29">#REF!</definedName>
    <definedName name="SUMA5">#REF!</definedName>
    <definedName name="SUMA6" localSheetId="4">#REF!</definedName>
    <definedName name="SUMA6" localSheetId="29">#REF!</definedName>
    <definedName name="SUMA6">#REF!</definedName>
    <definedName name="SummaryFinancialsbyProduct" localSheetId="4">#REF!</definedName>
    <definedName name="SummaryFinancialsbyProduct" localSheetId="29">#REF!</definedName>
    <definedName name="SummaryFinancialsbyProduct">#REF!</definedName>
    <definedName name="sun" localSheetId="4">#REF!</definedName>
    <definedName name="sun" localSheetId="29">#REF!</definedName>
    <definedName name="sun">#REF!</definedName>
    <definedName name="sunil" localSheetId="4">#REF!</definedName>
    <definedName name="sunil" localSheetId="29">#REF!</definedName>
    <definedName name="sunil">#REF!</definedName>
    <definedName name="SURENDRA" localSheetId="4">#REF!</definedName>
    <definedName name="SURENDRA" localSheetId="29">#REF!</definedName>
    <definedName name="SURENDRA" localSheetId="22">#REF!</definedName>
    <definedName name="SURENDRA">#REF!</definedName>
    <definedName name="SURENDRA1" localSheetId="4">#REF!</definedName>
    <definedName name="SURENDRA1" localSheetId="29">#REF!</definedName>
    <definedName name="SURENDRA1" localSheetId="22">#REF!</definedName>
    <definedName name="SURENDRA1">#REF!</definedName>
    <definedName name="sw" localSheetId="4">#REF!</definedName>
    <definedName name="sw" localSheetId="29">#REF!</definedName>
    <definedName name="sw">#REF!</definedName>
    <definedName name="SW_DISC" localSheetId="4">#REF!</definedName>
    <definedName name="SW_DISC" localSheetId="29">#REF!</definedName>
    <definedName name="SW_DISC">#REF!</definedName>
    <definedName name="SW_OPS_autoFP1" localSheetId="4">#REF!</definedName>
    <definedName name="SW_OPS_autoFP1" localSheetId="29">#REF!</definedName>
    <definedName name="SW_OPS_autoFP1">#REF!</definedName>
    <definedName name="SW_OPS_automation" localSheetId="4">#REF!</definedName>
    <definedName name="SW_OPS_automation" localSheetId="29">#REF!</definedName>
    <definedName name="SW_OPS_automation">#REF!</definedName>
    <definedName name="swdsl" localSheetId="4">#REF!</definedName>
    <definedName name="swdsl" localSheetId="29">#REF!</definedName>
    <definedName name="swdsl">#REF!</definedName>
    <definedName name="swerx" localSheetId="4">#REF!</definedName>
    <definedName name="swerx" localSheetId="29">#REF!</definedName>
    <definedName name="swerx">#REF!</definedName>
    <definedName name="switch_mgmt" localSheetId="4">#REF!</definedName>
    <definedName name="switch_mgmt" localSheetId="29">#REF!</definedName>
    <definedName name="switch_mgmt">#REF!</definedName>
    <definedName name="Switch_RTU" localSheetId="4">#REF!</definedName>
    <definedName name="Switch_RTU" localSheetId="29">#REF!</definedName>
    <definedName name="Switch_RTU">#REF!</definedName>
    <definedName name="Switch_Types" localSheetId="4">#REF!</definedName>
    <definedName name="Switch_Types" localSheetId="29">#REF!</definedName>
    <definedName name="Switch_Types">#REF!</definedName>
    <definedName name="Switches" localSheetId="4">#REF!</definedName>
    <definedName name="Switches" localSheetId="29">#REF!</definedName>
    <definedName name="Switches">#REF!</definedName>
    <definedName name="switchfillers" localSheetId="4">#REF!</definedName>
    <definedName name="switchfillers" localSheetId="29">#REF!</definedName>
    <definedName name="switchfillers">#REF!</definedName>
    <definedName name="SWMods" localSheetId="4">#REF!</definedName>
    <definedName name="SWMods" localSheetId="29">#REF!</definedName>
    <definedName name="SWMods">#REF!</definedName>
    <definedName name="sws" localSheetId="4">#REF!</definedName>
    <definedName name="sws" localSheetId="29">#REF!</definedName>
    <definedName name="sws">#REF!</definedName>
    <definedName name="swssc" localSheetId="4">#REF!</definedName>
    <definedName name="swssc" localSheetId="29">#REF!</definedName>
    <definedName name="swssc">#REF!</definedName>
    <definedName name="syp" localSheetId="4">#REF!</definedName>
    <definedName name="syp" localSheetId="29">#REF!</definedName>
    <definedName name="syp">#REF!</definedName>
    <definedName name="System_X" localSheetId="4">#REF!</definedName>
    <definedName name="System_X" localSheetId="29">#REF!</definedName>
    <definedName name="System_X">#REF!</definedName>
    <definedName name="SysX" localSheetId="4">#REF!</definedName>
    <definedName name="SysX" localSheetId="29">#REF!</definedName>
    <definedName name="SysX">#REF!</definedName>
    <definedName name="T" localSheetId="4" hidden="1">{"PLANT BREAKUP",#N/A,FALSE,"E"}</definedName>
    <definedName name="T" localSheetId="6" hidden="1">{"PLANT BREAKUP",#N/A,FALSE,"E"}</definedName>
    <definedName name="T" localSheetId="9" hidden="1">{"PLANT BREAKUP",#N/A,FALSE,"E"}</definedName>
    <definedName name="T" hidden="1">{"PLANT BREAKUP",#N/A,FALSE,"E"}</definedName>
    <definedName name="Tabla" localSheetId="4">#REF!</definedName>
    <definedName name="Tabla" localSheetId="29">#REF!</definedName>
    <definedName name="Tabla">#REF!</definedName>
    <definedName name="TABLAS" localSheetId="4">#REF!</definedName>
    <definedName name="TABLAS" localSheetId="29">#REF!</definedName>
    <definedName name="TABLAS">#REF!</definedName>
    <definedName name="tac_crx" localSheetId="4">#REF!</definedName>
    <definedName name="tac_crx" localSheetId="29">#REF!</definedName>
    <definedName name="tac_crx">#REF!</definedName>
    <definedName name="TAFName">[26]Masters!$C$19</definedName>
    <definedName name="tally" localSheetId="4">#REF!</definedName>
    <definedName name="tally" localSheetId="29">#REF!</definedName>
    <definedName name="tally" localSheetId="22">#REF!</definedName>
    <definedName name="tally">#REF!</definedName>
    <definedName name="TAMNo">[26]Masters!$C$23</definedName>
    <definedName name="TAName">[26]Masters!$C$20</definedName>
    <definedName name="TAPlace">[26]Masters!$C$43</definedName>
    <definedName name="Tarifa" localSheetId="4">#REF!</definedName>
    <definedName name="Tarifa" localSheetId="29">#REF!</definedName>
    <definedName name="Tarifa">#REF!</definedName>
    <definedName name="Tax" localSheetId="4">Sheet1</definedName>
    <definedName name="Tax" localSheetId="29">Sheet1</definedName>
    <definedName name="Tax" localSheetId="27">Sheet1</definedName>
    <definedName name="Tax" localSheetId="26">Sheet1</definedName>
    <definedName name="Tax" localSheetId="23">Sheet1</definedName>
    <definedName name="Tax" localSheetId="6">Sheet1</definedName>
    <definedName name="Tax" localSheetId="9">Sheet1</definedName>
    <definedName name="Tax" localSheetId="18">Sheet1</definedName>
    <definedName name="Tax" localSheetId="22">Sheet1</definedName>
    <definedName name="Tax">Sheet1</definedName>
    <definedName name="TaxAudAdd">[26]Masters!$C$24</definedName>
    <definedName name="TaxAuditDate">[26]Masters!$C$40</definedName>
    <definedName name="Taxes" localSheetId="4">#REF!</definedName>
    <definedName name="Taxes" localSheetId="29">#REF!</definedName>
    <definedName name="Taxes">#REF!</definedName>
    <definedName name="TB" localSheetId="4">#REF!</definedName>
    <definedName name="TB" localSheetId="29">#REF!</definedName>
    <definedName name="TB" localSheetId="22">#REF!</definedName>
    <definedName name="TB">#REF!</definedName>
    <definedName name="TB0313R" localSheetId="4">#REF!</definedName>
    <definedName name="TB0313R" localSheetId="29">#REF!</definedName>
    <definedName name="TB0313R" localSheetId="22">#REF!</definedName>
    <definedName name="TB0313R">#REF!</definedName>
    <definedName name="tbb">'[14]TB PCDN-16'!$A$5:$K$224</definedName>
    <definedName name="TBC" localSheetId="4">#REF!</definedName>
    <definedName name="TBC" localSheetId="29">#REF!</definedName>
    <definedName name="TBC">#REF!</definedName>
    <definedName name="TBData" localSheetId="4">#REF!</definedName>
    <definedName name="TBData" localSheetId="29">#REF!</definedName>
    <definedName name="TBData">#REF!</definedName>
    <definedName name="tberp" localSheetId="4">#REF!</definedName>
    <definedName name="tberp" localSheetId="29">#REF!</definedName>
    <definedName name="tberp" localSheetId="22">#REF!</definedName>
    <definedName name="tberp">#REF!</definedName>
    <definedName name="tberp1" localSheetId="4">#REF!</definedName>
    <definedName name="tberp1" localSheetId="29">#REF!</definedName>
    <definedName name="tberp1" localSheetId="22">#REF!</definedName>
    <definedName name="tberp1">#REF!</definedName>
    <definedName name="tberp2" localSheetId="4">#REF!</definedName>
    <definedName name="tberp2" localSheetId="29">#REF!</definedName>
    <definedName name="tberp2" localSheetId="22">#REF!</definedName>
    <definedName name="tberp2">#REF!</definedName>
    <definedName name="tbl_ProdInfo" localSheetId="4" hidden="1">#REF!</definedName>
    <definedName name="tbl_ProdInfo" localSheetId="29" hidden="1">#REF!</definedName>
    <definedName name="tbl_ProdInfo" localSheetId="22" hidden="1">#REF!</definedName>
    <definedName name="tbl_ProdInfo" hidden="1">#REF!</definedName>
    <definedName name="TBPCDC" localSheetId="4">#REF!</definedName>
    <definedName name="TBPCDC" localSheetId="29">#REF!</definedName>
    <definedName name="TBPCDC" localSheetId="22">#REF!</definedName>
    <definedName name="TBPCDC">#REF!</definedName>
    <definedName name="tbpcdcb300615">'[14]TB PCDC-16'!$A:$K</definedName>
    <definedName name="tbpcdcn300615">'[14]TB PCDC-16'!$A:$J</definedName>
    <definedName name="TBPCDT" localSheetId="4">#REF!</definedName>
    <definedName name="TBPCDT" localSheetId="29">#REF!</definedName>
    <definedName name="TBPCDT" localSheetId="22">#REF!</definedName>
    <definedName name="TBPCDT">#REF!</definedName>
    <definedName name="tbpcdt2" localSheetId="4">#REF!</definedName>
    <definedName name="tbpcdt2" localSheetId="29">#REF!</definedName>
    <definedName name="tbpcdt2" localSheetId="22">#REF!</definedName>
    <definedName name="tbpcdt2">#REF!</definedName>
    <definedName name="TBSDC" localSheetId="4">#REF!</definedName>
    <definedName name="TBSDC" localSheetId="29">#REF!</definedName>
    <definedName name="TBSDC" localSheetId="22">#REF!</definedName>
    <definedName name="TBSDC">#REF!</definedName>
    <definedName name="TBSDCT" localSheetId="4">#REF!</definedName>
    <definedName name="TBSDCT" localSheetId="29">#REF!</definedName>
    <definedName name="TBSDCT" localSheetId="22">#REF!</definedName>
    <definedName name="TBSDCT">#REF!</definedName>
    <definedName name="tdskhil" localSheetId="4">#REF!</definedName>
    <definedName name="tdskhil" localSheetId="29">#REF!</definedName>
    <definedName name="tdskhil">#REF!</definedName>
    <definedName name="tdsml" localSheetId="4">#REF!</definedName>
    <definedName name="tdsml" localSheetId="29">#REF!</definedName>
    <definedName name="tdsml">#REF!</definedName>
    <definedName name="tdsphil" localSheetId="4">#REF!</definedName>
    <definedName name="tdsphil" localSheetId="29">#REF!</definedName>
    <definedName name="tdsphil">#REF!</definedName>
    <definedName name="tdsthpl" localSheetId="4">#REF!</definedName>
    <definedName name="tdsthpl" localSheetId="29">#REF!</definedName>
    <definedName name="tdsthpl">#REF!</definedName>
    <definedName name="tdstll" localSheetId="4">#REF!</definedName>
    <definedName name="tdstll" localSheetId="29">#REF!</definedName>
    <definedName name="tdstll">#REF!</definedName>
    <definedName name="tdswvl" localSheetId="4">#REF!</definedName>
    <definedName name="tdswvl" localSheetId="29">#REF!</definedName>
    <definedName name="tdswvl">#REF!</definedName>
    <definedName name="TE_upsell" localSheetId="4">#REF!</definedName>
    <definedName name="TE_upsell" localSheetId="29">#REF!</definedName>
    <definedName name="TE_upsell">#REF!</definedName>
    <definedName name="TE_upsellY3" localSheetId="4">#REF!</definedName>
    <definedName name="TE_upsellY3" localSheetId="29">#REF!</definedName>
    <definedName name="TE_upsellY3">#REF!</definedName>
    <definedName name="TEMO" localSheetId="4">#REF!</definedName>
    <definedName name="TEMO" localSheetId="29">#REF!</definedName>
    <definedName name="TEMO">#REF!</definedName>
    <definedName name="temp" localSheetId="4">#REF!</definedName>
    <definedName name="temp" localSheetId="29">#REF!</definedName>
    <definedName name="temp">#REF!</definedName>
    <definedName name="temp1" localSheetId="4">#REF!</definedName>
    <definedName name="temp1" localSheetId="29">#REF!</definedName>
    <definedName name="temp1">#REF!</definedName>
    <definedName name="ten" localSheetId="4">#REF!</definedName>
    <definedName name="ten" localSheetId="29">#REF!</definedName>
    <definedName name="ten">#REF!</definedName>
    <definedName name="Term_CE_BB" localSheetId="4">#REF!</definedName>
    <definedName name="Term_CE_BB" localSheetId="29">#REF!</definedName>
    <definedName name="Term_CE_BB">#REF!</definedName>
    <definedName name="termcb" localSheetId="4">#REF!</definedName>
    <definedName name="termcb" localSheetId="29">#REF!</definedName>
    <definedName name="termcb">#REF!</definedName>
    <definedName name="termcb1" localSheetId="4">#REF!</definedName>
    <definedName name="termcb1" localSheetId="29">#REF!</definedName>
    <definedName name="termcb1">#REF!</definedName>
    <definedName name="termhm" localSheetId="4">#REF!</definedName>
    <definedName name="termhm" localSheetId="29">#REF!</definedName>
    <definedName name="termhm">#REF!</definedName>
    <definedName name="termhm1" localSheetId="4">#REF!</definedName>
    <definedName name="termhm1" localSheetId="29">#REF!</definedName>
    <definedName name="termhm1">#REF!</definedName>
    <definedName name="termisdn" localSheetId="4">#REF!</definedName>
    <definedName name="termisdn" localSheetId="29">#REF!</definedName>
    <definedName name="termisdn">#REF!</definedName>
    <definedName name="termisdn1" localSheetId="4">#REF!</definedName>
    <definedName name="termisdn1" localSheetId="29">#REF!</definedName>
    <definedName name="termisdn1">#REF!</definedName>
    <definedName name="termord" localSheetId="4">#REF!</definedName>
    <definedName name="termord" localSheetId="29">#REF!</definedName>
    <definedName name="termord">#REF!</definedName>
    <definedName name="termord1" localSheetId="4">#REF!</definedName>
    <definedName name="termord1" localSheetId="29">#REF!</definedName>
    <definedName name="termord1">#REF!</definedName>
    <definedName name="termpbx" localSheetId="4">#REF!</definedName>
    <definedName name="termpbx" localSheetId="29">#REF!</definedName>
    <definedName name="termpbx">#REF!</definedName>
    <definedName name="termpbx1" localSheetId="4">#REF!</definedName>
    <definedName name="termpbx1" localSheetId="29">#REF!</definedName>
    <definedName name="termpbx1">#REF!</definedName>
    <definedName name="test" localSheetId="4">#REF!</definedName>
    <definedName name="test" localSheetId="29">#REF!</definedName>
    <definedName name="test">#REF!</definedName>
    <definedName name="TextRefCopyRangeCount" localSheetId="4" hidden="1">1</definedName>
    <definedName name="TextRefCopyRangeCount" hidden="1">6</definedName>
    <definedName name="TFormula" localSheetId="4">#REF!</definedName>
    <definedName name="TFormula" localSheetId="29">#REF!</definedName>
    <definedName name="TFormula">#REF!</definedName>
    <definedName name="TG_Margin_HAAC">[19]PC_Cost_Ku!$B$8</definedName>
    <definedName name="THAI_PLASTIC_in_KUSD" localSheetId="4">#REF!</definedName>
    <definedName name="THAI_PLASTIC_in_KUSD" localSheetId="29">#REF!</definedName>
    <definedName name="THAI_PLASTIC_in_KUSD">#REF!</definedName>
    <definedName name="Títulos_a_imprimir_IM" localSheetId="4">#REF!</definedName>
    <definedName name="Títulos_a_imprimir_IM" localSheetId="29">#REF!</definedName>
    <definedName name="Títulos_a_imprimir_IM">#REF!</definedName>
    <definedName name="tm" localSheetId="4">#REF!</definedName>
    <definedName name="tm" localSheetId="29">#REF!</definedName>
    <definedName name="tm">#REF!</definedName>
    <definedName name="tm_dms" localSheetId="4">#REF!</definedName>
    <definedName name="tm_dms" localSheetId="29">#REF!</definedName>
    <definedName name="tm_dms">#REF!</definedName>
    <definedName name="tm_sx" localSheetId="4">#REF!</definedName>
    <definedName name="tm_sx" localSheetId="29">#REF!</definedName>
    <definedName name="tm_sx">#REF!</definedName>
    <definedName name="tmorg" localSheetId="4">#REF!</definedName>
    <definedName name="tmorg" localSheetId="29">#REF!</definedName>
    <definedName name="tmorg">#REF!</definedName>
    <definedName name="tmterm" localSheetId="4">#REF!</definedName>
    <definedName name="tmterm" localSheetId="29">#REF!</definedName>
    <definedName name="tmterm">#REF!</definedName>
    <definedName name="TN164F" localSheetId="4">#REF!</definedName>
    <definedName name="TN164F" localSheetId="29">#REF!</definedName>
    <definedName name="TN164F">#REF!</definedName>
    <definedName name="TN16X" localSheetId="4">#REF!</definedName>
    <definedName name="TN16X" localSheetId="29">#REF!</definedName>
    <definedName name="TN16X">#REF!</definedName>
    <definedName name="TN16XE" localSheetId="4">#REF!</definedName>
    <definedName name="TN16XE" localSheetId="29">#REF!</definedName>
    <definedName name="TN16XE">#REF!</definedName>
    <definedName name="TN1C" localSheetId="4">#REF!</definedName>
    <definedName name="TN1C" localSheetId="29">#REF!</definedName>
    <definedName name="TN1C">#REF!</definedName>
    <definedName name="TN1P" localSheetId="4">#REF!</definedName>
    <definedName name="TN1P" localSheetId="29">#REF!</definedName>
    <definedName name="TN1P">#REF!</definedName>
    <definedName name="TN1X" localSheetId="4">#REF!</definedName>
    <definedName name="TN1X" localSheetId="29">#REF!</definedName>
    <definedName name="TN1X">#REF!</definedName>
    <definedName name="TN1XS" localSheetId="4">#REF!</definedName>
    <definedName name="TN1XS" localSheetId="29">#REF!</definedName>
    <definedName name="TN1XS">#REF!</definedName>
    <definedName name="TN4X" localSheetId="4">#REF!</definedName>
    <definedName name="TN4X" localSheetId="29">#REF!</definedName>
    <definedName name="TN4X">#REF!</definedName>
    <definedName name="TN4XE" localSheetId="4">#REF!</definedName>
    <definedName name="TN4XE" localSheetId="29">#REF!</definedName>
    <definedName name="TN4XE">#REF!</definedName>
    <definedName name="TN64X" localSheetId="4">#REF!</definedName>
    <definedName name="TN64X" localSheetId="29">#REF!</definedName>
    <definedName name="TN64X">#REF!</definedName>
    <definedName name="tomg" localSheetId="4">#REF!</definedName>
    <definedName name="tomg" localSheetId="29">#REF!</definedName>
    <definedName name="tomg">#REF!</definedName>
    <definedName name="TOP">[68]custmast!$E:$F</definedName>
    <definedName name="TOR_STEEL" localSheetId="4">'[24]#REF'!#REF!</definedName>
    <definedName name="TOR_STEEL" localSheetId="29">'[24]#REF'!#REF!</definedName>
    <definedName name="TOR_STEEL">'[24]#REF'!#REF!</definedName>
    <definedName name="Tot_PECount" localSheetId="4">#REF!</definedName>
    <definedName name="Tot_PECount" localSheetId="29">#REF!</definedName>
    <definedName name="Tot_PECount">#REF!</definedName>
    <definedName name="Total" localSheetId="4">#REF!</definedName>
    <definedName name="TOTAL" localSheetId="29">#REF!</definedName>
    <definedName name="TOTAL">#REF!</definedName>
    <definedName name="Total___of_Switches" localSheetId="4">#REF!</definedName>
    <definedName name="Total___of_Switches" localSheetId="29">#REF!</definedName>
    <definedName name="Total___of_Switches">#REF!</definedName>
    <definedName name="Total_Balances">'[61]AR Graphs'!$A$2:$I$58</definedName>
    <definedName name="Total_beg" localSheetId="4">#REF!</definedName>
    <definedName name="Total_beg" localSheetId="29">#REF!</definedName>
    <definedName name="Total_beg">#REF!</definedName>
    <definedName name="Total_Bermuda" localSheetId="4">#REF!</definedName>
    <definedName name="Total_Bermuda" localSheetId="29">#REF!</definedName>
    <definedName name="Total_Bermuda">#REF!</definedName>
    <definedName name="Total_China" localSheetId="4">#REF!</definedName>
    <definedName name="Total_China" localSheetId="29">#REF!</definedName>
    <definedName name="Total_China">#REF!</definedName>
    <definedName name="Total_Comm" localSheetId="4">#REF!</definedName>
    <definedName name="Total_Comm" localSheetId="29">#REF!</definedName>
    <definedName name="Total_Comm">#REF!</definedName>
    <definedName name="total_end" localSheetId="4">#REF!</definedName>
    <definedName name="total_end" localSheetId="29">#REF!</definedName>
    <definedName name="total_end">#REF!</definedName>
    <definedName name="Total_Inc" localSheetId="4">#REF!</definedName>
    <definedName name="Total_Inc" localSheetId="29">#REF!</definedName>
    <definedName name="Total_Inc">#REF!</definedName>
    <definedName name="Total_India" localSheetId="4">#REF!</definedName>
    <definedName name="Total_India" localSheetId="29">#REF!</definedName>
    <definedName name="Total_India">#REF!</definedName>
    <definedName name="total_other_revenue" localSheetId="4">#REF!</definedName>
    <definedName name="total_other_revenue" localSheetId="29">#REF!</definedName>
    <definedName name="total_other_revenue">#REF!</definedName>
    <definedName name="total_sales" localSheetId="4">#REF!</definedName>
    <definedName name="total_sales" localSheetId="29">#REF!</definedName>
    <definedName name="total_sales">#REF!</definedName>
    <definedName name="Total_Sing" localSheetId="4">#REF!</definedName>
    <definedName name="Total_Sing" localSheetId="29">#REF!</definedName>
    <definedName name="Total_Sing">#REF!</definedName>
    <definedName name="TotBW" localSheetId="4">#REF!</definedName>
    <definedName name="TotBW" localSheetId="29">#REF!</definedName>
    <definedName name="TotBW">#REF!</definedName>
    <definedName name="towin" localSheetId="4">#REF!</definedName>
    <definedName name="towin" localSheetId="29">#REF!</definedName>
    <definedName name="towin" localSheetId="22">#REF!</definedName>
    <definedName name="towin">#REF!</definedName>
    <definedName name="tphws" localSheetId="4">#REF!</definedName>
    <definedName name="tphws" localSheetId="29">#REF!</definedName>
    <definedName name="tphws">#REF!</definedName>
    <definedName name="Traffic_Excellence" localSheetId="4">#REF!</definedName>
    <definedName name="Traffic_Excellence" localSheetId="29">#REF!</definedName>
    <definedName name="Traffic_Excellence">#REF!</definedName>
    <definedName name="TRAN" localSheetId="4">#REF!</definedName>
    <definedName name="TRAN" localSheetId="29">#REF!</definedName>
    <definedName name="TRAN" localSheetId="22">#REF!</definedName>
    <definedName name="TRAN">#REF!</definedName>
    <definedName name="transportfillers" localSheetId="4">#REF!</definedName>
    <definedName name="transportfillers" localSheetId="29">#REF!</definedName>
    <definedName name="transportfillers">#REF!</definedName>
    <definedName name="trial" localSheetId="4">#REF!</definedName>
    <definedName name="trial" localSheetId="29">#REF!</definedName>
    <definedName name="trial">#REF!</definedName>
    <definedName name="TRIP">'[24]#REF'!$D$74</definedName>
    <definedName name="troub_tick" localSheetId="4">#REF!</definedName>
    <definedName name="troub_tick" localSheetId="29">#REF!</definedName>
    <definedName name="troub_tick">#REF!</definedName>
    <definedName name="tsc" localSheetId="4">#REF!</definedName>
    <definedName name="tsc" localSheetId="29">#REF!</definedName>
    <definedName name="tsc">#REF!</definedName>
    <definedName name="tt" localSheetId="4" hidden="1">{"FTS",#N/A,FALSE,"E"}</definedName>
    <definedName name="tt" localSheetId="6" hidden="1">{"FTS",#N/A,FALSE,"E"}</definedName>
    <definedName name="tt" localSheetId="9" hidden="1">{"FTS",#N/A,FALSE,"E"}</definedName>
    <definedName name="tt" hidden="1">{"FTS",#N/A,FALSE,"E"}</definedName>
    <definedName name="ty" localSheetId="4">#REF!</definedName>
    <definedName name="ty" localSheetId="29">#REF!</definedName>
    <definedName name="ty">#REF!</definedName>
    <definedName name="tyr" localSheetId="4" hidden="1">{"FTS",#N/A,FALSE,"E"}</definedName>
    <definedName name="tyr" localSheetId="6" hidden="1">{"FTS",#N/A,FALSE,"E"}</definedName>
    <definedName name="tyr" localSheetId="9" hidden="1">{"FTS",#N/A,FALSE,"E"}</definedName>
    <definedName name="tyr" hidden="1">{"FTS",#N/A,FALSE,"E"}</definedName>
    <definedName name="U" localSheetId="4">#REF!</definedName>
    <definedName name="U" localSheetId="29">#REF!</definedName>
    <definedName name="U" localSheetId="22">#REF!</definedName>
    <definedName name="U">#REF!</definedName>
    <definedName name="UDSL_NIC" localSheetId="4">#REF!</definedName>
    <definedName name="UDSL_NIC" localSheetId="29">#REF!</definedName>
    <definedName name="UDSL_NIC">#REF!</definedName>
    <definedName name="UFPrn20090103162043" localSheetId="4">#REF!</definedName>
    <definedName name="UFPrn20090103162043" localSheetId="29">#REF!</definedName>
    <definedName name="UFPrn20090103162043">#REF!</definedName>
    <definedName name="uhjk" localSheetId="4">#REF!</definedName>
    <definedName name="uhjk" localSheetId="29">#REF!</definedName>
    <definedName name="uhjk">#REF!</definedName>
    <definedName name="Unit_Price_Column" localSheetId="4">#REF!</definedName>
    <definedName name="Unit_Price_Column" localSheetId="29">#REF!</definedName>
    <definedName name="Unit_Price_Column">#REF!</definedName>
    <definedName name="Units" localSheetId="4">'[69]Old IS'!#REF!</definedName>
    <definedName name="Units" localSheetId="29">'[69]Old IS'!#REF!</definedName>
    <definedName name="Units">'[69]Old IS'!#REF!</definedName>
    <definedName name="UNO">#N/A</definedName>
    <definedName name="uot" localSheetId="4" hidden="1">{"SUMMARY",#N/A,FALSE,"C"}</definedName>
    <definedName name="uot" localSheetId="6" hidden="1">{"SUMMARY",#N/A,FALSE,"C"}</definedName>
    <definedName name="uot" localSheetId="9" hidden="1">{"SUMMARY",#N/A,FALSE,"C"}</definedName>
    <definedName name="uot" hidden="1">{"SUMMARY",#N/A,FALSE,"C"}</definedName>
    <definedName name="updown" localSheetId="4">#REF!</definedName>
    <definedName name="updown" localSheetId="29">#REF!</definedName>
    <definedName name="updown" localSheetId="22">#REF!</definedName>
    <definedName name="updown">#REF!</definedName>
    <definedName name="updown1" localSheetId="4">#REF!</definedName>
    <definedName name="updown1" localSheetId="29">#REF!</definedName>
    <definedName name="updown1" localSheetId="22">#REF!</definedName>
    <definedName name="updown1">#REF!</definedName>
    <definedName name="UPL" localSheetId="4">#REF!</definedName>
    <definedName name="UPL" localSheetId="29">#REF!</definedName>
    <definedName name="UPL">#REF!</definedName>
    <definedName name="USD" localSheetId="4">'[5]PL PBC'!#REF!</definedName>
    <definedName name="USD" localSheetId="29">'[5]PL PBC'!#REF!</definedName>
    <definedName name="USD" localSheetId="22">'[5]PL PBC'!#REF!</definedName>
    <definedName name="USD">'[5]PL PBC'!#REF!</definedName>
    <definedName name="USD.A" localSheetId="4">#REF!</definedName>
    <definedName name="USD.A" localSheetId="29">#REF!</definedName>
    <definedName name="USD.A">#REF!</definedName>
    <definedName name="USD.E" localSheetId="4">#REF!</definedName>
    <definedName name="USD.E" localSheetId="29">#REF!</definedName>
    <definedName name="USD.E">#REF!</definedName>
    <definedName name="USD_B" localSheetId="4">#REF!</definedName>
    <definedName name="USD_B" localSheetId="29">#REF!</definedName>
    <definedName name="USD_B">#REF!</definedName>
    <definedName name="USD_EX_SUMM" localSheetId="4">#REF!</definedName>
    <definedName name="USD_EX_SUMM" localSheetId="29">#REF!</definedName>
    <definedName name="USD_EX_SUMM">#REF!</definedName>
    <definedName name="useNotes" localSheetId="4">#REF!</definedName>
    <definedName name="useNotes" localSheetId="29">#REF!</definedName>
    <definedName name="useNotes">#REF!</definedName>
    <definedName name="Users" localSheetId="4">#REF!</definedName>
    <definedName name="Users" localSheetId="29">#REF!</definedName>
    <definedName name="Users">#REF!</definedName>
    <definedName name="useText" localSheetId="4">#REF!</definedName>
    <definedName name="useText" localSheetId="29">#REF!</definedName>
    <definedName name="useText">#REF!</definedName>
    <definedName name="usrCat" localSheetId="4">#REF!</definedName>
    <definedName name="usrCat" localSheetId="29">#REF!</definedName>
    <definedName name="usrCat">#REF!</definedName>
    <definedName name="usrNext1Period" localSheetId="4">#REF!</definedName>
    <definedName name="usrNext1Period" localSheetId="29">#REF!</definedName>
    <definedName name="usrNext1Period">#REF!</definedName>
    <definedName name="usrNext1Qtr" localSheetId="4">#REF!</definedName>
    <definedName name="usrNext1Qtr" localSheetId="29">#REF!</definedName>
    <definedName name="usrNext1Qtr">#REF!</definedName>
    <definedName name="usrNext1Year" localSheetId="4">#REF!</definedName>
    <definedName name="usrNext1Year" localSheetId="29">#REF!</definedName>
    <definedName name="usrNext1Year">#REF!</definedName>
    <definedName name="usrNext2Period" localSheetId="4">#REF!</definedName>
    <definedName name="usrNext2Period" localSheetId="29">#REF!</definedName>
    <definedName name="usrNext2Period">#REF!</definedName>
    <definedName name="usrNext2Qtr" localSheetId="4">#REF!</definedName>
    <definedName name="usrNext2Qtr" localSheetId="29">#REF!</definedName>
    <definedName name="usrNext2Qtr">#REF!</definedName>
    <definedName name="usrNext2Year" localSheetId="4">#REF!</definedName>
    <definedName name="usrNext2Year" localSheetId="29">#REF!</definedName>
    <definedName name="usrNext2Year">#REF!</definedName>
    <definedName name="usrNext3Period" localSheetId="4">#REF!</definedName>
    <definedName name="usrNext3Period" localSheetId="29">#REF!</definedName>
    <definedName name="usrNext3Period">#REF!</definedName>
    <definedName name="usrNext3Qtr" localSheetId="4">#REF!</definedName>
    <definedName name="usrNext3Qtr" localSheetId="29">#REF!</definedName>
    <definedName name="usrNext3Qtr">#REF!</definedName>
    <definedName name="usrNext3Year" localSheetId="4">#REF!</definedName>
    <definedName name="usrNext3Year" localSheetId="29">#REF!</definedName>
    <definedName name="usrNext3Year">#REF!</definedName>
    <definedName name="usrNext4Period" localSheetId="4">#REF!</definedName>
    <definedName name="usrNext4Period" localSheetId="29">#REF!</definedName>
    <definedName name="usrNext4Period">#REF!</definedName>
    <definedName name="usrNext4Qtr" localSheetId="4">#REF!</definedName>
    <definedName name="usrNext4Qtr" localSheetId="29">#REF!</definedName>
    <definedName name="usrNext4Qtr">#REF!</definedName>
    <definedName name="usrNext4Year" localSheetId="4">#REF!</definedName>
    <definedName name="usrNext4Year" localSheetId="29">#REF!</definedName>
    <definedName name="usrNext4Year">#REF!</definedName>
    <definedName name="usrNext5Period" localSheetId="4">#REF!</definedName>
    <definedName name="usrNext5Period" localSheetId="29">#REF!</definedName>
    <definedName name="usrNext5Period">#REF!</definedName>
    <definedName name="usrNext5Year" localSheetId="4">#REF!</definedName>
    <definedName name="usrNext5Year" localSheetId="29">#REF!</definedName>
    <definedName name="usrNext5Year">#REF!</definedName>
    <definedName name="usrNoteFlag" localSheetId="4">#REF!</definedName>
    <definedName name="usrNoteFlag" localSheetId="29">#REF!</definedName>
    <definedName name="usrNoteFlag">#REF!</definedName>
    <definedName name="usrNoteRange" localSheetId="4">#REF!</definedName>
    <definedName name="usrNoteRange" localSheetId="29">#REF!</definedName>
    <definedName name="usrNoteRange">#REF!</definedName>
    <definedName name="usrPrior10Period" localSheetId="4">#REF!</definedName>
    <definedName name="usrPrior10Period" localSheetId="29">#REF!</definedName>
    <definedName name="usrPrior10Period">#REF!</definedName>
    <definedName name="usrPrior11Period" localSheetId="4">#REF!</definedName>
    <definedName name="usrPrior11Period" localSheetId="29">#REF!</definedName>
    <definedName name="usrPrior11Period">#REF!</definedName>
    <definedName name="usrPrior1Qtr" localSheetId="4">#REF!</definedName>
    <definedName name="usrPrior1Qtr" localSheetId="29">#REF!</definedName>
    <definedName name="usrPrior1Qtr">#REF!</definedName>
    <definedName name="usrPrior2Qtr" localSheetId="4">#REF!</definedName>
    <definedName name="usrPrior2Qtr" localSheetId="29">#REF!</definedName>
    <definedName name="usrPrior2Qtr">#REF!</definedName>
    <definedName name="usrPrior2Year" localSheetId="4">#REF!</definedName>
    <definedName name="usrPrior2Year" localSheetId="29">#REF!</definedName>
    <definedName name="usrPrior2Year">#REF!</definedName>
    <definedName name="usrPrior3Qtr" localSheetId="4">#REF!</definedName>
    <definedName name="usrPrior3Qtr" localSheetId="29">#REF!</definedName>
    <definedName name="usrPrior3Qtr">#REF!</definedName>
    <definedName name="usrPrior3Year" localSheetId="4">#REF!</definedName>
    <definedName name="usrPrior3Year" localSheetId="29">#REF!</definedName>
    <definedName name="usrPrior3Year">#REF!</definedName>
    <definedName name="usrPrior4Period" localSheetId="4">#REF!</definedName>
    <definedName name="usrPrior4Period" localSheetId="29">#REF!</definedName>
    <definedName name="usrPrior4Period">#REF!</definedName>
    <definedName name="usrPrior4Year" localSheetId="4">#REF!</definedName>
    <definedName name="usrPrior4Year" localSheetId="29">#REF!</definedName>
    <definedName name="usrPrior4Year">#REF!</definedName>
    <definedName name="usrPrior5Period" localSheetId="4">#REF!</definedName>
    <definedName name="usrPrior5Period" localSheetId="29">#REF!</definedName>
    <definedName name="usrPrior5Period">#REF!</definedName>
    <definedName name="usrPrior5Year" localSheetId="4">#REF!</definedName>
    <definedName name="usrPrior5Year" localSheetId="29">#REF!</definedName>
    <definedName name="usrPrior5Year">#REF!</definedName>
    <definedName name="usrPrior6Period" localSheetId="4">#REF!</definedName>
    <definedName name="usrPrior6Period" localSheetId="29">#REF!</definedName>
    <definedName name="usrPrior6Period">#REF!</definedName>
    <definedName name="usrPrior7Period" localSheetId="4">#REF!</definedName>
    <definedName name="usrPrior7Period" localSheetId="29">#REF!</definedName>
    <definedName name="usrPrior7Period">#REF!</definedName>
    <definedName name="usrPrior8Period" localSheetId="4">#REF!</definedName>
    <definedName name="usrPrior8Period" localSheetId="29">#REF!</definedName>
    <definedName name="usrPrior8Period">#REF!</definedName>
    <definedName name="usrPrior9Period" localSheetId="4">#REF!</definedName>
    <definedName name="usrPrior9Period" localSheetId="29">#REF!</definedName>
    <definedName name="usrPrior9Period">#REF!</definedName>
    <definedName name="usrQtr" localSheetId="4">#REF!</definedName>
    <definedName name="usrQtr" localSheetId="29">#REF!</definedName>
    <definedName name="usrQtr">#REF!</definedName>
    <definedName name="usrUnitDesc" localSheetId="4">#REF!</definedName>
    <definedName name="usrUnitDesc" localSheetId="29">#REF!</definedName>
    <definedName name="usrUnitDesc">#REF!</definedName>
    <definedName name="UsrVin" localSheetId="4">#REF!</definedName>
    <definedName name="UsrVin" localSheetId="29">#REF!</definedName>
    <definedName name="UsrVin">#REF!</definedName>
    <definedName name="usrWholeYear" localSheetId="4">#REF!</definedName>
    <definedName name="usrWholeYear" localSheetId="29">#REF!</definedName>
    <definedName name="usrWholeYear">#REF!</definedName>
    <definedName name="v" localSheetId="4" hidden="1">{"CASH FLOW",#N/A,FALSE,"A"}</definedName>
    <definedName name="v" localSheetId="6" hidden="1">{"CASH FLOW",#N/A,FALSE,"A"}</definedName>
    <definedName name="v" localSheetId="9" hidden="1">{"CASH FLOW",#N/A,FALSE,"A"}</definedName>
    <definedName name="v" hidden="1">{"CASH FLOW",#N/A,FALSE,"A"}</definedName>
    <definedName name="vari" localSheetId="4">#REF!</definedName>
    <definedName name="vari" localSheetId="29">#REF!</definedName>
    <definedName name="vari" localSheetId="22">#REF!</definedName>
    <definedName name="vari">#REF!</definedName>
    <definedName name="vbnm" localSheetId="4">#REF!</definedName>
    <definedName name="vbnm" localSheetId="29">#REF!</definedName>
    <definedName name="vbnm">#REF!</definedName>
    <definedName name="vc" localSheetId="4">#REF!</definedName>
    <definedName name="vc" localSheetId="29">#REF!</definedName>
    <definedName name="vc">#REF!</definedName>
    <definedName name="Venfin" localSheetId="4">#REF!</definedName>
    <definedName name="Venfin" localSheetId="29">#REF!</definedName>
    <definedName name="Venfin">#REF!</definedName>
    <definedName name="VFDG" localSheetId="4" hidden="1">{"CASH FLOW",#N/A,FALSE,"A"}</definedName>
    <definedName name="VFDG" localSheetId="6" hidden="1">{"CASH FLOW",#N/A,FALSE,"A"}</definedName>
    <definedName name="VFDG" localSheetId="9" hidden="1">{"CASH FLOW",#N/A,FALSE,"A"}</definedName>
    <definedName name="VFDG" hidden="1">{"CASH FLOW",#N/A,FALSE,"A"}</definedName>
    <definedName name="VFormula" localSheetId="4">#REF!</definedName>
    <definedName name="VFormula" localSheetId="29">#REF!</definedName>
    <definedName name="VFormula">#REF!</definedName>
    <definedName name="vi" localSheetId="4">'[52]Sub Sch BS ROUGH'!#REF!</definedName>
    <definedName name="vi" localSheetId="29">'[52]Sub Sch BS ROUGH'!#REF!</definedName>
    <definedName name="vi">'[52]Sub Sch BS ROUGH'!#REF!</definedName>
    <definedName name="VINAY" localSheetId="4">#REF!</definedName>
    <definedName name="VINAY" localSheetId="29">#REF!</definedName>
    <definedName name="VINAY" localSheetId="22">#REF!</definedName>
    <definedName name="VINAY">#REF!</definedName>
    <definedName name="Volume_Graphs" localSheetId="4">#REF!</definedName>
    <definedName name="Volume_Graphs" localSheetId="29">#REF!</definedName>
    <definedName name="Volume_Graphs">#REF!</definedName>
    <definedName name="VPOPO" localSheetId="4" hidden="1">{"PLANT BREAKUP",#N/A,FALSE,"E"}</definedName>
    <definedName name="VPOPO" localSheetId="6" hidden="1">{"PLANT BREAKUP",#N/A,FALSE,"E"}</definedName>
    <definedName name="VPOPO" localSheetId="9" hidden="1">{"PLANT BREAKUP",#N/A,FALSE,"E"}</definedName>
    <definedName name="VPOPO" hidden="1">{"PLANT BREAKUP",#N/A,FALSE,"E"}</definedName>
    <definedName name="vsa_entry" localSheetId="4">#REF!</definedName>
    <definedName name="vsa_entry" localSheetId="29">#REF!</definedName>
    <definedName name="vsa_entry" localSheetId="22">#REF!</definedName>
    <definedName name="vsa_entry">#REF!</definedName>
    <definedName name="W" localSheetId="4" hidden="1">{"PLANT BREAKUP",#N/A,FALSE,"E"}</definedName>
    <definedName name="W" localSheetId="6" hidden="1">{"PLANT BREAKUP",#N/A,FALSE,"E"}</definedName>
    <definedName name="W" localSheetId="9" hidden="1">{"PLANT BREAKUP",#N/A,FALSE,"E"}</definedName>
    <definedName name="W" hidden="1">{"PLANT BREAKUP",#N/A,FALSE,"E"}</definedName>
    <definedName name="w1_w2" localSheetId="4">#REF!</definedName>
    <definedName name="w1_w2" localSheetId="29">#REF!</definedName>
    <definedName name="w1_w2">#REF!</definedName>
    <definedName name="WBname" localSheetId="4">#REF!</definedName>
    <definedName name="WBname" localSheetId="29">#REF!</definedName>
    <definedName name="WBname">#REF!</definedName>
    <definedName name="wdvcy" localSheetId="4">#REF!</definedName>
    <definedName name="wdvcy" localSheetId="29">#REF!</definedName>
    <definedName name="wdvcy">#REF!</definedName>
    <definedName name="wdvly" localSheetId="4">#REF!</definedName>
    <definedName name="wdvly" localSheetId="29">#REF!</definedName>
    <definedName name="wdvly">#REF!</definedName>
    <definedName name="WE" localSheetId="4" hidden="1">{#N/A,#N/A,FALSE,"MODULE3"}</definedName>
    <definedName name="WE" localSheetId="6" hidden="1">{#N/A,#N/A,FALSE,"MODULE3"}</definedName>
    <definedName name="WE" localSheetId="9" hidden="1">{#N/A,#N/A,FALSE,"MODULE3"}</definedName>
    <definedName name="WE" hidden="1">{#N/A,#N/A,FALSE,"MODULE3"}</definedName>
    <definedName name="WFD" localSheetId="4">#REF!</definedName>
    <definedName name="WFD" localSheetId="29">#REF!</definedName>
    <definedName name="WFD">#REF!</definedName>
    <definedName name="WFDMRM" localSheetId="4">#REF!</definedName>
    <definedName name="WFDMRM" localSheetId="29">#REF!</definedName>
    <definedName name="WFDMRM">#REF!</definedName>
    <definedName name="WFDMUS" localSheetId="4">#REF!</definedName>
    <definedName name="WFDMUS" localSheetId="29">#REF!</definedName>
    <definedName name="WFDMUS">#REF!</definedName>
    <definedName name="wfqhofoo" localSheetId="4" hidden="1">{"PLANT BREAKUP",#N/A,FALSE,"E"}</definedName>
    <definedName name="wfqhofoo" localSheetId="6" hidden="1">{"PLANT BREAKUP",#N/A,FALSE,"E"}</definedName>
    <definedName name="wfqhofoo" localSheetId="9" hidden="1">{"PLANT BREAKUP",#N/A,FALSE,"E"}</definedName>
    <definedName name="wfqhofoo" hidden="1">{"PLANT BREAKUP",#N/A,FALSE,"E"}</definedName>
    <definedName name="WFUS" localSheetId="4">#REF!</definedName>
    <definedName name="WFUS" localSheetId="29">#REF!</definedName>
    <definedName name="WFUS">#REF!</definedName>
    <definedName name="WFUSDM" localSheetId="4">#REF!</definedName>
    <definedName name="WFUSDM" localSheetId="29">#REF!</definedName>
    <definedName name="WFUSDM">#REF!</definedName>
    <definedName name="WFUSRM" localSheetId="4">#REF!</definedName>
    <definedName name="WFUSRM" localSheetId="29">#REF!</definedName>
    <definedName name="WFUSRM">#REF!</definedName>
    <definedName name="wgkjqklgw" localSheetId="4" hidden="1">{"PLANT BREAKUP",#N/A,FALSE,"E"}</definedName>
    <definedName name="wgkjqklgw" localSheetId="6" hidden="1">{"PLANT BREAKUP",#N/A,FALSE,"E"}</definedName>
    <definedName name="wgkjqklgw" localSheetId="9" hidden="1">{"PLANT BREAKUP",#N/A,FALSE,"E"}</definedName>
    <definedName name="wgkjqklgw" hidden="1">{"PLANT BREAKUP",#N/A,FALSE,"E"}</definedName>
    <definedName name="wih" localSheetId="4">#REF!</definedName>
    <definedName name="wih" localSheetId="29">#REF!</definedName>
    <definedName name="wih" localSheetId="22">#REF!</definedName>
    <definedName name="wih">#REF!</definedName>
    <definedName name="wipmajor" localSheetId="4">#REF!</definedName>
    <definedName name="wipmajor" localSheetId="29">#REF!</definedName>
    <definedName name="wipmajor" localSheetId="22">#REF!</definedName>
    <definedName name="wipmajor">#REF!</definedName>
    <definedName name="wipnorth" localSheetId="4">#REF!</definedName>
    <definedName name="wipnorth" localSheetId="29">#REF!</definedName>
    <definedName name="wipnorth" localSheetId="22">#REF!</definedName>
    <definedName name="wipnorth">#REF!</definedName>
    <definedName name="wipsouth" localSheetId="4">#REF!</definedName>
    <definedName name="wipsouth" localSheetId="29">#REF!</definedName>
    <definedName name="wipsouth" localSheetId="22">#REF!</definedName>
    <definedName name="wipsouth">#REF!</definedName>
    <definedName name="wipsum" localSheetId="4">#REF!</definedName>
    <definedName name="wipsum" localSheetId="29">#REF!</definedName>
    <definedName name="wipsum" localSheetId="22">#REF!</definedName>
    <definedName name="wipsum">#REF!</definedName>
    <definedName name="wipthcm" localSheetId="4">#REF!</definedName>
    <definedName name="wipthcm" localSheetId="29">#REF!</definedName>
    <definedName name="wipthcm" localSheetId="22">#REF!</definedName>
    <definedName name="wipthcm">#REF!</definedName>
    <definedName name="wipwater" localSheetId="4">#REF!</definedName>
    <definedName name="wipwater" localSheetId="29">#REF!</definedName>
    <definedName name="wipwater" localSheetId="22">#REF!</definedName>
    <definedName name="wipwater">#REF!</definedName>
    <definedName name="wladvtaxmar98" localSheetId="4">#REF!</definedName>
    <definedName name="wladvtaxmar98" localSheetId="29">#REF!</definedName>
    <definedName name="wladvtaxmar98">#REF!</definedName>
    <definedName name="wldec97" localSheetId="4">#REF!</definedName>
    <definedName name="wldec97" localSheetId="29">#REF!</definedName>
    <definedName name="wldec97">#REF!</definedName>
    <definedName name="wock" localSheetId="4">#REF!</definedName>
    <definedName name="wock" localSheetId="29">#REF!</definedName>
    <definedName name="wock">#REF!</definedName>
    <definedName name="Wolfgang" localSheetId="4">#REF!</definedName>
    <definedName name="Wolfgang" localSheetId="29">#REF!</definedName>
    <definedName name="Wolfgang">#REF!</definedName>
    <definedName name="wqdqwdqwd" localSheetId="6" hidden="1">{#N/A,#N/A,FALSE,"Staffnos &amp; cost"}</definedName>
    <definedName name="wqdqwdqwd" localSheetId="9" hidden="1">{#N/A,#N/A,FALSE,"Staffnos &amp; cost"}</definedName>
    <definedName name="wqdqwdqwd" hidden="1">{#N/A,#N/A,FALSE,"Staffnos &amp; cost"}</definedName>
    <definedName name="wrn.abc." localSheetId="4" hidden="1">{"Execavation",#N/A,FALSE,"furniture (employer)"}</definedName>
    <definedName name="wrn.abc." localSheetId="6" hidden="1">{"Execavation",#N/A,FALSE,"furniture (employer)"}</definedName>
    <definedName name="wrn.abc." localSheetId="9" hidden="1">{"Execavation",#N/A,FALSE,"furniture (employer)"}</definedName>
    <definedName name="wrn.abc." hidden="1">{"Execavation",#N/A,FALSE,"furniture (employer)"}</definedName>
    <definedName name="wrn.ALL." localSheetId="4" hidden="1">{#N/A,#N/A,FALSE,"INPUTS";#N/A,#N/A,FALSE,"PROFORMA BSHEET";#N/A,#N/A,FALSE,"COMBINED";#N/A,#N/A,FALSE,"ACQUIROR";#N/A,#N/A,FALSE,"TARGET 1";#N/A,#N/A,FALSE,"TARGET 2";#N/A,#N/A,FALSE,"HIGH YIELD";#N/A,#N/A,FALSE,"OVERFUND"}</definedName>
    <definedName name="wrn.ALL." localSheetId="6" hidden="1">{#N/A,#N/A,FALSE,"INPUTS";#N/A,#N/A,FALSE,"PROFORMA BSHEET";#N/A,#N/A,FALSE,"COMBINED";#N/A,#N/A,FALSE,"ACQUIROR";#N/A,#N/A,FALSE,"TARGET 1";#N/A,#N/A,FALSE,"TARGET 2";#N/A,#N/A,FALSE,"HIGH YIELD";#N/A,#N/A,FALSE,"OVERFUND"}</definedName>
    <definedName name="wrn.ALL." localSheetId="9" hidden="1">{#N/A,#N/A,FALSE,"INPUTS";#N/A,#N/A,FALSE,"PROFORMA BSHEET";#N/A,#N/A,FALSE,"COMBINED";#N/A,#N/A,FALSE,"ACQUIROR";#N/A,#N/A,FALSE,"TARGET 1";#N/A,#N/A,FALSE,"TARGET 2";#N/A,#N/A,FALSE,"HIGH YIELD";#N/A,#N/A,FALSE,"OVERFUND"}</definedName>
    <definedName name="wrn.ALL." hidden="1">{#N/A,#N/A,FALSE,"INPUTS";#N/A,#N/A,FALSE,"PROFORMA BSHEET";#N/A,#N/A,FALSE,"COMBINED";#N/A,#N/A,FALSE,"ACQUIROR";#N/A,#N/A,FALSE,"TARGET 1";#N/A,#N/A,FALSE,"TARGET 2";#N/A,#N/A,FALSE,"HIGH YIELD";#N/A,#N/A,FALSE,"OVERFUND"}</definedName>
    <definedName name="wrn.All._.Pages." localSheetId="4"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ll._.Pages." localSheetId="6"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ll._.Pages." localSheetId="9"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budget." localSheetId="4" hidden="1">{"form-D1",#N/A,FALSE,"FORM-D1";"form-D1_amt",#N/A,FALSE,"FORM-D1"}</definedName>
    <definedName name="wrn.budget." localSheetId="6" hidden="1">{"form-D1",#N/A,FALSE,"FORM-D1";"form-D1_amt",#N/A,FALSE,"FORM-D1"}</definedName>
    <definedName name="wrn.budget." localSheetId="9" hidden="1">{"form-D1",#N/A,FALSE,"FORM-D1";"form-D1_amt",#N/A,FALSE,"FORM-D1"}</definedName>
    <definedName name="wrn.budget." hidden="1">{"form-D1",#N/A,FALSE,"FORM-D1";"form-D1_amt",#N/A,FALSE,"FORM-D1"}</definedName>
    <definedName name="wrn.CASH._.FLOW." localSheetId="4" hidden="1">{"CASH FLOW",#N/A,FALSE,"A"}</definedName>
    <definedName name="wrn.CASH._.FLOW." localSheetId="6" hidden="1">{"CASH FLOW",#N/A,FALSE,"A"}</definedName>
    <definedName name="wrn.CASH._.FLOW." localSheetId="9" hidden="1">{"CASH FLOW",#N/A,FALSE,"A"}</definedName>
    <definedName name="wrn.CASH._.FLOW." hidden="1">{"CASH FLOW",#N/A,FALSE,"A"}</definedName>
    <definedName name="wrn.COMBINED." localSheetId="4" hidden="1">{#N/A,#N/A,FALSE,"INPUTS";#N/A,#N/A,FALSE,"PROFORMA BSHEET";#N/A,#N/A,FALSE,"COMBINED";#N/A,#N/A,FALSE,"HIGH YIELD";#N/A,#N/A,FALSE,"COMB_GRAPHS"}</definedName>
    <definedName name="wrn.COMBINED." localSheetId="6" hidden="1">{#N/A,#N/A,FALSE,"INPUTS";#N/A,#N/A,FALSE,"PROFORMA BSHEET";#N/A,#N/A,FALSE,"COMBINED";#N/A,#N/A,FALSE,"HIGH YIELD";#N/A,#N/A,FALSE,"COMB_GRAPHS"}</definedName>
    <definedName name="wrn.COMBINED." localSheetId="9" hidden="1">{#N/A,#N/A,FALSE,"INPUTS";#N/A,#N/A,FALSE,"PROFORMA BSHEET";#N/A,#N/A,FALSE,"COMBINED";#N/A,#N/A,FALSE,"HIGH YIELD";#N/A,#N/A,FALSE,"COMB_GRAPHS"}</definedName>
    <definedName name="wrn.COMBINED." hidden="1">{#N/A,#N/A,FALSE,"INPUTS";#N/A,#N/A,FALSE,"PROFORMA BSHEET";#N/A,#N/A,FALSE,"COMBINED";#N/A,#N/A,FALSE,"HIGH YIELD";#N/A,#N/A,FALSE,"COMB_GRAPHS"}</definedName>
    <definedName name="wrn.DRB._.CLAIMS._.FOR._.BILL._.A3._.SIZE." localSheetId="4"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3._.SIZE." localSheetId="6"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3._.SIZE." localSheetId="9"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3._.SIZE."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4._.SIZE." localSheetId="4"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DRB._.CLAIMS._.FOR._.BILL._.A4._.SIZE." localSheetId="6"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DRB._.CLAIMS._.FOR._.BILL._.A4._.SIZE." localSheetId="9"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DRB._.CLAIMS._.FOR._.BILL._.A4._.SIZE."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FTS." localSheetId="4" hidden="1">{"FTS",#N/A,FALSE,"E"}</definedName>
    <definedName name="wrn.FTS." localSheetId="6" hidden="1">{"FTS",#N/A,FALSE,"E"}</definedName>
    <definedName name="wrn.FTS." localSheetId="9" hidden="1">{"FTS",#N/A,FALSE,"E"}</definedName>
    <definedName name="wrn.FTS." hidden="1">{"FTS",#N/A,FALSE,"E"}</definedName>
    <definedName name="wrn.FTS._.PLANT._.BREAKUP." localSheetId="4" hidden="1">{"PLANT BREAKUP",#N/A,FALSE,"E"}</definedName>
    <definedName name="wrn.FTS._.PLANT._.BREAKUP." localSheetId="6" hidden="1">{"PLANT BREAKUP",#N/A,FALSE,"E"}</definedName>
    <definedName name="wrn.FTS._.PLANT._.BREAKUP." localSheetId="9" hidden="1">{"PLANT BREAKUP",#N/A,FALSE,"E"}</definedName>
    <definedName name="wrn.FTS._.PLANT._.BREAKUP." hidden="1">{"PLANT BREAKUP",#N/A,FALSE,"E"}</definedName>
    <definedName name="wrn.full." localSheetId="4" hidden="1">{#N/A,#N/A,FALSE,"Cover";#N/A,#N/A,FALSE,"Pres ";#N/A,#N/A,FALSE,"Output";#N/A,#N/A,FALSE,"Sensit";#N/A,#N/A,FALSE,"DCF";#N/A,#N/A,FALSE,"Graphs";#N/A,#N/A,FALSE,"Control (In)";#N/A,#N/A,FALSE,"Broker (In)";#N/A,#N/A,FALSE,"In-House (In)";#N/A,#N/A,FALSE,"Assumptions";#N/A,#N/A,FALSE,"WACC";#N/A,#N/A,FALSE,"Check (In)"}</definedName>
    <definedName name="wrn.full." localSheetId="6" hidden="1">{#N/A,#N/A,FALSE,"Cover";#N/A,#N/A,FALSE,"Pres ";#N/A,#N/A,FALSE,"Output";#N/A,#N/A,FALSE,"Sensit";#N/A,#N/A,FALSE,"DCF";#N/A,#N/A,FALSE,"Graphs";#N/A,#N/A,FALSE,"Control (In)";#N/A,#N/A,FALSE,"Broker (In)";#N/A,#N/A,FALSE,"In-House (In)";#N/A,#N/A,FALSE,"Assumptions";#N/A,#N/A,FALSE,"WACC";#N/A,#N/A,FALSE,"Check (In)"}</definedName>
    <definedName name="wrn.full." localSheetId="9" hidden="1">{#N/A,#N/A,FALSE,"Cover";#N/A,#N/A,FALSE,"Pres ";#N/A,#N/A,FALSE,"Output";#N/A,#N/A,FALSE,"Sensit";#N/A,#N/A,FALSE,"DCF";#N/A,#N/A,FALSE,"Graphs";#N/A,#N/A,FALSE,"Control (In)";#N/A,#N/A,FALSE,"Broker (In)";#N/A,#N/A,FALSE,"In-House (In)";#N/A,#N/A,FALSE,"Assumptions";#N/A,#N/A,FALSE,"WACC";#N/A,#N/A,FALSE,"Check (In)"}</definedName>
    <definedName name="wrn.full." hidden="1">{#N/A,#N/A,FALSE,"Cover";#N/A,#N/A,FALSE,"Pres ";#N/A,#N/A,FALSE,"Output";#N/A,#N/A,FALSE,"Sensit";#N/A,#N/A,FALSE,"DCF";#N/A,#N/A,FALSE,"Graphs";#N/A,#N/A,FALSE,"Control (In)";#N/A,#N/A,FALSE,"Broker (In)";#N/A,#N/A,FALSE,"In-House (In)";#N/A,#N/A,FALSE,"Assumptions";#N/A,#N/A,FALSE,"WACC";#N/A,#N/A,FALSE,"Check (In)"}</definedName>
    <definedName name="wrn.Full._.Model." localSheetId="4" hidden="1">{#N/A,#N/A,TRUE,"Cover Sheet ";#N/A,#N/A,TRUE,"INPUTS";#N/A,#N/A,TRUE,"OUTPUTS"}</definedName>
    <definedName name="wrn.Full._.Model." localSheetId="6" hidden="1">{#N/A,#N/A,TRUE,"Cover Sheet ";#N/A,#N/A,TRUE,"INPUTS";#N/A,#N/A,TRUE,"OUTPUTS"}</definedName>
    <definedName name="wrn.Full._.Model." localSheetId="9" hidden="1">{#N/A,#N/A,TRUE,"Cover Sheet ";#N/A,#N/A,TRUE,"INPUTS";#N/A,#N/A,TRUE,"OUTPUTS"}</definedName>
    <definedName name="wrn.Full._.Model." hidden="1">{#N/A,#N/A,TRUE,"Cover Sheet ";#N/A,#N/A,TRUE,"INPUTS";#N/A,#N/A,TRUE,"OUTPUTS"}</definedName>
    <definedName name="wrn.GRAPHS." localSheetId="4" hidden="1">{#N/A,#N/A,FALSE,"ACQ_GRAPHS";#N/A,#N/A,FALSE,"T_1 GRAPHS";#N/A,#N/A,FALSE,"T_2 GRAPHS";#N/A,#N/A,FALSE,"COMB_GRAPHS"}</definedName>
    <definedName name="wrn.GRAPHS." localSheetId="6" hidden="1">{#N/A,#N/A,FALSE,"ACQ_GRAPHS";#N/A,#N/A,FALSE,"T_1 GRAPHS";#N/A,#N/A,FALSE,"T_2 GRAPHS";#N/A,#N/A,FALSE,"COMB_GRAPHS"}</definedName>
    <definedName name="wrn.GRAPHS." localSheetId="9" hidden="1">{#N/A,#N/A,FALSE,"ACQ_GRAPHS";#N/A,#N/A,FALSE,"T_1 GRAPHS";#N/A,#N/A,FALSE,"T_2 GRAPHS";#N/A,#N/A,FALSE,"COMB_GRAPHS"}</definedName>
    <definedName name="wrn.GRAPHS." hidden="1">{#N/A,#N/A,FALSE,"ACQ_GRAPHS";#N/A,#N/A,FALSE,"T_1 GRAPHS";#N/A,#N/A,FALSE,"T_2 GRAPHS";#N/A,#N/A,FALSE,"COMB_GRAPHS"}</definedName>
    <definedName name="wrn.imprim." localSheetId="6"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wrn.imprim." localSheetId="9"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wrn.imprim."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wrn.item1." localSheetId="4" hidden="1">{#N/A,#N/A,FALSE,"Wadhal";#N/A,#N/A,FALSE,"Manglad U-S";#N/A,#N/A,FALSE,"Manglad D-S";#N/A,#N/A,FALSE,"Ratanpur U-S";#N/A,#N/A,FALSE,"Ratanpur D-S";#N/A,#N/A,FALSE,"VI Face"}</definedName>
    <definedName name="wrn.item1." localSheetId="6" hidden="1">{#N/A,#N/A,FALSE,"Wadhal";#N/A,#N/A,FALSE,"Manglad U-S";#N/A,#N/A,FALSE,"Manglad D-S";#N/A,#N/A,FALSE,"Ratanpur U-S";#N/A,#N/A,FALSE,"Ratanpur D-S";#N/A,#N/A,FALSE,"VI Face"}</definedName>
    <definedName name="wrn.item1." localSheetId="9" hidden="1">{#N/A,#N/A,FALSE,"Wadhal";#N/A,#N/A,FALSE,"Manglad U-S";#N/A,#N/A,FALSE,"Manglad D-S";#N/A,#N/A,FALSE,"Ratanpur U-S";#N/A,#N/A,FALSE,"Ratanpur D-S";#N/A,#N/A,FALSE,"VI Face"}</definedName>
    <definedName name="wrn.item1." hidden="1">{#N/A,#N/A,FALSE,"Wadhal";#N/A,#N/A,FALSE,"Manglad U-S";#N/A,#N/A,FALSE,"Manglad D-S";#N/A,#N/A,FALSE,"Ratanpur U-S";#N/A,#N/A,FALSE,"Ratanpur D-S";#N/A,#N/A,FALSE,"VI Face"}</definedName>
    <definedName name="wrn.PLANNING." localSheetId="4" hidden="1">{"PLANNING",#N/A,FALSE,"A"}</definedName>
    <definedName name="wrn.PLANNING." localSheetId="6" hidden="1">{"PLANNING",#N/A,FALSE,"A"}</definedName>
    <definedName name="wrn.PLANNING." localSheetId="9" hidden="1">{"PLANNING",#N/A,FALSE,"A"}</definedName>
    <definedName name="wrn.PLANNING." hidden="1">{"PLANNING",#N/A,FALSE,"A"}</definedName>
    <definedName name="wrn.Print." localSheetId="4" hidden="1">{"vi1",#N/A,FALSE,"Financial Statements";"vi2",#N/A,FALSE,"Financial Statements";#N/A,#N/A,FALSE,"DCF"}</definedName>
    <definedName name="wrn.Print." localSheetId="6" hidden="1">{"vi1",#N/A,FALSE,"Financial Statements";"vi2",#N/A,FALSE,"Financial Statements";#N/A,#N/A,FALSE,"DCF"}</definedName>
    <definedName name="wrn.Print." localSheetId="9" hidden="1">{"vi1",#N/A,FALSE,"Financial Statements";"vi2",#N/A,FALSE,"Financial Statements";#N/A,#N/A,FALSE,"DCF"}</definedName>
    <definedName name="wrn.Print." hidden="1">{"vi1",#N/A,FALSE,"Financial Statements";"vi2",#N/A,FALSE,"Financial Statements";#N/A,#N/A,FALSE,"DCF"}</definedName>
    <definedName name="wrn.ss." localSheetId="4" hidden="1">{#N/A,#N/A,FALSE,"MODULE3"}</definedName>
    <definedName name="wrn.ss." localSheetId="6" hidden="1">{#N/A,#N/A,FALSE,"MODULE3"}</definedName>
    <definedName name="wrn.ss." localSheetId="9" hidden="1">{#N/A,#N/A,FALSE,"MODULE3"}</definedName>
    <definedName name="wrn.ss." hidden="1">{#N/A,#N/A,FALSE,"MODULE3"}</definedName>
    <definedName name="wrn.ss1." localSheetId="4" hidden="1">{"ss",#N/A,FALSE,"MODULE3"}</definedName>
    <definedName name="wrn.ss1." localSheetId="6" hidden="1">{"ss",#N/A,FALSE,"MODULE3"}</definedName>
    <definedName name="wrn.ss1." localSheetId="9" hidden="1">{"ss",#N/A,FALSE,"MODULE3"}</definedName>
    <definedName name="wrn.ss1." hidden="1">{"ss",#N/A,FALSE,"MODULE3"}</definedName>
    <definedName name="wrn.Staff._.cost1998." localSheetId="6" hidden="1">{#N/A,#N/A,TRUE,"Staffnos &amp; cost"}</definedName>
    <definedName name="wrn.Staff._.cost1998." localSheetId="9" hidden="1">{#N/A,#N/A,TRUE,"Staffnos &amp; cost"}</definedName>
    <definedName name="wrn.Staff._.cost1998." hidden="1">{#N/A,#N/A,TRUE,"Staffnos &amp; cost"}</definedName>
    <definedName name="wrn.Staffcost." localSheetId="6" hidden="1">{#N/A,#N/A,FALSE,"Staffnos &amp; cost"}</definedName>
    <definedName name="wrn.Staffcost." localSheetId="9" hidden="1">{#N/A,#N/A,FALSE,"Staffnos &amp; cost"}</definedName>
    <definedName name="wrn.Staffcost." hidden="1">{#N/A,#N/A,FALSE,"Staffnos &amp; cost"}</definedName>
    <definedName name="wrn.summary." localSheetId="4" hidden="1">{"SUMMARY",#N/A,FALSE,"C"}</definedName>
    <definedName name="wrn.summary." localSheetId="6" hidden="1">{"SUMMARY",#N/A,FALSE,"C"}</definedName>
    <definedName name="wrn.summary." localSheetId="9" hidden="1">{"SUMMARY",#N/A,FALSE,"C"}</definedName>
    <definedName name="wrn.summary." hidden="1">{"SUMMARY",#N/A,FALSE,"C"}</definedName>
    <definedName name="wrn.VALUATION." localSheetId="4" hidden="1">{#N/A,#N/A,FALSE,"Valuation Assumptions";#N/A,#N/A,FALSE,"Summary";#N/A,#N/A,FALSE,"DCF";#N/A,#N/A,FALSE,"Valuation";#N/A,#N/A,FALSE,"WACC";#N/A,#N/A,FALSE,"UBVH";#N/A,#N/A,FALSE,"Free Cash Flow"}</definedName>
    <definedName name="wrn.VALUATION." localSheetId="6" hidden="1">{#N/A,#N/A,FALSE,"Valuation Assumptions";#N/A,#N/A,FALSE,"Summary";#N/A,#N/A,FALSE,"DCF";#N/A,#N/A,FALSE,"Valuation";#N/A,#N/A,FALSE,"WACC";#N/A,#N/A,FALSE,"UBVH";#N/A,#N/A,FALSE,"Free Cash Flow"}</definedName>
    <definedName name="wrn.VALUATION." localSheetId="9" hidden="1">{#N/A,#N/A,FALSE,"Valuation Assumptions";#N/A,#N/A,FALSE,"Summary";#N/A,#N/A,FALSE,"DCF";#N/A,#N/A,FALSE,"Valuation";#N/A,#N/A,FALSE,"WACC";#N/A,#N/A,FALSE,"UBVH";#N/A,#N/A,FALSE,"Free Cash Flow"}</definedName>
    <definedName name="wrn.VALUATION." hidden="1">{#N/A,#N/A,FALSE,"Valuation Assumptions";#N/A,#N/A,FALSE,"Summary";#N/A,#N/A,FALSE,"DCF";#N/A,#N/A,FALSE,"Valuation";#N/A,#N/A,FALSE,"WACC";#N/A,#N/A,FALSE,"UBVH";#N/A,#N/A,FALSE,"Free Cash Flow"}</definedName>
    <definedName name="wsedfrtghyj" localSheetId="4">#REF!</definedName>
    <definedName name="wsedfrtghyj" localSheetId="29">#REF!</definedName>
    <definedName name="wsedfrtghyj">#REF!</definedName>
    <definedName name="WSname" localSheetId="4">#REF!</definedName>
    <definedName name="WSname" localSheetId="29">#REF!</definedName>
    <definedName name="WSname">#REF!</definedName>
    <definedName name="WWW" localSheetId="4" hidden="1">{"PLANNING",#N/A,FALSE,"A"}</definedName>
    <definedName name="WWW" localSheetId="6" hidden="1">{"PLANNING",#N/A,FALSE,"A"}</definedName>
    <definedName name="WWW" localSheetId="9" hidden="1">{"PLANNING",#N/A,FALSE,"A"}</definedName>
    <definedName name="WWW" hidden="1">{"PLANNING",#N/A,FALSE,"A"}</definedName>
    <definedName name="x" localSheetId="4">#REF!</definedName>
    <definedName name="x" localSheetId="29">#REF!</definedName>
    <definedName name="x" localSheetId="22">#REF!</definedName>
    <definedName name="x">#REF!</definedName>
    <definedName name="X_Terms" localSheetId="4">#REF!</definedName>
    <definedName name="X_Terms" localSheetId="29">#REF!</definedName>
    <definedName name="X_Terms">#REF!</definedName>
    <definedName name="x_users" localSheetId="4">#REF!</definedName>
    <definedName name="x_users" localSheetId="29">#REF!</definedName>
    <definedName name="x_users">#REF!</definedName>
    <definedName name="XFormula" localSheetId="4">#REF!</definedName>
    <definedName name="XFormula" localSheetId="29">#REF!</definedName>
    <definedName name="XFormula">#REF!</definedName>
    <definedName name="xx" localSheetId="4">'[70]TRIAL BALANCE'!#REF!</definedName>
    <definedName name="xx" localSheetId="29">'[70]TRIAL BALANCE'!#REF!</definedName>
    <definedName name="xx">'[70]TRIAL BALANCE'!#REF!</definedName>
    <definedName name="XXXXX" localSheetId="4">#REF!</definedName>
    <definedName name="XXXXX" localSheetId="29">#REF!</definedName>
    <definedName name="XXXXX" localSheetId="22">#REF!</definedName>
    <definedName name="XXXXX">#REF!</definedName>
    <definedName name="xyz" localSheetId="4">#REF!</definedName>
    <definedName name="xyz" localSheetId="29">#REF!</definedName>
    <definedName name="xyz">#REF!</definedName>
    <definedName name="Y" localSheetId="4">#REF!</definedName>
    <definedName name="Y" localSheetId="29">#REF!</definedName>
    <definedName name="Y">#REF!</definedName>
    <definedName name="Y3OPSauto_upsell" localSheetId="4">#REF!</definedName>
    <definedName name="Y3OPSauto_upsell" localSheetId="29">#REF!</definedName>
    <definedName name="Y3OPSauto_upsell">#REF!</definedName>
    <definedName name="Y3Res_upsell" localSheetId="4">#REF!</definedName>
    <definedName name="Y3Res_upsell" localSheetId="29">#REF!</definedName>
    <definedName name="Y3Res_upsell">#REF!</definedName>
    <definedName name="year" localSheetId="4">#REF!</definedName>
    <definedName name="year" localSheetId="29">#REF!</definedName>
    <definedName name="year">#REF!</definedName>
    <definedName name="Years">'[56]LSL at 31 Dec 01 Problem'!$F$27:$F$37</definedName>
    <definedName name="Years_also">'[56]LSL at 31 Dec 01'!$F$27:$F$37</definedName>
    <definedName name="Years_service">'[56]LSL at 31 Dec 01 Problem'!$F$27:$G$37</definedName>
    <definedName name="YFormula" localSheetId="4">#REF!</definedName>
    <definedName name="YFormula" localSheetId="29">#REF!</definedName>
    <definedName name="YFormula">#REF!</definedName>
    <definedName name="YOPSauto_upsell" localSheetId="4">#REF!</definedName>
    <definedName name="YOPSauto_upsell" localSheetId="29">#REF!</definedName>
    <definedName name="YOPSauto_upsell">#REF!</definedName>
    <definedName name="York_Graphs" localSheetId="4">#REF!</definedName>
    <definedName name="York_Graphs" localSheetId="29">#REF!</definedName>
    <definedName name="York_Graphs">#REF!</definedName>
    <definedName name="YTD_ACTL_GRF">'[22]IS Mo'!$AH$77:$AS$129</definedName>
    <definedName name="YTD_ACTL_INN">'[22]IS Mo'!$BL$77:$BW$129</definedName>
    <definedName name="YTD_ACTL_PUB">'[22]IS Mo'!$AW$77:$BH$129</definedName>
    <definedName name="YTD_BGT_GRF">'[22]IS Mo'!$AH$200:$AS$252</definedName>
    <definedName name="YTD_BGT_INN">'[22]IS Mo'!$BL$200:$BW$252</definedName>
    <definedName name="YTD_BGT_PUB">'[22]IS Mo'!$AW$200:$BH$252</definedName>
    <definedName name="YTD_FCST_GRF">'[22]IS Mo'!$CP$77:$DA$129</definedName>
    <definedName name="YTD_FCST_INN">'[22]IS Mo'!$DT$77:$EE$129</definedName>
    <definedName name="YTD_FCST_PUB">'[22]IS Mo'!$DE$77:$DP$129</definedName>
    <definedName name="YTD_PREV_GRF">'[22]IS Mo'!$EX$77:$FI$129</definedName>
    <definedName name="YTD_PREV_INN">'[22]IS Mo'!$GB$77:$GM$129</definedName>
    <definedName name="YTD_PREV_PUB">'[22]IS Mo'!$FM$77:$FX$129</definedName>
    <definedName name="z" localSheetId="4">[71]CSCCincSKR!#REF!</definedName>
    <definedName name="z" localSheetId="29">[71]CSCCincSKR!#REF!</definedName>
    <definedName name="z" localSheetId="22">[71]CSCCincSKR!#REF!</definedName>
    <definedName name="z">[71]CSCCincSKR!#REF!</definedName>
    <definedName name="Z_29D0F0EC_9D78_11D8_966D_0010DCD29A52_.wvu.FilterData" localSheetId="4" hidden="1">'[72]4. TOP 25 QTY &amp; VALUE WISE '!$C$5:$E$5</definedName>
    <definedName name="Z_29D0F0EC_9D78_11D8_966D_0010DCD29A52_.wvu.FilterData" hidden="1">'[72]4. TOP 25 QTY &amp; VALUE WISE '!$C$5:$E$5</definedName>
    <definedName name="Z_29D0F0EC_9D78_11D8_966D_0010DCD29A52_.wvu.Rows" localSheetId="4" hidden="1">'[72]INDIVIDUAL GRAPH DATA'!#REF!,'[72]INDIVIDUAL GRAPH DATA'!#REF!,'[72]INDIVIDUAL GRAPH DATA'!#REF!,'[72]INDIVIDUAL GRAPH DATA'!#REF!</definedName>
    <definedName name="Z_29D0F0EC_9D78_11D8_966D_0010DCD29A52_.wvu.Rows" localSheetId="29" hidden="1">'[72]INDIVIDUAL GRAPH DATA'!#REF!,'[72]INDIVIDUAL GRAPH DATA'!#REF!,'[72]INDIVIDUAL GRAPH DATA'!#REF!,'[72]INDIVIDUAL GRAPH DATA'!#REF!</definedName>
    <definedName name="Z_29D0F0EC_9D78_11D8_966D_0010DCD29A52_.wvu.Rows" localSheetId="22" hidden="1">'[72]INDIVIDUAL GRAPH DATA'!#REF!,'[72]INDIVIDUAL GRAPH DATA'!#REF!,'[72]INDIVIDUAL GRAPH DATA'!#REF!,'[72]INDIVIDUAL GRAPH DATA'!#REF!</definedName>
    <definedName name="Z_29D0F0EC_9D78_11D8_966D_0010DCD29A52_.wvu.Rows" hidden="1">'[72]INDIVIDUAL GRAPH DATA'!#REF!,'[72]INDIVIDUAL GRAPH DATA'!#REF!,'[72]INDIVIDUAL GRAPH DATA'!#REF!,'[72]INDIVIDUAL GRAPH DATA'!#REF!</definedName>
    <definedName name="Z_87FC2C73_120F_4A0A_A49E_0CF96AAB3E9C_.wvu.FilterData" localSheetId="4" hidden="1">#REF!</definedName>
    <definedName name="Z_87FC2C73_120F_4A0A_A49E_0CF96AAB3E9C_.wvu.FilterData" localSheetId="29" hidden="1">#REF!</definedName>
    <definedName name="Z_87FC2C73_120F_4A0A_A49E_0CF96AAB3E9C_.wvu.FilterData" localSheetId="22" hidden="1">#REF!</definedName>
    <definedName name="Z_87FC2C73_120F_4A0A_A49E_0CF96AAB3E9C_.wvu.FilterData" hidden="1">#REF!</definedName>
    <definedName name="Z_B42642A0_9DD9_11D8_B59F_0050BA8C98A5_.wvu.FilterData" localSheetId="4" hidden="1">'[72]4. TOP 25 QTY &amp; VALUE WISE '!$C$5:$E$5</definedName>
    <definedName name="Z_B42642A0_9DD9_11D8_B59F_0050BA8C98A5_.wvu.FilterData" hidden="1">'[72]4. TOP 25 QTY &amp; VALUE WISE '!$C$5:$E$5</definedName>
    <definedName name="Z_B42642A0_9DD9_11D8_B59F_0050BA8C98A5_.wvu.Rows" localSheetId="4" hidden="1">'[72]INDIVIDUAL GRAPH DATA'!#REF!,'[72]INDIVIDUAL GRAPH DATA'!#REF!,'[72]INDIVIDUAL GRAPH DATA'!#REF!,'[72]INDIVIDUAL GRAPH DATA'!#REF!</definedName>
    <definedName name="Z_B42642A0_9DD9_11D8_B59F_0050BA8C98A5_.wvu.Rows" localSheetId="29" hidden="1">'[72]INDIVIDUAL GRAPH DATA'!#REF!,'[72]INDIVIDUAL GRAPH DATA'!#REF!,'[72]INDIVIDUAL GRAPH DATA'!#REF!,'[72]INDIVIDUAL GRAPH DATA'!#REF!</definedName>
    <definedName name="Z_B42642A0_9DD9_11D8_B59F_0050BA8C98A5_.wvu.Rows" localSheetId="22" hidden="1">'[72]INDIVIDUAL GRAPH DATA'!#REF!,'[72]INDIVIDUAL GRAPH DATA'!#REF!,'[72]INDIVIDUAL GRAPH DATA'!#REF!,'[72]INDIVIDUAL GRAPH DATA'!#REF!</definedName>
    <definedName name="Z_B42642A0_9DD9_11D8_B59F_0050BA8C98A5_.wvu.Rows" hidden="1">'[72]INDIVIDUAL GRAPH DATA'!#REF!,'[72]INDIVIDUAL GRAPH DATA'!#REF!,'[72]INDIVIDUAL GRAPH DATA'!#REF!,'[72]INDIVIDUAL GRAPH DATA'!#REF!</definedName>
  </definedNames>
  <calcPr calcId="162913"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3" i="45" l="1"/>
  <c r="C56" i="2" l="1"/>
  <c r="C112" i="86" l="1"/>
  <c r="C119" i="86" l="1"/>
  <c r="C307" i="5"/>
  <c r="E23" i="10"/>
  <c r="C22" i="35"/>
  <c r="D21" i="1"/>
  <c r="C475" i="5"/>
  <c r="F27" i="121"/>
  <c r="C41" i="5"/>
  <c r="C40" i="5"/>
  <c r="C10" i="121"/>
  <c r="C40" i="121"/>
  <c r="K68" i="122"/>
  <c r="K70" i="122" l="1"/>
  <c r="K67" i="122"/>
  <c r="K59" i="122"/>
  <c r="K58" i="122"/>
  <c r="K57" i="122"/>
  <c r="K56" i="122"/>
  <c r="K48" i="122"/>
  <c r="K47" i="122"/>
  <c r="K46" i="122"/>
  <c r="K45" i="122"/>
  <c r="K12" i="122"/>
  <c r="N12" i="122" s="1"/>
  <c r="K11" i="122"/>
  <c r="N11" i="122" s="1"/>
  <c r="O11" i="122" s="1"/>
  <c r="C25" i="122" s="1"/>
  <c r="K25" i="122" s="1"/>
  <c r="K10" i="122"/>
  <c r="N10" i="122" s="1"/>
  <c r="K9" i="122"/>
  <c r="N9" i="122" s="1"/>
  <c r="F37" i="122"/>
  <c r="F38" i="122" s="1"/>
  <c r="M71" i="122"/>
  <c r="L71" i="122"/>
  <c r="I71" i="122"/>
  <c r="H71" i="122"/>
  <c r="G71" i="122"/>
  <c r="F71" i="122"/>
  <c r="E71" i="122"/>
  <c r="M60" i="122"/>
  <c r="L60" i="122"/>
  <c r="I60" i="122"/>
  <c r="H60" i="122"/>
  <c r="G60" i="122"/>
  <c r="F60" i="122"/>
  <c r="E60" i="122"/>
  <c r="M49" i="122"/>
  <c r="L49" i="122"/>
  <c r="I49" i="122"/>
  <c r="H49" i="122"/>
  <c r="G49" i="122"/>
  <c r="F49" i="122"/>
  <c r="E49" i="122"/>
  <c r="M38" i="122"/>
  <c r="L38" i="122"/>
  <c r="I38" i="122"/>
  <c r="H38" i="122"/>
  <c r="G38" i="122"/>
  <c r="E38" i="122"/>
  <c r="M27" i="122"/>
  <c r="L27" i="122"/>
  <c r="I27" i="122"/>
  <c r="H27" i="122"/>
  <c r="G27" i="122"/>
  <c r="F27" i="122"/>
  <c r="E27" i="122"/>
  <c r="M13" i="122"/>
  <c r="L13" i="122"/>
  <c r="I13" i="122"/>
  <c r="H13" i="122"/>
  <c r="G13" i="122"/>
  <c r="F13" i="122"/>
  <c r="E13" i="122"/>
  <c r="C13" i="122"/>
  <c r="J12" i="122"/>
  <c r="J11" i="122"/>
  <c r="J10" i="122"/>
  <c r="J9" i="122"/>
  <c r="J13" i="122" s="1"/>
  <c r="F37" i="71"/>
  <c r="C23" i="35"/>
  <c r="G45" i="45"/>
  <c r="G44" i="45"/>
  <c r="F18" i="47"/>
  <c r="E18" i="47"/>
  <c r="C104" i="5"/>
  <c r="G8" i="40"/>
  <c r="G12" i="40"/>
  <c r="G13" i="40"/>
  <c r="G15" i="40"/>
  <c r="E11" i="40"/>
  <c r="G11" i="40" s="1"/>
  <c r="J160" i="101"/>
  <c r="D62" i="102"/>
  <c r="E7" i="40"/>
  <c r="E394" i="102"/>
  <c r="K13" i="122" l="1"/>
  <c r="O10" i="122"/>
  <c r="C24" i="122" s="1"/>
  <c r="K24" i="122" s="1"/>
  <c r="N24" i="122" s="1"/>
  <c r="O12" i="122"/>
  <c r="C26" i="122" s="1"/>
  <c r="K26" i="122" s="1"/>
  <c r="N26" i="122" s="1"/>
  <c r="N25" i="122"/>
  <c r="J25" i="122"/>
  <c r="J24" i="122"/>
  <c r="N13" i="122"/>
  <c r="O9" i="122"/>
  <c r="C372" i="5"/>
  <c r="J26" i="122" l="1"/>
  <c r="O24" i="122"/>
  <c r="C35" i="122" s="1"/>
  <c r="K35" i="122" s="1"/>
  <c r="N35" i="122" s="1"/>
  <c r="C23" i="122"/>
  <c r="K23" i="122" s="1"/>
  <c r="O13" i="122"/>
  <c r="O26" i="122"/>
  <c r="C37" i="122" s="1"/>
  <c r="K37" i="122" s="1"/>
  <c r="J35" i="122"/>
  <c r="O25" i="122"/>
  <c r="C36" i="122" s="1"/>
  <c r="K36" i="122" s="1"/>
  <c r="E308" i="5"/>
  <c r="J67" i="102"/>
  <c r="I67" i="102"/>
  <c r="H67" i="102"/>
  <c r="G67" i="102"/>
  <c r="F67" i="102"/>
  <c r="E67" i="102"/>
  <c r="D67" i="102"/>
  <c r="C67" i="102"/>
  <c r="C62" i="102" a="1"/>
  <c r="C62" i="102" s="1"/>
  <c r="O35" i="122" l="1"/>
  <c r="C46" i="122" s="1"/>
  <c r="J46" i="122" s="1"/>
  <c r="C27" i="122"/>
  <c r="J23" i="122"/>
  <c r="N36" i="122"/>
  <c r="J36" i="122"/>
  <c r="J37" i="122"/>
  <c r="N37" i="122"/>
  <c r="J85" i="101"/>
  <c r="N12" i="86"/>
  <c r="A3" i="86"/>
  <c r="B25" i="45"/>
  <c r="K66" i="102"/>
  <c r="K65" i="102"/>
  <c r="K64" i="102"/>
  <c r="K62" i="102"/>
  <c r="K60" i="102"/>
  <c r="N46" i="122" l="1"/>
  <c r="O46" i="122" s="1"/>
  <c r="C57" i="122" s="1"/>
  <c r="O37" i="122"/>
  <c r="C48" i="122" s="1"/>
  <c r="O36" i="122"/>
  <c r="C47" i="122" s="1"/>
  <c r="K27" i="122"/>
  <c r="N23" i="122"/>
  <c r="N27" i="122" s="1"/>
  <c r="O23" i="122"/>
  <c r="J27" i="122"/>
  <c r="K67" i="102"/>
  <c r="C434" i="5" s="1"/>
  <c r="J434" i="5" s="1"/>
  <c r="F25" i="45"/>
  <c r="F24" i="45"/>
  <c r="F26" i="45" s="1"/>
  <c r="D22" i="1" s="1"/>
  <c r="N57" i="122" l="1"/>
  <c r="J57" i="122"/>
  <c r="J48" i="122"/>
  <c r="N48" i="122"/>
  <c r="N47" i="122"/>
  <c r="J47" i="122"/>
  <c r="C34" i="122"/>
  <c r="K34" i="122" s="1"/>
  <c r="O27" i="122"/>
  <c r="C43" i="121"/>
  <c r="E18" i="23"/>
  <c r="C506" i="5"/>
  <c r="C503" i="5"/>
  <c r="O48" i="122" l="1"/>
  <c r="C59" i="122" s="1"/>
  <c r="N59" i="122" s="1"/>
  <c r="C38" i="122"/>
  <c r="J34" i="122"/>
  <c r="O47" i="122"/>
  <c r="C58" i="122" s="1"/>
  <c r="O57" i="122"/>
  <c r="C68" i="122" s="1"/>
  <c r="C187" i="5"/>
  <c r="E435" i="5"/>
  <c r="K23" i="120"/>
  <c r="I23" i="120"/>
  <c r="J59" i="122" l="1"/>
  <c r="O59" i="122" s="1"/>
  <c r="C70" i="122" s="1"/>
  <c r="K38" i="122"/>
  <c r="N34" i="122"/>
  <c r="N38" i="122" s="1"/>
  <c r="N68" i="122"/>
  <c r="J68" i="122"/>
  <c r="O34" i="122"/>
  <c r="J38" i="122"/>
  <c r="N58" i="122"/>
  <c r="J58" i="122"/>
  <c r="D195" i="101"/>
  <c r="C352" i="102" a="1"/>
  <c r="C352" i="102" s="1"/>
  <c r="C378" i="5"/>
  <c r="J70" i="122" l="1"/>
  <c r="N70" i="122"/>
  <c r="O38" i="122"/>
  <c r="C45" i="122"/>
  <c r="O68" i="122"/>
  <c r="O58" i="122"/>
  <c r="C69" i="122" s="1"/>
  <c r="K69" i="122" s="1"/>
  <c r="D80" i="101"/>
  <c r="D17" i="107"/>
  <c r="J189" i="101"/>
  <c r="H189" i="101"/>
  <c r="F189" i="101"/>
  <c r="D189" i="101"/>
  <c r="K186" i="101"/>
  <c r="D188" i="101"/>
  <c r="K87" i="101"/>
  <c r="I385" i="102"/>
  <c r="I356" i="102" a="1"/>
  <c r="I356" i="102" s="1"/>
  <c r="D70" i="101"/>
  <c r="C50" i="86"/>
  <c r="F52" i="86"/>
  <c r="D54" i="86"/>
  <c r="O70" i="122" l="1"/>
  <c r="N69" i="122"/>
  <c r="J69" i="122"/>
  <c r="C49" i="122"/>
  <c r="J45" i="122"/>
  <c r="M71" i="71"/>
  <c r="L71" i="71"/>
  <c r="I71" i="71"/>
  <c r="H71" i="71"/>
  <c r="G71" i="71"/>
  <c r="F71" i="71"/>
  <c r="F82" i="121"/>
  <c r="G81" i="121"/>
  <c r="E81" i="121"/>
  <c r="E82" i="121" s="1"/>
  <c r="D81" i="121"/>
  <c r="G79" i="121"/>
  <c r="D79" i="121"/>
  <c r="D82" i="121" s="1"/>
  <c r="E69" i="121"/>
  <c r="P53" i="121"/>
  <c r="K46" i="121"/>
  <c r="C44" i="121"/>
  <c r="C41" i="121"/>
  <c r="L23" i="121"/>
  <c r="N23" i="121" s="1"/>
  <c r="G22" i="121"/>
  <c r="K4" i="121"/>
  <c r="J8" i="121" s="1"/>
  <c r="C51" i="112"/>
  <c r="L11" i="32"/>
  <c r="M11" i="32"/>
  <c r="C351" i="102" a="1"/>
  <c r="C351" i="102" s="1"/>
  <c r="K351" i="102" s="1"/>
  <c r="C385" i="102"/>
  <c r="C356" i="102" a="1"/>
  <c r="C356" i="102" s="1"/>
  <c r="M381" i="5"/>
  <c r="O69" i="122" l="1"/>
  <c r="K49" i="122"/>
  <c r="N45" i="122"/>
  <c r="N49" i="122" s="1"/>
  <c r="J49" i="122"/>
  <c r="G82" i="121"/>
  <c r="K5" i="121"/>
  <c r="L24" i="121"/>
  <c r="L25" i="121" s="1"/>
  <c r="E71" i="71"/>
  <c r="L26" i="121"/>
  <c r="N24" i="121"/>
  <c r="L27" i="121"/>
  <c r="K188" i="101"/>
  <c r="O45" i="122" l="1"/>
  <c r="O49" i="122" s="1"/>
  <c r="M25" i="121"/>
  <c r="M26" i="121"/>
  <c r="N26" i="121" s="1"/>
  <c r="F65" i="46"/>
  <c r="E65" i="46"/>
  <c r="E20" i="46"/>
  <c r="H38" i="46"/>
  <c r="H33" i="46"/>
  <c r="H25" i="46"/>
  <c r="H39" i="46" s="1"/>
  <c r="O47" i="2"/>
  <c r="C208" i="5"/>
  <c r="C175" i="101" a="1"/>
  <c r="C175" i="101" s="1"/>
  <c r="C109" i="101" a="1"/>
  <c r="C109" i="101" s="1"/>
  <c r="C160" i="101" a="1"/>
  <c r="C160" i="101" s="1"/>
  <c r="C9" i="101"/>
  <c r="C103" i="102" a="1"/>
  <c r="C103" i="102" s="1"/>
  <c r="C56" i="122" l="1"/>
  <c r="J56" i="122" s="1"/>
  <c r="C60" i="122"/>
  <c r="M27" i="121"/>
  <c r="N25" i="121"/>
  <c r="N27" i="121" s="1"/>
  <c r="J10" i="101"/>
  <c r="K60" i="122" l="1"/>
  <c r="N56" i="122"/>
  <c r="N60" i="122" s="1"/>
  <c r="J60" i="122"/>
  <c r="C4" i="40"/>
  <c r="G4" i="40" s="1"/>
  <c r="C195" i="101" a="1"/>
  <c r="C195" i="101" s="1"/>
  <c r="C70" i="101" a="1"/>
  <c r="C70" i="101" s="1"/>
  <c r="C350" i="102" a="1"/>
  <c r="C350" i="102" s="1"/>
  <c r="K350" i="102" s="1"/>
  <c r="C349" i="102" a="1"/>
  <c r="C349" i="102" s="1"/>
  <c r="K349" i="102" s="1"/>
  <c r="C52" i="102" a="1"/>
  <c r="C52" i="102" s="1"/>
  <c r="K52" i="102" s="1"/>
  <c r="C33" i="102"/>
  <c r="J176" i="115"/>
  <c r="J175" i="115"/>
  <c r="J174" i="115"/>
  <c r="J173" i="115"/>
  <c r="J172" i="115"/>
  <c r="J171" i="115"/>
  <c r="J170" i="115"/>
  <c r="J169" i="115"/>
  <c r="J168" i="115"/>
  <c r="J167" i="115"/>
  <c r="J166" i="115"/>
  <c r="J165" i="115"/>
  <c r="J164" i="115"/>
  <c r="J163" i="115"/>
  <c r="J162" i="115"/>
  <c r="J161" i="115"/>
  <c r="J160" i="115"/>
  <c r="J159" i="115"/>
  <c r="J158" i="115"/>
  <c r="J157" i="115"/>
  <c r="J156" i="115"/>
  <c r="J155" i="115"/>
  <c r="J154" i="115"/>
  <c r="J153" i="115"/>
  <c r="J152" i="115"/>
  <c r="J151" i="115"/>
  <c r="J150" i="115"/>
  <c r="J149" i="115"/>
  <c r="J148" i="115"/>
  <c r="J147" i="115"/>
  <c r="J146" i="115"/>
  <c r="J145" i="115"/>
  <c r="J144" i="115"/>
  <c r="J143" i="115"/>
  <c r="J142" i="115"/>
  <c r="J141" i="115"/>
  <c r="J140" i="115"/>
  <c r="J139" i="115"/>
  <c r="J138" i="115"/>
  <c r="J137" i="115"/>
  <c r="J136" i="115"/>
  <c r="J135" i="115"/>
  <c r="J134" i="115"/>
  <c r="J133" i="115"/>
  <c r="J132" i="115"/>
  <c r="J131" i="115"/>
  <c r="J130" i="115"/>
  <c r="J129" i="115"/>
  <c r="J128" i="115"/>
  <c r="J127" i="115"/>
  <c r="J126" i="115"/>
  <c r="J125" i="115"/>
  <c r="J124" i="115"/>
  <c r="J123" i="115"/>
  <c r="J122" i="115"/>
  <c r="J121" i="115"/>
  <c r="J120" i="115"/>
  <c r="J119" i="115"/>
  <c r="J118" i="115"/>
  <c r="J117" i="115"/>
  <c r="J116" i="115"/>
  <c r="J115" i="115"/>
  <c r="J114" i="115"/>
  <c r="J113" i="115"/>
  <c r="J112" i="115"/>
  <c r="J111" i="115"/>
  <c r="J110" i="115"/>
  <c r="J109" i="115"/>
  <c r="J108" i="115"/>
  <c r="J107" i="115"/>
  <c r="J106" i="115"/>
  <c r="J105" i="115"/>
  <c r="J104" i="115"/>
  <c r="J103" i="115"/>
  <c r="J102" i="115"/>
  <c r="J101" i="115"/>
  <c r="J100" i="115"/>
  <c r="J99" i="115"/>
  <c r="J98" i="115"/>
  <c r="J97" i="115"/>
  <c r="J96" i="115"/>
  <c r="J95" i="115"/>
  <c r="J94" i="115"/>
  <c r="J93" i="115"/>
  <c r="J92" i="115"/>
  <c r="J91" i="115"/>
  <c r="J90" i="115"/>
  <c r="J89" i="115"/>
  <c r="J88" i="115"/>
  <c r="J87" i="115"/>
  <c r="J86" i="115"/>
  <c r="J85" i="115"/>
  <c r="J84" i="115"/>
  <c r="J83" i="115"/>
  <c r="J82" i="115"/>
  <c r="J81" i="115"/>
  <c r="J80" i="115"/>
  <c r="J79" i="115"/>
  <c r="J78" i="115"/>
  <c r="J77" i="115"/>
  <c r="J76" i="115"/>
  <c r="J75" i="115"/>
  <c r="J74" i="115"/>
  <c r="J73" i="115"/>
  <c r="J72" i="115"/>
  <c r="J71" i="115"/>
  <c r="J70" i="115"/>
  <c r="J69" i="115"/>
  <c r="J68" i="115"/>
  <c r="J67" i="115"/>
  <c r="J66" i="115"/>
  <c r="J65" i="115"/>
  <c r="J64" i="115"/>
  <c r="J63" i="115"/>
  <c r="J62" i="115"/>
  <c r="J61" i="115"/>
  <c r="J60" i="115"/>
  <c r="J59" i="115"/>
  <c r="J58" i="115"/>
  <c r="J57" i="115"/>
  <c r="J56" i="115"/>
  <c r="J55" i="115"/>
  <c r="J54" i="115"/>
  <c r="J53" i="115"/>
  <c r="J52" i="115"/>
  <c r="J51" i="115"/>
  <c r="J50" i="115"/>
  <c r="J49" i="115"/>
  <c r="J48" i="115"/>
  <c r="J47" i="115"/>
  <c r="J46" i="115"/>
  <c r="J45" i="115"/>
  <c r="J44" i="115"/>
  <c r="J43" i="115"/>
  <c r="J42" i="115"/>
  <c r="J41" i="115"/>
  <c r="J40" i="115"/>
  <c r="J39" i="115"/>
  <c r="J38" i="115"/>
  <c r="J37" i="115"/>
  <c r="J36" i="115"/>
  <c r="J35" i="115"/>
  <c r="J34" i="115"/>
  <c r="J33" i="115"/>
  <c r="J32" i="115"/>
  <c r="J31" i="115"/>
  <c r="J30" i="115"/>
  <c r="J29" i="115"/>
  <c r="J28" i="115"/>
  <c r="J27" i="115"/>
  <c r="J26" i="115"/>
  <c r="J25" i="115"/>
  <c r="J24" i="115"/>
  <c r="J23" i="115"/>
  <c r="J22" i="115"/>
  <c r="J21" i="115"/>
  <c r="J20" i="115"/>
  <c r="J19" i="115"/>
  <c r="J18" i="115"/>
  <c r="J17" i="115"/>
  <c r="J16" i="115"/>
  <c r="J15" i="115"/>
  <c r="J14" i="115"/>
  <c r="J13" i="115"/>
  <c r="J12" i="115"/>
  <c r="J11" i="115"/>
  <c r="J10" i="115"/>
  <c r="J9" i="115"/>
  <c r="J8" i="115"/>
  <c r="J7" i="115"/>
  <c r="O56" i="122" l="1"/>
  <c r="C10" i="101"/>
  <c r="C13" i="101"/>
  <c r="I164" i="101"/>
  <c r="J124" i="102"/>
  <c r="H124" i="102"/>
  <c r="F124" i="102"/>
  <c r="D124" i="102"/>
  <c r="C108" i="102"/>
  <c r="G6" i="45"/>
  <c r="F6" i="45"/>
  <c r="F8" i="24"/>
  <c r="G8" i="24"/>
  <c r="D13" i="23"/>
  <c r="E13" i="23"/>
  <c r="O3" i="101"/>
  <c r="R2" i="101"/>
  <c r="P2" i="101"/>
  <c r="N2" i="101"/>
  <c r="Q1" i="101"/>
  <c r="A3" i="10"/>
  <c r="O60" i="122" l="1"/>
  <c r="C67" i="122"/>
  <c r="D25" i="101"/>
  <c r="K108" i="102"/>
  <c r="M3" i="101"/>
  <c r="C71" i="122" l="1"/>
  <c r="J67" i="122"/>
  <c r="C218" i="5"/>
  <c r="C192" i="5"/>
  <c r="N234" i="5"/>
  <c r="N45" i="120"/>
  <c r="N46" i="120"/>
  <c r="N55" i="120"/>
  <c r="N53" i="120"/>
  <c r="N51" i="120"/>
  <c r="N58" i="120" s="1"/>
  <c r="N19" i="120"/>
  <c r="O18" i="120" s="1"/>
  <c r="N17" i="120"/>
  <c r="N15" i="120"/>
  <c r="N13" i="120"/>
  <c r="G46" i="120"/>
  <c r="M76" i="120"/>
  <c r="L76" i="120"/>
  <c r="K76" i="120"/>
  <c r="J76" i="120"/>
  <c r="I76" i="120"/>
  <c r="H76" i="120"/>
  <c r="G76" i="120"/>
  <c r="F76" i="120"/>
  <c r="E76" i="120"/>
  <c r="D76" i="120"/>
  <c r="C76" i="120"/>
  <c r="B76" i="120"/>
  <c r="M64" i="120"/>
  <c r="L64" i="120"/>
  <c r="H64" i="120"/>
  <c r="G64" i="120"/>
  <c r="B64" i="120"/>
  <c r="K58" i="120"/>
  <c r="K94" i="120" s="1"/>
  <c r="J58" i="120"/>
  <c r="H58" i="120"/>
  <c r="B95" i="120" s="1"/>
  <c r="F58" i="120"/>
  <c r="E58" i="120"/>
  <c r="D58" i="120"/>
  <c r="C58" i="120"/>
  <c r="B58" i="120"/>
  <c r="L55" i="120"/>
  <c r="G55" i="120"/>
  <c r="L53" i="120"/>
  <c r="G53" i="120"/>
  <c r="I58" i="120"/>
  <c r="C481" i="5" s="1"/>
  <c r="G51" i="120"/>
  <c r="M46" i="120"/>
  <c r="L46" i="120"/>
  <c r="H46" i="120"/>
  <c r="B46" i="120"/>
  <c r="M42" i="120"/>
  <c r="L42" i="120"/>
  <c r="K42" i="120"/>
  <c r="J42" i="120"/>
  <c r="I42" i="120"/>
  <c r="H42" i="120"/>
  <c r="G42" i="120"/>
  <c r="F42" i="120"/>
  <c r="E42" i="120"/>
  <c r="D42" i="120"/>
  <c r="C42" i="120"/>
  <c r="B42" i="120"/>
  <c r="J23" i="120"/>
  <c r="H23" i="120"/>
  <c r="E23" i="120"/>
  <c r="D23" i="120"/>
  <c r="C23" i="120"/>
  <c r="B23" i="120"/>
  <c r="B94" i="120" s="1"/>
  <c r="L19" i="120"/>
  <c r="G19" i="120"/>
  <c r="M19" i="120" s="1"/>
  <c r="L17" i="120"/>
  <c r="G17" i="120"/>
  <c r="L15" i="120"/>
  <c r="G15" i="120"/>
  <c r="L13" i="120"/>
  <c r="F23" i="120"/>
  <c r="N25" i="120" s="1"/>
  <c r="A3" i="120"/>
  <c r="A1" i="120"/>
  <c r="K71" i="122" l="1"/>
  <c r="N67" i="122"/>
  <c r="N71" i="122" s="1"/>
  <c r="J71" i="122"/>
  <c r="G58" i="120"/>
  <c r="M55" i="120"/>
  <c r="N23" i="120"/>
  <c r="L95" i="120"/>
  <c r="J94" i="120"/>
  <c r="B96" i="120"/>
  <c r="B98" i="120" s="1"/>
  <c r="M15" i="120"/>
  <c r="M17" i="120"/>
  <c r="M53" i="120"/>
  <c r="L23" i="120"/>
  <c r="I95" i="120"/>
  <c r="L51" i="120"/>
  <c r="L58" i="120" s="1"/>
  <c r="G13" i="120"/>
  <c r="G23" i="120" s="1"/>
  <c r="O67" i="122" l="1"/>
  <c r="O71" i="122" s="1"/>
  <c r="M51" i="120"/>
  <c r="M58" i="120" s="1"/>
  <c r="D10" i="2" s="1"/>
  <c r="M13" i="120"/>
  <c r="M23" i="120" s="1"/>
  <c r="D9" i="2" s="1"/>
  <c r="R9" i="2" l="1"/>
  <c r="C14" i="121"/>
  <c r="O25" i="120"/>
  <c r="M92" i="120"/>
  <c r="B188" i="5" l="1"/>
  <c r="I148" i="101" a="1"/>
  <c r="I148" i="101" s="1"/>
  <c r="G148" i="101" a="1"/>
  <c r="G148" i="101" s="1"/>
  <c r="E148" i="101" a="1"/>
  <c r="E148" i="101" s="1"/>
  <c r="C148" i="101" a="1"/>
  <c r="C148" i="101" s="1"/>
  <c r="I147" i="101" a="1"/>
  <c r="I147" i="101" s="1"/>
  <c r="G147" i="101" a="1"/>
  <c r="G147" i="101" s="1"/>
  <c r="E147" i="101" a="1"/>
  <c r="E147" i="101" s="1"/>
  <c r="C147" i="101" a="1"/>
  <c r="C147" i="101" s="1"/>
  <c r="K147" i="101" l="1"/>
  <c r="K148" i="101"/>
  <c r="C48" i="101" l="1" a="1"/>
  <c r="C48" i="101" s="1"/>
  <c r="K388" i="102"/>
  <c r="F28" i="10"/>
  <c r="E28" i="10"/>
  <c r="G26" i="10"/>
  <c r="K25" i="10"/>
  <c r="G25" i="10"/>
  <c r="G24" i="10"/>
  <c r="G23" i="10"/>
  <c r="M21" i="10"/>
  <c r="M20" i="10"/>
  <c r="L18" i="10"/>
  <c r="I199" i="101" a="1"/>
  <c r="I199" i="101" s="1"/>
  <c r="G199" i="101" a="1"/>
  <c r="G199" i="101" s="1"/>
  <c r="E199" i="101" a="1"/>
  <c r="E199" i="101" s="1"/>
  <c r="I198" i="101" a="1"/>
  <c r="I198" i="101" s="1"/>
  <c r="G198" i="101" a="1"/>
  <c r="G198" i="101" s="1"/>
  <c r="E198" i="101" a="1"/>
  <c r="E198" i="101" s="1"/>
  <c r="I197" i="101" a="1"/>
  <c r="I197" i="101" s="1"/>
  <c r="G197" i="101" a="1"/>
  <c r="G197" i="101" s="1"/>
  <c r="E197" i="101" a="1"/>
  <c r="E197" i="101" s="1"/>
  <c r="I196" i="101" a="1"/>
  <c r="I196" i="101" s="1"/>
  <c r="G196" i="101" a="1"/>
  <c r="G196" i="101" s="1"/>
  <c r="E196" i="101" a="1"/>
  <c r="E196" i="101" s="1"/>
  <c r="I195" i="101" a="1"/>
  <c r="I195" i="101" s="1"/>
  <c r="G195" i="101" a="1"/>
  <c r="G195" i="101" s="1"/>
  <c r="E195" i="101" a="1"/>
  <c r="E195" i="101" s="1"/>
  <c r="I191" i="101" a="1"/>
  <c r="I191" i="101" s="1"/>
  <c r="I193" i="101" s="1"/>
  <c r="G191" i="101" a="1"/>
  <c r="G191" i="101" s="1"/>
  <c r="G193" i="101" s="1"/>
  <c r="E191" i="101" a="1"/>
  <c r="E191" i="101" s="1"/>
  <c r="E193" i="101" s="1"/>
  <c r="I187" i="101" a="1"/>
  <c r="I187" i="101" s="1"/>
  <c r="I189" i="101" s="1"/>
  <c r="G187" i="101" a="1"/>
  <c r="G187" i="101" s="1"/>
  <c r="G189" i="101" s="1"/>
  <c r="E187" i="101" a="1"/>
  <c r="E187" i="101" s="1"/>
  <c r="E189" i="101" s="1"/>
  <c r="I183" i="101" a="1"/>
  <c r="I183" i="101" s="1"/>
  <c r="I185" i="101" s="1"/>
  <c r="G183" i="101" a="1"/>
  <c r="G183" i="101" s="1"/>
  <c r="G185" i="101" s="1"/>
  <c r="E183" i="101" a="1"/>
  <c r="E183" i="101" s="1"/>
  <c r="E185" i="101" s="1"/>
  <c r="I175" i="101" a="1"/>
  <c r="I175" i="101" s="1"/>
  <c r="I177" i="101" s="1"/>
  <c r="G175" i="101" a="1"/>
  <c r="G175" i="101" s="1"/>
  <c r="G177" i="101" s="1"/>
  <c r="E175" i="101" a="1"/>
  <c r="E175" i="101" s="1"/>
  <c r="E177" i="101" s="1"/>
  <c r="I172" i="101" a="1"/>
  <c r="I172" i="101" s="1"/>
  <c r="G172" i="101" a="1"/>
  <c r="G172" i="101" s="1"/>
  <c r="E172" i="101" a="1"/>
  <c r="E172" i="101" s="1"/>
  <c r="I171" i="101" a="1"/>
  <c r="I171" i="101" s="1"/>
  <c r="G171" i="101" a="1"/>
  <c r="G171" i="101" s="1"/>
  <c r="E171" i="101" a="1"/>
  <c r="E171" i="101" s="1"/>
  <c r="I170" i="101" a="1"/>
  <c r="I170" i="101" s="1"/>
  <c r="G170" i="101" a="1"/>
  <c r="G170" i="101" s="1"/>
  <c r="E170" i="101" a="1"/>
  <c r="E170" i="101" s="1"/>
  <c r="I169" i="101" a="1"/>
  <c r="I169" i="101" s="1"/>
  <c r="G169" i="101" a="1"/>
  <c r="G169" i="101" s="1"/>
  <c r="E169" i="101" a="1"/>
  <c r="E169" i="101" s="1"/>
  <c r="I165" i="101" a="1"/>
  <c r="I165" i="101" s="1"/>
  <c r="G165" i="101" a="1"/>
  <c r="G165" i="101" s="1"/>
  <c r="E165" i="101" a="1"/>
  <c r="E165" i="101" s="1"/>
  <c r="G164" i="101" a="1"/>
  <c r="G164" i="101" s="1"/>
  <c r="E164" i="101" a="1"/>
  <c r="E164" i="101" s="1"/>
  <c r="I163" i="101" a="1"/>
  <c r="I163" i="101" s="1"/>
  <c r="E163" i="101" a="1"/>
  <c r="E163" i="101" s="1"/>
  <c r="I162" i="101" a="1"/>
  <c r="I162" i="101" s="1"/>
  <c r="G162" i="101" a="1"/>
  <c r="G162" i="101" s="1"/>
  <c r="E162" i="101" a="1"/>
  <c r="E162" i="101" s="1"/>
  <c r="I161" i="101" a="1"/>
  <c r="I161" i="101" s="1"/>
  <c r="G161" i="101" a="1"/>
  <c r="G161" i="101" s="1"/>
  <c r="I160" i="101" a="1"/>
  <c r="I160" i="101" s="1"/>
  <c r="G160" i="101" a="1"/>
  <c r="G160" i="101" s="1"/>
  <c r="E160" i="101" a="1"/>
  <c r="E160" i="101" s="1"/>
  <c r="I152" i="101" a="1"/>
  <c r="I152" i="101" s="1"/>
  <c r="I153" i="101" s="1"/>
  <c r="G152" i="101" a="1"/>
  <c r="G152" i="101" s="1"/>
  <c r="G153" i="101" s="1"/>
  <c r="E152" i="101" a="1"/>
  <c r="E152" i="101" s="1"/>
  <c r="E153" i="101" s="1"/>
  <c r="I146" i="101" a="1"/>
  <c r="I146" i="101" s="1"/>
  <c r="G146" i="101" a="1"/>
  <c r="G146" i="101" s="1"/>
  <c r="E146" i="101" a="1"/>
  <c r="E146" i="101" s="1"/>
  <c r="I145" i="101" a="1"/>
  <c r="I145" i="101" s="1"/>
  <c r="G145" i="101" a="1"/>
  <c r="G145" i="101" s="1"/>
  <c r="E145" i="101" a="1"/>
  <c r="E145" i="101" s="1"/>
  <c r="I144" i="101" a="1"/>
  <c r="I144" i="101" s="1"/>
  <c r="G144" i="101" a="1"/>
  <c r="G144" i="101" s="1"/>
  <c r="E144" i="101" a="1"/>
  <c r="E144" i="101" s="1"/>
  <c r="I143" i="101" a="1"/>
  <c r="I143" i="101" s="1"/>
  <c r="G143" i="101" a="1"/>
  <c r="G143" i="101" s="1"/>
  <c r="E143" i="101" a="1"/>
  <c r="E143" i="101" s="1"/>
  <c r="I142" i="101" a="1"/>
  <c r="I142" i="101" s="1"/>
  <c r="G142" i="101" a="1"/>
  <c r="G142" i="101" s="1"/>
  <c r="E142" i="101" a="1"/>
  <c r="E142" i="101" s="1"/>
  <c r="I141" i="101" a="1"/>
  <c r="I141" i="101" s="1"/>
  <c r="G141" i="101" a="1"/>
  <c r="G141" i="101" s="1"/>
  <c r="E141" i="101" a="1"/>
  <c r="E141" i="101" s="1"/>
  <c r="I140" i="101" a="1"/>
  <c r="I140" i="101" s="1"/>
  <c r="G140" i="101" a="1"/>
  <c r="G140" i="101" s="1"/>
  <c r="E140" i="101" a="1"/>
  <c r="E140" i="101" s="1"/>
  <c r="I139" i="101" a="1"/>
  <c r="I139" i="101" s="1"/>
  <c r="G139" i="101" a="1"/>
  <c r="G139" i="101" s="1"/>
  <c r="E139" i="101" a="1"/>
  <c r="E139" i="101" s="1"/>
  <c r="I136" i="101" a="1"/>
  <c r="I136" i="101" s="1"/>
  <c r="I137" i="101" s="1"/>
  <c r="G136" i="101" a="1"/>
  <c r="G136" i="101" s="1"/>
  <c r="G137" i="101" s="1"/>
  <c r="E136" i="101" a="1"/>
  <c r="E136" i="101" s="1"/>
  <c r="E137" i="101" s="1"/>
  <c r="I131" i="101" a="1"/>
  <c r="I131" i="101" s="1"/>
  <c r="I133" i="101" s="1"/>
  <c r="G131" i="101" a="1"/>
  <c r="G131" i="101" s="1"/>
  <c r="G133" i="101" s="1"/>
  <c r="E131" i="101" a="1"/>
  <c r="E131" i="101" s="1"/>
  <c r="E133" i="101" s="1"/>
  <c r="I126" i="101" a="1"/>
  <c r="I126" i="101" s="1"/>
  <c r="I128" i="101" s="1"/>
  <c r="G126" i="101" a="1"/>
  <c r="G126" i="101" s="1"/>
  <c r="G128" i="101" s="1"/>
  <c r="E126" i="101" a="1"/>
  <c r="E126" i="101" s="1"/>
  <c r="E128" i="101" s="1"/>
  <c r="I122" i="101" a="1"/>
  <c r="I122" i="101" s="1"/>
  <c r="I124" i="101" s="1"/>
  <c r="G122" i="101" a="1"/>
  <c r="G122" i="101" s="1"/>
  <c r="G124" i="101" s="1"/>
  <c r="E122" i="101" a="1"/>
  <c r="E122" i="101" s="1"/>
  <c r="E124" i="101" s="1"/>
  <c r="I118" i="101" a="1"/>
  <c r="I118" i="101" s="1"/>
  <c r="I120" i="101" s="1"/>
  <c r="G118" i="101" a="1"/>
  <c r="G118" i="101" s="1"/>
  <c r="G120" i="101" s="1"/>
  <c r="E118" i="101" a="1"/>
  <c r="E118" i="101" s="1"/>
  <c r="E120" i="101" s="1"/>
  <c r="F115" i="101"/>
  <c r="H115" i="101"/>
  <c r="F120" i="101"/>
  <c r="H120" i="101"/>
  <c r="F124" i="101"/>
  <c r="H124" i="101"/>
  <c r="F128" i="101"/>
  <c r="H128" i="101"/>
  <c r="F133" i="101"/>
  <c r="H133" i="101"/>
  <c r="F137" i="101"/>
  <c r="H137" i="101"/>
  <c r="F149" i="101"/>
  <c r="H149" i="101"/>
  <c r="F153" i="101"/>
  <c r="H153" i="101"/>
  <c r="F166" i="101"/>
  <c r="H166" i="101"/>
  <c r="F173" i="101"/>
  <c r="H173" i="101"/>
  <c r="F177" i="101"/>
  <c r="H177" i="101"/>
  <c r="E181" i="101"/>
  <c r="F181" i="101"/>
  <c r="G181" i="101"/>
  <c r="H181" i="101"/>
  <c r="I181" i="101"/>
  <c r="F185" i="101"/>
  <c r="H185" i="101"/>
  <c r="F193" i="101"/>
  <c r="H193" i="101"/>
  <c r="K151" i="101"/>
  <c r="K135" i="101"/>
  <c r="I113" i="101" a="1"/>
  <c r="I113" i="101" s="1"/>
  <c r="I115" i="101" s="1"/>
  <c r="G113" i="101" a="1"/>
  <c r="G113" i="101" s="1"/>
  <c r="G115" i="101" s="1"/>
  <c r="E113" i="101" a="1"/>
  <c r="E113" i="101" s="1"/>
  <c r="E115" i="101" s="1"/>
  <c r="I109" i="101" a="1"/>
  <c r="I109" i="101" s="1"/>
  <c r="I111" i="101" s="1"/>
  <c r="G109" i="101" a="1"/>
  <c r="G109" i="101" s="1"/>
  <c r="G111" i="101" s="1"/>
  <c r="E109" i="101" a="1"/>
  <c r="E109" i="101" s="1"/>
  <c r="E111" i="101" s="1"/>
  <c r="H111" i="101"/>
  <c r="F111" i="101"/>
  <c r="C111" i="101"/>
  <c r="I97" i="101" a="1"/>
  <c r="I97" i="101" s="1"/>
  <c r="I99" i="101" s="1"/>
  <c r="G97" i="101" a="1"/>
  <c r="G97" i="101" s="1"/>
  <c r="G99" i="101" s="1"/>
  <c r="E97" i="101" a="1"/>
  <c r="E97" i="101" s="1"/>
  <c r="E99" i="101" s="1"/>
  <c r="I92" i="101" a="1"/>
  <c r="I92" i="101" s="1"/>
  <c r="G92" i="101" a="1"/>
  <c r="G92" i="101" s="1"/>
  <c r="E92" i="101" a="1"/>
  <c r="E92" i="101" s="1"/>
  <c r="I91" i="101" a="1"/>
  <c r="I91" i="101" s="1"/>
  <c r="G91" i="101" a="1"/>
  <c r="G91" i="101" s="1"/>
  <c r="E91" i="101" a="1"/>
  <c r="E91" i="101" s="1"/>
  <c r="I86" i="101" a="1"/>
  <c r="I86" i="101" s="1"/>
  <c r="G86" i="101" a="1"/>
  <c r="G86" i="101" s="1"/>
  <c r="E86" i="101" a="1"/>
  <c r="E86" i="101" s="1"/>
  <c r="I85" i="101" a="1"/>
  <c r="I85" i="101" s="1"/>
  <c r="G85" i="101" a="1"/>
  <c r="G85" i="101" s="1"/>
  <c r="E85" i="101" a="1"/>
  <c r="E85" i="101" s="1"/>
  <c r="I77" i="101" a="1"/>
  <c r="I77" i="101" s="1"/>
  <c r="G77" i="101" a="1"/>
  <c r="G77" i="101" s="1"/>
  <c r="E77" i="101" a="1"/>
  <c r="E77" i="101" s="1"/>
  <c r="I76" i="101" a="1"/>
  <c r="I76" i="101" s="1"/>
  <c r="G76" i="101" a="1"/>
  <c r="G76" i="101" s="1"/>
  <c r="E76" i="101" a="1"/>
  <c r="E76" i="101" s="1"/>
  <c r="I75" i="101" a="1"/>
  <c r="I75" i="101" s="1"/>
  <c r="G75" i="101" a="1"/>
  <c r="G75" i="101" s="1"/>
  <c r="E75" i="101" a="1"/>
  <c r="E75" i="101" s="1"/>
  <c r="I74" i="101" a="1"/>
  <c r="I74" i="101" s="1"/>
  <c r="G74" i="101" a="1"/>
  <c r="G74" i="101" s="1"/>
  <c r="E74" i="101" a="1"/>
  <c r="E74" i="101" s="1"/>
  <c r="I73" i="101" a="1"/>
  <c r="I73" i="101" s="1"/>
  <c r="G73" i="101" a="1"/>
  <c r="G73" i="101" s="1"/>
  <c r="E73" i="101" a="1"/>
  <c r="E73" i="101" s="1"/>
  <c r="I72" i="101" a="1"/>
  <c r="I72" i="101" s="1"/>
  <c r="G72" i="101" a="1"/>
  <c r="G72" i="101" s="1"/>
  <c r="E72" i="101" a="1"/>
  <c r="E72" i="101" s="1"/>
  <c r="I71" i="101" a="1"/>
  <c r="I71" i="101" s="1"/>
  <c r="G71" i="101" a="1"/>
  <c r="G71" i="101" s="1"/>
  <c r="E71" i="101" a="1"/>
  <c r="E71" i="101" s="1"/>
  <c r="I70" i="101" a="1"/>
  <c r="I70" i="101" s="1"/>
  <c r="G70" i="101" a="1"/>
  <c r="G70" i="101" s="1"/>
  <c r="E70" i="101" a="1"/>
  <c r="E70" i="101" s="1"/>
  <c r="I64" i="101" a="1"/>
  <c r="I64" i="101" s="1"/>
  <c r="I67" i="101" s="1"/>
  <c r="G64" i="101" a="1"/>
  <c r="G64" i="101" s="1"/>
  <c r="G67" i="101" s="1"/>
  <c r="E64" i="101" a="1"/>
  <c r="E64" i="101" s="1"/>
  <c r="E67" i="101" s="1"/>
  <c r="I53" i="101" a="1"/>
  <c r="I53" i="101" s="1"/>
  <c r="I55" i="101" s="1"/>
  <c r="G53" i="101" a="1"/>
  <c r="G53" i="101" s="1"/>
  <c r="G55" i="101" s="1"/>
  <c r="E53" i="101" a="1"/>
  <c r="E53" i="101" s="1"/>
  <c r="E55" i="101" s="1"/>
  <c r="I48" i="101" a="1"/>
  <c r="I48" i="101" s="1"/>
  <c r="G48" i="101" a="1"/>
  <c r="G48" i="101" s="1"/>
  <c r="E48" i="101" a="1"/>
  <c r="E48" i="101" s="1"/>
  <c r="I47" i="101" a="1"/>
  <c r="I47" i="101" s="1"/>
  <c r="G47" i="101" a="1"/>
  <c r="G47" i="101" s="1"/>
  <c r="E47" i="101" a="1"/>
  <c r="E47" i="101" s="1"/>
  <c r="I40" i="101" a="1"/>
  <c r="I40" i="101" s="1"/>
  <c r="I42" i="101" s="1"/>
  <c r="G40" i="101" a="1"/>
  <c r="G40" i="101" s="1"/>
  <c r="G42" i="101" s="1"/>
  <c r="E40" i="101" a="1"/>
  <c r="E40" i="101" s="1"/>
  <c r="E42" i="101" s="1"/>
  <c r="I36" i="101" a="1"/>
  <c r="I36" i="101" s="1"/>
  <c r="I38" i="101" s="1"/>
  <c r="G36" i="101" a="1"/>
  <c r="G36" i="101" s="1"/>
  <c r="G38" i="101" s="1"/>
  <c r="E36" i="101" a="1"/>
  <c r="E36" i="101" s="1"/>
  <c r="E38" i="101" s="1"/>
  <c r="I30" i="101" a="1"/>
  <c r="I30" i="101" s="1"/>
  <c r="I32" i="101" s="1"/>
  <c r="G30" i="101" a="1"/>
  <c r="G30" i="101" s="1"/>
  <c r="G32" i="101" s="1"/>
  <c r="E30" i="101" a="1"/>
  <c r="E30" i="101" s="1"/>
  <c r="E32" i="101" s="1"/>
  <c r="I25" i="101" a="1"/>
  <c r="I25" i="101" s="1"/>
  <c r="I27" i="101" s="1"/>
  <c r="G25" i="101" a="1"/>
  <c r="G25" i="101" s="1"/>
  <c r="G27" i="101" s="1"/>
  <c r="E25" i="101" a="1"/>
  <c r="E25" i="101" s="1"/>
  <c r="E27" i="101" s="1"/>
  <c r="I20" i="101" a="1"/>
  <c r="I20" i="101" s="1"/>
  <c r="I21" i="101" s="1"/>
  <c r="G20" i="101" a="1"/>
  <c r="G20" i="101" s="1"/>
  <c r="G21" i="101" s="1"/>
  <c r="E20" i="101" a="1"/>
  <c r="E20" i="101" s="1"/>
  <c r="E21" i="101" s="1"/>
  <c r="C199" i="101" a="1"/>
  <c r="C199" i="101" s="1"/>
  <c r="C198" i="101" a="1"/>
  <c r="C198" i="101" s="1"/>
  <c r="C197" i="101" a="1"/>
  <c r="C197" i="101" s="1"/>
  <c r="C196" i="101" a="1"/>
  <c r="C196" i="101" s="1"/>
  <c r="C191" i="101" a="1"/>
  <c r="C191" i="101" s="1"/>
  <c r="C187" i="101" a="1"/>
  <c r="C187" i="101" s="1"/>
  <c r="C189" i="101" s="1"/>
  <c r="C183" i="101" a="1"/>
  <c r="C183" i="101" s="1"/>
  <c r="C172" i="101" a="1"/>
  <c r="C172" i="101" s="1"/>
  <c r="C171" i="101" a="1"/>
  <c r="C171" i="101" s="1"/>
  <c r="C170" i="101" a="1"/>
  <c r="C170" i="101" s="1"/>
  <c r="C169" i="101" a="1"/>
  <c r="C169" i="101" s="1"/>
  <c r="C165" i="101" a="1"/>
  <c r="C165" i="101" s="1"/>
  <c r="C164" i="101" a="1"/>
  <c r="C164" i="101" s="1"/>
  <c r="G163" i="101" s="1"/>
  <c r="C162" i="101" a="1"/>
  <c r="C162" i="101" s="1"/>
  <c r="E161" i="101" s="1"/>
  <c r="C161" i="101" a="1"/>
  <c r="C161" i="101" s="1"/>
  <c r="C152" i="101" a="1"/>
  <c r="C152" i="101" s="1"/>
  <c r="D152" i="101" s="1"/>
  <c r="C146" i="101" a="1"/>
  <c r="C146" i="101" s="1"/>
  <c r="C145" i="101" a="1"/>
  <c r="C145" i="101" s="1"/>
  <c r="C144" i="101" a="1"/>
  <c r="C144" i="101" s="1"/>
  <c r="C143" i="101" a="1"/>
  <c r="C143" i="101" s="1"/>
  <c r="C142" i="101" a="1"/>
  <c r="C142" i="101" s="1"/>
  <c r="C141" i="101" a="1"/>
  <c r="C141" i="101" s="1"/>
  <c r="C140" i="101" a="1"/>
  <c r="C140" i="101" s="1"/>
  <c r="C139" i="101" a="1"/>
  <c r="C139" i="101" s="1"/>
  <c r="C136" i="101" a="1"/>
  <c r="C136" i="101" s="1"/>
  <c r="C137" i="101" s="1"/>
  <c r="C131" i="101" a="1"/>
  <c r="C131" i="101" s="1"/>
  <c r="C133" i="101" s="1"/>
  <c r="C126" i="101" a="1"/>
  <c r="C126" i="101" s="1"/>
  <c r="C122" i="101" a="1"/>
  <c r="C122" i="101" s="1"/>
  <c r="C124" i="101" s="1"/>
  <c r="C118" i="101" a="1"/>
  <c r="C118" i="101" s="1"/>
  <c r="C120" i="101" s="1"/>
  <c r="C113" i="101" a="1"/>
  <c r="C113" i="101" s="1"/>
  <c r="C115" i="101" s="1"/>
  <c r="C97" i="101" a="1"/>
  <c r="C97" i="101" s="1"/>
  <c r="C92" i="101" a="1"/>
  <c r="C92" i="101" s="1"/>
  <c r="C91" i="101" a="1"/>
  <c r="C91" i="101" s="1"/>
  <c r="C86" i="101" a="1"/>
  <c r="C86" i="101" s="1"/>
  <c r="C85" i="101" a="1"/>
  <c r="C85" i="101" s="1"/>
  <c r="C77" i="101" a="1"/>
  <c r="C77" i="101" s="1"/>
  <c r="C76" i="101" a="1"/>
  <c r="C76" i="101" s="1"/>
  <c r="C75" i="101" a="1"/>
  <c r="C75" i="101" s="1"/>
  <c r="C74" i="101" a="1"/>
  <c r="C74" i="101" s="1"/>
  <c r="C73" i="101" a="1"/>
  <c r="C73" i="101" s="1"/>
  <c r="C72" i="101" a="1"/>
  <c r="C72" i="101" s="1"/>
  <c r="C71" i="101" a="1"/>
  <c r="C71" i="101" s="1"/>
  <c r="C64" i="101" a="1"/>
  <c r="C64" i="101" s="1"/>
  <c r="C67" i="101" s="1"/>
  <c r="C53" i="101" a="1"/>
  <c r="C53" i="101" s="1"/>
  <c r="C55" i="101" s="1"/>
  <c r="C47" i="101" a="1"/>
  <c r="C47" i="101" s="1"/>
  <c r="C40" i="101" a="1"/>
  <c r="C40" i="101" s="1"/>
  <c r="C42" i="101" s="1"/>
  <c r="C36" i="101" a="1"/>
  <c r="C36" i="101" s="1"/>
  <c r="C30" i="101" a="1"/>
  <c r="C30" i="101" s="1"/>
  <c r="C32" i="101" s="1"/>
  <c r="C25" i="101" a="1"/>
  <c r="C25" i="101" s="1"/>
  <c r="C20" i="101" a="1"/>
  <c r="C20" i="101" s="1"/>
  <c r="C21" i="101" s="1"/>
  <c r="I121" i="102" a="1"/>
  <c r="I121" i="102" s="1"/>
  <c r="G121" i="102" a="1"/>
  <c r="G121" i="102" s="1"/>
  <c r="E121" i="102" a="1"/>
  <c r="E121" i="102" s="1"/>
  <c r="C121" i="102" a="1"/>
  <c r="C121" i="102" s="1"/>
  <c r="I130" i="102" a="1"/>
  <c r="I130" i="102" s="1"/>
  <c r="G130" i="102" a="1"/>
  <c r="G130" i="102" s="1"/>
  <c r="E130" i="102" a="1"/>
  <c r="E130" i="102" s="1"/>
  <c r="C130" i="102" a="1"/>
  <c r="C130" i="102" s="1"/>
  <c r="C34" i="102" a="1"/>
  <c r="C34" i="102" s="1"/>
  <c r="J26" i="102"/>
  <c r="H26" i="102"/>
  <c r="F26" i="102"/>
  <c r="I55" i="102" a="1"/>
  <c r="I55" i="102" s="1"/>
  <c r="G55" i="102" a="1"/>
  <c r="G55" i="102" s="1"/>
  <c r="E55" i="102" a="1"/>
  <c r="E55" i="102" s="1"/>
  <c r="C55" i="102" a="1"/>
  <c r="C55" i="102" s="1"/>
  <c r="I56" i="102" a="1"/>
  <c r="I56" i="102" s="1"/>
  <c r="G56" i="102" a="1"/>
  <c r="G56" i="102" s="1"/>
  <c r="E56" i="102" a="1"/>
  <c r="E56" i="102" s="1"/>
  <c r="C56" i="102" a="1"/>
  <c r="C56" i="102" s="1"/>
  <c r="I23" i="102" a="1"/>
  <c r="I23" i="102" s="1"/>
  <c r="G23" i="102" a="1"/>
  <c r="G23" i="102" s="1"/>
  <c r="E23" i="102" a="1"/>
  <c r="E23" i="102" s="1"/>
  <c r="C23" i="102" a="1"/>
  <c r="C23" i="102" s="1"/>
  <c r="C389" i="102"/>
  <c r="AX347" i="102"/>
  <c r="I347" i="102" a="1"/>
  <c r="I347" i="102" s="1"/>
  <c r="G347" i="102" a="1"/>
  <c r="G347" i="102" s="1"/>
  <c r="E347" i="102" a="1"/>
  <c r="E347" i="102" s="1"/>
  <c r="C347" i="102" a="1"/>
  <c r="C347" i="102" s="1"/>
  <c r="AX346" i="102"/>
  <c r="I346" i="102" a="1"/>
  <c r="I346" i="102" s="1"/>
  <c r="G346" i="102" a="1"/>
  <c r="G346" i="102" s="1"/>
  <c r="E346" i="102" a="1"/>
  <c r="E346" i="102" s="1"/>
  <c r="C346" i="102" a="1"/>
  <c r="C346" i="102" s="1"/>
  <c r="C231" i="102" a="1"/>
  <c r="C231" i="102" s="1"/>
  <c r="E231" i="102" a="1"/>
  <c r="E231" i="102" s="1"/>
  <c r="G231" i="102" a="1"/>
  <c r="G231" i="102" s="1"/>
  <c r="I231" i="102" a="1"/>
  <c r="I231" i="102" s="1"/>
  <c r="I361" i="102" a="1"/>
  <c r="I361" i="102" s="1"/>
  <c r="I363" i="102" s="1"/>
  <c r="G361" i="102" a="1"/>
  <c r="G361" i="102" s="1"/>
  <c r="G363" i="102" s="1"/>
  <c r="I358" i="102"/>
  <c r="G356" i="102" a="1"/>
  <c r="G356" i="102" s="1"/>
  <c r="G358" i="102" s="1"/>
  <c r="I348" i="102" a="1"/>
  <c r="I348" i="102" s="1"/>
  <c r="G348" i="102" a="1"/>
  <c r="G348" i="102" s="1"/>
  <c r="I345" i="102" a="1"/>
  <c r="I345" i="102" s="1"/>
  <c r="G345" i="102" a="1"/>
  <c r="G345" i="102" s="1"/>
  <c r="I344" i="102" a="1"/>
  <c r="I344" i="102" s="1"/>
  <c r="G344" i="102" a="1"/>
  <c r="G344" i="102" s="1"/>
  <c r="I343" i="102" a="1"/>
  <c r="I343" i="102" s="1"/>
  <c r="G343" i="102" a="1"/>
  <c r="G343" i="102" s="1"/>
  <c r="I342" i="102" a="1"/>
  <c r="I342" i="102" s="1"/>
  <c r="G342" i="102" a="1"/>
  <c r="G342" i="102" s="1"/>
  <c r="I341" i="102" a="1"/>
  <c r="I341" i="102" s="1"/>
  <c r="G341" i="102" a="1"/>
  <c r="G341" i="102" s="1"/>
  <c r="I340" i="102" a="1"/>
  <c r="I340" i="102" s="1"/>
  <c r="G340" i="102" a="1"/>
  <c r="G340" i="102" s="1"/>
  <c r="I339" i="102" a="1"/>
  <c r="I339" i="102" s="1"/>
  <c r="G339" i="102" a="1"/>
  <c r="G339" i="102" s="1"/>
  <c r="I338" i="102" a="1"/>
  <c r="I338" i="102" s="1"/>
  <c r="G338" i="102" a="1"/>
  <c r="G338" i="102" s="1"/>
  <c r="I337" i="102" a="1"/>
  <c r="I337" i="102" s="1"/>
  <c r="G337" i="102" a="1"/>
  <c r="G337" i="102" s="1"/>
  <c r="I336" i="102" a="1"/>
  <c r="I336" i="102" s="1"/>
  <c r="G336" i="102" a="1"/>
  <c r="G336" i="102" s="1"/>
  <c r="I335" i="102" a="1"/>
  <c r="I335" i="102" s="1"/>
  <c r="G335" i="102" a="1"/>
  <c r="G335" i="102" s="1"/>
  <c r="I334" i="102" a="1"/>
  <c r="I334" i="102" s="1"/>
  <c r="G334" i="102" a="1"/>
  <c r="G334" i="102" s="1"/>
  <c r="I333" i="102" a="1"/>
  <c r="I333" i="102" s="1"/>
  <c r="G333" i="102" a="1"/>
  <c r="G333" i="102" s="1"/>
  <c r="I332" i="102" a="1"/>
  <c r="I332" i="102" s="1"/>
  <c r="G332" i="102" a="1"/>
  <c r="G332" i="102" s="1"/>
  <c r="I331" i="102" a="1"/>
  <c r="I331" i="102" s="1"/>
  <c r="G331" i="102" a="1"/>
  <c r="G331" i="102" s="1"/>
  <c r="I330" i="102" a="1"/>
  <c r="I330" i="102" s="1"/>
  <c r="G330" i="102" a="1"/>
  <c r="G330" i="102" s="1"/>
  <c r="I329" i="102" a="1"/>
  <c r="I329" i="102" s="1"/>
  <c r="G329" i="102" a="1"/>
  <c r="G329" i="102" s="1"/>
  <c r="I328" i="102" a="1"/>
  <c r="I328" i="102" s="1"/>
  <c r="G328" i="102" a="1"/>
  <c r="G328" i="102" s="1"/>
  <c r="I327" i="102" a="1"/>
  <c r="I327" i="102" s="1"/>
  <c r="G327" i="102" a="1"/>
  <c r="G327" i="102" s="1"/>
  <c r="I326" i="102" a="1"/>
  <c r="I326" i="102" s="1"/>
  <c r="G326" i="102" a="1"/>
  <c r="G326" i="102" s="1"/>
  <c r="I325" i="102" a="1"/>
  <c r="I325" i="102" s="1"/>
  <c r="G325" i="102" a="1"/>
  <c r="G325" i="102" s="1"/>
  <c r="I324" i="102" a="1"/>
  <c r="I324" i="102" s="1"/>
  <c r="G324" i="102" a="1"/>
  <c r="G324" i="102" s="1"/>
  <c r="I323" i="102" a="1"/>
  <c r="I323" i="102" s="1"/>
  <c r="G323" i="102" a="1"/>
  <c r="G323" i="102" s="1"/>
  <c r="I322" i="102" a="1"/>
  <c r="I322" i="102" s="1"/>
  <c r="G322" i="102" a="1"/>
  <c r="G322" i="102" s="1"/>
  <c r="I321" i="102" a="1"/>
  <c r="I321" i="102" s="1"/>
  <c r="G321" i="102" a="1"/>
  <c r="G321" i="102" s="1"/>
  <c r="I320" i="102" a="1"/>
  <c r="I320" i="102" s="1"/>
  <c r="G320" i="102" a="1"/>
  <c r="G320" i="102" s="1"/>
  <c r="I319" i="102" a="1"/>
  <c r="I319" i="102" s="1"/>
  <c r="G319" i="102" a="1"/>
  <c r="G319" i="102" s="1"/>
  <c r="I315" i="102" a="1"/>
  <c r="I315" i="102" s="1"/>
  <c r="G315" i="102" a="1"/>
  <c r="G315" i="102" s="1"/>
  <c r="I314" i="102" a="1"/>
  <c r="I314" i="102" s="1"/>
  <c r="G314" i="102" a="1"/>
  <c r="G314" i="102" s="1"/>
  <c r="I313" i="102" a="1"/>
  <c r="I313" i="102" s="1"/>
  <c r="G313" i="102" a="1"/>
  <c r="G313" i="102" s="1"/>
  <c r="I312" i="102" a="1"/>
  <c r="I312" i="102" s="1"/>
  <c r="G312" i="102" a="1"/>
  <c r="G312" i="102" s="1"/>
  <c r="I311" i="102" a="1"/>
  <c r="I311" i="102" s="1"/>
  <c r="G311" i="102" a="1"/>
  <c r="G311" i="102" s="1"/>
  <c r="I310" i="102" a="1"/>
  <c r="I310" i="102" s="1"/>
  <c r="G310" i="102" a="1"/>
  <c r="G310" i="102" s="1"/>
  <c r="I309" i="102" a="1"/>
  <c r="I309" i="102" s="1"/>
  <c r="G309" i="102" a="1"/>
  <c r="G309" i="102" s="1"/>
  <c r="I305" i="102" a="1"/>
  <c r="I305" i="102" s="1"/>
  <c r="I307" i="102" s="1"/>
  <c r="G305" i="102" a="1"/>
  <c r="G305" i="102" s="1"/>
  <c r="G307" i="102" s="1"/>
  <c r="I301" i="102" a="1"/>
  <c r="I301" i="102" s="1"/>
  <c r="I303" i="102" s="1"/>
  <c r="G301" i="102" a="1"/>
  <c r="G301" i="102" s="1"/>
  <c r="G303" i="102" s="1"/>
  <c r="I298" i="102" a="1"/>
  <c r="I298" i="102" s="1"/>
  <c r="G298" i="102" a="1"/>
  <c r="G298" i="102" s="1"/>
  <c r="I297" i="102" a="1"/>
  <c r="I297" i="102" s="1"/>
  <c r="G297" i="102" a="1"/>
  <c r="G297" i="102" s="1"/>
  <c r="I296" i="102" a="1"/>
  <c r="I296" i="102" s="1"/>
  <c r="G296" i="102" a="1"/>
  <c r="G296" i="102" s="1"/>
  <c r="I292" i="102" a="1"/>
  <c r="I292" i="102" s="1"/>
  <c r="I294" i="102" s="1"/>
  <c r="G292" i="102" a="1"/>
  <c r="G292" i="102" s="1"/>
  <c r="G294" i="102" s="1"/>
  <c r="I289" i="102" a="1"/>
  <c r="I289" i="102" s="1"/>
  <c r="G289" i="102" a="1"/>
  <c r="G289" i="102" s="1"/>
  <c r="I288" i="102" a="1"/>
  <c r="I288" i="102" s="1"/>
  <c r="G288" i="102" a="1"/>
  <c r="G288" i="102" s="1"/>
  <c r="I287" i="102" a="1"/>
  <c r="I287" i="102" s="1"/>
  <c r="G287" i="102" a="1"/>
  <c r="G287" i="102" s="1"/>
  <c r="I286" i="102" a="1"/>
  <c r="I286" i="102" s="1"/>
  <c r="G286" i="102" a="1"/>
  <c r="G286" i="102" s="1"/>
  <c r="I285" i="102" a="1"/>
  <c r="I285" i="102" s="1"/>
  <c r="G285" i="102" a="1"/>
  <c r="G285" i="102" s="1"/>
  <c r="I281" i="102" a="1"/>
  <c r="I281" i="102" s="1"/>
  <c r="I283" i="102" s="1"/>
  <c r="G281" i="102" a="1"/>
  <c r="G281" i="102" s="1"/>
  <c r="G283" i="102" s="1"/>
  <c r="I277" i="102" a="1"/>
  <c r="I277" i="102" s="1"/>
  <c r="G277" i="102" a="1"/>
  <c r="G277" i="102" s="1"/>
  <c r="I276" i="102" a="1"/>
  <c r="I276" i="102" s="1"/>
  <c r="G276" i="102" a="1"/>
  <c r="G276" i="102" s="1"/>
  <c r="I271" i="102" a="1"/>
  <c r="I271" i="102" s="1"/>
  <c r="I274" i="102" s="1"/>
  <c r="G271" i="102" a="1"/>
  <c r="G271" i="102" s="1"/>
  <c r="G274" i="102" s="1"/>
  <c r="I267" i="102" a="1"/>
  <c r="I267" i="102" s="1"/>
  <c r="I269" i="102" s="1"/>
  <c r="G267" i="102" a="1"/>
  <c r="G267" i="102" s="1"/>
  <c r="G269" i="102" s="1"/>
  <c r="I262" i="102" a="1"/>
  <c r="I262" i="102" s="1"/>
  <c r="I264" i="102" s="1"/>
  <c r="G262" i="102" a="1"/>
  <c r="G262" i="102" s="1"/>
  <c r="G264" i="102" s="1"/>
  <c r="I254" i="102" a="1"/>
  <c r="I254" i="102" s="1"/>
  <c r="I256" i="102" s="1"/>
  <c r="G254" i="102" a="1"/>
  <c r="G254" i="102" s="1"/>
  <c r="G256" i="102" s="1"/>
  <c r="I250" i="102" a="1"/>
  <c r="I250" i="102" s="1"/>
  <c r="G250" i="102" a="1"/>
  <c r="G250" i="102" s="1"/>
  <c r="I249" i="102" a="1"/>
  <c r="I249" i="102" s="1"/>
  <c r="G249" i="102" a="1"/>
  <c r="G249" i="102" s="1"/>
  <c r="I248" i="102" a="1"/>
  <c r="I248" i="102" s="1"/>
  <c r="G248" i="102" a="1"/>
  <c r="G248" i="102" s="1"/>
  <c r="I247" i="102" a="1"/>
  <c r="I247" i="102" s="1"/>
  <c r="G247" i="102" a="1"/>
  <c r="G247" i="102" s="1"/>
  <c r="I243" i="102" a="1"/>
  <c r="I243" i="102" s="1"/>
  <c r="G243" i="102" a="1"/>
  <c r="G243" i="102" s="1"/>
  <c r="I242" i="102" a="1"/>
  <c r="I242" i="102" s="1"/>
  <c r="G242" i="102" a="1"/>
  <c r="G242" i="102" s="1"/>
  <c r="I241" i="102" a="1"/>
  <c r="I241" i="102" s="1"/>
  <c r="G241" i="102" a="1"/>
  <c r="G241" i="102" s="1"/>
  <c r="I240" i="102" a="1"/>
  <c r="I240" i="102" s="1"/>
  <c r="G240" i="102" a="1"/>
  <c r="G240" i="102" s="1"/>
  <c r="I235" i="102" a="1"/>
  <c r="I235" i="102" s="1"/>
  <c r="I237" i="102" s="1"/>
  <c r="G235" i="102" a="1"/>
  <c r="G235" i="102" s="1"/>
  <c r="G237" i="102" s="1"/>
  <c r="I232" i="102" a="1"/>
  <c r="I232" i="102" s="1"/>
  <c r="G232" i="102" a="1"/>
  <c r="G232" i="102" s="1"/>
  <c r="I230" i="102" a="1"/>
  <c r="I230" i="102" s="1"/>
  <c r="G230" i="102" a="1"/>
  <c r="G230" i="102" s="1"/>
  <c r="I229" i="102" a="1"/>
  <c r="I229" i="102" s="1"/>
  <c r="G229" i="102" a="1"/>
  <c r="G229" i="102" s="1"/>
  <c r="I228" i="102" a="1"/>
  <c r="I228" i="102" s="1"/>
  <c r="G228" i="102" a="1"/>
  <c r="G228" i="102" s="1"/>
  <c r="I223" i="102" a="1"/>
  <c r="I223" i="102" s="1"/>
  <c r="I225" i="102" s="1"/>
  <c r="G223" i="102" a="1"/>
  <c r="G223" i="102" s="1"/>
  <c r="G225" i="102" s="1"/>
  <c r="I219" i="102" a="1"/>
  <c r="I219" i="102" s="1"/>
  <c r="I221" i="102" s="1"/>
  <c r="G219" i="102" a="1"/>
  <c r="G219" i="102" s="1"/>
  <c r="G221" i="102" s="1"/>
  <c r="I214" i="102" a="1"/>
  <c r="I214" i="102" s="1"/>
  <c r="G214" i="102" a="1"/>
  <c r="G214" i="102" s="1"/>
  <c r="I213" i="102" a="1"/>
  <c r="I213" i="102" s="1"/>
  <c r="G213" i="102" a="1"/>
  <c r="G213" i="102" s="1"/>
  <c r="I208" i="102" a="1"/>
  <c r="I208" i="102" s="1"/>
  <c r="G208" i="102" a="1"/>
  <c r="G208" i="102" s="1"/>
  <c r="I207" i="102" a="1"/>
  <c r="I207" i="102" s="1"/>
  <c r="G207" i="102" a="1"/>
  <c r="G207" i="102" s="1"/>
  <c r="I202" i="102" a="1"/>
  <c r="I202" i="102" s="1"/>
  <c r="I204" i="102" s="1"/>
  <c r="G202" i="102" a="1"/>
  <c r="G202" i="102" s="1"/>
  <c r="G204" i="102" s="1"/>
  <c r="I197" i="102" a="1"/>
  <c r="I197" i="102" s="1"/>
  <c r="I199" i="102" s="1"/>
  <c r="G197" i="102" a="1"/>
  <c r="G197" i="102" s="1"/>
  <c r="G199" i="102" s="1"/>
  <c r="I193" i="102" a="1"/>
  <c r="I193" i="102" s="1"/>
  <c r="I195" i="102" s="1"/>
  <c r="G193" i="102" a="1"/>
  <c r="G193" i="102" s="1"/>
  <c r="G195" i="102" s="1"/>
  <c r="I189" i="102" a="1"/>
  <c r="I189" i="102" s="1"/>
  <c r="G189" i="102" a="1"/>
  <c r="G189" i="102" s="1"/>
  <c r="I188" i="102" a="1"/>
  <c r="I188" i="102" s="1"/>
  <c r="G188" i="102" a="1"/>
  <c r="G188" i="102" s="1"/>
  <c r="I184" i="102" a="1"/>
  <c r="I184" i="102" s="1"/>
  <c r="G184" i="102" a="1"/>
  <c r="G184" i="102" s="1"/>
  <c r="I183" i="102" a="1"/>
  <c r="I183" i="102" s="1"/>
  <c r="G183" i="102" a="1"/>
  <c r="G183" i="102" s="1"/>
  <c r="I177" i="102" a="1"/>
  <c r="I177" i="102" s="1"/>
  <c r="G177" i="102" a="1"/>
  <c r="G177" i="102" s="1"/>
  <c r="I176" i="102" a="1"/>
  <c r="I176" i="102" s="1"/>
  <c r="G176" i="102" a="1"/>
  <c r="G176" i="102" s="1"/>
  <c r="I175" i="102" a="1"/>
  <c r="I175" i="102" s="1"/>
  <c r="G175" i="102" a="1"/>
  <c r="G175" i="102" s="1"/>
  <c r="I174" i="102" a="1"/>
  <c r="I174" i="102" s="1"/>
  <c r="G174" i="102" a="1"/>
  <c r="G174" i="102" s="1"/>
  <c r="I173" i="102" a="1"/>
  <c r="I173" i="102" s="1"/>
  <c r="G173" i="102" a="1"/>
  <c r="G173" i="102" s="1"/>
  <c r="I172" i="102" a="1"/>
  <c r="I172" i="102" s="1"/>
  <c r="G172" i="102" a="1"/>
  <c r="G172" i="102" s="1"/>
  <c r="I167" i="102" a="1"/>
  <c r="I167" i="102" s="1"/>
  <c r="I169" i="102" s="1"/>
  <c r="G167" i="102" a="1"/>
  <c r="G167" i="102" s="1"/>
  <c r="G169" i="102" s="1"/>
  <c r="I162" i="102" a="1"/>
  <c r="I162" i="102" s="1"/>
  <c r="I164" i="102" s="1"/>
  <c r="G162" i="102" a="1"/>
  <c r="G162" i="102" s="1"/>
  <c r="G164" i="102" s="1"/>
  <c r="I158" i="102" a="1"/>
  <c r="I158" i="102" s="1"/>
  <c r="G158" i="102" a="1"/>
  <c r="G158" i="102" s="1"/>
  <c r="I157" i="102" a="1"/>
  <c r="I157" i="102" s="1"/>
  <c r="G157" i="102" a="1"/>
  <c r="G157" i="102" s="1"/>
  <c r="I151" i="102" a="1"/>
  <c r="I151" i="102" s="1"/>
  <c r="G151" i="102" a="1"/>
  <c r="G151" i="102" s="1"/>
  <c r="I150" i="102" a="1"/>
  <c r="I150" i="102" s="1"/>
  <c r="G150" i="102" a="1"/>
  <c r="G150" i="102" s="1"/>
  <c r="I149" i="102" a="1"/>
  <c r="I149" i="102" s="1"/>
  <c r="G149" i="102" a="1"/>
  <c r="G149" i="102" s="1"/>
  <c r="I142" i="102" a="1"/>
  <c r="I142" i="102" s="1"/>
  <c r="G142" i="102" a="1"/>
  <c r="G142" i="102" s="1"/>
  <c r="I141" i="102" a="1"/>
  <c r="I141" i="102" s="1"/>
  <c r="G141" i="102" a="1"/>
  <c r="G141" i="102" s="1"/>
  <c r="I131" i="102" a="1"/>
  <c r="I131" i="102" s="1"/>
  <c r="G131" i="102" a="1"/>
  <c r="G131" i="102" s="1"/>
  <c r="I129" i="102" a="1"/>
  <c r="I129" i="102" s="1"/>
  <c r="G129" i="102" a="1"/>
  <c r="G129" i="102" s="1"/>
  <c r="I128" i="102" a="1"/>
  <c r="I128" i="102" s="1"/>
  <c r="G128" i="102" a="1"/>
  <c r="G128" i="102" s="1"/>
  <c r="I127" i="102" a="1"/>
  <c r="I127" i="102" s="1"/>
  <c r="G127" i="102" a="1"/>
  <c r="G127" i="102" s="1"/>
  <c r="I123" i="102" a="1"/>
  <c r="I123" i="102" s="1"/>
  <c r="G123" i="102" a="1"/>
  <c r="G123" i="102" s="1"/>
  <c r="I122" i="102" a="1"/>
  <c r="I122" i="102" s="1"/>
  <c r="G122" i="102" a="1"/>
  <c r="G122" i="102" s="1"/>
  <c r="I120" i="102" a="1"/>
  <c r="I120" i="102" s="1"/>
  <c r="G120" i="102" a="1"/>
  <c r="G120" i="102" s="1"/>
  <c r="I119" i="102" a="1"/>
  <c r="I119" i="102" s="1"/>
  <c r="G119" i="102" a="1"/>
  <c r="G119" i="102" s="1"/>
  <c r="I118" i="102" a="1"/>
  <c r="I118" i="102" s="1"/>
  <c r="G118" i="102" a="1"/>
  <c r="G118" i="102" s="1"/>
  <c r="I117" i="102" a="1"/>
  <c r="I117" i="102" s="1"/>
  <c r="G117" i="102" a="1"/>
  <c r="G117" i="102" s="1"/>
  <c r="I116" i="102" a="1"/>
  <c r="I116" i="102" s="1"/>
  <c r="G116" i="102" a="1"/>
  <c r="G116" i="102" s="1"/>
  <c r="I115" i="102" a="1"/>
  <c r="I115" i="102" s="1"/>
  <c r="G115" i="102" a="1"/>
  <c r="G115" i="102" s="1"/>
  <c r="I114" i="102" a="1"/>
  <c r="I114" i="102" s="1"/>
  <c r="G114" i="102" a="1"/>
  <c r="G114" i="102" s="1"/>
  <c r="I113" i="102" a="1"/>
  <c r="I113" i="102" s="1"/>
  <c r="G113" i="102" a="1"/>
  <c r="G113" i="102" s="1"/>
  <c r="I112" i="102" a="1"/>
  <c r="I112" i="102" s="1"/>
  <c r="G112" i="102" a="1"/>
  <c r="G112" i="102" s="1"/>
  <c r="I111" i="102" a="1"/>
  <c r="I111" i="102" s="1"/>
  <c r="G111" i="102" a="1"/>
  <c r="G111" i="102" s="1"/>
  <c r="I110" i="102" a="1"/>
  <c r="I110" i="102" s="1"/>
  <c r="G110" i="102" a="1"/>
  <c r="G110" i="102" s="1"/>
  <c r="I109" i="102" a="1"/>
  <c r="I109" i="102" s="1"/>
  <c r="G109" i="102" a="1"/>
  <c r="G109" i="102" s="1"/>
  <c r="I103" i="102" a="1"/>
  <c r="I103" i="102" s="1"/>
  <c r="I104" i="102" s="1"/>
  <c r="G103" i="102" a="1"/>
  <c r="G103" i="102" s="1"/>
  <c r="I95" i="102" a="1"/>
  <c r="I95" i="102" s="1"/>
  <c r="G95" i="102" a="1"/>
  <c r="G95" i="102" s="1"/>
  <c r="I94" i="102" a="1"/>
  <c r="I94" i="102" s="1"/>
  <c r="G94" i="102" a="1"/>
  <c r="G94" i="102" s="1"/>
  <c r="I93" i="102" a="1"/>
  <c r="I93" i="102" s="1"/>
  <c r="G93" i="102" a="1"/>
  <c r="G93" i="102" s="1"/>
  <c r="I92" i="102" a="1"/>
  <c r="I92" i="102" s="1"/>
  <c r="G92" i="102" a="1"/>
  <c r="G92" i="102" s="1"/>
  <c r="I91" i="102" a="1"/>
  <c r="I91" i="102" s="1"/>
  <c r="G91" i="102" a="1"/>
  <c r="G91" i="102" s="1"/>
  <c r="I90" i="102" a="1"/>
  <c r="I90" i="102" s="1"/>
  <c r="G90" i="102" a="1"/>
  <c r="G90" i="102" s="1"/>
  <c r="I88" i="102" a="1"/>
  <c r="I88" i="102" s="1"/>
  <c r="G88" i="102" a="1"/>
  <c r="G88" i="102" s="1"/>
  <c r="I87" i="102" a="1"/>
  <c r="I87" i="102" s="1"/>
  <c r="G87" i="102" a="1"/>
  <c r="G87" i="102" s="1"/>
  <c r="I86" i="102" a="1"/>
  <c r="I86" i="102" s="1"/>
  <c r="G86" i="102" a="1"/>
  <c r="G86" i="102" s="1"/>
  <c r="I85" i="102" a="1"/>
  <c r="I85" i="102" s="1"/>
  <c r="G85" i="102" a="1"/>
  <c r="G85" i="102" s="1"/>
  <c r="I84" i="102" a="1"/>
  <c r="I84" i="102" s="1"/>
  <c r="G84" i="102" a="1"/>
  <c r="G84" i="102" s="1"/>
  <c r="I83" i="102" a="1"/>
  <c r="I83" i="102" s="1"/>
  <c r="G83" i="102" a="1"/>
  <c r="G83" i="102" s="1"/>
  <c r="I82" i="102" a="1"/>
  <c r="I82" i="102" s="1"/>
  <c r="G82" i="102" a="1"/>
  <c r="G82" i="102" s="1"/>
  <c r="I81" i="102" a="1"/>
  <c r="I81" i="102" s="1"/>
  <c r="G81" i="102" a="1"/>
  <c r="G81" i="102" s="1"/>
  <c r="I80" i="102" a="1"/>
  <c r="I80" i="102" s="1"/>
  <c r="G80" i="102" a="1"/>
  <c r="G80" i="102" s="1"/>
  <c r="I79" i="102" a="1"/>
  <c r="I79" i="102" s="1"/>
  <c r="G79" i="102" a="1"/>
  <c r="G79" i="102" s="1"/>
  <c r="I78" i="102" a="1"/>
  <c r="I78" i="102" s="1"/>
  <c r="G78" i="102" a="1"/>
  <c r="G78" i="102" s="1"/>
  <c r="I77" i="102" a="1"/>
  <c r="I77" i="102" s="1"/>
  <c r="G77" i="102" a="1"/>
  <c r="G77" i="102" s="1"/>
  <c r="I76" i="102" a="1"/>
  <c r="I76" i="102" s="1"/>
  <c r="G76" i="102" a="1"/>
  <c r="G76" i="102" s="1"/>
  <c r="I75" i="102" a="1"/>
  <c r="I75" i="102" s="1"/>
  <c r="G75" i="102" a="1"/>
  <c r="G75" i="102" s="1"/>
  <c r="I70" i="102" a="1"/>
  <c r="I70" i="102" s="1"/>
  <c r="I72" i="102" s="1"/>
  <c r="G70" i="102" a="1"/>
  <c r="G70" i="102" s="1"/>
  <c r="G72" i="102" s="1"/>
  <c r="I57" i="102" a="1"/>
  <c r="I57" i="102" s="1"/>
  <c r="G57" i="102" a="1"/>
  <c r="G57" i="102" s="1"/>
  <c r="I54" i="102" a="1"/>
  <c r="I54" i="102" s="1"/>
  <c r="G54" i="102" a="1"/>
  <c r="G54" i="102" s="1"/>
  <c r="I53" i="102" a="1"/>
  <c r="I53" i="102" s="1"/>
  <c r="G53" i="102" a="1"/>
  <c r="G53" i="102" s="1"/>
  <c r="I51" i="102" a="1"/>
  <c r="I51" i="102" s="1"/>
  <c r="G51" i="102" a="1"/>
  <c r="G51" i="102" s="1"/>
  <c r="I50" i="102" a="1"/>
  <c r="I50" i="102" s="1"/>
  <c r="G50" i="102" a="1"/>
  <c r="G50" i="102" s="1"/>
  <c r="I49" i="102" a="1"/>
  <c r="I49" i="102" s="1"/>
  <c r="G49" i="102" a="1"/>
  <c r="G49" i="102" s="1"/>
  <c r="I48" i="102" a="1"/>
  <c r="I48" i="102" s="1"/>
  <c r="G48" i="102" a="1"/>
  <c r="G48" i="102" s="1"/>
  <c r="I47" i="102" a="1"/>
  <c r="I47" i="102" s="1"/>
  <c r="G47" i="102" a="1"/>
  <c r="G47" i="102" s="1"/>
  <c r="I46" i="102" a="1"/>
  <c r="I46" i="102" s="1"/>
  <c r="G46" i="102" a="1"/>
  <c r="G46" i="102" s="1"/>
  <c r="I45" i="102" a="1"/>
  <c r="I45" i="102" s="1"/>
  <c r="G45" i="102" a="1"/>
  <c r="G45" i="102" s="1"/>
  <c r="I44" i="102" a="1"/>
  <c r="I44" i="102" s="1"/>
  <c r="G44" i="102" a="1"/>
  <c r="G44" i="102" s="1"/>
  <c r="I43" i="102" a="1"/>
  <c r="I43" i="102" s="1"/>
  <c r="G43" i="102" a="1"/>
  <c r="G43" i="102" s="1"/>
  <c r="I39" i="102" a="1"/>
  <c r="I39" i="102" s="1"/>
  <c r="G39" i="102" a="1"/>
  <c r="G39" i="102" s="1"/>
  <c r="I38" i="102" a="1"/>
  <c r="I38" i="102" s="1"/>
  <c r="G38" i="102" a="1"/>
  <c r="G38" i="102" s="1"/>
  <c r="I34" i="102" a="1"/>
  <c r="I34" i="102" s="1"/>
  <c r="G34" i="102" a="1"/>
  <c r="G34" i="102" s="1"/>
  <c r="I33" i="102" a="1"/>
  <c r="I33" i="102" s="1"/>
  <c r="G33" i="102" a="1"/>
  <c r="G33" i="102" s="1"/>
  <c r="I29" i="102" a="1"/>
  <c r="I29" i="102" s="1"/>
  <c r="I31" i="102" s="1"/>
  <c r="G29" i="102" a="1"/>
  <c r="G29" i="102" s="1"/>
  <c r="G31" i="102" s="1"/>
  <c r="I24" i="102" a="1"/>
  <c r="I24" i="102" s="1"/>
  <c r="I26" i="102" s="1"/>
  <c r="G24" i="102" a="1"/>
  <c r="G24" i="102" s="1"/>
  <c r="G26" i="102" s="1"/>
  <c r="I18" i="102" a="1"/>
  <c r="I18" i="102" s="1"/>
  <c r="I20" i="102" s="1"/>
  <c r="G18" i="102" a="1"/>
  <c r="G18" i="102" s="1"/>
  <c r="G20" i="102" s="1"/>
  <c r="I8" i="102" a="1"/>
  <c r="I8" i="102" s="1"/>
  <c r="I10" i="102" s="1"/>
  <c r="G8" i="102" a="1"/>
  <c r="G8" i="102" s="1"/>
  <c r="G10" i="102" s="1"/>
  <c r="E361" i="102" a="1"/>
  <c r="E361" i="102" s="1"/>
  <c r="E363" i="102" s="1"/>
  <c r="E356" i="102" a="1"/>
  <c r="E356" i="102" s="1"/>
  <c r="E358" i="102" s="1"/>
  <c r="E348" i="102" a="1"/>
  <c r="E348" i="102" s="1"/>
  <c r="E345" i="102" a="1"/>
  <c r="E345" i="102" s="1"/>
  <c r="E344" i="102" a="1"/>
  <c r="E344" i="102" s="1"/>
  <c r="E343" i="102" a="1"/>
  <c r="E343" i="102" s="1"/>
  <c r="E342" i="102" a="1"/>
  <c r="E342" i="102" s="1"/>
  <c r="E341" i="102" a="1"/>
  <c r="E341" i="102" s="1"/>
  <c r="E340" i="102" a="1"/>
  <c r="E340" i="102" s="1"/>
  <c r="E339" i="102" a="1"/>
  <c r="E339" i="102" s="1"/>
  <c r="E338" i="102" a="1"/>
  <c r="E338" i="102" s="1"/>
  <c r="E337" i="102" a="1"/>
  <c r="E337" i="102" s="1"/>
  <c r="E336" i="102" a="1"/>
  <c r="E336" i="102" s="1"/>
  <c r="E335" i="102" a="1"/>
  <c r="E335" i="102" s="1"/>
  <c r="E334" i="102" a="1"/>
  <c r="E334" i="102" s="1"/>
  <c r="E333" i="102" a="1"/>
  <c r="E333" i="102" s="1"/>
  <c r="E332" i="102" a="1"/>
  <c r="E332" i="102" s="1"/>
  <c r="E331" i="102" a="1"/>
  <c r="E331" i="102" s="1"/>
  <c r="E330" i="102" a="1"/>
  <c r="E330" i="102" s="1"/>
  <c r="E329" i="102" a="1"/>
  <c r="E329" i="102" s="1"/>
  <c r="E328" i="102" a="1"/>
  <c r="E328" i="102" s="1"/>
  <c r="E327" i="102" a="1"/>
  <c r="E327" i="102" s="1"/>
  <c r="E326" i="102" a="1"/>
  <c r="E326" i="102" s="1"/>
  <c r="E325" i="102" a="1"/>
  <c r="E325" i="102" s="1"/>
  <c r="E324" i="102" a="1"/>
  <c r="E324" i="102" s="1"/>
  <c r="E323" i="102" a="1"/>
  <c r="E323" i="102" s="1"/>
  <c r="E322" i="102" a="1"/>
  <c r="E322" i="102" s="1"/>
  <c r="E321" i="102" a="1"/>
  <c r="E321" i="102" s="1"/>
  <c r="E320" i="102" a="1"/>
  <c r="E320" i="102" s="1"/>
  <c r="E319" i="102" a="1"/>
  <c r="E319" i="102" s="1"/>
  <c r="E315" i="102" a="1"/>
  <c r="E315" i="102" s="1"/>
  <c r="E314" i="102" a="1"/>
  <c r="E314" i="102" s="1"/>
  <c r="E313" i="102" a="1"/>
  <c r="E313" i="102" s="1"/>
  <c r="E312" i="102" a="1"/>
  <c r="E312" i="102" s="1"/>
  <c r="E311" i="102" a="1"/>
  <c r="E311" i="102" s="1"/>
  <c r="E310" i="102" a="1"/>
  <c r="E310" i="102" s="1"/>
  <c r="E309" i="102" a="1"/>
  <c r="E309" i="102" s="1"/>
  <c r="E305" i="102" a="1"/>
  <c r="E305" i="102" s="1"/>
  <c r="E307" i="102" s="1"/>
  <c r="E301" i="102" a="1"/>
  <c r="E301" i="102" s="1"/>
  <c r="E303" i="102" s="1"/>
  <c r="E298" i="102" a="1"/>
  <c r="E298" i="102" s="1"/>
  <c r="E297" i="102" a="1"/>
  <c r="E297" i="102" s="1"/>
  <c r="E296" i="102" a="1"/>
  <c r="E296" i="102" s="1"/>
  <c r="E292" i="102" a="1"/>
  <c r="E292" i="102" s="1"/>
  <c r="E294" i="102" s="1"/>
  <c r="E289" i="102" a="1"/>
  <c r="E289" i="102" s="1"/>
  <c r="E288" i="102" a="1"/>
  <c r="E288" i="102" s="1"/>
  <c r="E287" i="102" a="1"/>
  <c r="E287" i="102" s="1"/>
  <c r="E286" i="102" a="1"/>
  <c r="E286" i="102" s="1"/>
  <c r="E285" i="102" a="1"/>
  <c r="E285" i="102" s="1"/>
  <c r="E281" i="102" a="1"/>
  <c r="E281" i="102" s="1"/>
  <c r="E277" i="102" a="1"/>
  <c r="E277" i="102" s="1"/>
  <c r="E276" i="102" a="1"/>
  <c r="E276" i="102" s="1"/>
  <c r="E271" i="102" a="1"/>
  <c r="E271" i="102" s="1"/>
  <c r="E274" i="102" s="1"/>
  <c r="E267" i="102" a="1"/>
  <c r="E267" i="102" s="1"/>
  <c r="E269" i="102" s="1"/>
  <c r="E262" i="102" a="1"/>
  <c r="E262" i="102" s="1"/>
  <c r="E264" i="102" s="1"/>
  <c r="E254" i="102" a="1"/>
  <c r="E254" i="102" s="1"/>
  <c r="E256" i="102" s="1"/>
  <c r="E250" i="102" a="1"/>
  <c r="E250" i="102" s="1"/>
  <c r="E249" i="102" a="1"/>
  <c r="E249" i="102" s="1"/>
  <c r="E248" i="102" a="1"/>
  <c r="E248" i="102" s="1"/>
  <c r="E247" i="102" a="1"/>
  <c r="E247" i="102" s="1"/>
  <c r="E243" i="102" a="1"/>
  <c r="E243" i="102" s="1"/>
  <c r="E242" i="102" a="1"/>
  <c r="E242" i="102" s="1"/>
  <c r="E241" i="102" a="1"/>
  <c r="E241" i="102" s="1"/>
  <c r="E240" i="102" a="1"/>
  <c r="E240" i="102" s="1"/>
  <c r="E235" i="102" a="1"/>
  <c r="E235" i="102" s="1"/>
  <c r="E237" i="102" s="1"/>
  <c r="E232" i="102" a="1"/>
  <c r="E232" i="102" s="1"/>
  <c r="E230" i="102" a="1"/>
  <c r="E230" i="102" s="1"/>
  <c r="E229" i="102" a="1"/>
  <c r="E229" i="102" s="1"/>
  <c r="E228" i="102" a="1"/>
  <c r="E228" i="102" s="1"/>
  <c r="E223" i="102" a="1"/>
  <c r="E223" i="102" s="1"/>
  <c r="E225" i="102" s="1"/>
  <c r="E219" i="102" a="1"/>
  <c r="E219" i="102" s="1"/>
  <c r="E221" i="102" s="1"/>
  <c r="E214" i="102" a="1"/>
  <c r="E214" i="102" s="1"/>
  <c r="E213" i="102" a="1"/>
  <c r="E213" i="102" s="1"/>
  <c r="E208" i="102" a="1"/>
  <c r="E208" i="102" s="1"/>
  <c r="E207" i="102" a="1"/>
  <c r="E207" i="102" s="1"/>
  <c r="E202" i="102" a="1"/>
  <c r="E202" i="102" s="1"/>
  <c r="E204" i="102" s="1"/>
  <c r="E197" i="102" a="1"/>
  <c r="E197" i="102" s="1"/>
  <c r="E199" i="102" s="1"/>
  <c r="E193" i="102" a="1"/>
  <c r="E193" i="102" s="1"/>
  <c r="E195" i="102" s="1"/>
  <c r="E189" i="102" a="1"/>
  <c r="E189" i="102" s="1"/>
  <c r="E188" i="102" a="1"/>
  <c r="E188" i="102" s="1"/>
  <c r="E184" i="102" a="1"/>
  <c r="E184" i="102" s="1"/>
  <c r="E183" i="102" a="1"/>
  <c r="E183" i="102" s="1"/>
  <c r="E177" i="102" a="1"/>
  <c r="E177" i="102" s="1"/>
  <c r="E176" i="102" a="1"/>
  <c r="E176" i="102" s="1"/>
  <c r="E175" i="102" a="1"/>
  <c r="E175" i="102" s="1"/>
  <c r="E174" i="102" a="1"/>
  <c r="E174" i="102" s="1"/>
  <c r="E173" i="102" a="1"/>
  <c r="E173" i="102" s="1"/>
  <c r="E172" i="102" a="1"/>
  <c r="E172" i="102" s="1"/>
  <c r="E167" i="102" a="1"/>
  <c r="E167" i="102" s="1"/>
  <c r="E169" i="102" s="1"/>
  <c r="E162" i="102" a="1"/>
  <c r="E162" i="102" s="1"/>
  <c r="E164" i="102" s="1"/>
  <c r="E158" i="102" a="1"/>
  <c r="E158" i="102" s="1"/>
  <c r="E157" i="102" a="1"/>
  <c r="E157" i="102" s="1"/>
  <c r="E151" i="102" a="1"/>
  <c r="E151" i="102" s="1"/>
  <c r="E150" i="102" a="1"/>
  <c r="E150" i="102" s="1"/>
  <c r="E149" i="102" a="1"/>
  <c r="E149" i="102" s="1"/>
  <c r="E142" i="102" a="1"/>
  <c r="E142" i="102" s="1"/>
  <c r="E141" i="102" a="1"/>
  <c r="E141" i="102" s="1"/>
  <c r="E131" i="102" a="1"/>
  <c r="E131" i="102" s="1"/>
  <c r="E129" i="102" a="1"/>
  <c r="E129" i="102" s="1"/>
  <c r="E128" i="102" a="1"/>
  <c r="E128" i="102" s="1"/>
  <c r="E127" i="102" a="1"/>
  <c r="E127" i="102" s="1"/>
  <c r="E123" i="102" a="1"/>
  <c r="E123" i="102" s="1"/>
  <c r="E122" i="102" a="1"/>
  <c r="E122" i="102" s="1"/>
  <c r="E120" i="102" a="1"/>
  <c r="E120" i="102" s="1"/>
  <c r="E119" i="102" a="1"/>
  <c r="E119" i="102" s="1"/>
  <c r="E118" i="102" a="1"/>
  <c r="E118" i="102" s="1"/>
  <c r="E117" i="102" a="1"/>
  <c r="E117" i="102" s="1"/>
  <c r="E116" i="102" a="1"/>
  <c r="E116" i="102" s="1"/>
  <c r="E115" i="102" a="1"/>
  <c r="E115" i="102" s="1"/>
  <c r="E114" i="102" a="1"/>
  <c r="E114" i="102" s="1"/>
  <c r="E113" i="102" a="1"/>
  <c r="E113" i="102" s="1"/>
  <c r="E112" i="102" a="1"/>
  <c r="E112" i="102" s="1"/>
  <c r="E111" i="102" a="1"/>
  <c r="E111" i="102" s="1"/>
  <c r="E110" i="102" a="1"/>
  <c r="E110" i="102" s="1"/>
  <c r="E109" i="102" a="1"/>
  <c r="E109" i="102" s="1"/>
  <c r="E103" i="102" a="1"/>
  <c r="E103" i="102" s="1"/>
  <c r="E104" i="102" s="1"/>
  <c r="E95" i="102" a="1"/>
  <c r="E95" i="102" s="1"/>
  <c r="E94" i="102" a="1"/>
  <c r="E94" i="102" s="1"/>
  <c r="E93" i="102" a="1"/>
  <c r="E93" i="102" s="1"/>
  <c r="E92" i="102" a="1"/>
  <c r="E92" i="102" s="1"/>
  <c r="E91" i="102" a="1"/>
  <c r="E91" i="102" s="1"/>
  <c r="E90" i="102" a="1"/>
  <c r="E90" i="102" s="1"/>
  <c r="E88" i="102" a="1"/>
  <c r="E88" i="102" s="1"/>
  <c r="E87" i="102" a="1"/>
  <c r="E87" i="102" s="1"/>
  <c r="E86" i="102" a="1"/>
  <c r="E86" i="102" s="1"/>
  <c r="E85" i="102" a="1"/>
  <c r="E85" i="102" s="1"/>
  <c r="E84" i="102" a="1"/>
  <c r="E84" i="102" s="1"/>
  <c r="E83" i="102" a="1"/>
  <c r="E83" i="102" s="1"/>
  <c r="E82" i="102" a="1"/>
  <c r="E82" i="102" s="1"/>
  <c r="E81" i="102" a="1"/>
  <c r="E81" i="102" s="1"/>
  <c r="E80" i="102" a="1"/>
  <c r="E80" i="102" s="1"/>
  <c r="E79" i="102" a="1"/>
  <c r="E79" i="102" s="1"/>
  <c r="E78" i="102" a="1"/>
  <c r="E78" i="102" s="1"/>
  <c r="E77" i="102" a="1"/>
  <c r="E77" i="102" s="1"/>
  <c r="E76" i="102" a="1"/>
  <c r="E76" i="102" s="1"/>
  <c r="E75" i="102" a="1"/>
  <c r="E75" i="102" s="1"/>
  <c r="E70" i="102" a="1"/>
  <c r="E70" i="102" s="1"/>
  <c r="E72" i="102" s="1"/>
  <c r="E57" i="102" a="1"/>
  <c r="E57" i="102" s="1"/>
  <c r="E54" i="102" a="1"/>
  <c r="E54" i="102" s="1"/>
  <c r="E53" i="102" a="1"/>
  <c r="E53" i="102" s="1"/>
  <c r="E51" i="102" a="1"/>
  <c r="E51" i="102" s="1"/>
  <c r="E50" i="102" a="1"/>
  <c r="E50" i="102" s="1"/>
  <c r="E49" i="102" a="1"/>
  <c r="E49" i="102" s="1"/>
  <c r="E48" i="102" a="1"/>
  <c r="E48" i="102" s="1"/>
  <c r="E47" i="102" a="1"/>
  <c r="E47" i="102" s="1"/>
  <c r="E46" i="102" a="1"/>
  <c r="E46" i="102" s="1"/>
  <c r="E45" i="102" a="1"/>
  <c r="E45" i="102" s="1"/>
  <c r="E44" i="102" a="1"/>
  <c r="E44" i="102" s="1"/>
  <c r="E43" i="102" a="1"/>
  <c r="E43" i="102" s="1"/>
  <c r="E39" i="102" a="1"/>
  <c r="E39" i="102" s="1"/>
  <c r="E38" i="102" a="1"/>
  <c r="E38" i="102" s="1"/>
  <c r="E34" i="102" a="1"/>
  <c r="E34" i="102" s="1"/>
  <c r="E33" i="102" a="1"/>
  <c r="E33" i="102" s="1"/>
  <c r="E29" i="102" a="1"/>
  <c r="E29" i="102" s="1"/>
  <c r="E31" i="102" s="1"/>
  <c r="E24" i="102" a="1"/>
  <c r="E24" i="102" s="1"/>
  <c r="E26" i="102" s="1"/>
  <c r="E18" i="102" a="1"/>
  <c r="E18" i="102" s="1"/>
  <c r="E20" i="102" s="1"/>
  <c r="E8" i="102" a="1"/>
  <c r="E8" i="102" s="1"/>
  <c r="E10" i="102" s="1"/>
  <c r="C361" i="102" a="1"/>
  <c r="C361" i="102" s="1"/>
  <c r="C363" i="102" s="1"/>
  <c r="C348" i="102" a="1"/>
  <c r="C348" i="102" s="1"/>
  <c r="C345" i="102" a="1"/>
  <c r="C345" i="102" s="1"/>
  <c r="C344" i="102" a="1"/>
  <c r="C344" i="102" s="1"/>
  <c r="K344" i="102" s="1"/>
  <c r="C343" i="102" a="1"/>
  <c r="C343" i="102" s="1"/>
  <c r="C342" i="102" a="1"/>
  <c r="C342" i="102" s="1"/>
  <c r="K342" i="102" s="1"/>
  <c r="C341" i="102" a="1"/>
  <c r="C341" i="102" s="1"/>
  <c r="C340" i="102" a="1"/>
  <c r="C340" i="102" s="1"/>
  <c r="C339" i="102" a="1"/>
  <c r="C339" i="102" s="1"/>
  <c r="C338" i="102" a="1"/>
  <c r="C338" i="102" s="1"/>
  <c r="K338" i="102" s="1"/>
  <c r="C337" i="102" a="1"/>
  <c r="C337" i="102" s="1"/>
  <c r="C336" i="102" a="1"/>
  <c r="C336" i="102" s="1"/>
  <c r="C335" i="102" a="1"/>
  <c r="C335" i="102" s="1"/>
  <c r="K335" i="102" s="1"/>
  <c r="C334" i="102" a="1"/>
  <c r="C334" i="102" s="1"/>
  <c r="K334" i="102" s="1"/>
  <c r="C333" i="102" a="1"/>
  <c r="C333" i="102" s="1"/>
  <c r="C332" i="102" a="1"/>
  <c r="C332" i="102" s="1"/>
  <c r="K332" i="102" s="1"/>
  <c r="C331" i="102" a="1"/>
  <c r="C331" i="102" s="1"/>
  <c r="C330" i="102" a="1"/>
  <c r="C330" i="102" s="1"/>
  <c r="K330" i="102" s="1"/>
  <c r="C329" i="102" a="1"/>
  <c r="C329" i="102" s="1"/>
  <c r="C328" i="102" a="1"/>
  <c r="C328" i="102" s="1"/>
  <c r="C327" i="102" a="1"/>
  <c r="C327" i="102" s="1"/>
  <c r="C326" i="102" a="1"/>
  <c r="C326" i="102" s="1"/>
  <c r="C325" i="102" a="1"/>
  <c r="C325" i="102" s="1"/>
  <c r="C324" i="102" a="1"/>
  <c r="C324" i="102" s="1"/>
  <c r="K324" i="102" s="1"/>
  <c r="C323" i="102" a="1"/>
  <c r="C323" i="102" s="1"/>
  <c r="C322" i="102" a="1"/>
  <c r="C322" i="102" s="1"/>
  <c r="C321" i="102" a="1"/>
  <c r="C321" i="102" s="1"/>
  <c r="C320" i="102" a="1"/>
  <c r="C320" i="102" s="1"/>
  <c r="C319" i="102" a="1"/>
  <c r="C319" i="102" s="1"/>
  <c r="C315" i="102" a="1"/>
  <c r="C315" i="102" s="1"/>
  <c r="K315" i="102" s="1"/>
  <c r="C314" i="102" a="1"/>
  <c r="C314" i="102" s="1"/>
  <c r="C313" i="102" a="1"/>
  <c r="C313" i="102" s="1"/>
  <c r="C312" i="102" a="1"/>
  <c r="C312" i="102" s="1"/>
  <c r="C311" i="102" a="1"/>
  <c r="C311" i="102" s="1"/>
  <c r="C310" i="102" a="1"/>
  <c r="C310" i="102" s="1"/>
  <c r="C309" i="102" a="1"/>
  <c r="C309" i="102" s="1"/>
  <c r="C305" i="102" a="1"/>
  <c r="C305" i="102" s="1"/>
  <c r="C307" i="102" s="1"/>
  <c r="C301" i="102" a="1"/>
  <c r="C301" i="102" s="1"/>
  <c r="C303" i="102" s="1"/>
  <c r="C298" i="102" a="1"/>
  <c r="C298" i="102" s="1"/>
  <c r="C297" i="102" a="1"/>
  <c r="C297" i="102" s="1"/>
  <c r="C296" i="102" a="1"/>
  <c r="C296" i="102" s="1"/>
  <c r="C292" i="102" a="1"/>
  <c r="C292" i="102" s="1"/>
  <c r="C294" i="102" s="1"/>
  <c r="C289" i="102" a="1"/>
  <c r="C289" i="102" s="1"/>
  <c r="C288" i="102" a="1"/>
  <c r="C288" i="102" s="1"/>
  <c r="C287" i="102" a="1"/>
  <c r="C287" i="102" s="1"/>
  <c r="C286" i="102" a="1"/>
  <c r="C286" i="102" s="1"/>
  <c r="C285" i="102" a="1"/>
  <c r="C285" i="102" s="1"/>
  <c r="C281" i="102" a="1"/>
  <c r="C281" i="102" s="1"/>
  <c r="C283" i="102" s="1"/>
  <c r="C277" i="102" a="1"/>
  <c r="C277" i="102" s="1"/>
  <c r="C276" i="102" a="1"/>
  <c r="C276" i="102" s="1"/>
  <c r="C271" i="102" a="1"/>
  <c r="C271" i="102" s="1"/>
  <c r="C267" i="102" a="1"/>
  <c r="C267" i="102" s="1"/>
  <c r="C269" i="102" s="1"/>
  <c r="C262" i="102" a="1"/>
  <c r="C262" i="102" s="1"/>
  <c r="C264" i="102" s="1"/>
  <c r="C254" i="102" a="1"/>
  <c r="C254" i="102" s="1"/>
  <c r="C256" i="102" s="1"/>
  <c r="C250" i="102" a="1"/>
  <c r="C250" i="102" s="1"/>
  <c r="C249" i="102" a="1"/>
  <c r="C249" i="102" s="1"/>
  <c r="C248" i="102" a="1"/>
  <c r="C248" i="102" s="1"/>
  <c r="C247" i="102" a="1"/>
  <c r="C247" i="102" s="1"/>
  <c r="C243" i="102" a="1"/>
  <c r="C243" i="102" s="1"/>
  <c r="C242" i="102" a="1"/>
  <c r="C242" i="102" s="1"/>
  <c r="C241" i="102" a="1"/>
  <c r="C241" i="102" s="1"/>
  <c r="C240" i="102" a="1"/>
  <c r="C240" i="102" s="1"/>
  <c r="C235" i="102" a="1"/>
  <c r="C235" i="102" s="1"/>
  <c r="C232" i="102" a="1"/>
  <c r="C232" i="102" s="1"/>
  <c r="C230" i="102" a="1"/>
  <c r="C230" i="102" s="1"/>
  <c r="C229" i="102" a="1"/>
  <c r="C229" i="102" s="1"/>
  <c r="C228" i="102" a="1"/>
  <c r="C228" i="102" s="1"/>
  <c r="C223" i="102" a="1"/>
  <c r="C223" i="102" s="1"/>
  <c r="C219" i="102" a="1"/>
  <c r="C219" i="102" s="1"/>
  <c r="C221" i="102" s="1"/>
  <c r="C214" i="102" a="1"/>
  <c r="C214" i="102" s="1"/>
  <c r="C213" i="102" a="1"/>
  <c r="C213" i="102" s="1"/>
  <c r="C208" i="102" a="1"/>
  <c r="C208" i="102" s="1"/>
  <c r="C207" i="102" a="1"/>
  <c r="C207" i="102" s="1"/>
  <c r="C202" i="102" a="1"/>
  <c r="C202" i="102" s="1"/>
  <c r="C204" i="102" s="1"/>
  <c r="C197" i="102" a="1"/>
  <c r="C197" i="102" s="1"/>
  <c r="C199" i="102" s="1"/>
  <c r="C193" i="102" a="1"/>
  <c r="C193" i="102" s="1"/>
  <c r="C189" i="102" a="1"/>
  <c r="C189" i="102" s="1"/>
  <c r="C188" i="102" a="1"/>
  <c r="C188" i="102" s="1"/>
  <c r="C184" i="102" a="1"/>
  <c r="C184" i="102" s="1"/>
  <c r="C183" i="102" a="1"/>
  <c r="C183" i="102" s="1"/>
  <c r="C177" i="102" a="1"/>
  <c r="C177" i="102" s="1"/>
  <c r="C176" i="102" a="1"/>
  <c r="C176" i="102" s="1"/>
  <c r="C175" i="102" a="1"/>
  <c r="C175" i="102" s="1"/>
  <c r="C174" i="102" a="1"/>
  <c r="C174" i="102" s="1"/>
  <c r="C173" i="102" a="1"/>
  <c r="C173" i="102" s="1"/>
  <c r="C172" i="102" a="1"/>
  <c r="C172" i="102" s="1"/>
  <c r="C167" i="102" a="1"/>
  <c r="C167" i="102" s="1"/>
  <c r="C169" i="102" s="1"/>
  <c r="C162" i="102" a="1"/>
  <c r="C162" i="102" s="1"/>
  <c r="C158" i="102" a="1"/>
  <c r="C158" i="102" s="1"/>
  <c r="C157" i="102" a="1"/>
  <c r="C157" i="102" s="1"/>
  <c r="C151" i="102" a="1"/>
  <c r="C151" i="102" s="1"/>
  <c r="C150" i="102" a="1"/>
  <c r="C150" i="102" s="1"/>
  <c r="C149" i="102" a="1"/>
  <c r="C149" i="102" s="1"/>
  <c r="C142" i="102" a="1"/>
  <c r="C142" i="102" s="1"/>
  <c r="C141" i="102" a="1"/>
  <c r="C141" i="102" s="1"/>
  <c r="C131" i="102" a="1"/>
  <c r="C131" i="102" s="1"/>
  <c r="C129" i="102" a="1"/>
  <c r="C129" i="102" s="1"/>
  <c r="C128" i="102" a="1"/>
  <c r="C128" i="102" s="1"/>
  <c r="C127" i="102" a="1"/>
  <c r="C127" i="102" s="1"/>
  <c r="C123" i="102" a="1"/>
  <c r="C123" i="102" s="1"/>
  <c r="C122" i="102" a="1"/>
  <c r="C122" i="102" s="1"/>
  <c r="K122" i="102" s="1"/>
  <c r="C120" i="102" a="1"/>
  <c r="C120" i="102" s="1"/>
  <c r="K120" i="102" s="1"/>
  <c r="C119" i="102" a="1"/>
  <c r="C119" i="102" s="1"/>
  <c r="K119" i="102" s="1"/>
  <c r="C118" i="102" a="1"/>
  <c r="C118" i="102" s="1"/>
  <c r="K118" i="102" s="1"/>
  <c r="C117" i="102" a="1"/>
  <c r="C117" i="102" s="1"/>
  <c r="K117" i="102" s="1"/>
  <c r="C116" i="102" a="1"/>
  <c r="C116" i="102" s="1"/>
  <c r="K116" i="102" s="1"/>
  <c r="C115" i="102" a="1"/>
  <c r="C115" i="102" s="1"/>
  <c r="C114" i="102" a="1"/>
  <c r="C114" i="102" s="1"/>
  <c r="K114" i="102" s="1"/>
  <c r="C113" i="102" a="1"/>
  <c r="C113" i="102" s="1"/>
  <c r="K113" i="102" s="1"/>
  <c r="C112" i="102" a="1"/>
  <c r="C112" i="102" s="1"/>
  <c r="K112" i="102" s="1"/>
  <c r="C111" i="102" a="1"/>
  <c r="C111" i="102" s="1"/>
  <c r="K111" i="102" s="1"/>
  <c r="C110" i="102" a="1"/>
  <c r="C110" i="102" s="1"/>
  <c r="K110" i="102" s="1"/>
  <c r="C109" i="102" a="1"/>
  <c r="C109" i="102" s="1"/>
  <c r="C104" i="102"/>
  <c r="C95" i="102" a="1"/>
  <c r="C95" i="102" s="1"/>
  <c r="C94" i="102" a="1"/>
  <c r="C94" i="102" s="1"/>
  <c r="C93" i="102" a="1"/>
  <c r="C93" i="102" s="1"/>
  <c r="C92" i="102" a="1"/>
  <c r="C92" i="102" s="1"/>
  <c r="C91" i="102" a="1"/>
  <c r="C91" i="102" s="1"/>
  <c r="C90" i="102" a="1"/>
  <c r="C90" i="102" s="1"/>
  <c r="C88" i="102" a="1"/>
  <c r="C88" i="102" s="1"/>
  <c r="C87" i="102" a="1"/>
  <c r="C87" i="102" s="1"/>
  <c r="C86" i="102" a="1"/>
  <c r="C86" i="102" s="1"/>
  <c r="C85" i="102" a="1"/>
  <c r="C85" i="102" s="1"/>
  <c r="C84" i="102" a="1"/>
  <c r="C84" i="102" s="1"/>
  <c r="C83" i="102" a="1"/>
  <c r="C83" i="102" s="1"/>
  <c r="C82" i="102" a="1"/>
  <c r="C82" i="102" s="1"/>
  <c r="C81" i="102" a="1"/>
  <c r="C81" i="102" s="1"/>
  <c r="C80" i="102" a="1"/>
  <c r="C80" i="102" s="1"/>
  <c r="C79" i="102" a="1"/>
  <c r="C79" i="102" s="1"/>
  <c r="C78" i="102" a="1"/>
  <c r="C78" i="102" s="1"/>
  <c r="C77" i="102" a="1"/>
  <c r="C77" i="102" s="1"/>
  <c r="C76" i="102" a="1"/>
  <c r="C76" i="102" s="1"/>
  <c r="C75" i="102" a="1"/>
  <c r="C75" i="102" s="1"/>
  <c r="C70" i="102" a="1"/>
  <c r="C70" i="102" s="1"/>
  <c r="C72" i="102" s="1"/>
  <c r="C57" i="102" a="1"/>
  <c r="C57" i="102" s="1"/>
  <c r="C54" i="102" a="1"/>
  <c r="C54" i="102" s="1"/>
  <c r="D54" i="102" s="1"/>
  <c r="D39" i="102" s="1"/>
  <c r="D41" i="102" s="1"/>
  <c r="C53" i="102" a="1"/>
  <c r="C53" i="102" s="1"/>
  <c r="C51" i="102" a="1"/>
  <c r="C51" i="102" s="1"/>
  <c r="C50" i="102" a="1"/>
  <c r="C50" i="102" s="1"/>
  <c r="C49" i="102" a="1"/>
  <c r="C49" i="102" s="1"/>
  <c r="C48" i="102" a="1"/>
  <c r="C48" i="102" s="1"/>
  <c r="C47" i="102" a="1"/>
  <c r="C47" i="102" s="1"/>
  <c r="C46" i="102" a="1"/>
  <c r="C46" i="102" s="1"/>
  <c r="C45" i="102" a="1"/>
  <c r="C45" i="102" s="1"/>
  <c r="C44" i="102" a="1"/>
  <c r="C44" i="102" s="1"/>
  <c r="C43" i="102" a="1"/>
  <c r="C43" i="102" s="1"/>
  <c r="C39" i="102" a="1"/>
  <c r="C39" i="102" s="1"/>
  <c r="C38" i="102" a="1"/>
  <c r="C38" i="102" s="1"/>
  <c r="C29" i="102" a="1"/>
  <c r="C29" i="102" s="1"/>
  <c r="C24" i="102" a="1"/>
  <c r="C24" i="102" s="1"/>
  <c r="C18" i="102" a="1"/>
  <c r="C18" i="102" s="1"/>
  <c r="C8" i="102" a="1"/>
  <c r="C8" i="102" s="1"/>
  <c r="C417" i="5"/>
  <c r="C412" i="5"/>
  <c r="C411" i="5"/>
  <c r="C413" i="5" s="1"/>
  <c r="C375" i="5"/>
  <c r="C362" i="5" s="1"/>
  <c r="D48" i="2" s="1"/>
  <c r="F8" i="45" s="1"/>
  <c r="C312" i="5"/>
  <c r="C272" i="5"/>
  <c r="C268" i="5"/>
  <c r="C524" i="5" s="1"/>
  <c r="C254" i="5"/>
  <c r="C244" i="5"/>
  <c r="C240" i="5"/>
  <c r="C198" i="5"/>
  <c r="C181" i="5"/>
  <c r="C174" i="5" s="1"/>
  <c r="C130" i="5"/>
  <c r="C123" i="5"/>
  <c r="C96" i="5"/>
  <c r="C66" i="5"/>
  <c r="C28" i="5"/>
  <c r="C21" i="5"/>
  <c r="C59" i="5" s="1"/>
  <c r="C69" i="5" s="1"/>
  <c r="C76" i="5" s="1"/>
  <c r="C83" i="5" s="1"/>
  <c r="C91" i="5" s="1"/>
  <c r="J204" i="101"/>
  <c r="I204" i="101"/>
  <c r="H204" i="101"/>
  <c r="G204" i="101"/>
  <c r="F204" i="101"/>
  <c r="E204" i="101"/>
  <c r="D204" i="101"/>
  <c r="C204" i="101"/>
  <c r="K202" i="101"/>
  <c r="K204" i="101" s="1"/>
  <c r="C161" i="5" s="1"/>
  <c r="J200" i="101"/>
  <c r="H200" i="101"/>
  <c r="F200" i="101"/>
  <c r="D200" i="101"/>
  <c r="J193" i="101"/>
  <c r="D193" i="101"/>
  <c r="J185" i="101"/>
  <c r="D185" i="101"/>
  <c r="J181" i="101"/>
  <c r="D181" i="101"/>
  <c r="C181" i="101"/>
  <c r="K179" i="101"/>
  <c r="K181" i="101" s="1"/>
  <c r="C141" i="5" s="1"/>
  <c r="J177" i="101"/>
  <c r="D177" i="101"/>
  <c r="J173" i="101"/>
  <c r="D173" i="101"/>
  <c r="D166" i="101"/>
  <c r="J153" i="101"/>
  <c r="J149" i="101"/>
  <c r="J137" i="101"/>
  <c r="J133" i="101"/>
  <c r="D133" i="101"/>
  <c r="J128" i="101"/>
  <c r="D128" i="101"/>
  <c r="J124" i="101"/>
  <c r="D124" i="101"/>
  <c r="J120" i="101"/>
  <c r="D120" i="101"/>
  <c r="J115" i="101"/>
  <c r="J111" i="101"/>
  <c r="J106" i="101"/>
  <c r="I106" i="101"/>
  <c r="H106" i="101"/>
  <c r="G106" i="101"/>
  <c r="F106" i="101"/>
  <c r="E106" i="101"/>
  <c r="D106" i="101"/>
  <c r="C106" i="101"/>
  <c r="K105" i="101"/>
  <c r="K104" i="101"/>
  <c r="J102" i="101"/>
  <c r="I102" i="101"/>
  <c r="H102" i="101"/>
  <c r="G102" i="101"/>
  <c r="F102" i="101"/>
  <c r="E102" i="101"/>
  <c r="D102" i="101"/>
  <c r="C102" i="101"/>
  <c r="K101" i="101"/>
  <c r="K100" i="101"/>
  <c r="J99" i="101"/>
  <c r="H99" i="101"/>
  <c r="F99" i="101"/>
  <c r="D99" i="101"/>
  <c r="J94" i="101"/>
  <c r="H94" i="101"/>
  <c r="F94" i="101"/>
  <c r="D94" i="101"/>
  <c r="J88" i="101"/>
  <c r="H88" i="101"/>
  <c r="F88" i="101"/>
  <c r="D88" i="101"/>
  <c r="J82" i="101"/>
  <c r="I82" i="101"/>
  <c r="H82" i="101"/>
  <c r="G82" i="101"/>
  <c r="F82" i="101"/>
  <c r="E82" i="101"/>
  <c r="D82" i="101"/>
  <c r="C82" i="101"/>
  <c r="K80" i="101"/>
  <c r="K82" i="101" s="1"/>
  <c r="C390" i="5" s="1"/>
  <c r="J78" i="101"/>
  <c r="H78" i="101"/>
  <c r="F78" i="101"/>
  <c r="D78" i="101"/>
  <c r="J67" i="101"/>
  <c r="H67" i="101"/>
  <c r="F67" i="101"/>
  <c r="D67" i="101"/>
  <c r="K65" i="101"/>
  <c r="J63" i="101"/>
  <c r="I63" i="101"/>
  <c r="H63" i="101"/>
  <c r="G63" i="101"/>
  <c r="F63" i="101"/>
  <c r="E63" i="101"/>
  <c r="D63" i="101"/>
  <c r="C63" i="101"/>
  <c r="K61" i="101"/>
  <c r="K63" i="101" s="1"/>
  <c r="J58" i="101"/>
  <c r="I58" i="101"/>
  <c r="H58" i="101"/>
  <c r="G58" i="101"/>
  <c r="F58" i="101"/>
  <c r="E58" i="101"/>
  <c r="C58" i="101"/>
  <c r="D57" i="101"/>
  <c r="K57" i="101" s="1"/>
  <c r="K58" i="101" s="1"/>
  <c r="C322" i="5" s="1"/>
  <c r="J55" i="101"/>
  <c r="H55" i="101"/>
  <c r="F55" i="101"/>
  <c r="D55" i="101"/>
  <c r="J50" i="101"/>
  <c r="H50" i="101"/>
  <c r="F50" i="101"/>
  <c r="D50" i="101"/>
  <c r="J42" i="101"/>
  <c r="H42" i="101"/>
  <c r="F42" i="101"/>
  <c r="D42" i="101"/>
  <c r="K41" i="101"/>
  <c r="J38" i="101"/>
  <c r="H38" i="101"/>
  <c r="F38" i="101"/>
  <c r="D38" i="101"/>
  <c r="K37" i="101"/>
  <c r="J32" i="101"/>
  <c r="H32" i="101"/>
  <c r="F32" i="101"/>
  <c r="D32" i="101"/>
  <c r="J27" i="101"/>
  <c r="J166" i="101" s="1"/>
  <c r="H27" i="101"/>
  <c r="F27" i="101"/>
  <c r="D27" i="101"/>
  <c r="J21" i="101"/>
  <c r="H21" i="101"/>
  <c r="F21" i="101"/>
  <c r="K19" i="101"/>
  <c r="I14" i="101"/>
  <c r="G14" i="101"/>
  <c r="E14" i="101"/>
  <c r="J11" i="101"/>
  <c r="I11" i="101"/>
  <c r="H11" i="101"/>
  <c r="G11" i="101"/>
  <c r="F11" i="101"/>
  <c r="E11" i="101"/>
  <c r="D11" i="101"/>
  <c r="I2" i="101"/>
  <c r="G2" i="101"/>
  <c r="E2" i="101"/>
  <c r="J363" i="102"/>
  <c r="H363" i="102"/>
  <c r="F363" i="102"/>
  <c r="D363" i="102"/>
  <c r="H358" i="102"/>
  <c r="F358" i="102"/>
  <c r="D358" i="102"/>
  <c r="D111" i="101" s="1"/>
  <c r="J353" i="102"/>
  <c r="H353" i="102"/>
  <c r="F353" i="102"/>
  <c r="K352" i="102"/>
  <c r="J317" i="102"/>
  <c r="H317" i="102"/>
  <c r="F317" i="102"/>
  <c r="D317" i="102"/>
  <c r="J307" i="102"/>
  <c r="H307" i="102"/>
  <c r="F307" i="102"/>
  <c r="D307" i="102"/>
  <c r="J303" i="102"/>
  <c r="H303" i="102"/>
  <c r="F303" i="102"/>
  <c r="D303" i="102"/>
  <c r="J299" i="102"/>
  <c r="H299" i="102"/>
  <c r="F299" i="102"/>
  <c r="D299" i="102"/>
  <c r="J294" i="102"/>
  <c r="H294" i="102"/>
  <c r="F294" i="102"/>
  <c r="D294" i="102"/>
  <c r="J290" i="102"/>
  <c r="H290" i="102"/>
  <c r="F290" i="102"/>
  <c r="D290" i="102"/>
  <c r="J283" i="102"/>
  <c r="H283" i="102"/>
  <c r="F283" i="102"/>
  <c r="D283" i="102"/>
  <c r="J279" i="102"/>
  <c r="H279" i="102"/>
  <c r="F279" i="102"/>
  <c r="D279" i="102"/>
  <c r="J274" i="102"/>
  <c r="H274" i="102"/>
  <c r="F274" i="102"/>
  <c r="C272" i="102"/>
  <c r="J269" i="102"/>
  <c r="H269" i="102"/>
  <c r="F269" i="102"/>
  <c r="D269" i="102"/>
  <c r="J264" i="102"/>
  <c r="H264" i="102"/>
  <c r="F264" i="102"/>
  <c r="D264" i="102"/>
  <c r="J260" i="102"/>
  <c r="I260" i="102"/>
  <c r="H260" i="102"/>
  <c r="G260" i="102"/>
  <c r="F260" i="102"/>
  <c r="E260" i="102"/>
  <c r="C260" i="102"/>
  <c r="K257" i="102"/>
  <c r="J256" i="102"/>
  <c r="H256" i="102"/>
  <c r="F256" i="102"/>
  <c r="K255" i="102"/>
  <c r="J252" i="102"/>
  <c r="H252" i="102"/>
  <c r="F252" i="102"/>
  <c r="D252" i="102"/>
  <c r="J245" i="102"/>
  <c r="H245" i="102"/>
  <c r="F245" i="102"/>
  <c r="D245" i="102"/>
  <c r="J237" i="102"/>
  <c r="H237" i="102"/>
  <c r="F237" i="102"/>
  <c r="D237" i="102"/>
  <c r="J233" i="102"/>
  <c r="H233" i="102"/>
  <c r="F233" i="102"/>
  <c r="D233" i="102"/>
  <c r="J225" i="102"/>
  <c r="H225" i="102"/>
  <c r="F225" i="102"/>
  <c r="D225" i="102"/>
  <c r="J221" i="102"/>
  <c r="H221" i="102"/>
  <c r="F221" i="102"/>
  <c r="D221" i="102"/>
  <c r="J216" i="102"/>
  <c r="H216" i="102"/>
  <c r="F216" i="102"/>
  <c r="D216" i="102"/>
  <c r="J210" i="102"/>
  <c r="H210" i="102"/>
  <c r="F210" i="102"/>
  <c r="D210" i="102"/>
  <c r="J204" i="102"/>
  <c r="H204" i="102"/>
  <c r="F204" i="102"/>
  <c r="D204" i="102"/>
  <c r="J199" i="102"/>
  <c r="H199" i="102"/>
  <c r="F199" i="102"/>
  <c r="D199" i="102"/>
  <c r="J195" i="102"/>
  <c r="H195" i="102"/>
  <c r="F195" i="102"/>
  <c r="D195" i="102"/>
  <c r="J191" i="102"/>
  <c r="H191" i="102"/>
  <c r="F191" i="102"/>
  <c r="D191" i="102"/>
  <c r="J186" i="102"/>
  <c r="H186" i="102"/>
  <c r="F186" i="102"/>
  <c r="D186" i="102"/>
  <c r="J180" i="102"/>
  <c r="F180" i="102"/>
  <c r="H179" i="102"/>
  <c r="H180" i="102" s="1"/>
  <c r="J169" i="102"/>
  <c r="H169" i="102"/>
  <c r="F169" i="102"/>
  <c r="D169" i="102"/>
  <c r="J164" i="102"/>
  <c r="H164" i="102"/>
  <c r="F164" i="102"/>
  <c r="D164" i="102"/>
  <c r="J160" i="102"/>
  <c r="H160" i="102"/>
  <c r="F160" i="102"/>
  <c r="D160" i="102"/>
  <c r="J153" i="102"/>
  <c r="H153" i="102"/>
  <c r="F153" i="102"/>
  <c r="D153" i="102"/>
  <c r="J147" i="102"/>
  <c r="I147" i="102"/>
  <c r="H147" i="102"/>
  <c r="G147" i="102"/>
  <c r="F147" i="102"/>
  <c r="E147" i="102"/>
  <c r="D147" i="102"/>
  <c r="C147" i="102"/>
  <c r="K145" i="102"/>
  <c r="K147" i="102" s="1"/>
  <c r="C464" i="5" s="1"/>
  <c r="C15" i="35" s="1"/>
  <c r="J143" i="102"/>
  <c r="H143" i="102"/>
  <c r="F143" i="102"/>
  <c r="D143" i="102"/>
  <c r="J138" i="102"/>
  <c r="I138" i="102"/>
  <c r="H138" i="102"/>
  <c r="G138" i="102"/>
  <c r="F138" i="102"/>
  <c r="E138" i="102"/>
  <c r="D138" i="102"/>
  <c r="C138" i="102"/>
  <c r="K136" i="102"/>
  <c r="K138" i="102" s="1"/>
  <c r="C462" i="5" s="1"/>
  <c r="C13" i="35" s="1"/>
  <c r="J133" i="102"/>
  <c r="H133" i="102"/>
  <c r="F133" i="102"/>
  <c r="D133" i="102"/>
  <c r="J104" i="102"/>
  <c r="H104" i="102"/>
  <c r="F104" i="102"/>
  <c r="D104" i="102"/>
  <c r="J100" i="102"/>
  <c r="J155" i="101" s="1"/>
  <c r="J157" i="101" s="1"/>
  <c r="I100" i="102"/>
  <c r="I155" i="101" s="1"/>
  <c r="I157" i="101" s="1"/>
  <c r="H100" i="102"/>
  <c r="H155" i="101" s="1"/>
  <c r="H157" i="101" s="1"/>
  <c r="G100" i="102"/>
  <c r="G155" i="101" s="1"/>
  <c r="G157" i="101" s="1"/>
  <c r="F100" i="102"/>
  <c r="F155" i="101" s="1"/>
  <c r="F157" i="101" s="1"/>
  <c r="E100" i="102"/>
  <c r="E155" i="101" s="1"/>
  <c r="E157" i="101" s="1"/>
  <c r="D100" i="102"/>
  <c r="D155" i="101" s="1"/>
  <c r="D157" i="101" s="1"/>
  <c r="C100" i="102"/>
  <c r="C155" i="101" s="1"/>
  <c r="C157" i="101" s="1"/>
  <c r="K99" i="102"/>
  <c r="K100" i="102" s="1"/>
  <c r="C450" i="5" s="1"/>
  <c r="J97" i="102"/>
  <c r="H97" i="102"/>
  <c r="F97" i="102"/>
  <c r="D97" i="102"/>
  <c r="C89" i="102"/>
  <c r="J72" i="102"/>
  <c r="H72" i="102"/>
  <c r="F72" i="102"/>
  <c r="D72" i="102"/>
  <c r="J59" i="102"/>
  <c r="H59" i="102"/>
  <c r="F59" i="102"/>
  <c r="J41" i="102"/>
  <c r="H41" i="102"/>
  <c r="F41" i="102"/>
  <c r="J36" i="102"/>
  <c r="H36" i="102"/>
  <c r="F36" i="102"/>
  <c r="D36" i="102"/>
  <c r="J31" i="102"/>
  <c r="H31" i="102"/>
  <c r="F31" i="102"/>
  <c r="D31" i="102"/>
  <c r="J20" i="102"/>
  <c r="H20" i="102"/>
  <c r="F20" i="102"/>
  <c r="D20" i="102"/>
  <c r="K12" i="102"/>
  <c r="J10" i="102"/>
  <c r="H10" i="102"/>
  <c r="F10" i="102"/>
  <c r="D10" i="102"/>
  <c r="K9" i="102"/>
  <c r="K7" i="102"/>
  <c r="K1" i="102"/>
  <c r="D392" i="5"/>
  <c r="D474" i="5"/>
  <c r="K58" i="114"/>
  <c r="J58" i="114"/>
  <c r="H58" i="114"/>
  <c r="F58" i="114"/>
  <c r="E58" i="114"/>
  <c r="D58" i="114"/>
  <c r="C58" i="114"/>
  <c r="B58" i="114"/>
  <c r="L55" i="114"/>
  <c r="G55" i="114"/>
  <c r="I53" i="114"/>
  <c r="L53" i="114" s="1"/>
  <c r="G53" i="114"/>
  <c r="M53" i="114" s="1"/>
  <c r="I51" i="114"/>
  <c r="I58" i="114" s="1"/>
  <c r="G51" i="114"/>
  <c r="J23" i="114"/>
  <c r="I23" i="114"/>
  <c r="H23" i="114"/>
  <c r="F23" i="114"/>
  <c r="E23" i="114"/>
  <c r="D23" i="114"/>
  <c r="C23" i="114"/>
  <c r="B23" i="114"/>
  <c r="L19" i="114"/>
  <c r="G19" i="114"/>
  <c r="L17" i="114"/>
  <c r="G17" i="114"/>
  <c r="M17" i="114" s="1"/>
  <c r="L15" i="114"/>
  <c r="G15" i="114"/>
  <c r="M15" i="114" s="1"/>
  <c r="K13" i="114"/>
  <c r="K23" i="114" s="1"/>
  <c r="I13" i="114"/>
  <c r="F13" i="114"/>
  <c r="G13" i="114" s="1"/>
  <c r="J382" i="102" l="1"/>
  <c r="M55" i="114"/>
  <c r="M19" i="114"/>
  <c r="L51" i="114"/>
  <c r="L58" i="114" s="1"/>
  <c r="K115" i="102"/>
  <c r="F382" i="102"/>
  <c r="M51" i="114"/>
  <c r="H382" i="102"/>
  <c r="K121" i="102"/>
  <c r="D59" i="102"/>
  <c r="I124" i="102"/>
  <c r="G124" i="102"/>
  <c r="E124" i="102"/>
  <c r="K109" i="102"/>
  <c r="C124" i="102"/>
  <c r="G186" i="102"/>
  <c r="C36" i="5"/>
  <c r="C48" i="5" s="1"/>
  <c r="C258" i="5"/>
  <c r="C26" i="102"/>
  <c r="D24" i="102"/>
  <c r="K24" i="102" s="1"/>
  <c r="D113" i="101"/>
  <c r="D115" i="101" s="1"/>
  <c r="D136" i="101"/>
  <c r="D353" i="102" s="1"/>
  <c r="E50" i="101"/>
  <c r="E88" i="101"/>
  <c r="E94" i="101"/>
  <c r="I94" i="101"/>
  <c r="E149" i="101"/>
  <c r="G149" i="101"/>
  <c r="I149" i="101"/>
  <c r="E78" i="101"/>
  <c r="I166" i="101"/>
  <c r="G166" i="101"/>
  <c r="E173" i="101"/>
  <c r="E200" i="101"/>
  <c r="G173" i="101"/>
  <c r="G200" i="101"/>
  <c r="E166" i="101"/>
  <c r="I173" i="101"/>
  <c r="I200" i="101"/>
  <c r="K196" i="101"/>
  <c r="K198" i="101"/>
  <c r="K197" i="101"/>
  <c r="K191" i="101"/>
  <c r="K193" i="101" s="1"/>
  <c r="C158" i="5" s="1"/>
  <c r="K199" i="101"/>
  <c r="C160" i="5" s="1"/>
  <c r="K132" i="101"/>
  <c r="K172" i="101"/>
  <c r="K102" i="101"/>
  <c r="C400" i="5" s="1"/>
  <c r="K55" i="102"/>
  <c r="K164" i="101"/>
  <c r="K340" i="102"/>
  <c r="K165" i="101"/>
  <c r="K56" i="102"/>
  <c r="K130" i="102"/>
  <c r="K170" i="101"/>
  <c r="K171" i="101"/>
  <c r="K160" i="101"/>
  <c r="K161" i="101"/>
  <c r="K162" i="101"/>
  <c r="K163" i="101"/>
  <c r="K106" i="101"/>
  <c r="C401" i="5" s="1"/>
  <c r="G94" i="101"/>
  <c r="G50" i="101"/>
  <c r="G78" i="101"/>
  <c r="K140" i="101"/>
  <c r="K141" i="101"/>
  <c r="K142" i="101"/>
  <c r="K143" i="101"/>
  <c r="K144" i="101"/>
  <c r="K145" i="101"/>
  <c r="K146" i="101"/>
  <c r="G88" i="101"/>
  <c r="I50" i="101"/>
  <c r="I78" i="101"/>
  <c r="I88" i="101"/>
  <c r="K71" i="101"/>
  <c r="K73" i="101"/>
  <c r="K75" i="101"/>
  <c r="K77" i="101"/>
  <c r="K48" i="101"/>
  <c r="K86" i="101"/>
  <c r="K97" i="101"/>
  <c r="K99" i="101" s="1"/>
  <c r="C399" i="5" s="1"/>
  <c r="K72" i="101"/>
  <c r="K74" i="101"/>
  <c r="K36" i="101"/>
  <c r="K38" i="101" s="1"/>
  <c r="C337" i="5" s="1"/>
  <c r="K76" i="101"/>
  <c r="K47" i="101"/>
  <c r="C177" i="101"/>
  <c r="K175" i="101"/>
  <c r="K177" i="101" s="1"/>
  <c r="C138" i="5" s="1"/>
  <c r="K183" i="101"/>
  <c r="K185" i="101" s="1"/>
  <c r="C185" i="101"/>
  <c r="K126" i="101"/>
  <c r="K128" i="101" s="1"/>
  <c r="C61" i="5" s="1"/>
  <c r="C128" i="101"/>
  <c r="C200" i="101"/>
  <c r="K169" i="101"/>
  <c r="C173" i="101"/>
  <c r="C88" i="101"/>
  <c r="K91" i="101"/>
  <c r="C94" i="101"/>
  <c r="C78" i="101"/>
  <c r="K25" i="101"/>
  <c r="K27" i="101" s="1"/>
  <c r="C330" i="5" s="1"/>
  <c r="C27" i="101"/>
  <c r="K346" i="102"/>
  <c r="K23" i="102"/>
  <c r="E41" i="102"/>
  <c r="AV346" i="102"/>
  <c r="K231" i="102"/>
  <c r="AV347" i="102"/>
  <c r="I41" i="102"/>
  <c r="K347" i="102"/>
  <c r="G290" i="102"/>
  <c r="G299" i="102"/>
  <c r="I186" i="102"/>
  <c r="I210" i="102"/>
  <c r="G279" i="102"/>
  <c r="G143" i="102"/>
  <c r="G216" i="102"/>
  <c r="H106" i="102"/>
  <c r="H383" i="102" s="1"/>
  <c r="J106" i="102"/>
  <c r="E36" i="102"/>
  <c r="E382" i="102" s="1"/>
  <c r="E186" i="102"/>
  <c r="K348" i="102"/>
  <c r="G353" i="102"/>
  <c r="C160" i="102"/>
  <c r="C191" i="102"/>
  <c r="I59" i="102"/>
  <c r="K333" i="102"/>
  <c r="K345" i="102"/>
  <c r="I290" i="102"/>
  <c r="I299" i="102"/>
  <c r="I353" i="102"/>
  <c r="K310" i="102"/>
  <c r="K325" i="102"/>
  <c r="G41" i="102"/>
  <c r="K339" i="102"/>
  <c r="I279" i="102"/>
  <c r="K329" i="102"/>
  <c r="K341" i="102"/>
  <c r="K336" i="102"/>
  <c r="E299" i="102"/>
  <c r="G317" i="102"/>
  <c r="K337" i="102"/>
  <c r="K343" i="102"/>
  <c r="I317" i="102"/>
  <c r="G252" i="102"/>
  <c r="E143" i="102"/>
  <c r="E216" i="102"/>
  <c r="E153" i="102"/>
  <c r="E252" i="102"/>
  <c r="G245" i="102"/>
  <c r="G210" i="102"/>
  <c r="I36" i="102"/>
  <c r="I382" i="102" s="1"/>
  <c r="G59" i="102"/>
  <c r="C180" i="102"/>
  <c r="C143" i="102"/>
  <c r="G36" i="102"/>
  <c r="G382" i="102" s="1"/>
  <c r="C252" i="102"/>
  <c r="I143" i="102"/>
  <c r="I216" i="102"/>
  <c r="C153" i="102"/>
  <c r="K243" i="102"/>
  <c r="G133" i="102"/>
  <c r="G153" i="102"/>
  <c r="I252" i="102"/>
  <c r="I133" i="102"/>
  <c r="I153" i="102"/>
  <c r="G180" i="102"/>
  <c r="I180" i="102"/>
  <c r="I245" i="102"/>
  <c r="G233" i="102"/>
  <c r="I233" i="102"/>
  <c r="G160" i="102"/>
  <c r="G191" i="102"/>
  <c r="I160" i="102"/>
  <c r="I191" i="102"/>
  <c r="K158" i="102"/>
  <c r="K189" i="102"/>
  <c r="K230" i="102"/>
  <c r="K175" i="102"/>
  <c r="I97" i="102"/>
  <c r="G97" i="102"/>
  <c r="K90" i="102"/>
  <c r="K131" i="102"/>
  <c r="K174" i="102"/>
  <c r="K208" i="102"/>
  <c r="E233" i="102"/>
  <c r="E160" i="102"/>
  <c r="E191" i="102"/>
  <c r="K285" i="102"/>
  <c r="E290" i="102"/>
  <c r="E353" i="102"/>
  <c r="K319" i="102"/>
  <c r="E133" i="102"/>
  <c r="E180" i="102"/>
  <c r="E245" i="102"/>
  <c r="E279" i="102"/>
  <c r="E210" i="102"/>
  <c r="E283" i="102"/>
  <c r="K281" i="102"/>
  <c r="K283" i="102" s="1"/>
  <c r="C537" i="5" s="1"/>
  <c r="E317" i="102"/>
  <c r="K87" i="102"/>
  <c r="K151" i="102"/>
  <c r="K250" i="102"/>
  <c r="K81" i="102"/>
  <c r="K93" i="102"/>
  <c r="K312" i="102"/>
  <c r="K85" i="102"/>
  <c r="K248" i="102"/>
  <c r="K298" i="102"/>
  <c r="K327" i="102"/>
  <c r="K82" i="102"/>
  <c r="K94" i="102"/>
  <c r="K313" i="102"/>
  <c r="K84" i="102"/>
  <c r="K142" i="102"/>
  <c r="K297" i="102"/>
  <c r="K326" i="102"/>
  <c r="K86" i="102"/>
  <c r="K150" i="102"/>
  <c r="K249" i="102"/>
  <c r="K328" i="102"/>
  <c r="K88" i="102"/>
  <c r="K176" i="102"/>
  <c r="K232" i="102"/>
  <c r="K320" i="102"/>
  <c r="K83" i="102"/>
  <c r="K95" i="102"/>
  <c r="K173" i="102"/>
  <c r="K277" i="102"/>
  <c r="K314" i="102"/>
  <c r="K78" i="102"/>
  <c r="K240" i="102"/>
  <c r="K288" i="102"/>
  <c r="K322" i="102"/>
  <c r="K77" i="102"/>
  <c r="K123" i="102"/>
  <c r="K177" i="102"/>
  <c r="K287" i="102"/>
  <c r="K321" i="102"/>
  <c r="K79" i="102"/>
  <c r="K91" i="102"/>
  <c r="K128" i="102"/>
  <c r="K184" i="102"/>
  <c r="K241" i="102"/>
  <c r="K289" i="102"/>
  <c r="K323" i="102"/>
  <c r="K80" i="102"/>
  <c r="K92" i="102"/>
  <c r="K129" i="102"/>
  <c r="K214" i="102"/>
  <c r="K311" i="102"/>
  <c r="K76" i="102"/>
  <c r="E97" i="102"/>
  <c r="E59" i="102"/>
  <c r="K46" i="102"/>
  <c r="K50" i="102"/>
  <c r="K44" i="102"/>
  <c r="K45" i="102"/>
  <c r="K47" i="102"/>
  <c r="K48" i="102"/>
  <c r="K49" i="102"/>
  <c r="K33" i="102"/>
  <c r="K51" i="102"/>
  <c r="K54" i="102"/>
  <c r="K34" i="102"/>
  <c r="K53" i="102"/>
  <c r="K57" i="102"/>
  <c r="K43" i="102"/>
  <c r="C233" i="102"/>
  <c r="K228" i="102"/>
  <c r="K223" i="102"/>
  <c r="K225" i="102" s="1"/>
  <c r="C496" i="5" s="1"/>
  <c r="C225" i="102"/>
  <c r="K235" i="102"/>
  <c r="K237" i="102" s="1"/>
  <c r="C498" i="5" s="1"/>
  <c r="C237" i="102"/>
  <c r="C133" i="102"/>
  <c r="C20" i="102"/>
  <c r="K18" i="102"/>
  <c r="K20" i="102" s="1"/>
  <c r="C430" i="5" s="1"/>
  <c r="J430" i="5" s="1"/>
  <c r="C41" i="102"/>
  <c r="K38" i="102"/>
  <c r="C31" i="102"/>
  <c r="K29" i="102"/>
  <c r="K31" i="102" s="1"/>
  <c r="C10" i="102"/>
  <c r="K8" i="102"/>
  <c r="K10" i="102" s="1"/>
  <c r="C106" i="102"/>
  <c r="D106" i="102"/>
  <c r="E106" i="102"/>
  <c r="F106" i="102"/>
  <c r="F383" i="102" s="1"/>
  <c r="J209" i="101"/>
  <c r="H209" i="101"/>
  <c r="F209" i="101"/>
  <c r="I106" i="102"/>
  <c r="C101" i="5"/>
  <c r="C134" i="5"/>
  <c r="C147" i="5" s="1"/>
  <c r="C156" i="5" s="1"/>
  <c r="C227" i="5" s="1"/>
  <c r="C176" i="5"/>
  <c r="C168" i="5"/>
  <c r="C170" i="5" s="1"/>
  <c r="C269" i="5"/>
  <c r="K131" i="101"/>
  <c r="K195" i="101"/>
  <c r="C38" i="101"/>
  <c r="C153" i="101"/>
  <c r="C193" i="101"/>
  <c r="K64" i="101"/>
  <c r="K67" i="101" s="1"/>
  <c r="K85" i="101"/>
  <c r="D20" i="101"/>
  <c r="K70" i="101"/>
  <c r="K118" i="101"/>
  <c r="K120" i="101" s="1"/>
  <c r="C166" i="101"/>
  <c r="K155" i="101"/>
  <c r="K157" i="101" s="1"/>
  <c r="D58" i="101"/>
  <c r="K122" i="101"/>
  <c r="K124" i="101" s="1"/>
  <c r="C52" i="5" s="1"/>
  <c r="D153" i="101"/>
  <c r="K30" i="101"/>
  <c r="K32" i="101" s="1"/>
  <c r="K92" i="101"/>
  <c r="C149" i="101"/>
  <c r="C99" i="101"/>
  <c r="K53" i="101"/>
  <c r="K55" i="101" s="1"/>
  <c r="C352" i="5" s="1"/>
  <c r="C50" i="101"/>
  <c r="K40" i="101"/>
  <c r="K42" i="101" s="1"/>
  <c r="C338" i="5" s="1"/>
  <c r="K187" i="101"/>
  <c r="K109" i="101"/>
  <c r="C210" i="102"/>
  <c r="K207" i="102"/>
  <c r="K172" i="102"/>
  <c r="C279" i="102"/>
  <c r="K276" i="102"/>
  <c r="C274" i="102"/>
  <c r="K271" i="102"/>
  <c r="C245" i="102"/>
  <c r="K242" i="102"/>
  <c r="G104" i="102"/>
  <c r="G106" i="102" s="1"/>
  <c r="K103" i="102"/>
  <c r="K104" i="102" s="1"/>
  <c r="K106" i="102" s="1"/>
  <c r="K229" i="102"/>
  <c r="C299" i="102"/>
  <c r="K296" i="102"/>
  <c r="C97" i="102"/>
  <c r="C317" i="102"/>
  <c r="K179" i="102"/>
  <c r="K219" i="102"/>
  <c r="K221" i="102" s="1"/>
  <c r="C495" i="5" s="1"/>
  <c r="C216" i="102"/>
  <c r="K213" i="102"/>
  <c r="K286" i="102"/>
  <c r="C290" i="102"/>
  <c r="C353" i="102"/>
  <c r="K167" i="102"/>
  <c r="K169" i="102" s="1"/>
  <c r="C473" i="5" s="1"/>
  <c r="K202" i="102"/>
  <c r="K204" i="102" s="1"/>
  <c r="C492" i="5" s="1"/>
  <c r="K247" i="102"/>
  <c r="K267" i="102"/>
  <c r="K269" i="102" s="1"/>
  <c r="C507" i="5" s="1"/>
  <c r="K309" i="102"/>
  <c r="C59" i="102"/>
  <c r="K262" i="102"/>
  <c r="K264" i="102" s="1"/>
  <c r="C505" i="5" s="1"/>
  <c r="K292" i="102"/>
  <c r="K294" i="102" s="1"/>
  <c r="C510" i="5" s="1"/>
  <c r="K305" i="102"/>
  <c r="K307" i="102" s="1"/>
  <c r="C514" i="5" s="1"/>
  <c r="C164" i="102"/>
  <c r="K162" i="102"/>
  <c r="K164" i="102" s="1"/>
  <c r="C472" i="5" s="1"/>
  <c r="K197" i="102"/>
  <c r="K199" i="102" s="1"/>
  <c r="C491" i="5" s="1"/>
  <c r="K301" i="102"/>
  <c r="K303" i="102" s="1"/>
  <c r="C513" i="5" s="1"/>
  <c r="K149" i="102"/>
  <c r="K39" i="102"/>
  <c r="K75" i="102"/>
  <c r="K127" i="102"/>
  <c r="K157" i="102"/>
  <c r="C195" i="102"/>
  <c r="K193" i="102"/>
  <c r="K195" i="102" s="1"/>
  <c r="C490" i="5" s="1"/>
  <c r="K361" i="102"/>
  <c r="K363" i="102" s="1"/>
  <c r="C36" i="102"/>
  <c r="K141" i="102"/>
  <c r="C358" i="102"/>
  <c r="K356" i="102"/>
  <c r="K70" i="102"/>
  <c r="K72" i="102" s="1"/>
  <c r="C437" i="5" s="1"/>
  <c r="J437" i="5" s="1"/>
  <c r="C186" i="102"/>
  <c r="K188" i="102"/>
  <c r="K183" i="102"/>
  <c r="J358" i="102"/>
  <c r="M58" i="114"/>
  <c r="G58" i="114"/>
  <c r="G23" i="114"/>
  <c r="L13" i="114"/>
  <c r="C382" i="102" l="1"/>
  <c r="C26" i="121"/>
  <c r="K133" i="101"/>
  <c r="C62" i="5" s="1"/>
  <c r="D11" i="22" s="1"/>
  <c r="C151" i="5"/>
  <c r="K189" i="101"/>
  <c r="C422" i="5"/>
  <c r="C27" i="121"/>
  <c r="K124" i="102"/>
  <c r="C460" i="5" s="1"/>
  <c r="K111" i="101"/>
  <c r="Q9" i="2"/>
  <c r="R10" i="2" s="1"/>
  <c r="K358" i="102"/>
  <c r="L483" i="5"/>
  <c r="K26" i="102"/>
  <c r="C431" i="5" s="1"/>
  <c r="J431" i="5" s="1"/>
  <c r="D137" i="101"/>
  <c r="D139" i="101"/>
  <c r="D26" i="102"/>
  <c r="D382" i="102" s="1"/>
  <c r="K331" i="102"/>
  <c r="K353" i="102" s="1"/>
  <c r="C515" i="5" s="1"/>
  <c r="D21" i="101"/>
  <c r="C149" i="5"/>
  <c r="C388" i="5"/>
  <c r="G209" i="101"/>
  <c r="K88" i="101"/>
  <c r="C392" i="5" s="1"/>
  <c r="K200" i="101"/>
  <c r="C159" i="5" s="1"/>
  <c r="E209" i="101"/>
  <c r="K50" i="101"/>
  <c r="C346" i="5" s="1"/>
  <c r="K166" i="101"/>
  <c r="C93" i="5" s="1"/>
  <c r="K173" i="101"/>
  <c r="C137" i="5" s="1"/>
  <c r="C139" i="5" s="1"/>
  <c r="K94" i="101"/>
  <c r="C391" i="5" s="1"/>
  <c r="K78" i="101"/>
  <c r="C389" i="5" s="1"/>
  <c r="I209" i="101"/>
  <c r="K20" i="101"/>
  <c r="K21" i="101" s="1"/>
  <c r="C321" i="5" s="1"/>
  <c r="C209" i="101"/>
  <c r="J383" i="102"/>
  <c r="J384" i="102" s="1"/>
  <c r="K160" i="102"/>
  <c r="C471" i="5" s="1"/>
  <c r="K186" i="102"/>
  <c r="C488" i="5" s="1"/>
  <c r="K36" i="102"/>
  <c r="C504" i="5" s="1"/>
  <c r="K191" i="102"/>
  <c r="C489" i="5" s="1"/>
  <c r="K210" i="102"/>
  <c r="C493" i="5" s="1"/>
  <c r="I383" i="102"/>
  <c r="K233" i="102"/>
  <c r="C497" i="5" s="1"/>
  <c r="K290" i="102"/>
  <c r="C509" i="5" s="1"/>
  <c r="G383" i="102"/>
  <c r="K279" i="102"/>
  <c r="C536" i="5" s="1"/>
  <c r="K299" i="102"/>
  <c r="C512" i="5" s="1"/>
  <c r="K143" i="102"/>
  <c r="C463" i="5" s="1"/>
  <c r="C14" i="35" s="1"/>
  <c r="K59" i="102"/>
  <c r="C436" i="5" s="1"/>
  <c r="J436" i="5" s="1"/>
  <c r="K133" i="102"/>
  <c r="C461" i="5" s="1"/>
  <c r="I8" i="46" s="1"/>
  <c r="K216" i="102"/>
  <c r="C494" i="5" s="1"/>
  <c r="K245" i="102"/>
  <c r="C499" i="5" s="1"/>
  <c r="E383" i="102"/>
  <c r="K153" i="102"/>
  <c r="C465" i="5" s="1"/>
  <c r="K317" i="102"/>
  <c r="C511" i="5" s="1"/>
  <c r="K252" i="102"/>
  <c r="C500" i="5" s="1"/>
  <c r="K97" i="102"/>
  <c r="C443" i="5" s="1"/>
  <c r="K41" i="102"/>
  <c r="C435" i="5" s="1"/>
  <c r="H384" i="102"/>
  <c r="F384" i="102"/>
  <c r="F385" i="102" s="1"/>
  <c r="C302" i="5"/>
  <c r="C319" i="5" s="1"/>
  <c r="C237" i="5"/>
  <c r="C265" i="5"/>
  <c r="C277" i="5" s="1"/>
  <c r="C292" i="5" s="1"/>
  <c r="K136" i="101"/>
  <c r="K137" i="101" s="1"/>
  <c r="C63" i="5" s="1"/>
  <c r="C11" i="22" s="1"/>
  <c r="K113" i="101"/>
  <c r="K115" i="101" s="1"/>
  <c r="K152" i="101"/>
  <c r="K153" i="101" s="1"/>
  <c r="C78" i="5" s="1"/>
  <c r="C383" i="102"/>
  <c r="L23" i="114"/>
  <c r="M13" i="114"/>
  <c r="M23" i="114" s="1"/>
  <c r="K382" i="102" l="1"/>
  <c r="H385" i="102"/>
  <c r="H14" i="101" s="1"/>
  <c r="C5" i="40"/>
  <c r="G5" i="40" s="1"/>
  <c r="C18" i="35"/>
  <c r="J435" i="5"/>
  <c r="J385" i="102"/>
  <c r="C6" i="40"/>
  <c r="G6" i="40" s="1"/>
  <c r="C394" i="5"/>
  <c r="C480" i="5"/>
  <c r="C483" i="5" s="1"/>
  <c r="D17" i="1" s="1"/>
  <c r="D7" i="107" s="1"/>
  <c r="C12" i="35"/>
  <c r="D16" i="107"/>
  <c r="J386" i="102"/>
  <c r="C95" i="5"/>
  <c r="C98" i="5" s="1"/>
  <c r="C111" i="5"/>
  <c r="C433" i="5"/>
  <c r="C390" i="102"/>
  <c r="D149" i="101"/>
  <c r="D209" i="101" s="1"/>
  <c r="K139" i="101"/>
  <c r="K149" i="101" s="1"/>
  <c r="C71" i="5" s="1"/>
  <c r="I384" i="102"/>
  <c r="I386" i="102" s="1"/>
  <c r="I3" i="102" s="1"/>
  <c r="E384" i="102"/>
  <c r="E386" i="102" s="1"/>
  <c r="E3" i="102" s="1"/>
  <c r="G384" i="102"/>
  <c r="G386" i="102" s="1"/>
  <c r="G3" i="102" s="1"/>
  <c r="H386" i="102"/>
  <c r="F14" i="101"/>
  <c r="F15" i="101" s="1"/>
  <c r="F208" i="101" s="1"/>
  <c r="F210" i="101" s="1"/>
  <c r="F3" i="101" s="1"/>
  <c r="F386" i="102"/>
  <c r="C335" i="5"/>
  <c r="C327" i="5"/>
  <c r="C384" i="102"/>
  <c r="E61" i="35"/>
  <c r="E60" i="35"/>
  <c r="E59" i="35"/>
  <c r="J14" i="101" l="1"/>
  <c r="C33" i="35"/>
  <c r="J433" i="5"/>
  <c r="D22" i="2"/>
  <c r="G18" i="23" s="1"/>
  <c r="C109" i="5"/>
  <c r="C10" i="35"/>
  <c r="M483" i="5"/>
  <c r="C116" i="5"/>
  <c r="D15" i="23"/>
  <c r="C432" i="5"/>
  <c r="C17" i="35"/>
  <c r="K209" i="101"/>
  <c r="C343" i="5"/>
  <c r="C360" i="5" s="1"/>
  <c r="C544" i="5"/>
  <c r="C386" i="102"/>
  <c r="C3" i="102" s="1"/>
  <c r="C11" i="35" l="1"/>
  <c r="C34" i="35" s="1"/>
  <c r="J432" i="5"/>
  <c r="C131" i="5"/>
  <c r="D14" i="22"/>
  <c r="C386" i="5"/>
  <c r="C397" i="5" s="1"/>
  <c r="C368" i="5"/>
  <c r="A66" i="10"/>
  <c r="F330" i="5" l="1"/>
  <c r="E330" i="5"/>
  <c r="F329" i="5"/>
  <c r="M74" i="114"/>
  <c r="L74" i="114"/>
  <c r="K74" i="114"/>
  <c r="J74" i="114"/>
  <c r="I74" i="114"/>
  <c r="H74" i="114"/>
  <c r="G74" i="114"/>
  <c r="F74" i="114"/>
  <c r="E74" i="114"/>
  <c r="D74" i="114"/>
  <c r="C74" i="114"/>
  <c r="B74" i="114"/>
  <c r="M62" i="114"/>
  <c r="L62" i="114"/>
  <c r="H62" i="114"/>
  <c r="G62" i="114"/>
  <c r="B62" i="114"/>
  <c r="M46" i="114"/>
  <c r="L46" i="114"/>
  <c r="H46" i="114"/>
  <c r="G46" i="114"/>
  <c r="B46" i="114"/>
  <c r="M42" i="114"/>
  <c r="L42" i="114"/>
  <c r="K42" i="114"/>
  <c r="J42" i="114"/>
  <c r="I42" i="114"/>
  <c r="H42" i="114"/>
  <c r="G42" i="114"/>
  <c r="F42" i="114"/>
  <c r="E42" i="114"/>
  <c r="D42" i="114"/>
  <c r="C42" i="114"/>
  <c r="B42" i="114"/>
  <c r="N25" i="114"/>
  <c r="N13" i="114"/>
  <c r="J5" i="114"/>
  <c r="I5" i="114"/>
  <c r="G5" i="114"/>
  <c r="F5" i="114" s="1"/>
  <c r="B5" i="114"/>
  <c r="A3" i="114"/>
  <c r="A1" i="114"/>
  <c r="K37" i="10"/>
  <c r="B1" i="101"/>
  <c r="D307" i="5"/>
  <c r="D187" i="5"/>
  <c r="D192" i="5"/>
  <c r="D220" i="5"/>
  <c r="D219" i="5"/>
  <c r="D218" i="5"/>
  <c r="D217" i="5"/>
  <c r="F169" i="5"/>
  <c r="F168" i="5"/>
  <c r="D208" i="5"/>
  <c r="E208" i="5" s="1"/>
  <c r="F186" i="5"/>
  <c r="E40" i="10"/>
  <c r="G38" i="10"/>
  <c r="G37" i="10"/>
  <c r="F40" i="10"/>
  <c r="G35" i="10"/>
  <c r="M32" i="10"/>
  <c r="L30" i="10"/>
  <c r="F332" i="5" l="1"/>
  <c r="D481" i="5"/>
  <c r="M33" i="10"/>
  <c r="E332" i="5"/>
  <c r="F170" i="5"/>
  <c r="D480" i="5"/>
  <c r="D483" i="5" s="1"/>
  <c r="E9" i="2"/>
  <c r="G36" i="10"/>
  <c r="C67" i="2"/>
  <c r="F67" i="2" s="1"/>
  <c r="F55" i="1"/>
  <c r="F54" i="1"/>
  <c r="F53" i="1"/>
  <c r="D513" i="5"/>
  <c r="D507" i="5"/>
  <c r="D15" i="5"/>
  <c r="D498" i="5"/>
  <c r="D473" i="5"/>
  <c r="D472" i="5"/>
  <c r="D464" i="5"/>
  <c r="D462" i="5"/>
  <c r="D13" i="35" s="1"/>
  <c r="C424" i="5"/>
  <c r="D8" i="1" s="1"/>
  <c r="D160" i="5"/>
  <c r="D158" i="5"/>
  <c r="C150" i="5"/>
  <c r="C142" i="5"/>
  <c r="D141" i="5"/>
  <c r="C48" i="35"/>
  <c r="C80" i="5"/>
  <c r="D17" i="2" s="1"/>
  <c r="C73" i="5"/>
  <c r="D16" i="2" s="1"/>
  <c r="C55" i="5"/>
  <c r="D14" i="2" s="1"/>
  <c r="D390" i="5"/>
  <c r="D45" i="2"/>
  <c r="C332" i="5"/>
  <c r="D40" i="2" s="1"/>
  <c r="E13" i="10"/>
  <c r="C220" i="5" s="1"/>
  <c r="E12" i="10"/>
  <c r="C219" i="5" s="1"/>
  <c r="E11" i="10"/>
  <c r="E187" i="5" s="1"/>
  <c r="E10" i="10"/>
  <c r="D503" i="5"/>
  <c r="D13" i="107" s="1"/>
  <c r="D427" i="5"/>
  <c r="D441" i="5" s="1"/>
  <c r="D447" i="5" s="1"/>
  <c r="D458" i="5" s="1"/>
  <c r="D469" i="5" s="1"/>
  <c r="D417" i="5"/>
  <c r="D412" i="5"/>
  <c r="D411" i="5"/>
  <c r="D375" i="5"/>
  <c r="D362" i="5" s="1"/>
  <c r="E48" i="2" s="1"/>
  <c r="D272" i="5"/>
  <c r="D268" i="5"/>
  <c r="D524" i="5" s="1"/>
  <c r="D254" i="5"/>
  <c r="D244" i="5"/>
  <c r="D240" i="5"/>
  <c r="D181" i="5"/>
  <c r="D174" i="5" s="1"/>
  <c r="D151" i="5"/>
  <c r="D130" i="5"/>
  <c r="D123" i="5"/>
  <c r="D116" i="5"/>
  <c r="D94" i="5" s="1"/>
  <c r="D66" i="5"/>
  <c r="D28" i="5"/>
  <c r="D27" i="5"/>
  <c r="D24" i="5"/>
  <c r="D21" i="5"/>
  <c r="D59" i="5" s="1"/>
  <c r="D69" i="5" s="1"/>
  <c r="D76" i="5" s="1"/>
  <c r="D83" i="5" s="1"/>
  <c r="D91" i="5" s="1"/>
  <c r="E371" i="5"/>
  <c r="E63" i="35" l="1"/>
  <c r="G47" i="45"/>
  <c r="D15" i="35"/>
  <c r="D15" i="107"/>
  <c r="C38" i="35"/>
  <c r="D19" i="22"/>
  <c r="D39" i="35"/>
  <c r="C39" i="35" s="1"/>
  <c r="C217" i="5"/>
  <c r="C403" i="5"/>
  <c r="D51" i="2" s="1"/>
  <c r="C162" i="5"/>
  <c r="D25" i="2" s="1"/>
  <c r="C65" i="5"/>
  <c r="D15" i="2" s="1"/>
  <c r="C355" i="5"/>
  <c r="D46" i="2" s="1"/>
  <c r="C324" i="5"/>
  <c r="D39" i="2"/>
  <c r="C340" i="5"/>
  <c r="D41" i="2" s="1"/>
  <c r="D50" i="2"/>
  <c r="C153" i="5"/>
  <c r="D24" i="2" s="1"/>
  <c r="D431" i="5"/>
  <c r="C466" i="5"/>
  <c r="D15" i="1" s="1"/>
  <c r="C539" i="5"/>
  <c r="C508" i="5" s="1"/>
  <c r="D138" i="5"/>
  <c r="D48" i="35" s="1"/>
  <c r="D330" i="5"/>
  <c r="D332" i="5" s="1"/>
  <c r="E40" i="2" s="1"/>
  <c r="D38" i="35" s="1"/>
  <c r="D388" i="5"/>
  <c r="D399" i="5"/>
  <c r="D321" i="5"/>
  <c r="D150" i="5"/>
  <c r="D61" i="5"/>
  <c r="D52" i="5"/>
  <c r="F57" i="1"/>
  <c r="F187" i="5"/>
  <c r="F188" i="5" s="1"/>
  <c r="I93" i="114"/>
  <c r="D176" i="5"/>
  <c r="D168" i="5"/>
  <c r="D170" i="5" s="1"/>
  <c r="D258" i="5"/>
  <c r="D413" i="5"/>
  <c r="D322" i="5"/>
  <c r="D432" i="5"/>
  <c r="D9" i="107" s="1"/>
  <c r="D471" i="5"/>
  <c r="D337" i="5"/>
  <c r="D338" i="5"/>
  <c r="D63" i="5"/>
  <c r="D400" i="5"/>
  <c r="D461" i="5"/>
  <c r="D494" i="5"/>
  <c r="D12" i="35" s="1"/>
  <c r="D490" i="5"/>
  <c r="D36" i="5"/>
  <c r="D48" i="5" s="1"/>
  <c r="D437" i="5"/>
  <c r="C451" i="5"/>
  <c r="C85" i="5" s="1"/>
  <c r="C87" i="5" s="1"/>
  <c r="D20" i="2" s="1"/>
  <c r="D450" i="5"/>
  <c r="D496" i="5"/>
  <c r="D430" i="5"/>
  <c r="D465" i="5"/>
  <c r="D505" i="5"/>
  <c r="D78" i="5"/>
  <c r="D463" i="5"/>
  <c r="D489" i="5"/>
  <c r="D492" i="5"/>
  <c r="D501" i="5"/>
  <c r="D537" i="5"/>
  <c r="D510" i="5"/>
  <c r="C444" i="5"/>
  <c r="D13" i="1" s="1"/>
  <c r="D536" i="5"/>
  <c r="D512" i="5"/>
  <c r="D493" i="5"/>
  <c r="D495" i="5"/>
  <c r="D514" i="5"/>
  <c r="D488" i="5"/>
  <c r="D499" i="5"/>
  <c r="D491" i="5"/>
  <c r="D377" i="5"/>
  <c r="D352" i="5"/>
  <c r="D401" i="5"/>
  <c r="D134" i="5"/>
  <c r="D147" i="5" s="1"/>
  <c r="D156" i="5" s="1"/>
  <c r="D227" i="5" s="1"/>
  <c r="D101" i="5"/>
  <c r="D486" i="5"/>
  <c r="D520" i="5" s="1"/>
  <c r="D534" i="5" s="1"/>
  <c r="D478" i="5"/>
  <c r="D96" i="5"/>
  <c r="D269" i="5"/>
  <c r="F180" i="5"/>
  <c r="F311" i="5"/>
  <c r="F9" i="5"/>
  <c r="E114" i="5"/>
  <c r="E107" i="5"/>
  <c r="E106" i="5"/>
  <c r="E105" i="5"/>
  <c r="E104" i="5"/>
  <c r="D22" i="22" l="1"/>
  <c r="D17" i="22"/>
  <c r="D14" i="35"/>
  <c r="I80" i="46"/>
  <c r="D42" i="2"/>
  <c r="C144" i="5"/>
  <c r="D23" i="2" s="1"/>
  <c r="C49" i="35"/>
  <c r="C50" i="35" s="1"/>
  <c r="D502" i="5"/>
  <c r="C438" i="5"/>
  <c r="D9" i="1" s="1"/>
  <c r="E17" i="1"/>
  <c r="D10" i="35" s="1"/>
  <c r="E10" i="2"/>
  <c r="N23" i="114"/>
  <c r="O25" i="114" s="1"/>
  <c r="D11" i="35"/>
  <c r="D34" i="35" s="1"/>
  <c r="D37" i="35"/>
  <c r="D104" i="5"/>
  <c r="D109" i="5" s="1"/>
  <c r="D93" i="5" s="1"/>
  <c r="D95" i="5" s="1"/>
  <c r="D98" i="5" s="1"/>
  <c r="H98" i="5"/>
  <c r="A224" i="101"/>
  <c r="D149" i="5"/>
  <c r="D161" i="5"/>
  <c r="D340" i="5"/>
  <c r="D346" i="5"/>
  <c r="D71" i="5"/>
  <c r="D62" i="5"/>
  <c r="D460" i="5"/>
  <c r="D159" i="5"/>
  <c r="D389" i="5"/>
  <c r="D500" i="5"/>
  <c r="D497" i="5"/>
  <c r="D515" i="5"/>
  <c r="D511" i="5"/>
  <c r="D443" i="5"/>
  <c r="D509" i="5"/>
  <c r="D422" i="5"/>
  <c r="D391" i="5"/>
  <c r="D302" i="5"/>
  <c r="D319" i="5" s="1"/>
  <c r="D237" i="5"/>
  <c r="D265" i="5"/>
  <c r="D277" i="5" s="1"/>
  <c r="D292" i="5" s="1"/>
  <c r="F17" i="107"/>
  <c r="F407" i="5"/>
  <c r="E407" i="5"/>
  <c r="F412" i="5"/>
  <c r="F411" i="5"/>
  <c r="E411" i="5"/>
  <c r="F417" i="5"/>
  <c r="E417" i="5"/>
  <c r="L373" i="5"/>
  <c r="D10" i="1" l="1"/>
  <c r="N9" i="1"/>
  <c r="N11" i="1" s="1"/>
  <c r="D26" i="2"/>
  <c r="D15" i="22"/>
  <c r="D335" i="5"/>
  <c r="D343" i="5" s="1"/>
  <c r="D360" i="5" s="1"/>
  <c r="D327" i="5"/>
  <c r="D137" i="5"/>
  <c r="D436" i="5"/>
  <c r="D18" i="35" s="1"/>
  <c r="D504" i="5"/>
  <c r="D33" i="35" s="1"/>
  <c r="D433" i="5"/>
  <c r="F413" i="5"/>
  <c r="D131" i="5"/>
  <c r="E22" i="2"/>
  <c r="I98" i="5"/>
  <c r="J28" i="2"/>
  <c r="F130" i="5"/>
  <c r="E130" i="5"/>
  <c r="F506" i="5"/>
  <c r="D544" i="5" l="1"/>
  <c r="D49" i="35"/>
  <c r="D50" i="35" s="1"/>
  <c r="D139" i="5"/>
  <c r="D17" i="35"/>
  <c r="H27" i="1"/>
  <c r="D386" i="5"/>
  <c r="D397" i="5" s="1"/>
  <c r="D368" i="5"/>
  <c r="M60" i="71" l="1"/>
  <c r="L60" i="71"/>
  <c r="I60" i="71"/>
  <c r="H60" i="71"/>
  <c r="G60" i="71"/>
  <c r="F60" i="71"/>
  <c r="E60" i="71"/>
  <c r="F82" i="112"/>
  <c r="G81" i="112"/>
  <c r="E81" i="112"/>
  <c r="E82" i="112" s="1"/>
  <c r="D81" i="112"/>
  <c r="G79" i="112"/>
  <c r="P53" i="112"/>
  <c r="K46" i="112"/>
  <c r="C44" i="112"/>
  <c r="C43" i="112"/>
  <c r="L23" i="112"/>
  <c r="L24" i="112" s="1"/>
  <c r="K4" i="112"/>
  <c r="J8" i="112" s="1"/>
  <c r="G82" i="112" l="1"/>
  <c r="L25" i="112"/>
  <c r="N24" i="112"/>
  <c r="K5" i="112"/>
  <c r="N23" i="112"/>
  <c r="D79" i="112"/>
  <c r="D82" i="112" s="1"/>
  <c r="M25" i="112" l="1"/>
  <c r="L26" i="112"/>
  <c r="N25" i="112"/>
  <c r="L27" i="112"/>
  <c r="E108" i="5"/>
  <c r="E109" i="5" l="1"/>
  <c r="E93" i="5" s="1"/>
  <c r="M26" i="112"/>
  <c r="N26" i="112" s="1"/>
  <c r="N27" i="112" s="1"/>
  <c r="J52" i="5"/>
  <c r="J19" i="6"/>
  <c r="I19" i="6"/>
  <c r="J15" i="6"/>
  <c r="J13" i="6"/>
  <c r="I13" i="6"/>
  <c r="M27" i="112" l="1"/>
  <c r="E69" i="112"/>
  <c r="G22" i="112"/>
  <c r="F55" i="5"/>
  <c r="I75" i="46" l="1"/>
  <c r="I74" i="46"/>
  <c r="I73" i="46"/>
  <c r="I72" i="46"/>
  <c r="I71" i="46"/>
  <c r="I70" i="46"/>
  <c r="I69" i="46"/>
  <c r="I68" i="46"/>
  <c r="I67" i="46"/>
  <c r="I66" i="46"/>
  <c r="F254" i="5"/>
  <c r="E198" i="5"/>
  <c r="H52" i="2" l="1"/>
  <c r="I52" i="2"/>
  <c r="I42" i="2"/>
  <c r="I35" i="2"/>
  <c r="I26" i="2"/>
  <c r="I18" i="2"/>
  <c r="I28" i="2" s="1"/>
  <c r="K58" i="35"/>
  <c r="K57" i="35"/>
  <c r="K56" i="35"/>
  <c r="K55" i="35"/>
  <c r="K54" i="35"/>
  <c r="K51" i="35"/>
  <c r="K47" i="35"/>
  <c r="K46" i="35"/>
  <c r="K44" i="35"/>
  <c r="K42" i="35"/>
  <c r="K38" i="35"/>
  <c r="K37" i="35"/>
  <c r="K36" i="35"/>
  <c r="K30" i="35"/>
  <c r="K28" i="35"/>
  <c r="K21" i="35"/>
  <c r="K20" i="35"/>
  <c r="K9" i="35"/>
  <c r="I74" i="6"/>
  <c r="F481" i="5" s="1"/>
  <c r="H74" i="6"/>
  <c r="I54" i="2" l="1"/>
  <c r="K58" i="2" s="1"/>
  <c r="AW99" i="102"/>
  <c r="AX100" i="102" s="1"/>
  <c r="E45" i="2" l="1"/>
  <c r="E66" i="5"/>
  <c r="F66" i="5" s="1"/>
  <c r="A1" i="102" l="1"/>
  <c r="C4" i="32"/>
  <c r="G11" i="32" s="1"/>
  <c r="F4" i="32"/>
  <c r="C5" i="32"/>
  <c r="P12" i="32" s="1"/>
  <c r="E5" i="32"/>
  <c r="D12" i="32" s="1"/>
  <c r="C6" i="32"/>
  <c r="D13" i="32" s="1"/>
  <c r="D7" i="32"/>
  <c r="G7" i="32"/>
  <c r="H7" i="32"/>
  <c r="I7" i="32"/>
  <c r="P7" i="32"/>
  <c r="Q7" i="32"/>
  <c r="R7" i="32"/>
  <c r="S7" i="32"/>
  <c r="T7" i="32"/>
  <c r="P10" i="32"/>
  <c r="Q10" i="32"/>
  <c r="R10" i="32"/>
  <c r="S10" i="32"/>
  <c r="N11" i="32"/>
  <c r="O11" i="32" s="1"/>
  <c r="P11" i="32" s="1"/>
  <c r="F12" i="32"/>
  <c r="Q12" i="32"/>
  <c r="R12" i="32"/>
  <c r="S12" i="32"/>
  <c r="P13" i="32"/>
  <c r="H14" i="32"/>
  <c r="T14" i="32"/>
  <c r="S19" i="32" s="1"/>
  <c r="P17" i="32"/>
  <c r="Q17" i="32"/>
  <c r="R17" i="32"/>
  <c r="S17" i="32"/>
  <c r="T17" i="32"/>
  <c r="T19" i="32"/>
  <c r="S20" i="32"/>
  <c r="T20" i="32"/>
  <c r="T22" i="32" s="1"/>
  <c r="R3" i="101"/>
  <c r="N3" i="101"/>
  <c r="D11" i="32" l="1"/>
  <c r="F11" i="32"/>
  <c r="R20" i="32"/>
  <c r="F14" i="32"/>
  <c r="F19" i="32" s="1"/>
  <c r="G12" i="32"/>
  <c r="G14" i="32" s="1"/>
  <c r="S3" i="101"/>
  <c r="P3" i="101"/>
  <c r="Q3" i="101"/>
  <c r="N131" i="115"/>
  <c r="O131" i="115" s="1"/>
  <c r="N210" i="115"/>
  <c r="O210" i="115" s="1"/>
  <c r="N198" i="115"/>
  <c r="O198" i="115" s="1"/>
  <c r="N186" i="115"/>
  <c r="O186" i="115" s="1"/>
  <c r="N174" i="115"/>
  <c r="O174" i="115" s="1"/>
  <c r="N162" i="115"/>
  <c r="O162" i="115" s="1"/>
  <c r="N150" i="115"/>
  <c r="O150" i="115" s="1"/>
  <c r="N138" i="115"/>
  <c r="O138" i="115" s="1"/>
  <c r="N112" i="115"/>
  <c r="O112" i="115" s="1"/>
  <c r="N100" i="115"/>
  <c r="O100" i="115" s="1"/>
  <c r="N88" i="115"/>
  <c r="O88" i="115" s="1"/>
  <c r="N130" i="115"/>
  <c r="O130" i="115" s="1"/>
  <c r="N209" i="115"/>
  <c r="O209" i="115" s="1"/>
  <c r="N197" i="115"/>
  <c r="O197" i="115" s="1"/>
  <c r="N185" i="115"/>
  <c r="O185" i="115" s="1"/>
  <c r="N173" i="115"/>
  <c r="O173" i="115" s="1"/>
  <c r="N161" i="115"/>
  <c r="O161" i="115" s="1"/>
  <c r="N149" i="115"/>
  <c r="O149" i="115" s="1"/>
  <c r="N137" i="115"/>
  <c r="O137" i="115" s="1"/>
  <c r="N111" i="115"/>
  <c r="O111" i="115" s="1"/>
  <c r="N99" i="115"/>
  <c r="O99" i="115" s="1"/>
  <c r="N87" i="115"/>
  <c r="O87" i="115" s="1"/>
  <c r="N129" i="115"/>
  <c r="O129" i="115" s="1"/>
  <c r="N208" i="115"/>
  <c r="O208" i="115" s="1"/>
  <c r="N196" i="115"/>
  <c r="O196" i="115" s="1"/>
  <c r="N184" i="115"/>
  <c r="O184" i="115" s="1"/>
  <c r="N172" i="115"/>
  <c r="O172" i="115" s="1"/>
  <c r="N160" i="115"/>
  <c r="O160" i="115" s="1"/>
  <c r="N148" i="115"/>
  <c r="O148" i="115" s="1"/>
  <c r="N122" i="115"/>
  <c r="O122" i="115" s="1"/>
  <c r="N110" i="115"/>
  <c r="O110" i="115" s="1"/>
  <c r="N98" i="115"/>
  <c r="O98" i="115" s="1"/>
  <c r="N128" i="115"/>
  <c r="O128" i="115" s="1"/>
  <c r="N207" i="115"/>
  <c r="O207" i="115" s="1"/>
  <c r="N195" i="115"/>
  <c r="O195" i="115" s="1"/>
  <c r="N183" i="115"/>
  <c r="O183" i="115" s="1"/>
  <c r="N171" i="115"/>
  <c r="O171" i="115" s="1"/>
  <c r="N159" i="115"/>
  <c r="O159" i="115" s="1"/>
  <c r="N147" i="115"/>
  <c r="O147" i="115" s="1"/>
  <c r="N121" i="115"/>
  <c r="O121" i="115" s="1"/>
  <c r="N109" i="115"/>
  <c r="O109" i="115" s="1"/>
  <c r="N97" i="115"/>
  <c r="O97" i="115" s="1"/>
  <c r="N127" i="115"/>
  <c r="O127" i="115" s="1"/>
  <c r="N206" i="115"/>
  <c r="O206" i="115" s="1"/>
  <c r="N194" i="115"/>
  <c r="O194" i="115" s="1"/>
  <c r="N182" i="115"/>
  <c r="O182" i="115" s="1"/>
  <c r="N170" i="115"/>
  <c r="O170" i="115" s="1"/>
  <c r="N158" i="115"/>
  <c r="O158" i="115" s="1"/>
  <c r="N146" i="115"/>
  <c r="O146" i="115" s="1"/>
  <c r="N120" i="115"/>
  <c r="O120" i="115" s="1"/>
  <c r="N108" i="115"/>
  <c r="O108" i="115" s="1"/>
  <c r="N96" i="115"/>
  <c r="O96" i="115" s="1"/>
  <c r="N126" i="115"/>
  <c r="O126" i="115" s="1"/>
  <c r="N205" i="115"/>
  <c r="O205" i="115" s="1"/>
  <c r="N193" i="115"/>
  <c r="O193" i="115" s="1"/>
  <c r="N181" i="115"/>
  <c r="O181" i="115" s="1"/>
  <c r="N169" i="115"/>
  <c r="O169" i="115" s="1"/>
  <c r="N157" i="115"/>
  <c r="O157" i="115" s="1"/>
  <c r="N145" i="115"/>
  <c r="O145" i="115" s="1"/>
  <c r="N119" i="115"/>
  <c r="O119" i="115" s="1"/>
  <c r="N107" i="115"/>
  <c r="O107" i="115" s="1"/>
  <c r="N95" i="115"/>
  <c r="O95" i="115" s="1"/>
  <c r="N125" i="115"/>
  <c r="O125" i="115" s="1"/>
  <c r="N204" i="115"/>
  <c r="O204" i="115" s="1"/>
  <c r="N192" i="115"/>
  <c r="O192" i="115" s="1"/>
  <c r="N180" i="115"/>
  <c r="O180" i="115" s="1"/>
  <c r="N168" i="115"/>
  <c r="O168" i="115" s="1"/>
  <c r="N156" i="115"/>
  <c r="O156" i="115" s="1"/>
  <c r="N144" i="115"/>
  <c r="O144" i="115" s="1"/>
  <c r="N118" i="115"/>
  <c r="O118" i="115" s="1"/>
  <c r="N106" i="115"/>
  <c r="O106" i="115" s="1"/>
  <c r="N94" i="115"/>
  <c r="O94" i="115" s="1"/>
  <c r="N124" i="115"/>
  <c r="O124" i="115" s="1"/>
  <c r="N203" i="115"/>
  <c r="O203" i="115" s="1"/>
  <c r="N191" i="115"/>
  <c r="O191" i="115" s="1"/>
  <c r="N179" i="115"/>
  <c r="O179" i="115" s="1"/>
  <c r="N167" i="115"/>
  <c r="O167" i="115" s="1"/>
  <c r="N155" i="115"/>
  <c r="O155" i="115" s="1"/>
  <c r="N143" i="115"/>
  <c r="O143" i="115" s="1"/>
  <c r="N117" i="115"/>
  <c r="O117" i="115" s="1"/>
  <c r="N105" i="115"/>
  <c r="O105" i="115" s="1"/>
  <c r="N93" i="115"/>
  <c r="O93" i="115" s="1"/>
  <c r="N136" i="115"/>
  <c r="O136" i="115" s="1"/>
  <c r="N123" i="115"/>
  <c r="O123" i="115" s="1"/>
  <c r="N202" i="115"/>
  <c r="O202" i="115" s="1"/>
  <c r="N190" i="115"/>
  <c r="O190" i="115" s="1"/>
  <c r="N178" i="115"/>
  <c r="O178" i="115" s="1"/>
  <c r="N166" i="115"/>
  <c r="O166" i="115" s="1"/>
  <c r="N154" i="115"/>
  <c r="O154" i="115" s="1"/>
  <c r="N142" i="115"/>
  <c r="O142" i="115" s="1"/>
  <c r="N116" i="115"/>
  <c r="O116" i="115" s="1"/>
  <c r="N104" i="115"/>
  <c r="O104" i="115" s="1"/>
  <c r="N92" i="115"/>
  <c r="O92" i="115" s="1"/>
  <c r="N135" i="115"/>
  <c r="O135" i="115" s="1"/>
  <c r="N201" i="115"/>
  <c r="O201" i="115" s="1"/>
  <c r="N189" i="115"/>
  <c r="O189" i="115" s="1"/>
  <c r="N177" i="115"/>
  <c r="O177" i="115" s="1"/>
  <c r="N165" i="115"/>
  <c r="O165" i="115" s="1"/>
  <c r="N153" i="115"/>
  <c r="O153" i="115" s="1"/>
  <c r="N141" i="115"/>
  <c r="O141" i="115" s="1"/>
  <c r="N115" i="115"/>
  <c r="O115" i="115" s="1"/>
  <c r="N103" i="115"/>
  <c r="O103" i="115" s="1"/>
  <c r="N91" i="115"/>
  <c r="O91" i="115" s="1"/>
  <c r="N134" i="115"/>
  <c r="O134" i="115" s="1"/>
  <c r="N200" i="115"/>
  <c r="O200" i="115" s="1"/>
  <c r="N188" i="115"/>
  <c r="O188" i="115" s="1"/>
  <c r="N176" i="115"/>
  <c r="O176" i="115" s="1"/>
  <c r="N164" i="115"/>
  <c r="O164" i="115" s="1"/>
  <c r="N152" i="115"/>
  <c r="O152" i="115" s="1"/>
  <c r="N140" i="115"/>
  <c r="O140" i="115" s="1"/>
  <c r="N114" i="115"/>
  <c r="O114" i="115" s="1"/>
  <c r="N102" i="115"/>
  <c r="O102" i="115" s="1"/>
  <c r="N90" i="115"/>
  <c r="O90" i="115" s="1"/>
  <c r="N133" i="115"/>
  <c r="O133" i="115" s="1"/>
  <c r="N211" i="115"/>
  <c r="O211" i="115" s="1"/>
  <c r="N199" i="115"/>
  <c r="O199" i="115" s="1"/>
  <c r="N187" i="115"/>
  <c r="O187" i="115" s="1"/>
  <c r="N175" i="115"/>
  <c r="O175" i="115" s="1"/>
  <c r="N163" i="115"/>
  <c r="O163" i="115" s="1"/>
  <c r="N151" i="115"/>
  <c r="O151" i="115" s="1"/>
  <c r="N139" i="115"/>
  <c r="O139" i="115" s="1"/>
  <c r="N113" i="115"/>
  <c r="O113" i="115" s="1"/>
  <c r="N101" i="115"/>
  <c r="O101" i="115" s="1"/>
  <c r="N89" i="115"/>
  <c r="O89" i="115" s="1"/>
  <c r="P14" i="32"/>
  <c r="P15" i="32" s="1"/>
  <c r="E11" i="32"/>
  <c r="F7" i="32"/>
  <c r="S22" i="32"/>
  <c r="D14" i="32"/>
  <c r="D15" i="32" s="1"/>
  <c r="S11" i="32"/>
  <c r="R11" i="32"/>
  <c r="E7" i="32"/>
  <c r="E12" i="32"/>
  <c r="Q11" i="32"/>
  <c r="C549" i="5" s="1"/>
  <c r="A1" i="101"/>
  <c r="E14" i="32" l="1"/>
  <c r="E20" i="32"/>
  <c r="D20" i="32"/>
  <c r="R14" i="32"/>
  <c r="Q19" i="32" s="1"/>
  <c r="D547" i="5"/>
  <c r="E546" i="5"/>
  <c r="Q14" i="32"/>
  <c r="P19" i="32" s="1"/>
  <c r="D546" i="5"/>
  <c r="S14" i="32"/>
  <c r="R19" i="32" s="1"/>
  <c r="R22" i="32" s="1"/>
  <c r="E547" i="5"/>
  <c r="E19" i="32"/>
  <c r="D19" i="32"/>
  <c r="D22" i="32" l="1"/>
  <c r="E22" i="32"/>
  <c r="D549" i="5"/>
  <c r="P20" i="32"/>
  <c r="P22" i="32" s="1"/>
  <c r="Q20" i="32"/>
  <c r="Q22" i="32"/>
  <c r="D142" i="5" l="1"/>
  <c r="D80" i="5"/>
  <c r="E17" i="2" s="1"/>
  <c r="D73" i="5"/>
  <c r="E16" i="2" s="1"/>
  <c r="D55" i="5"/>
  <c r="E14" i="2" s="1"/>
  <c r="D324" i="5" l="1"/>
  <c r="E39" i="2"/>
  <c r="D355" i="5"/>
  <c r="E46" i="2" s="1"/>
  <c r="D144" i="5"/>
  <c r="E23" i="2" s="1"/>
  <c r="E41" i="2"/>
  <c r="D403" i="5"/>
  <c r="E51" i="2" s="1"/>
  <c r="D394" i="5"/>
  <c r="E50" i="2" s="1"/>
  <c r="D153" i="5"/>
  <c r="E24" i="2" s="1"/>
  <c r="D65" i="5"/>
  <c r="E15" i="2" s="1"/>
  <c r="D162" i="5"/>
  <c r="E25" i="2" s="1"/>
  <c r="D31" i="1"/>
  <c r="AX329" i="102"/>
  <c r="E31" i="1"/>
  <c r="D444" i="5"/>
  <c r="E13" i="1" s="1"/>
  <c r="D424" i="5"/>
  <c r="E8" i="1" s="1"/>
  <c r="E160" i="5"/>
  <c r="E42" i="2" l="1"/>
  <c r="D539" i="5"/>
  <c r="D508" i="5" s="1"/>
  <c r="D451" i="5"/>
  <c r="D85" i="5" s="1"/>
  <c r="D87" i="5" s="1"/>
  <c r="D438" i="5"/>
  <c r="E9" i="1" s="1"/>
  <c r="E10" i="1" s="1"/>
  <c r="D466" i="5"/>
  <c r="E15" i="1" s="1"/>
  <c r="D41" i="5"/>
  <c r="D312" i="5"/>
  <c r="AV329" i="102"/>
  <c r="D381" i="5"/>
  <c r="D363" i="5" s="1"/>
  <c r="I15" i="101" l="1"/>
  <c r="I208" i="101" s="1"/>
  <c r="I210" i="101" s="1"/>
  <c r="I3" i="101" s="1"/>
  <c r="D517" i="5"/>
  <c r="E18" i="1" s="1"/>
  <c r="E20" i="2"/>
  <c r="D365" i="5"/>
  <c r="E49" i="2"/>
  <c r="G60" i="10"/>
  <c r="G59" i="10"/>
  <c r="G58" i="10"/>
  <c r="G56" i="10"/>
  <c r="AV102" i="102"/>
  <c r="AV101" i="102"/>
  <c r="AV98" i="102"/>
  <c r="K10" i="101" l="1"/>
  <c r="E26" i="2"/>
  <c r="E52" i="2"/>
  <c r="AX321" i="102"/>
  <c r="AX348" i="102"/>
  <c r="AX313" i="102"/>
  <c r="AX336" i="102"/>
  <c r="AX315" i="102"/>
  <c r="E391" i="5"/>
  <c r="AV92" i="102"/>
  <c r="S2" i="101" l="1"/>
  <c r="T1" i="101" s="1"/>
  <c r="O1" i="101"/>
  <c r="P1" i="101" s="1"/>
  <c r="R1" i="101" s="1"/>
  <c r="K9" i="101"/>
  <c r="E377" i="5"/>
  <c r="AV315" i="102"/>
  <c r="AV348" i="102"/>
  <c r="AX271" i="102"/>
  <c r="AX320" i="102"/>
  <c r="F160" i="5"/>
  <c r="F21" i="5"/>
  <c r="E21" i="5"/>
  <c r="AV320" i="102" l="1"/>
  <c r="F391" i="5"/>
  <c r="D475" i="5"/>
  <c r="E16" i="1" s="1"/>
  <c r="L23" i="109"/>
  <c r="N23" i="109"/>
  <c r="L24" i="109"/>
  <c r="N24" i="109"/>
  <c r="L25" i="109"/>
  <c r="M25" i="109"/>
  <c r="N25" i="109" s="1"/>
  <c r="L26" i="109" l="1"/>
  <c r="M26" i="109" l="1"/>
  <c r="M27" i="109" s="1"/>
  <c r="L27" i="109"/>
  <c r="M49" i="71"/>
  <c r="L49" i="71"/>
  <c r="I49" i="71"/>
  <c r="H49" i="71"/>
  <c r="G49" i="71"/>
  <c r="F49" i="71"/>
  <c r="E49" i="71"/>
  <c r="F80" i="109"/>
  <c r="G79" i="109"/>
  <c r="E79" i="109"/>
  <c r="E80" i="109" s="1"/>
  <c r="D79" i="109"/>
  <c r="G77" i="109"/>
  <c r="P51" i="109"/>
  <c r="K45" i="109"/>
  <c r="C43" i="109"/>
  <c r="C42" i="109"/>
  <c r="C21" i="109"/>
  <c r="D22" i="109" s="1"/>
  <c r="K4" i="109"/>
  <c r="K5" i="109" s="1"/>
  <c r="N26" i="109" l="1"/>
  <c r="N27" i="109" s="1"/>
  <c r="D77" i="109"/>
  <c r="D80" i="109" s="1"/>
  <c r="G80" i="109"/>
  <c r="J8" i="109"/>
  <c r="E22" i="109" l="1"/>
  <c r="G22" i="109" s="1"/>
  <c r="E67" i="109" l="1"/>
  <c r="F381" i="5" l="1"/>
  <c r="F375" i="5" l="1"/>
  <c r="F175" i="5" l="1"/>
  <c r="F123" i="5" l="1"/>
  <c r="E123" i="5"/>
  <c r="F116" i="5"/>
  <c r="E116" i="5"/>
  <c r="E94" i="5" s="1"/>
  <c r="F109" i="5"/>
  <c r="E131" i="5" l="1"/>
  <c r="F131" i="5"/>
  <c r="E96" i="5"/>
  <c r="E506" i="5"/>
  <c r="F525" i="5"/>
  <c r="E381" i="5"/>
  <c r="E363" i="5" s="1"/>
  <c r="E375" i="5"/>
  <c r="E362" i="5" s="1"/>
  <c r="K39" i="35" l="1"/>
  <c r="J43" i="35"/>
  <c r="F502" i="5" l="1"/>
  <c r="M38" i="71"/>
  <c r="L38" i="71"/>
  <c r="I38" i="71"/>
  <c r="H38" i="71"/>
  <c r="G38" i="71"/>
  <c r="F38" i="71"/>
  <c r="E38" i="71"/>
  <c r="M27" i="71"/>
  <c r="L27" i="71"/>
  <c r="I27" i="71"/>
  <c r="H27" i="71"/>
  <c r="G27" i="71"/>
  <c r="F27" i="71"/>
  <c r="E27" i="71"/>
  <c r="M13" i="71"/>
  <c r="L13" i="71"/>
  <c r="I13" i="71"/>
  <c r="H13" i="71"/>
  <c r="G13" i="71"/>
  <c r="F13" i="71"/>
  <c r="E13" i="71"/>
  <c r="C13" i="71"/>
  <c r="K12" i="71"/>
  <c r="N12" i="71" s="1"/>
  <c r="J12" i="71"/>
  <c r="K11" i="71"/>
  <c r="N11" i="71" s="1"/>
  <c r="J11" i="71"/>
  <c r="K10" i="71"/>
  <c r="N10" i="71" s="1"/>
  <c r="J10" i="71"/>
  <c r="K9" i="71"/>
  <c r="N9" i="71" s="1"/>
  <c r="J9" i="71"/>
  <c r="F70" i="70"/>
  <c r="E69" i="70"/>
  <c r="E70" i="70" s="1"/>
  <c r="D69" i="70"/>
  <c r="G54" i="70"/>
  <c r="G49" i="70"/>
  <c r="M43" i="70"/>
  <c r="C41" i="70"/>
  <c r="C42" i="70" s="1"/>
  <c r="D42" i="70" s="1"/>
  <c r="E42" i="70" s="1"/>
  <c r="C39" i="70"/>
  <c r="C38" i="70"/>
  <c r="D67" i="70" s="1"/>
  <c r="D70" i="70" s="1"/>
  <c r="F36" i="70"/>
  <c r="C35" i="70"/>
  <c r="C36" i="70" s="1"/>
  <c r="D36" i="70" s="1"/>
  <c r="E36" i="70" s="1"/>
  <c r="G36" i="70" s="1"/>
  <c r="D27" i="70"/>
  <c r="E27" i="70" s="1"/>
  <c r="I27" i="121" s="1"/>
  <c r="I23" i="70"/>
  <c r="C21" i="70"/>
  <c r="D22" i="70" s="1"/>
  <c r="G72" i="69"/>
  <c r="F72" i="69"/>
  <c r="G71" i="69"/>
  <c r="E71" i="69"/>
  <c r="E72" i="69" s="1"/>
  <c r="D71" i="69"/>
  <c r="G69" i="69"/>
  <c r="E51" i="69"/>
  <c r="P45" i="69"/>
  <c r="K42" i="69"/>
  <c r="C40" i="69"/>
  <c r="C39" i="69"/>
  <c r="D27" i="69"/>
  <c r="E27" i="69" s="1"/>
  <c r="F27" i="99" s="1"/>
  <c r="L23" i="69"/>
  <c r="L24" i="69" s="1"/>
  <c r="C21" i="69"/>
  <c r="D22" i="69" s="1"/>
  <c r="F14" i="69"/>
  <c r="K3" i="69"/>
  <c r="F76" i="99"/>
  <c r="E76" i="99"/>
  <c r="G75" i="99"/>
  <c r="E75" i="99"/>
  <c r="D75" i="99"/>
  <c r="G73" i="99"/>
  <c r="D73" i="99"/>
  <c r="P47" i="99"/>
  <c r="K43" i="99"/>
  <c r="C41" i="99"/>
  <c r="C40" i="99"/>
  <c r="L23" i="99"/>
  <c r="C21" i="99"/>
  <c r="D22" i="99" s="1"/>
  <c r="K4" i="99"/>
  <c r="J8" i="99" s="1"/>
  <c r="C53" i="32"/>
  <c r="C52" i="32"/>
  <c r="C51" i="32"/>
  <c r="D8" i="107" s="1"/>
  <c r="C50" i="32"/>
  <c r="H42" i="32"/>
  <c r="H39" i="32"/>
  <c r="G39" i="32"/>
  <c r="B33" i="32"/>
  <c r="B36" i="32" s="1"/>
  <c r="B32" i="32"/>
  <c r="B30" i="32"/>
  <c r="N82" i="106"/>
  <c r="H74" i="106"/>
  <c r="J75" i="106" s="1"/>
  <c r="E70" i="106"/>
  <c r="D70" i="106"/>
  <c r="D60" i="106"/>
  <c r="D50" i="106"/>
  <c r="D40" i="106"/>
  <c r="J31" i="106"/>
  <c r="E20" i="106"/>
  <c r="I18" i="106"/>
  <c r="H18" i="106"/>
  <c r="G18" i="106"/>
  <c r="F18" i="106"/>
  <c r="E18" i="106"/>
  <c r="J16" i="106"/>
  <c r="J18" i="106" s="1"/>
  <c r="E11" i="106"/>
  <c r="H29" i="106" s="1"/>
  <c r="B47" i="45"/>
  <c r="E47" i="45"/>
  <c r="B46" i="45"/>
  <c r="E45" i="45"/>
  <c r="E44" i="45"/>
  <c r="E43" i="45"/>
  <c r="A3" i="45"/>
  <c r="A3" i="47"/>
  <c r="G10" i="24"/>
  <c r="G9" i="24"/>
  <c r="F17" i="47"/>
  <c r="E17" i="47"/>
  <c r="A38" i="23"/>
  <c r="E35" i="23"/>
  <c r="E34" i="23"/>
  <c r="D18" i="23"/>
  <c r="F33" i="22"/>
  <c r="F41" i="22" s="1"/>
  <c r="C33" i="22"/>
  <c r="C41" i="22" s="1"/>
  <c r="A3" i="22"/>
  <c r="E38" i="46"/>
  <c r="G33" i="46"/>
  <c r="E33" i="46"/>
  <c r="E25" i="46"/>
  <c r="G21" i="46"/>
  <c r="G20" i="46"/>
  <c r="A3" i="46"/>
  <c r="K74" i="6"/>
  <c r="J74" i="6"/>
  <c r="F74" i="6"/>
  <c r="E74" i="6"/>
  <c r="D74" i="6"/>
  <c r="C74" i="6"/>
  <c r="B74" i="6"/>
  <c r="L71" i="6"/>
  <c r="M71" i="6" s="1"/>
  <c r="G71" i="6"/>
  <c r="L69" i="6"/>
  <c r="G69" i="6"/>
  <c r="L67" i="6"/>
  <c r="G67" i="6"/>
  <c r="M62" i="6"/>
  <c r="L62" i="6"/>
  <c r="H62" i="6"/>
  <c r="G62" i="6"/>
  <c r="B62" i="6"/>
  <c r="K58" i="6"/>
  <c r="J58" i="6"/>
  <c r="I58" i="6"/>
  <c r="E481" i="5" s="1"/>
  <c r="H58" i="6"/>
  <c r="F58" i="6"/>
  <c r="E58" i="6"/>
  <c r="D58" i="6"/>
  <c r="C58" i="6"/>
  <c r="B58" i="6"/>
  <c r="L55" i="6"/>
  <c r="G55" i="6"/>
  <c r="L53" i="6"/>
  <c r="G53" i="6"/>
  <c r="L51" i="6"/>
  <c r="G51" i="6"/>
  <c r="M46" i="6"/>
  <c r="L46" i="6"/>
  <c r="H46" i="6"/>
  <c r="G46" i="6"/>
  <c r="B46" i="6"/>
  <c r="K42" i="6"/>
  <c r="J42" i="6"/>
  <c r="I42" i="6"/>
  <c r="H42" i="6"/>
  <c r="F42" i="6"/>
  <c r="E42" i="6"/>
  <c r="D42" i="6"/>
  <c r="F31" i="35" s="1"/>
  <c r="K31" i="35" s="1"/>
  <c r="C42" i="6"/>
  <c r="B42" i="6"/>
  <c r="L38" i="6"/>
  <c r="G38" i="6"/>
  <c r="L36" i="6"/>
  <c r="G36" i="6"/>
  <c r="L34" i="6"/>
  <c r="G34" i="6"/>
  <c r="L32" i="6"/>
  <c r="G32" i="6"/>
  <c r="K23" i="6"/>
  <c r="J23" i="6"/>
  <c r="I23" i="6"/>
  <c r="H23" i="6"/>
  <c r="F23" i="6"/>
  <c r="E23" i="6"/>
  <c r="D23" i="6"/>
  <c r="C23" i="6"/>
  <c r="B23" i="6"/>
  <c r="L19" i="6"/>
  <c r="G19" i="6"/>
  <c r="L17" i="6"/>
  <c r="G17" i="6"/>
  <c r="L15" i="6"/>
  <c r="G15" i="6"/>
  <c r="L13" i="6"/>
  <c r="G13" i="6"/>
  <c r="A3" i="6"/>
  <c r="A3" i="108" s="1"/>
  <c r="A1" i="6"/>
  <c r="AV313" i="102"/>
  <c r="AV321" i="102"/>
  <c r="AV82" i="102"/>
  <c r="AV93" i="102"/>
  <c r="AV91" i="102"/>
  <c r="E159" i="5"/>
  <c r="AX314" i="102"/>
  <c r="AX344" i="102"/>
  <c r="AX343" i="102"/>
  <c r="AX342" i="102"/>
  <c r="AX341" i="102"/>
  <c r="AX340" i="102"/>
  <c r="AX339" i="102"/>
  <c r="AX330" i="102"/>
  <c r="E513" i="5"/>
  <c r="F493" i="5"/>
  <c r="F464" i="5"/>
  <c r="F15" i="107" s="1"/>
  <c r="F462" i="5"/>
  <c r="F432" i="5"/>
  <c r="F9" i="107" s="1"/>
  <c r="F433" i="5"/>
  <c r="F17" i="35" s="1"/>
  <c r="AY12" i="102"/>
  <c r="F141" i="5"/>
  <c r="F142" i="5" s="1"/>
  <c r="E141" i="5"/>
  <c r="E142" i="5" s="1"/>
  <c r="F78" i="5"/>
  <c r="F63" i="5"/>
  <c r="F401" i="5"/>
  <c r="E401" i="5"/>
  <c r="F400" i="5"/>
  <c r="F390" i="5"/>
  <c r="E390" i="5"/>
  <c r="F362" i="5"/>
  <c r="G48" i="2" s="1"/>
  <c r="I362" i="5"/>
  <c r="F352" i="5"/>
  <c r="F346" i="5"/>
  <c r="F338" i="5"/>
  <c r="E400" i="5"/>
  <c r="F337" i="5"/>
  <c r="F549" i="5"/>
  <c r="E549" i="5"/>
  <c r="F480" i="5"/>
  <c r="F427" i="5"/>
  <c r="F441" i="5" s="1"/>
  <c r="F447" i="5" s="1"/>
  <c r="F458" i="5" s="1"/>
  <c r="F469" i="5" s="1"/>
  <c r="F478" i="5" s="1"/>
  <c r="E427" i="5"/>
  <c r="E441" i="5" s="1"/>
  <c r="E447" i="5" s="1"/>
  <c r="E458" i="5" s="1"/>
  <c r="E469" i="5" s="1"/>
  <c r="O313" i="5"/>
  <c r="O311" i="5"/>
  <c r="O310" i="5"/>
  <c r="F308" i="5"/>
  <c r="O308" i="5" s="1"/>
  <c r="F307" i="5"/>
  <c r="O307" i="5" s="1"/>
  <c r="E307" i="5"/>
  <c r="O304" i="5"/>
  <c r="E272" i="5"/>
  <c r="F271" i="5"/>
  <c r="F272" i="5" s="1"/>
  <c r="E254" i="5"/>
  <c r="F244" i="5"/>
  <c r="E244" i="5"/>
  <c r="E240" i="5"/>
  <c r="E210" i="5"/>
  <c r="F210" i="5" s="1"/>
  <c r="E209" i="5"/>
  <c r="F209" i="5" s="1"/>
  <c r="F208" i="5"/>
  <c r="E207" i="5"/>
  <c r="F207" i="5" s="1"/>
  <c r="F198" i="5"/>
  <c r="E197" i="5"/>
  <c r="F197" i="5" s="1"/>
  <c r="F181" i="5"/>
  <c r="F174" i="5" s="1"/>
  <c r="E181" i="5"/>
  <c r="E174" i="5" s="1"/>
  <c r="E168" i="5" s="1"/>
  <c r="E170" i="5" s="1"/>
  <c r="U161" i="5"/>
  <c r="E151" i="5"/>
  <c r="F59" i="5"/>
  <c r="F69" i="5" s="1"/>
  <c r="F76" i="5" s="1"/>
  <c r="F83" i="5" s="1"/>
  <c r="F91" i="5" s="1"/>
  <c r="E59" i="5"/>
  <c r="E69" i="5" s="1"/>
  <c r="E76" i="5" s="1"/>
  <c r="E83" i="5" s="1"/>
  <c r="E91" i="5" s="1"/>
  <c r="F36" i="5"/>
  <c r="F48" i="5" s="1"/>
  <c r="E36" i="5"/>
  <c r="E48" i="5" s="1"/>
  <c r="F29" i="5"/>
  <c r="F33" i="5" s="1"/>
  <c r="E23" i="5" s="1"/>
  <c r="K28" i="5"/>
  <c r="K31" i="5" s="1"/>
  <c r="E28" i="5"/>
  <c r="O23" i="5"/>
  <c r="A20" i="5"/>
  <c r="F17" i="5"/>
  <c r="E14" i="5" s="1"/>
  <c r="K13" i="5"/>
  <c r="K16" i="5" s="1"/>
  <c r="J13" i="5"/>
  <c r="J16" i="5" s="1"/>
  <c r="F11" i="5"/>
  <c r="O8" i="5"/>
  <c r="A3" i="5"/>
  <c r="A1" i="5"/>
  <c r="A81" i="10"/>
  <c r="D81" i="10"/>
  <c r="F81" i="10" s="1"/>
  <c r="A80" i="10"/>
  <c r="D79" i="10"/>
  <c r="D78" i="10"/>
  <c r="D77" i="10"/>
  <c r="F63" i="10"/>
  <c r="F64" i="10" s="1"/>
  <c r="F46" i="10" s="1"/>
  <c r="E63" i="10"/>
  <c r="E64" i="10" s="1"/>
  <c r="E46" i="10" s="1"/>
  <c r="E53" i="10"/>
  <c r="F51" i="10"/>
  <c r="G50" i="10"/>
  <c r="F49" i="10"/>
  <c r="G49" i="10" s="1"/>
  <c r="G48" i="10"/>
  <c r="M45" i="10"/>
  <c r="I14" i="10"/>
  <c r="G33" i="2" s="1"/>
  <c r="H14" i="10"/>
  <c r="F9" i="10" s="1"/>
  <c r="L13" i="10"/>
  <c r="G13" i="10"/>
  <c r="E220" i="5" s="1"/>
  <c r="F220" i="5" s="1"/>
  <c r="G12" i="10"/>
  <c r="E219" i="5" s="1"/>
  <c r="F219" i="5" s="1"/>
  <c r="G11" i="10"/>
  <c r="E218" i="5" s="1"/>
  <c r="F218" i="5" s="1"/>
  <c r="G10" i="10"/>
  <c r="A4" i="10"/>
  <c r="A1" i="10"/>
  <c r="B57" i="1"/>
  <c r="C57" i="1"/>
  <c r="B56" i="1"/>
  <c r="C55" i="1"/>
  <c r="C54" i="1"/>
  <c r="C53" i="1"/>
  <c r="A4" i="1"/>
  <c r="A3" i="35" s="1"/>
  <c r="A1" i="1"/>
  <c r="C66" i="2"/>
  <c r="H42" i="2"/>
  <c r="H35" i="2"/>
  <c r="H26" i="2"/>
  <c r="H18" i="2"/>
  <c r="C11" i="2"/>
  <c r="C10" i="2"/>
  <c r="C9" i="2"/>
  <c r="A63" i="35"/>
  <c r="B63" i="35"/>
  <c r="A62" i="35"/>
  <c r="F61" i="35"/>
  <c r="K61" i="35" s="1"/>
  <c r="B61" i="35"/>
  <c r="A61" i="35"/>
  <c r="F60" i="35"/>
  <c r="K60" i="35" s="1"/>
  <c r="B60" i="35"/>
  <c r="A60" i="35"/>
  <c r="F59" i="35"/>
  <c r="K59" i="35" s="1"/>
  <c r="B59" i="35"/>
  <c r="A59" i="35"/>
  <c r="A56" i="35"/>
  <c r="A55" i="35"/>
  <c r="B54" i="35"/>
  <c r="A54" i="35"/>
  <c r="A1" i="35"/>
  <c r="A1" i="41" s="1"/>
  <c r="L25" i="69" l="1"/>
  <c r="N24" i="69"/>
  <c r="E21" i="106"/>
  <c r="K4" i="69"/>
  <c r="J8" i="69" s="1"/>
  <c r="F35" i="70"/>
  <c r="G69" i="70"/>
  <c r="O9" i="71"/>
  <c r="G76" i="99"/>
  <c r="N23" i="69"/>
  <c r="M25" i="69" s="1"/>
  <c r="D76" i="99"/>
  <c r="K5" i="99"/>
  <c r="L74" i="6"/>
  <c r="C44" i="69"/>
  <c r="C197" i="5"/>
  <c r="C199" i="5" s="1"/>
  <c r="C215" i="5"/>
  <c r="C191" i="5"/>
  <c r="H15" i="101"/>
  <c r="H208" i="101" s="1"/>
  <c r="H210" i="101" s="1"/>
  <c r="H3" i="101" s="1"/>
  <c r="K26" i="10"/>
  <c r="K27" i="10" s="1"/>
  <c r="E15" i="101"/>
  <c r="E208" i="101" s="1"/>
  <c r="E210" i="101" s="1"/>
  <c r="E3" i="101" s="1"/>
  <c r="H30" i="106"/>
  <c r="K29" i="106"/>
  <c r="C82" i="106"/>
  <c r="L26" i="69"/>
  <c r="I27" i="112"/>
  <c r="I27" i="109"/>
  <c r="I27" i="69"/>
  <c r="F27" i="69"/>
  <c r="G27" i="69" s="1"/>
  <c r="I27" i="99"/>
  <c r="G42" i="70"/>
  <c r="G43" i="70" s="1"/>
  <c r="F44" i="69"/>
  <c r="F44" i="70"/>
  <c r="G41" i="70"/>
  <c r="I42" i="70" s="1"/>
  <c r="G67" i="70"/>
  <c r="G70" i="70" s="1"/>
  <c r="J13" i="71"/>
  <c r="I39" i="32"/>
  <c r="N23" i="99"/>
  <c r="K23" i="70"/>
  <c r="L24" i="99"/>
  <c r="I24" i="70"/>
  <c r="O10" i="71"/>
  <c r="C24" i="71" s="1"/>
  <c r="D31" i="35"/>
  <c r="J37" i="106"/>
  <c r="D69" i="69"/>
  <c r="D72" i="69" s="1"/>
  <c r="E46" i="45"/>
  <c r="F66" i="2"/>
  <c r="G46" i="45" s="1"/>
  <c r="O12" i="71"/>
  <c r="C26" i="71" s="1"/>
  <c r="G9" i="10"/>
  <c r="G14" i="10" s="1"/>
  <c r="F33" i="2" s="1"/>
  <c r="D215" i="5"/>
  <c r="D191" i="5"/>
  <c r="E523" i="5" s="1"/>
  <c r="E192" i="5"/>
  <c r="F192" i="5" s="1"/>
  <c r="E217" i="5"/>
  <c r="F217" i="5" s="1"/>
  <c r="H221" i="5"/>
  <c r="D198" i="5"/>
  <c r="E39" i="35"/>
  <c r="E54" i="10"/>
  <c r="C26" i="109"/>
  <c r="E19" i="109"/>
  <c r="E23" i="109" s="1"/>
  <c r="E19" i="112"/>
  <c r="C27" i="109"/>
  <c r="A47" i="5"/>
  <c r="E8" i="5"/>
  <c r="F33" i="35"/>
  <c r="K33" i="35" s="1"/>
  <c r="K17" i="35"/>
  <c r="F31" i="1"/>
  <c r="E480" i="5"/>
  <c r="E39" i="46"/>
  <c r="G25" i="46"/>
  <c r="G39" i="46" s="1"/>
  <c r="L58" i="6"/>
  <c r="M55" i="6"/>
  <c r="M53" i="6"/>
  <c r="G58" i="6"/>
  <c r="E31" i="35"/>
  <c r="L23" i="6"/>
  <c r="M13" i="6"/>
  <c r="M17" i="6"/>
  <c r="M15" i="6"/>
  <c r="M19" i="6"/>
  <c r="G23" i="6"/>
  <c r="F503" i="5"/>
  <c r="H551" i="5"/>
  <c r="H28" i="2"/>
  <c r="G40" i="32"/>
  <c r="G41" i="32" s="1"/>
  <c r="G42" i="32" s="1"/>
  <c r="I42" i="32" s="1"/>
  <c r="B39" i="32"/>
  <c r="B50" i="32"/>
  <c r="D33" i="32"/>
  <c r="F80" i="5"/>
  <c r="G17" i="2" s="1"/>
  <c r="F53" i="10"/>
  <c r="F54" i="10" s="1"/>
  <c r="AX322" i="102"/>
  <c r="AX325" i="102"/>
  <c r="AX333" i="102"/>
  <c r="AX337" i="102"/>
  <c r="AX311" i="102"/>
  <c r="F473" i="5"/>
  <c r="F510" i="5"/>
  <c r="AX326" i="102"/>
  <c r="AX331" i="102"/>
  <c r="AX338" i="102"/>
  <c r="F490" i="5"/>
  <c r="F505" i="5"/>
  <c r="F514" i="5"/>
  <c r="AX323" i="102"/>
  <c r="AX327" i="102"/>
  <c r="AX332" i="102"/>
  <c r="AX334" i="102"/>
  <c r="AV358" i="102"/>
  <c r="F430" i="5"/>
  <c r="F422" i="5"/>
  <c r="F424" i="5" s="1"/>
  <c r="G8" i="1" s="1"/>
  <c r="AX324" i="102"/>
  <c r="AX328" i="102"/>
  <c r="AX312" i="102"/>
  <c r="AX335" i="102"/>
  <c r="F392" i="5"/>
  <c r="F399" i="5"/>
  <c r="F71" i="5"/>
  <c r="F73" i="5" s="1"/>
  <c r="G16" i="2" s="1"/>
  <c r="F138" i="5"/>
  <c r="E388" i="5"/>
  <c r="F61" i="5"/>
  <c r="F62" i="5"/>
  <c r="F388" i="5"/>
  <c r="F150" i="5"/>
  <c r="H54" i="2"/>
  <c r="B62" i="35"/>
  <c r="C56" i="1"/>
  <c r="D80" i="10"/>
  <c r="F80" i="10" s="1"/>
  <c r="F161" i="5"/>
  <c r="F389" i="5"/>
  <c r="H502" i="5"/>
  <c r="AV271" i="102"/>
  <c r="H493" i="5"/>
  <c r="AX310" i="102"/>
  <c r="E511" i="5"/>
  <c r="AX309" i="102"/>
  <c r="AV330" i="102"/>
  <c r="AV339" i="102"/>
  <c r="AV342" i="102"/>
  <c r="AV344" i="102"/>
  <c r="AV340" i="102"/>
  <c r="AV341" i="102"/>
  <c r="AV343" i="102"/>
  <c r="AV314" i="102"/>
  <c r="AV78" i="102"/>
  <c r="AV80" i="102"/>
  <c r="AV83" i="102"/>
  <c r="AV85" i="102"/>
  <c r="AV79" i="102"/>
  <c r="AV81" i="102"/>
  <c r="AV84" i="102"/>
  <c r="AV86" i="102"/>
  <c r="G31" i="1"/>
  <c r="D61" i="10" s="1"/>
  <c r="E492" i="5"/>
  <c r="E399" i="5"/>
  <c r="E337" i="5"/>
  <c r="E62" i="5"/>
  <c r="AV88" i="102"/>
  <c r="AV95" i="102"/>
  <c r="E71" i="5"/>
  <c r="E73" i="5" s="1"/>
  <c r="F16" i="2" s="1"/>
  <c r="AV87" i="102"/>
  <c r="AV90" i="102"/>
  <c r="F14" i="10"/>
  <c r="F159" i="5"/>
  <c r="F137" i="5"/>
  <c r="M69" i="6"/>
  <c r="G74" i="6"/>
  <c r="M67" i="6"/>
  <c r="M51" i="6"/>
  <c r="M32" i="6"/>
  <c r="M36" i="6"/>
  <c r="L42" i="6"/>
  <c r="M34" i="6"/>
  <c r="M38" i="6"/>
  <c r="G42" i="6"/>
  <c r="F453" i="5"/>
  <c r="E501" i="5"/>
  <c r="G553" i="5" s="1"/>
  <c r="E496" i="5"/>
  <c r="E507" i="5"/>
  <c r="E537" i="5"/>
  <c r="AV31" i="102"/>
  <c r="E437" i="5"/>
  <c r="E472" i="5"/>
  <c r="E491" i="5"/>
  <c r="E495" i="5"/>
  <c r="E490" i="5"/>
  <c r="E498" i="5"/>
  <c r="AV76" i="102"/>
  <c r="F461" i="5"/>
  <c r="F463" i="5"/>
  <c r="F500" i="5"/>
  <c r="H500" i="5" s="1"/>
  <c r="AV363" i="102"/>
  <c r="F497" i="5"/>
  <c r="F465" i="5"/>
  <c r="F489" i="5"/>
  <c r="F512" i="5"/>
  <c r="O11" i="71"/>
  <c r="C25" i="71" s="1"/>
  <c r="K26" i="71"/>
  <c r="N26" i="71" s="1"/>
  <c r="J26" i="71"/>
  <c r="C23" i="71"/>
  <c r="N13" i="71"/>
  <c r="K24" i="71"/>
  <c r="N24" i="71" s="1"/>
  <c r="J24" i="71"/>
  <c r="K13" i="71"/>
  <c r="F48" i="2"/>
  <c r="E134" i="5"/>
  <c r="E147" i="5" s="1"/>
  <c r="E156" i="5" s="1"/>
  <c r="E227" i="5" s="1"/>
  <c r="E302" i="5" s="1"/>
  <c r="E101" i="5"/>
  <c r="F134" i="5"/>
  <c r="F147" i="5" s="1"/>
  <c r="F156" i="5" s="1"/>
  <c r="F227" i="5" s="1"/>
  <c r="F302" i="5" s="1"/>
  <c r="F101" i="5"/>
  <c r="C12" i="2"/>
  <c r="F13" i="35"/>
  <c r="K13" i="35" s="1"/>
  <c r="E268" i="5"/>
  <c r="E524" i="5" s="1"/>
  <c r="F199" i="5"/>
  <c r="F191" i="5" s="1"/>
  <c r="F15" i="35"/>
  <c r="K15" i="35" s="1"/>
  <c r="F18" i="5"/>
  <c r="H552" i="5" s="1"/>
  <c r="J28" i="5"/>
  <c r="J31" i="5" s="1"/>
  <c r="L31" i="5" s="1"/>
  <c r="E258" i="5"/>
  <c r="F536" i="5"/>
  <c r="F460" i="5"/>
  <c r="F436" i="5"/>
  <c r="F474" i="5"/>
  <c r="AX319" i="102"/>
  <c r="F471" i="5"/>
  <c r="F509" i="5"/>
  <c r="E450" i="5"/>
  <c r="F488" i="5"/>
  <c r="H488" i="5" s="1"/>
  <c r="F499" i="5"/>
  <c r="H499" i="5" s="1"/>
  <c r="AV352" i="102"/>
  <c r="E176" i="5"/>
  <c r="L16" i="5"/>
  <c r="E199" i="5"/>
  <c r="F355" i="5"/>
  <c r="E486" i="5"/>
  <c r="E520" i="5" s="1"/>
  <c r="E534" i="5" s="1"/>
  <c r="E478" i="5"/>
  <c r="E19" i="99"/>
  <c r="G12" i="2"/>
  <c r="F176" i="5"/>
  <c r="F340" i="5"/>
  <c r="F486" i="5"/>
  <c r="F520" i="5" s="1"/>
  <c r="F534" i="5" s="1"/>
  <c r="F258" i="5"/>
  <c r="E137" i="5"/>
  <c r="E346" i="5"/>
  <c r="E389" i="5"/>
  <c r="E138" i="5"/>
  <c r="E150" i="5"/>
  <c r="E392" i="5"/>
  <c r="E338" i="5"/>
  <c r="AV319" i="102"/>
  <c r="K5" i="69" l="1"/>
  <c r="F33" i="10"/>
  <c r="F41" i="10" s="1"/>
  <c r="F21" i="10"/>
  <c r="F29" i="10" s="1"/>
  <c r="E33" i="10"/>
  <c r="E41" i="10" s="1"/>
  <c r="E21" i="10"/>
  <c r="E29" i="10" s="1"/>
  <c r="O48" i="2"/>
  <c r="G8" i="45"/>
  <c r="C27" i="112"/>
  <c r="D27" i="121"/>
  <c r="E27" i="121" s="1"/>
  <c r="I40" i="32"/>
  <c r="I205" i="5"/>
  <c r="D453" i="5"/>
  <c r="I455" i="5" s="1"/>
  <c r="C453" i="5"/>
  <c r="C454" i="5" s="1"/>
  <c r="C455" i="5" s="1"/>
  <c r="D14" i="1" s="1"/>
  <c r="G15" i="101"/>
  <c r="G208" i="101" s="1"/>
  <c r="G210" i="101" s="1"/>
  <c r="G3" i="101" s="1"/>
  <c r="K8" i="101"/>
  <c r="K38" i="10"/>
  <c r="K39" i="10" s="1"/>
  <c r="F431" i="5"/>
  <c r="F11" i="35" s="1"/>
  <c r="AV312" i="102"/>
  <c r="E59" i="109"/>
  <c r="E69" i="109" s="1"/>
  <c r="E71" i="109" s="1"/>
  <c r="E139" i="5"/>
  <c r="E144" i="5" s="1"/>
  <c r="F23" i="2" s="1"/>
  <c r="AV322" i="102"/>
  <c r="E62" i="35"/>
  <c r="F56" i="1"/>
  <c r="I25" i="70"/>
  <c r="K24" i="70"/>
  <c r="L25" i="99"/>
  <c r="N24" i="99"/>
  <c r="E22" i="69"/>
  <c r="C27" i="5" s="1"/>
  <c r="N25" i="69"/>
  <c r="J58" i="2"/>
  <c r="I41" i="32"/>
  <c r="M26" i="69"/>
  <c r="M27" i="69" s="1"/>
  <c r="N26" i="69"/>
  <c r="O13" i="71"/>
  <c r="C10" i="70" s="1"/>
  <c r="D14" i="70" s="1"/>
  <c r="E14" i="70" s="1"/>
  <c r="E16" i="70" s="1"/>
  <c r="I16" i="99" s="1"/>
  <c r="K93" i="106"/>
  <c r="H36" i="106"/>
  <c r="L27" i="69"/>
  <c r="L30" i="106"/>
  <c r="H40" i="106"/>
  <c r="H60" i="106"/>
  <c r="H50" i="106"/>
  <c r="H82" i="106"/>
  <c r="H84" i="106" s="1"/>
  <c r="D197" i="5"/>
  <c r="D199" i="5" s="1"/>
  <c r="E191" i="5"/>
  <c r="E193" i="5" s="1"/>
  <c r="E186" i="5" s="1"/>
  <c r="E188" i="5" s="1"/>
  <c r="E215" i="5"/>
  <c r="AV325" i="102"/>
  <c r="AV326" i="102"/>
  <c r="AV334" i="102"/>
  <c r="AV327" i="102"/>
  <c r="E52" i="5"/>
  <c r="E55" i="5" s="1"/>
  <c r="F14" i="2" s="1"/>
  <c r="F93" i="5"/>
  <c r="F95" i="5" s="1"/>
  <c r="F98" i="5" s="1"/>
  <c r="G22" i="2" s="1"/>
  <c r="D193" i="5"/>
  <c r="D186" i="5" s="1"/>
  <c r="D188" i="5" s="1"/>
  <c r="D221" i="5"/>
  <c r="D9" i="10"/>
  <c r="H503" i="5"/>
  <c r="F13" i="107"/>
  <c r="C26" i="112"/>
  <c r="E340" i="5"/>
  <c r="K341" i="5" s="1"/>
  <c r="E312" i="5"/>
  <c r="D51" i="10"/>
  <c r="G51" i="10" s="1"/>
  <c r="A58" i="5"/>
  <c r="C14" i="2"/>
  <c r="E61" i="112"/>
  <c r="E71" i="112" s="1"/>
  <c r="E73" i="112" s="1"/>
  <c r="E23" i="112"/>
  <c r="E149" i="5"/>
  <c r="E153" i="5" s="1"/>
  <c r="F24" i="2" s="1"/>
  <c r="O24" i="2" s="1"/>
  <c r="E41" i="5"/>
  <c r="F20" i="47"/>
  <c r="AV10" i="102"/>
  <c r="M58" i="6"/>
  <c r="F10" i="2" s="1"/>
  <c r="M23" i="6"/>
  <c r="AV338" i="102"/>
  <c r="AV324" i="102"/>
  <c r="AV337" i="102"/>
  <c r="AV323" i="102"/>
  <c r="AV328" i="102"/>
  <c r="AV311" i="102"/>
  <c r="AV332" i="102"/>
  <c r="F363" i="5"/>
  <c r="F365" i="5" s="1"/>
  <c r="G41" i="2"/>
  <c r="K402" i="5"/>
  <c r="K401" i="5"/>
  <c r="AV331" i="102"/>
  <c r="AV333" i="102"/>
  <c r="E504" i="5"/>
  <c r="E433" i="5"/>
  <c r="F496" i="5"/>
  <c r="AV225" i="102"/>
  <c r="D53" i="32"/>
  <c r="F53" i="32" s="1"/>
  <c r="D50" i="32"/>
  <c r="D52" i="32"/>
  <c r="F52" i="32" s="1"/>
  <c r="D51" i="32"/>
  <c r="B40" i="32"/>
  <c r="D39" i="32"/>
  <c r="J39" i="32" s="1"/>
  <c r="L47" i="32" s="1"/>
  <c r="F149" i="5"/>
  <c r="F153" i="5" s="1"/>
  <c r="G24" i="2" s="1"/>
  <c r="F394" i="5"/>
  <c r="G50" i="2" s="1"/>
  <c r="E394" i="5"/>
  <c r="F50" i="2" s="1"/>
  <c r="O50" i="2" s="1"/>
  <c r="F501" i="5"/>
  <c r="H553" i="5" s="1"/>
  <c r="AV256" i="102"/>
  <c r="H514" i="5"/>
  <c r="F507" i="5"/>
  <c r="AV269" i="102"/>
  <c r="F472" i="5"/>
  <c r="AV164" i="102"/>
  <c r="H510" i="5"/>
  <c r="F495" i="5"/>
  <c r="AV221" i="102"/>
  <c r="F491" i="5"/>
  <c r="AV199" i="102"/>
  <c r="F513" i="5"/>
  <c r="AV303" i="102"/>
  <c r="F437" i="5"/>
  <c r="AV72" i="102"/>
  <c r="F492" i="5"/>
  <c r="AV204" i="102"/>
  <c r="H505" i="5"/>
  <c r="F537" i="5"/>
  <c r="F539" i="5" s="1"/>
  <c r="F508" i="5" s="1"/>
  <c r="AV283" i="102"/>
  <c r="F498" i="5"/>
  <c r="AV237" i="102"/>
  <c r="AV336" i="102"/>
  <c r="AV77" i="102"/>
  <c r="AV335" i="102"/>
  <c r="F48" i="35"/>
  <c r="K48" i="35" s="1"/>
  <c r="F65" i="5"/>
  <c r="F139" i="5"/>
  <c r="F144" i="5" s="1"/>
  <c r="G23" i="2" s="1"/>
  <c r="E61" i="5"/>
  <c r="F11" i="22" s="1"/>
  <c r="I363" i="5"/>
  <c r="I365" i="5" s="1"/>
  <c r="F403" i="5"/>
  <c r="G51" i="2" s="1"/>
  <c r="E403" i="5"/>
  <c r="F51" i="2" s="1"/>
  <c r="O51" i="2" s="1"/>
  <c r="D27" i="109"/>
  <c r="E27" i="109" s="1"/>
  <c r="F49" i="35"/>
  <c r="K49" i="35" s="1"/>
  <c r="F158" i="5"/>
  <c r="E502" i="5"/>
  <c r="J498" i="5" s="1"/>
  <c r="AV274" i="102"/>
  <c r="F435" i="5"/>
  <c r="F494" i="5"/>
  <c r="F443" i="5"/>
  <c r="F511" i="5"/>
  <c r="H511" i="5" s="1"/>
  <c r="O552" i="5"/>
  <c r="H490" i="5"/>
  <c r="H489" i="5"/>
  <c r="H509" i="5"/>
  <c r="H512" i="5"/>
  <c r="H497" i="5"/>
  <c r="AV309" i="102"/>
  <c r="AV310" i="102"/>
  <c r="G61" i="10"/>
  <c r="F41" i="5"/>
  <c r="F312" i="5"/>
  <c r="AV75" i="102"/>
  <c r="AV103" i="102"/>
  <c r="AV104" i="102"/>
  <c r="G46" i="2"/>
  <c r="M74" i="6"/>
  <c r="G10" i="2" s="1"/>
  <c r="M42" i="6"/>
  <c r="G9" i="2" s="1"/>
  <c r="AV99" i="102"/>
  <c r="AV195" i="102"/>
  <c r="E514" i="5"/>
  <c r="AV307" i="102"/>
  <c r="E436" i="5"/>
  <c r="AV59" i="102"/>
  <c r="E462" i="5"/>
  <c r="E13" i="35" s="1"/>
  <c r="AV138" i="102"/>
  <c r="E497" i="5"/>
  <c r="AV233" i="102"/>
  <c r="E473" i="5"/>
  <c r="AV169" i="102"/>
  <c r="E512" i="5"/>
  <c r="AV299" i="102"/>
  <c r="E489" i="5"/>
  <c r="AV191" i="102"/>
  <c r="E509" i="5"/>
  <c r="AV290" i="102"/>
  <c r="E493" i="5"/>
  <c r="AV210" i="102"/>
  <c r="E431" i="5"/>
  <c r="E536" i="5"/>
  <c r="AV279" i="102"/>
  <c r="E471" i="5"/>
  <c r="AV160" i="102"/>
  <c r="AV36" i="102"/>
  <c r="E430" i="5"/>
  <c r="AV20" i="102"/>
  <c r="E464" i="5"/>
  <c r="E15" i="35" s="1"/>
  <c r="AV147" i="102"/>
  <c r="E505" i="5"/>
  <c r="AV264" i="102"/>
  <c r="E463" i="5"/>
  <c r="J80" i="46" s="1"/>
  <c r="AV143" i="102"/>
  <c r="E500" i="5"/>
  <c r="AV252" i="102"/>
  <c r="E460" i="5"/>
  <c r="AV124" i="102"/>
  <c r="E499" i="5"/>
  <c r="AV245" i="102"/>
  <c r="E510" i="5"/>
  <c r="AV294" i="102"/>
  <c r="E488" i="5"/>
  <c r="AV186" i="102"/>
  <c r="E494" i="5"/>
  <c r="E12" i="35" s="1"/>
  <c r="E465" i="5"/>
  <c r="AV153" i="102"/>
  <c r="E461" i="5"/>
  <c r="J8" i="46" s="1"/>
  <c r="AV133" i="102"/>
  <c r="E18" i="35"/>
  <c r="F14" i="35"/>
  <c r="K14" i="35" s="1"/>
  <c r="F237" i="5"/>
  <c r="F265" i="5"/>
  <c r="F277" i="5" s="1"/>
  <c r="F292" i="5" s="1"/>
  <c r="O24" i="71"/>
  <c r="C35" i="71" s="1"/>
  <c r="J23" i="71"/>
  <c r="C27" i="71"/>
  <c r="K23" i="71"/>
  <c r="O26" i="71"/>
  <c r="C37" i="71" s="1"/>
  <c r="K25" i="71"/>
  <c r="N25" i="71" s="1"/>
  <c r="J25" i="71"/>
  <c r="E237" i="5"/>
  <c r="F268" i="5"/>
  <c r="F269" i="5" s="1"/>
  <c r="E265" i="5"/>
  <c r="E277" i="5" s="1"/>
  <c r="E292" i="5" s="1"/>
  <c r="F193" i="5"/>
  <c r="E269" i="5"/>
  <c r="G11" i="2"/>
  <c r="E451" i="5"/>
  <c r="E85" i="5" s="1"/>
  <c r="F454" i="5"/>
  <c r="F466" i="5"/>
  <c r="G15" i="1" s="1"/>
  <c r="E319" i="5"/>
  <c r="F319" i="5"/>
  <c r="F335" i="5" s="1"/>
  <c r="E11" i="5"/>
  <c r="E55" i="99"/>
  <c r="E49" i="35"/>
  <c r="E48" i="35"/>
  <c r="E352" i="5"/>
  <c r="E355" i="5" s="1"/>
  <c r="F46" i="2" s="1"/>
  <c r="C40" i="35" s="1"/>
  <c r="E158" i="5"/>
  <c r="D27" i="99"/>
  <c r="E27" i="99" s="1"/>
  <c r="E453" i="5"/>
  <c r="I16" i="69" l="1"/>
  <c r="N27" i="69"/>
  <c r="D27" i="112"/>
  <c r="E27" i="112" s="1"/>
  <c r="E40" i="5" s="1"/>
  <c r="G27" i="121"/>
  <c r="D454" i="5"/>
  <c r="D455" i="5" s="1"/>
  <c r="E14" i="1" s="1"/>
  <c r="E19" i="1" s="1"/>
  <c r="E21" i="1" s="1"/>
  <c r="E23" i="1" s="1"/>
  <c r="D8" i="35" s="1"/>
  <c r="D19" i="35" s="1"/>
  <c r="F8" i="107"/>
  <c r="L48" i="32"/>
  <c r="C7" i="101"/>
  <c r="D8" i="5"/>
  <c r="D10" i="5" s="1"/>
  <c r="D11" i="5" s="1"/>
  <c r="C8" i="5"/>
  <c r="AV26" i="102"/>
  <c r="D40" i="35"/>
  <c r="D41" i="35" s="1"/>
  <c r="F51" i="32"/>
  <c r="E8" i="107"/>
  <c r="C96" i="106"/>
  <c r="J51" i="106"/>
  <c r="L26" i="99"/>
  <c r="L27" i="99" s="1"/>
  <c r="N25" i="99"/>
  <c r="M25" i="99"/>
  <c r="K95" i="106"/>
  <c r="H94" i="106"/>
  <c r="H95" i="106" s="1"/>
  <c r="C99" i="106"/>
  <c r="H70" i="106"/>
  <c r="J71" i="106" s="1"/>
  <c r="J61" i="106"/>
  <c r="F9" i="2"/>
  <c r="C14" i="112" s="1"/>
  <c r="J41" i="106"/>
  <c r="K82" i="106" s="1"/>
  <c r="C93" i="106"/>
  <c r="E23" i="69"/>
  <c r="G22" i="69"/>
  <c r="E27" i="5" s="1"/>
  <c r="E59" i="69"/>
  <c r="E61" i="69" s="1"/>
  <c r="E63" i="69" s="1"/>
  <c r="I26" i="70"/>
  <c r="I27" i="70" s="1"/>
  <c r="J25" i="70"/>
  <c r="L40" i="106"/>
  <c r="L50" i="106" s="1"/>
  <c r="L61" i="106" s="1"/>
  <c r="E335" i="5"/>
  <c r="E544" i="5" s="1"/>
  <c r="E327" i="5"/>
  <c r="C83" i="106"/>
  <c r="C84" i="106" s="1"/>
  <c r="E83" i="106" s="1"/>
  <c r="K36" i="106"/>
  <c r="H46" i="106"/>
  <c r="H56" i="106" s="1"/>
  <c r="F215" i="5"/>
  <c r="F221" i="5" s="1"/>
  <c r="F205" i="5" s="1"/>
  <c r="F211" i="5" s="1"/>
  <c r="E221" i="5"/>
  <c r="D205" i="5"/>
  <c r="D211" i="5" s="1"/>
  <c r="D523" i="5" s="1"/>
  <c r="E250" i="5"/>
  <c r="E231" i="5"/>
  <c r="E234" i="5"/>
  <c r="E255" i="5"/>
  <c r="E241" i="5"/>
  <c r="E245" i="5"/>
  <c r="F314" i="5"/>
  <c r="E311" i="5" s="1"/>
  <c r="F327" i="5"/>
  <c r="E259" i="5"/>
  <c r="F515" i="5"/>
  <c r="H515" i="5" s="1"/>
  <c r="E95" i="5"/>
  <c r="E98" i="5" s="1"/>
  <c r="F22" i="2" s="1"/>
  <c r="I18" i="23" s="1"/>
  <c r="I93" i="5"/>
  <c r="J119" i="5"/>
  <c r="J120" i="5" s="1"/>
  <c r="E32" i="35"/>
  <c r="D32" i="35" s="1"/>
  <c r="C32" i="35" s="1"/>
  <c r="C35" i="35" s="1"/>
  <c r="D14" i="10"/>
  <c r="E9" i="10"/>
  <c r="F40" i="35"/>
  <c r="E40" i="35"/>
  <c r="G49" i="2"/>
  <c r="F27" i="112"/>
  <c r="F40" i="5"/>
  <c r="C15" i="2"/>
  <c r="A68" i="5"/>
  <c r="O23" i="6"/>
  <c r="F14" i="108"/>
  <c r="E422" i="5"/>
  <c r="E424" i="5" s="1"/>
  <c r="F8" i="1" s="1"/>
  <c r="E17" i="35"/>
  <c r="E33" i="35" s="1"/>
  <c r="E14" i="35"/>
  <c r="F34" i="35"/>
  <c r="K34" i="35" s="1"/>
  <c r="K11" i="35"/>
  <c r="G15" i="2"/>
  <c r="F24" i="35" s="1"/>
  <c r="K24" i="35" s="1"/>
  <c r="C14" i="99"/>
  <c r="H496" i="5"/>
  <c r="E443" i="5"/>
  <c r="B41" i="32"/>
  <c r="F50" i="32"/>
  <c r="G50" i="32" s="1"/>
  <c r="F482" i="5"/>
  <c r="F483" i="5" s="1"/>
  <c r="G17" i="1" s="1"/>
  <c r="H50" i="32"/>
  <c r="C40" i="32"/>
  <c r="E515" i="5"/>
  <c r="H507" i="5"/>
  <c r="F475" i="5"/>
  <c r="G16" i="1" s="1"/>
  <c r="H501" i="5"/>
  <c r="H491" i="5"/>
  <c r="H498" i="5"/>
  <c r="H492" i="5"/>
  <c r="H513" i="5"/>
  <c r="H495" i="5"/>
  <c r="F50" i="35"/>
  <c r="F85" i="5"/>
  <c r="F444" i="5"/>
  <c r="G13" i="1" s="1"/>
  <c r="F49" i="2"/>
  <c r="E365" i="5"/>
  <c r="J385" i="5" s="1"/>
  <c r="E37" i="35"/>
  <c r="F23" i="35"/>
  <c r="K23" i="35" s="1"/>
  <c r="F162" i="5"/>
  <c r="G25" i="2" s="1"/>
  <c r="AV216" i="102"/>
  <c r="AV41" i="102"/>
  <c r="H494" i="5"/>
  <c r="F16" i="107"/>
  <c r="F12" i="35"/>
  <c r="F18" i="35"/>
  <c r="K18" i="35" s="1"/>
  <c r="F438" i="5"/>
  <c r="G9" i="1" s="1"/>
  <c r="G10" i="1" s="1"/>
  <c r="AV317" i="102"/>
  <c r="E44" i="22"/>
  <c r="H508" i="5"/>
  <c r="O312" i="5"/>
  <c r="O314" i="5" s="1"/>
  <c r="E539" i="5"/>
  <c r="E508" i="5" s="1"/>
  <c r="E466" i="5"/>
  <c r="F15" i="1" s="1"/>
  <c r="E16" i="107"/>
  <c r="F450" i="5"/>
  <c r="AV100" i="102"/>
  <c r="E15" i="107"/>
  <c r="AV106" i="102"/>
  <c r="G27" i="99"/>
  <c r="F27" i="109"/>
  <c r="G27" i="109" s="1"/>
  <c r="K27" i="71"/>
  <c r="C36" i="112" s="1"/>
  <c r="N23" i="71"/>
  <c r="N27" i="71" s="1"/>
  <c r="O23" i="71"/>
  <c r="J27" i="71"/>
  <c r="O25" i="71"/>
  <c r="C36" i="71" s="1"/>
  <c r="K37" i="71"/>
  <c r="N37" i="71" s="1"/>
  <c r="J37" i="71"/>
  <c r="K35" i="71"/>
  <c r="N35" i="71" s="1"/>
  <c r="J35" i="71"/>
  <c r="E525" i="5"/>
  <c r="E50" i="35"/>
  <c r="C44" i="35" s="1"/>
  <c r="E87" i="5"/>
  <c r="F20" i="2" s="1"/>
  <c r="R20" i="2" s="1"/>
  <c r="F343" i="5"/>
  <c r="F360" i="5" s="1"/>
  <c r="F544" i="5"/>
  <c r="F41" i="2"/>
  <c r="O41" i="2" s="1"/>
  <c r="E454" i="5"/>
  <c r="E455" i="5" s="1"/>
  <c r="F14" i="1" s="1"/>
  <c r="H66" i="106" l="1"/>
  <c r="J67" i="106" s="1"/>
  <c r="K46" i="106"/>
  <c r="D40" i="5"/>
  <c r="E27" i="1"/>
  <c r="D306" i="5" s="1"/>
  <c r="M1" i="101"/>
  <c r="N1" i="101" s="1"/>
  <c r="T3" i="101"/>
  <c r="D525" i="5"/>
  <c r="C523" i="5"/>
  <c r="D23" i="35"/>
  <c r="O22" i="2"/>
  <c r="D22" i="35"/>
  <c r="O20" i="2"/>
  <c r="E14" i="10"/>
  <c r="C193" i="5"/>
  <c r="C221" i="5"/>
  <c r="L9" i="2"/>
  <c r="L10" i="2" s="1"/>
  <c r="C14" i="109"/>
  <c r="D35" i="35"/>
  <c r="E343" i="5"/>
  <c r="E360" i="5" s="1"/>
  <c r="E386" i="5" s="1"/>
  <c r="E397" i="5" s="1"/>
  <c r="C10" i="5"/>
  <c r="C11" i="5" s="1"/>
  <c r="C11" i="101"/>
  <c r="A11" i="101" s="1"/>
  <c r="K7" i="101"/>
  <c r="K11" i="101" s="1"/>
  <c r="C89" i="106"/>
  <c r="J57" i="106"/>
  <c r="K99" i="106" s="1"/>
  <c r="K56" i="106"/>
  <c r="C95" i="106"/>
  <c r="E94" i="106"/>
  <c r="E95" i="106" s="1"/>
  <c r="N61" i="106"/>
  <c r="L70" i="106"/>
  <c r="E22" i="70"/>
  <c r="F322" i="5"/>
  <c r="G45" i="2" s="1"/>
  <c r="G52" i="2" s="1"/>
  <c r="K25" i="70"/>
  <c r="E22" i="99"/>
  <c r="K83" i="106"/>
  <c r="N83" i="106" s="1"/>
  <c r="N84" i="106" s="1"/>
  <c r="C85" i="106"/>
  <c r="E84" i="106"/>
  <c r="L83" i="106"/>
  <c r="M26" i="99"/>
  <c r="M27" i="99" s="1"/>
  <c r="J26" i="70"/>
  <c r="J27" i="70" s="1"/>
  <c r="C86" i="106"/>
  <c r="J47" i="106"/>
  <c r="K96" i="106" s="1"/>
  <c r="K88" i="106"/>
  <c r="C101" i="106"/>
  <c r="E100" i="106"/>
  <c r="E101" i="106" s="1"/>
  <c r="C98" i="106"/>
  <c r="K85" i="106"/>
  <c r="E97" i="106"/>
  <c r="E98" i="106" s="1"/>
  <c r="D259" i="5"/>
  <c r="D234" i="5"/>
  <c r="D231" i="5"/>
  <c r="D245" i="5"/>
  <c r="E205" i="5"/>
  <c r="E211" i="5" s="1"/>
  <c r="F231" i="5"/>
  <c r="F245" i="5"/>
  <c r="F255" i="5"/>
  <c r="F259" i="5"/>
  <c r="F234" i="5"/>
  <c r="F241" i="5"/>
  <c r="F250" i="5"/>
  <c r="D255" i="5"/>
  <c r="D250" i="5"/>
  <c r="D241" i="5"/>
  <c r="G27" i="112"/>
  <c r="F35" i="35"/>
  <c r="K35" i="35" s="1"/>
  <c r="F517" i="5"/>
  <c r="G18" i="1" s="1"/>
  <c r="E23" i="35"/>
  <c r="K40" i="35"/>
  <c r="F41" i="35"/>
  <c r="K41" i="35" s="1"/>
  <c r="F25" i="35"/>
  <c r="K25" i="35" s="1"/>
  <c r="A75" i="5"/>
  <c r="C16" i="2"/>
  <c r="G18" i="2"/>
  <c r="J365" i="5"/>
  <c r="E20" i="47"/>
  <c r="E14" i="108"/>
  <c r="F15" i="108"/>
  <c r="K12" i="35"/>
  <c r="AV353" i="102"/>
  <c r="AV97" i="102"/>
  <c r="F10" i="35"/>
  <c r="K10" i="35" s="1"/>
  <c r="F7" i="107"/>
  <c r="B51" i="32"/>
  <c r="G51" i="32" s="1"/>
  <c r="B42" i="32"/>
  <c r="I50" i="32"/>
  <c r="D40" i="32"/>
  <c r="AV386" i="102"/>
  <c r="AV388" i="102" s="1"/>
  <c r="F87" i="5"/>
  <c r="G20" i="2" s="1"/>
  <c r="E22" i="35" s="1"/>
  <c r="H44" i="22"/>
  <c r="E444" i="5"/>
  <c r="F13" i="1" s="1"/>
  <c r="E314" i="5"/>
  <c r="F451" i="5"/>
  <c r="F455" i="5" s="1"/>
  <c r="G14" i="1" s="1"/>
  <c r="O37" i="71"/>
  <c r="C48" i="71" s="1"/>
  <c r="K36" i="71"/>
  <c r="N36" i="71" s="1"/>
  <c r="J36" i="71"/>
  <c r="C34" i="71"/>
  <c r="O27" i="71"/>
  <c r="C10" i="69" s="1"/>
  <c r="D14" i="69" s="1"/>
  <c r="E14" i="69" s="1"/>
  <c r="O35" i="71"/>
  <c r="C46" i="71" s="1"/>
  <c r="C36" i="109"/>
  <c r="C36" i="99"/>
  <c r="C36" i="69"/>
  <c r="C37" i="69" s="1"/>
  <c r="D44" i="69" s="1"/>
  <c r="E44" i="69" s="1"/>
  <c r="F386" i="5"/>
  <c r="F397" i="5" s="1"/>
  <c r="F368" i="5"/>
  <c r="E41" i="35"/>
  <c r="J45" i="35" s="1"/>
  <c r="N26" i="99" l="1"/>
  <c r="N27" i="99" s="1"/>
  <c r="E33" i="2"/>
  <c r="D33" i="2"/>
  <c r="E36" i="1"/>
  <c r="D34" i="10"/>
  <c r="D40" i="10" s="1"/>
  <c r="D522" i="5"/>
  <c r="D527" i="5" s="1"/>
  <c r="E39" i="1" s="1"/>
  <c r="H28" i="1"/>
  <c r="H30" i="1" s="1"/>
  <c r="C186" i="5"/>
  <c r="C188" i="5" s="1"/>
  <c r="C205" i="5"/>
  <c r="L3" i="101"/>
  <c r="L2" i="101" s="1"/>
  <c r="E368" i="5"/>
  <c r="D311" i="5"/>
  <c r="D314" i="5" s="1"/>
  <c r="C311" i="5"/>
  <c r="E503" i="5"/>
  <c r="K26" i="70"/>
  <c r="K27" i="70" s="1"/>
  <c r="C87" i="106"/>
  <c r="E86" i="106" s="1"/>
  <c r="K66" i="106"/>
  <c r="N56" i="106"/>
  <c r="K48" i="71"/>
  <c r="N48" i="71" s="1"/>
  <c r="J48" i="71"/>
  <c r="B52" i="32"/>
  <c r="F321" i="5"/>
  <c r="M83" i="106"/>
  <c r="L85" i="106" s="1"/>
  <c r="H85" i="106"/>
  <c r="H87" i="106" s="1"/>
  <c r="K86" i="106" s="1"/>
  <c r="H88" i="106" s="1"/>
  <c r="H90" i="106" s="1"/>
  <c r="K89" i="106" s="1"/>
  <c r="M90" i="106" s="1"/>
  <c r="K84" i="106"/>
  <c r="K101" i="106"/>
  <c r="H100" i="106"/>
  <c r="H101" i="106" s="1"/>
  <c r="K98" i="106"/>
  <c r="H97" i="106"/>
  <c r="H98" i="106" s="1"/>
  <c r="G22" i="99"/>
  <c r="E63" i="99"/>
  <c r="E65" i="99" s="1"/>
  <c r="E67" i="99" s="1"/>
  <c r="E23" i="99"/>
  <c r="E23" i="70"/>
  <c r="E46" i="70" s="1"/>
  <c r="E57" i="70"/>
  <c r="E59" i="70" s="1"/>
  <c r="E61" i="70" s="1"/>
  <c r="K46" i="71"/>
  <c r="N46" i="71" s="1"/>
  <c r="J46" i="71"/>
  <c r="G19" i="1"/>
  <c r="G21" i="1" s="1"/>
  <c r="G23" i="1" s="1"/>
  <c r="G27" i="1" s="1"/>
  <c r="D57" i="10" s="1"/>
  <c r="A82" i="5"/>
  <c r="C17" i="2"/>
  <c r="E15" i="108"/>
  <c r="G15" i="108" s="1"/>
  <c r="E13" i="108"/>
  <c r="F13" i="108"/>
  <c r="J40" i="32"/>
  <c r="D258" i="102" s="1"/>
  <c r="F22" i="35"/>
  <c r="K22" i="35" s="1"/>
  <c r="G26" i="2"/>
  <c r="G28" i="2" s="1"/>
  <c r="G14" i="108"/>
  <c r="J34" i="71"/>
  <c r="C38" i="71"/>
  <c r="K34" i="71"/>
  <c r="G14" i="69"/>
  <c r="F14" i="99"/>
  <c r="E16" i="69"/>
  <c r="E48" i="69" s="1"/>
  <c r="O36" i="71"/>
  <c r="C47" i="71" s="1"/>
  <c r="F46" i="99"/>
  <c r="K44" i="69"/>
  <c r="G44" i="69"/>
  <c r="D526" i="5" l="1"/>
  <c r="D528" i="5" s="1"/>
  <c r="E40" i="1" s="1"/>
  <c r="G34" i="10"/>
  <c r="G40" i="10" s="1"/>
  <c r="D260" i="102"/>
  <c r="K258" i="102"/>
  <c r="K260" i="102" s="1"/>
  <c r="C15" i="5" s="1"/>
  <c r="G52" i="32"/>
  <c r="D254" i="102"/>
  <c r="C314" i="5"/>
  <c r="C525" i="5"/>
  <c r="E63" i="5"/>
  <c r="E11" i="22" s="1"/>
  <c r="H36" i="22" s="1"/>
  <c r="E482" i="5"/>
  <c r="E483" i="5" s="1"/>
  <c r="F17" i="1" s="1"/>
  <c r="O46" i="71"/>
  <c r="C57" i="71" s="1"/>
  <c r="G39" i="2"/>
  <c r="F324" i="5"/>
  <c r="K90" i="106"/>
  <c r="E87" i="106"/>
  <c r="C88" i="106"/>
  <c r="C90" i="106" s="1"/>
  <c r="E89" i="106" s="1"/>
  <c r="O48" i="71"/>
  <c r="C59" i="71" s="1"/>
  <c r="E13" i="107"/>
  <c r="E517" i="5"/>
  <c r="F18" i="1" s="1"/>
  <c r="J47" i="71"/>
  <c r="K47" i="71"/>
  <c r="N47" i="71" s="1"/>
  <c r="O47" i="71" s="1"/>
  <c r="C58" i="71" s="1"/>
  <c r="K87" i="106"/>
  <c r="E78" i="5"/>
  <c r="E80" i="5" s="1"/>
  <c r="F17" i="2" s="1"/>
  <c r="F18" i="108"/>
  <c r="A90" i="5"/>
  <c r="C20" i="2"/>
  <c r="F9" i="108"/>
  <c r="F17" i="108"/>
  <c r="F8" i="35"/>
  <c r="F11" i="108"/>
  <c r="H51" i="32"/>
  <c r="I51" i="32" s="1"/>
  <c r="J51" i="32" s="1"/>
  <c r="C41" i="32"/>
  <c r="G57" i="10"/>
  <c r="G63" i="10" s="1"/>
  <c r="G64" i="10" s="1"/>
  <c r="L64" i="10" s="1"/>
  <c r="I28" i="1"/>
  <c r="F14" i="109"/>
  <c r="K38" i="71"/>
  <c r="C37" i="112" s="1"/>
  <c r="N34" i="71"/>
  <c r="N38" i="71" s="1"/>
  <c r="I48" i="69"/>
  <c r="J38" i="71"/>
  <c r="F522" i="5"/>
  <c r="F6" i="107"/>
  <c r="F18" i="107" s="1"/>
  <c r="F306" i="5"/>
  <c r="O306" i="5" s="1"/>
  <c r="O309" i="5" s="1"/>
  <c r="O316" i="5" s="1"/>
  <c r="G36" i="1"/>
  <c r="C49" i="112" l="1"/>
  <c r="B53" i="32"/>
  <c r="G53" i="32" s="1"/>
  <c r="D256" i="102"/>
  <c r="D178" i="102" s="1"/>
  <c r="D272" i="102"/>
  <c r="K254" i="102"/>
  <c r="K256" i="102" s="1"/>
  <c r="K58" i="71"/>
  <c r="N58" i="71" s="1"/>
  <c r="J58" i="71"/>
  <c r="E321" i="5"/>
  <c r="E10" i="35"/>
  <c r="J17" i="1"/>
  <c r="L11" i="2" s="1"/>
  <c r="L12" i="2" s="1"/>
  <c r="E7" i="107"/>
  <c r="K57" i="71"/>
  <c r="N57" i="71" s="1"/>
  <c r="J57" i="71"/>
  <c r="O57" i="71" s="1"/>
  <c r="C68" i="71" s="1"/>
  <c r="O34" i="71"/>
  <c r="J59" i="71"/>
  <c r="K59" i="71"/>
  <c r="N59" i="71" s="1"/>
  <c r="O59" i="71" s="1"/>
  <c r="C70" i="71" s="1"/>
  <c r="E474" i="5"/>
  <c r="E475" i="5" s="1"/>
  <c r="F16" i="1" s="1"/>
  <c r="F19" i="1" s="1"/>
  <c r="AV180" i="102"/>
  <c r="E36" i="22"/>
  <c r="E65" i="5"/>
  <c r="F15" i="2" s="1"/>
  <c r="D24" i="35" s="1"/>
  <c r="M89" i="106"/>
  <c r="M91" i="106" s="1"/>
  <c r="E90" i="106"/>
  <c r="E432" i="5"/>
  <c r="E438" i="5" s="1"/>
  <c r="AV67" i="102"/>
  <c r="G42" i="2"/>
  <c r="F26" i="35"/>
  <c r="K26" i="35" s="1"/>
  <c r="C22" i="2"/>
  <c r="A133" i="5"/>
  <c r="K8" i="35"/>
  <c r="F19" i="35"/>
  <c r="D41" i="32"/>
  <c r="D63" i="10"/>
  <c r="D64" i="10" s="1"/>
  <c r="D46" i="10" s="1"/>
  <c r="G46" i="10" s="1"/>
  <c r="G13" i="108"/>
  <c r="F527" i="5"/>
  <c r="F309" i="5"/>
  <c r="F526" i="5"/>
  <c r="C37" i="109"/>
  <c r="C37" i="99"/>
  <c r="C38" i="99" s="1"/>
  <c r="K70" i="71" l="1"/>
  <c r="N70" i="71" s="1"/>
  <c r="J70" i="71"/>
  <c r="J68" i="71"/>
  <c r="K68" i="71"/>
  <c r="N68" i="71" s="1"/>
  <c r="O68" i="71" s="1"/>
  <c r="C501" i="5"/>
  <c r="M552" i="5" s="1"/>
  <c r="D274" i="102"/>
  <c r="K272" i="102"/>
  <c r="K274" i="102" s="1"/>
  <c r="D180" i="102"/>
  <c r="D383" i="102" s="1"/>
  <c r="K178" i="102"/>
  <c r="K180" i="102" s="1"/>
  <c r="C474" i="5" s="1"/>
  <c r="D16" i="1" s="1"/>
  <c r="O17" i="2"/>
  <c r="C24" i="35" s="1"/>
  <c r="J15" i="101"/>
  <c r="J208" i="101" s="1"/>
  <c r="J210" i="101" s="1"/>
  <c r="J3" i="101" s="1"/>
  <c r="AV260" i="102"/>
  <c r="G551" i="5"/>
  <c r="E15" i="5"/>
  <c r="E17" i="5" s="1"/>
  <c r="C14" i="5" s="1"/>
  <c r="C16" i="5" s="1"/>
  <c r="E9" i="107"/>
  <c r="F9" i="1"/>
  <c r="F10" i="1" s="1"/>
  <c r="F21" i="1" s="1"/>
  <c r="E11" i="35"/>
  <c r="E34" i="35" s="1"/>
  <c r="E35" i="35" s="1"/>
  <c r="E322" i="5"/>
  <c r="F45" i="2" s="1"/>
  <c r="E24" i="35"/>
  <c r="O38" i="71"/>
  <c r="C10" i="99" s="1"/>
  <c r="D14" i="99" s="1"/>
  <c r="E14" i="99" s="1"/>
  <c r="E16" i="99" s="1"/>
  <c r="C45" i="71"/>
  <c r="O58" i="71"/>
  <c r="C69" i="71" s="1"/>
  <c r="E161" i="5"/>
  <c r="E162" i="5" s="1"/>
  <c r="F25" i="2" s="1"/>
  <c r="O25" i="2" s="1"/>
  <c r="F39" i="2"/>
  <c r="F42" i="2" s="1"/>
  <c r="C23" i="2"/>
  <c r="A146" i="5"/>
  <c r="K19" i="35"/>
  <c r="F27" i="35"/>
  <c r="J41" i="32"/>
  <c r="F528" i="5"/>
  <c r="G40" i="1" s="1"/>
  <c r="G39" i="1"/>
  <c r="F316" i="5"/>
  <c r="G34" i="2" s="1"/>
  <c r="C50" i="109"/>
  <c r="C46" i="99"/>
  <c r="D46" i="99" s="1"/>
  <c r="E46" i="99" s="1"/>
  <c r="F50" i="109" s="1"/>
  <c r="O70" i="71" l="1"/>
  <c r="K69" i="71"/>
  <c r="N69" i="71" s="1"/>
  <c r="J69" i="71"/>
  <c r="C502" i="5"/>
  <c r="C517" i="5" s="1"/>
  <c r="D18" i="1" s="1"/>
  <c r="D19" i="1" s="1"/>
  <c r="D26" i="35"/>
  <c r="K383" i="102"/>
  <c r="K384" i="102" s="1"/>
  <c r="D384" i="102"/>
  <c r="H3" i="40" s="1"/>
  <c r="F26" i="2"/>
  <c r="O26" i="2"/>
  <c r="C25" i="35" s="1"/>
  <c r="E324" i="5"/>
  <c r="F23" i="1"/>
  <c r="E18" i="108"/>
  <c r="C49" i="71"/>
  <c r="K45" i="71"/>
  <c r="J45" i="71"/>
  <c r="E18" i="5"/>
  <c r="D14" i="5"/>
  <c r="D16" i="5" s="1"/>
  <c r="D17" i="5" s="1"/>
  <c r="G14" i="99"/>
  <c r="F52" i="2"/>
  <c r="E26" i="35"/>
  <c r="C24" i="2"/>
  <c r="A155" i="5"/>
  <c r="K27" i="35"/>
  <c r="F29" i="35"/>
  <c r="H52" i="32"/>
  <c r="I52" i="32" s="1"/>
  <c r="J52" i="32" s="1"/>
  <c r="C42" i="32"/>
  <c r="D42" i="32" s="1"/>
  <c r="G35" i="2"/>
  <c r="G54" i="2" s="1"/>
  <c r="E52" i="99"/>
  <c r="K46" i="99"/>
  <c r="I52" i="99" s="1"/>
  <c r="G46" i="99"/>
  <c r="O69" i="71" l="1"/>
  <c r="D23" i="1"/>
  <c r="D385" i="102"/>
  <c r="E9" i="108"/>
  <c r="G9" i="108" s="1"/>
  <c r="D18" i="5"/>
  <c r="E11" i="2" s="1"/>
  <c r="G552" i="5"/>
  <c r="F11" i="2"/>
  <c r="O19" i="35" s="1"/>
  <c r="C16" i="35" s="1"/>
  <c r="J49" i="71"/>
  <c r="N45" i="71"/>
  <c r="N49" i="71" s="1"/>
  <c r="K49" i="71"/>
  <c r="E11" i="108"/>
  <c r="G11" i="108" s="1"/>
  <c r="E8" i="35"/>
  <c r="E19" i="35" s="1"/>
  <c r="A164" i="5"/>
  <c r="C25" i="2"/>
  <c r="F16" i="108"/>
  <c r="F10" i="108"/>
  <c r="F12" i="108"/>
  <c r="K29" i="35"/>
  <c r="F43" i="35"/>
  <c r="J46" i="35"/>
  <c r="J47" i="35" s="1"/>
  <c r="J48" i="35" s="1"/>
  <c r="J42" i="32"/>
  <c r="H53" i="32" s="1"/>
  <c r="I53" i="32" s="1"/>
  <c r="J53" i="32" s="1"/>
  <c r="J55" i="32" s="1"/>
  <c r="I58" i="2"/>
  <c r="D386" i="102" l="1"/>
  <c r="C393" i="102"/>
  <c r="C395" i="102" s="1"/>
  <c r="C8" i="35"/>
  <c r="C19" i="35" s="1"/>
  <c r="D14" i="101"/>
  <c r="D15" i="101" s="1"/>
  <c r="D208" i="101" s="1"/>
  <c r="D210" i="101" s="1"/>
  <c r="D3" i="101" s="1"/>
  <c r="K385" i="102"/>
  <c r="K386" i="102" s="1"/>
  <c r="D25" i="35"/>
  <c r="D27" i="35" s="1"/>
  <c r="D29" i="35" s="1"/>
  <c r="D43" i="35" s="1"/>
  <c r="C38" i="112"/>
  <c r="C38" i="109"/>
  <c r="C40" i="109" s="1"/>
  <c r="D50" i="109" s="1"/>
  <c r="E50" i="109" s="1"/>
  <c r="F52" i="121" s="1"/>
  <c r="O45" i="71"/>
  <c r="E25" i="35"/>
  <c r="E27" i="35" s="1"/>
  <c r="E29" i="35" s="1"/>
  <c r="E43" i="35" s="1"/>
  <c r="A301" i="5"/>
  <c r="C33" i="2"/>
  <c r="K43" i="35"/>
  <c r="F45" i="35"/>
  <c r="G18" i="108"/>
  <c r="C17" i="5" l="1"/>
  <c r="C18" i="5" s="1"/>
  <c r="D11" i="2" s="1"/>
  <c r="N16" i="5"/>
  <c r="O49" i="71"/>
  <c r="C10" i="109" s="1"/>
  <c r="D14" i="109" s="1"/>
  <c r="E14" i="109" s="1"/>
  <c r="C56" i="71"/>
  <c r="F52" i="112"/>
  <c r="F39" i="5"/>
  <c r="K50" i="109"/>
  <c r="G50" i="109"/>
  <c r="C34" i="2"/>
  <c r="A318" i="5"/>
  <c r="A326" i="5" s="1"/>
  <c r="A334" i="5" s="1"/>
  <c r="I50" i="35"/>
  <c r="K50" i="35" s="1"/>
  <c r="E44" i="35"/>
  <c r="E45" i="35" s="1"/>
  <c r="K45" i="35"/>
  <c r="D44" i="35" l="1"/>
  <c r="D45" i="35" s="1"/>
  <c r="O51" i="35" s="1"/>
  <c r="F52" i="35"/>
  <c r="K52" i="35" s="1"/>
  <c r="K21" i="10"/>
  <c r="C60" i="71"/>
  <c r="J56" i="71"/>
  <c r="K56" i="71"/>
  <c r="F38" i="5"/>
  <c r="F14" i="112"/>
  <c r="E16" i="109"/>
  <c r="E56" i="109" s="1"/>
  <c r="G14" i="109"/>
  <c r="C39" i="2"/>
  <c r="H51" i="35"/>
  <c r="H50" i="35"/>
  <c r="H53" i="35" s="1"/>
  <c r="F53" i="35" l="1"/>
  <c r="K53" i="35" s="1"/>
  <c r="K13" i="101"/>
  <c r="J2" i="101"/>
  <c r="K1" i="101" s="1"/>
  <c r="F1" i="101"/>
  <c r="G1" i="101" s="1"/>
  <c r="D1" i="101"/>
  <c r="E1" i="101" s="1"/>
  <c r="A214" i="101"/>
  <c r="K33" i="10"/>
  <c r="E38" i="5"/>
  <c r="D38" i="5" s="1"/>
  <c r="F43" i="5"/>
  <c r="N56" i="71"/>
  <c r="N60" i="71" s="1"/>
  <c r="K60" i="71"/>
  <c r="C39" i="112" s="1"/>
  <c r="C41" i="112" s="1"/>
  <c r="C45" i="2"/>
  <c r="C40" i="2"/>
  <c r="J60" i="71"/>
  <c r="I56" i="109"/>
  <c r="A342" i="5"/>
  <c r="C41" i="2"/>
  <c r="O56" i="71" l="1"/>
  <c r="O60" i="71"/>
  <c r="C10" i="112" s="1"/>
  <c r="D14" i="112" s="1"/>
  <c r="E14" i="112" s="1"/>
  <c r="C67" i="71"/>
  <c r="C37" i="35"/>
  <c r="G14" i="112"/>
  <c r="F26" i="1" s="1"/>
  <c r="K35" i="2"/>
  <c r="C46" i="2"/>
  <c r="A359" i="5"/>
  <c r="E16" i="112" l="1"/>
  <c r="F14" i="121"/>
  <c r="C38" i="5" s="1"/>
  <c r="K67" i="71"/>
  <c r="C71" i="71"/>
  <c r="J67" i="71"/>
  <c r="C41" i="35"/>
  <c r="J54" i="2"/>
  <c r="F27" i="1"/>
  <c r="E24" i="5"/>
  <c r="E29" i="5" s="1"/>
  <c r="E33" i="5" s="1"/>
  <c r="C23" i="5" s="1"/>
  <c r="E17" i="107"/>
  <c r="E412" i="5"/>
  <c r="E413" i="5" s="1"/>
  <c r="G59" i="2"/>
  <c r="I60" i="2" s="1"/>
  <c r="K44" i="10"/>
  <c r="K45" i="10" s="1"/>
  <c r="C47" i="2"/>
  <c r="A385" i="5"/>
  <c r="J71" i="71" l="1"/>
  <c r="N67" i="71"/>
  <c r="N71" i="71" s="1"/>
  <c r="K71" i="71"/>
  <c r="D26" i="1"/>
  <c r="E19" i="121"/>
  <c r="F12" i="2"/>
  <c r="F18" i="2" s="1"/>
  <c r="F28" i="2" s="1"/>
  <c r="D23" i="5"/>
  <c r="D29" i="5" s="1"/>
  <c r="D33" i="5" s="1"/>
  <c r="F36" i="1"/>
  <c r="D47" i="10"/>
  <c r="E306" i="5"/>
  <c r="E309" i="5" s="1"/>
  <c r="C304" i="5" s="1"/>
  <c r="E17" i="108"/>
  <c r="G17" i="108" s="1"/>
  <c r="E522" i="5"/>
  <c r="E6" i="107"/>
  <c r="E18" i="107" s="1"/>
  <c r="A396" i="5"/>
  <c r="C50" i="2"/>
  <c r="D27" i="1" l="1"/>
  <c r="D6" i="107" s="1"/>
  <c r="D18" i="107" s="1"/>
  <c r="C401" i="102"/>
  <c r="C14" i="101"/>
  <c r="C3" i="40"/>
  <c r="O67" i="71"/>
  <c r="O71" i="71" s="1"/>
  <c r="D14" i="121" s="1"/>
  <c r="E61" i="121"/>
  <c r="E71" i="121" s="1"/>
  <c r="E73" i="121" s="1"/>
  <c r="E20" i="121"/>
  <c r="E23" i="121" s="1"/>
  <c r="C50" i="112"/>
  <c r="C52" i="112" s="1"/>
  <c r="D52" i="112" s="1"/>
  <c r="D39" i="5" s="1"/>
  <c r="D43" i="5" s="1"/>
  <c r="E12" i="2"/>
  <c r="E527" i="5"/>
  <c r="F39" i="1" s="1"/>
  <c r="E526" i="5"/>
  <c r="E528" i="5" s="1"/>
  <c r="F40" i="1" s="1"/>
  <c r="E316" i="5"/>
  <c r="D304" i="5"/>
  <c r="D309" i="5" s="1"/>
  <c r="G47" i="10"/>
  <c r="G53" i="10" s="1"/>
  <c r="G54" i="10" s="1"/>
  <c r="D53" i="10"/>
  <c r="D54" i="10" s="1"/>
  <c r="Q54" i="10" s="1"/>
  <c r="P56" i="2" s="1"/>
  <c r="C51" i="2"/>
  <c r="A405" i="5"/>
  <c r="A419" i="5" s="1"/>
  <c r="C51" i="121" l="1"/>
  <c r="C52" i="121" s="1"/>
  <c r="D36" i="1"/>
  <c r="E9" i="40" s="1"/>
  <c r="E10" i="40" s="1"/>
  <c r="E14" i="40" s="1"/>
  <c r="E14" i="121"/>
  <c r="G3" i="40"/>
  <c r="I3" i="40" s="1"/>
  <c r="C7" i="40"/>
  <c r="D33" i="10"/>
  <c r="D41" i="10" s="1"/>
  <c r="K40" i="10" s="1"/>
  <c r="K41" i="10" s="1"/>
  <c r="K46" i="10" s="1"/>
  <c r="D21" i="10"/>
  <c r="G21" i="10" s="1"/>
  <c r="E52" i="112"/>
  <c r="E39" i="5" s="1"/>
  <c r="E43" i="5" s="1"/>
  <c r="D316" i="5"/>
  <c r="E18" i="2"/>
  <c r="E28" i="2" s="1"/>
  <c r="I316" i="5"/>
  <c r="I317" i="5" s="1"/>
  <c r="F34" i="2"/>
  <c r="F35" i="2" s="1"/>
  <c r="L14" i="10"/>
  <c r="L43" i="10" s="1"/>
  <c r="M46" i="10" s="1"/>
  <c r="L54" i="10"/>
  <c r="A426" i="5"/>
  <c r="C8" i="1"/>
  <c r="D52" i="121" l="1"/>
  <c r="E52" i="121" s="1"/>
  <c r="C9" i="40"/>
  <c r="G9" i="40" s="1"/>
  <c r="G7" i="40"/>
  <c r="C402" i="102"/>
  <c r="C403" i="102" s="1"/>
  <c r="C404" i="102" s="1"/>
  <c r="E16" i="121"/>
  <c r="G14" i="121"/>
  <c r="G33" i="10"/>
  <c r="K34" i="10" s="1"/>
  <c r="K22" i="10"/>
  <c r="J30" i="2"/>
  <c r="E58" i="112"/>
  <c r="G52" i="112"/>
  <c r="K52" i="112"/>
  <c r="I58" i="112" s="1"/>
  <c r="F54" i="2"/>
  <c r="E10" i="108"/>
  <c r="G10" i="108" s="1"/>
  <c r="E16" i="108"/>
  <c r="G16" i="108" s="1"/>
  <c r="E12" i="108"/>
  <c r="G12" i="108" s="1"/>
  <c r="C9" i="1"/>
  <c r="A440" i="5"/>
  <c r="K52" i="121" l="1"/>
  <c r="I58" i="121" s="1"/>
  <c r="C39" i="5"/>
  <c r="C43" i="5" s="1"/>
  <c r="G52" i="121"/>
  <c r="E58" i="121"/>
  <c r="C10" i="40"/>
  <c r="C14" i="40" s="1"/>
  <c r="G14" i="40" s="1"/>
  <c r="G41" i="10"/>
  <c r="E34" i="2" s="1"/>
  <c r="E35" i="2" s="1"/>
  <c r="E54" i="2" s="1"/>
  <c r="Q54" i="2" s="1"/>
  <c r="H58" i="2"/>
  <c r="R54" i="2"/>
  <c r="A446" i="5"/>
  <c r="C13" i="1"/>
  <c r="G10" i="40" l="1"/>
  <c r="L41" i="10"/>
  <c r="K36" i="2"/>
  <c r="A457" i="5"/>
  <c r="C14" i="1"/>
  <c r="G58" i="2" l="1"/>
  <c r="G60" i="2" s="1"/>
  <c r="K54" i="2"/>
  <c r="A468" i="5"/>
  <c r="C15" i="1"/>
  <c r="A477" i="5" l="1"/>
  <c r="C16" i="1"/>
  <c r="A485" i="5" l="1"/>
  <c r="C17" i="1"/>
  <c r="A519" i="5"/>
  <c r="C18" i="1"/>
  <c r="A533" i="5" l="1"/>
  <c r="C38" i="1"/>
  <c r="A541" i="5" l="1"/>
  <c r="A5" i="46" s="1"/>
  <c r="B461" i="5" s="1"/>
  <c r="B463" i="5" l="1"/>
  <c r="J31" i="41"/>
  <c r="A4" i="86"/>
  <c r="A6" i="108" s="1"/>
  <c r="A5" i="22" s="1"/>
  <c r="A5" i="47" s="1"/>
  <c r="A13" i="47" s="1"/>
  <c r="A24" i="47" s="1"/>
  <c r="B462" i="5"/>
  <c r="L461" i="5"/>
  <c r="A82" i="46"/>
  <c r="A39" i="47" l="1"/>
  <c r="A5" i="45"/>
  <c r="A14" i="45" s="1"/>
  <c r="J148" i="41"/>
  <c r="A22" i="45" l="1"/>
  <c r="C211" i="5"/>
  <c r="A28" i="45" l="1"/>
  <c r="A31" i="45" s="1"/>
  <c r="A33" i="45" s="1"/>
  <c r="C43" i="1" s="1"/>
  <c r="C22" i="1"/>
  <c r="C234" i="5"/>
  <c r="C231" i="5"/>
  <c r="C241" i="5"/>
  <c r="C255" i="5"/>
  <c r="C245" i="5"/>
  <c r="C259" i="5"/>
  <c r="C250" i="5"/>
  <c r="C420" i="5"/>
  <c r="C427" i="5" s="1"/>
  <c r="C441" i="5" s="1"/>
  <c r="C447" i="5" s="1"/>
  <c r="C458" i="5" s="1"/>
  <c r="C469" i="5" s="1"/>
  <c r="B35" i="45" l="1"/>
  <c r="C478" i="5"/>
  <c r="C486" i="5"/>
  <c r="C520" i="5" s="1"/>
  <c r="C534" i="5" s="1"/>
  <c r="C15" i="101"/>
  <c r="C208" i="101" s="1"/>
  <c r="C306" i="5"/>
  <c r="C24" i="5"/>
  <c r="C29" i="5" s="1"/>
  <c r="C31" i="5" s="1"/>
  <c r="C33" i="5" s="1"/>
  <c r="D12" i="2" s="1"/>
  <c r="D18" i="2" s="1"/>
  <c r="D28" i="2" s="1"/>
  <c r="C309" i="5" l="1"/>
  <c r="C316" i="5" s="1"/>
  <c r="H1" i="101"/>
  <c r="I1" i="101" s="1"/>
  <c r="K14" i="101"/>
  <c r="K15" i="101" s="1"/>
  <c r="K208" i="101" s="1"/>
  <c r="C214" i="101"/>
  <c r="C210" i="101"/>
  <c r="C3" i="101" s="1"/>
  <c r="C522" i="5"/>
  <c r="D22" i="10"/>
  <c r="K210" i="101" l="1"/>
  <c r="K212" i="101" s="1"/>
  <c r="D28" i="10"/>
  <c r="G22" i="10"/>
  <c r="C526" i="5"/>
  <c r="C528" i="5" s="1"/>
  <c r="D40" i="1" s="1"/>
  <c r="C527" i="5"/>
  <c r="D39" i="1" s="1"/>
  <c r="D2" i="101"/>
  <c r="C2" i="101"/>
  <c r="G28" i="10" l="1"/>
  <c r="G29" i="10" s="1"/>
  <c r="H316" i="5" s="1"/>
  <c r="H317" i="5" s="1"/>
  <c r="D29" i="10"/>
  <c r="K28" i="10" s="1"/>
  <c r="K29" i="10" s="1"/>
  <c r="K3" i="101"/>
  <c r="D34" i="2"/>
  <c r="D35" i="2" s="1"/>
  <c r="L29" i="10"/>
  <c r="P34" i="2" l="1"/>
  <c r="C381" i="5"/>
  <c r="C363" i="5" l="1"/>
  <c r="C365" i="5" s="1"/>
  <c r="D49" i="2" l="1"/>
  <c r="D21" i="22" s="1"/>
  <c r="O49" i="2" l="1"/>
  <c r="O52" i="2" s="1"/>
  <c r="C26" i="35" s="1"/>
  <c r="C27" i="35" s="1"/>
  <c r="C29" i="35" s="1"/>
  <c r="C43" i="35" s="1"/>
  <c r="D52" i="2"/>
  <c r="D54" i="2" s="1"/>
  <c r="O54" i="2" s="1"/>
  <c r="C45" i="35" l="1"/>
  <c r="N51" i="35" s="1"/>
  <c r="P51" i="35"/>
  <c r="R51" i="35" s="1"/>
</calcChain>
</file>

<file path=xl/comments1.xml><?xml version="1.0" encoding="utf-8"?>
<comments xmlns="http://schemas.openxmlformats.org/spreadsheetml/2006/main">
  <authors>
    <author>Author</author>
  </authors>
  <commentList>
    <comment ref="F45" authorId="0"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25600 difference with filed depreciation schedule as per ITR</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<sst xmlns="http://schemas.openxmlformats.org/spreadsheetml/2006/main" count="4367" uniqueCount="1731">
  <si>
    <t>Particulars</t>
  </si>
  <si>
    <t>Notes</t>
  </si>
  <si>
    <t>I</t>
  </si>
  <si>
    <t>ASSETS</t>
  </si>
  <si>
    <t>(1)</t>
  </si>
  <si>
    <t>Non-current assets</t>
  </si>
  <si>
    <t>(a) Property, Plant and Equipment</t>
  </si>
  <si>
    <t>(b) Intangible assets</t>
  </si>
  <si>
    <t>(2)</t>
  </si>
  <si>
    <t>Current assets</t>
  </si>
  <si>
    <t>(a) Inventories</t>
  </si>
  <si>
    <t>(b) Financial Assets</t>
  </si>
  <si>
    <t>(c) Other current assets</t>
  </si>
  <si>
    <t>Total Assets</t>
  </si>
  <si>
    <t>II</t>
  </si>
  <si>
    <t>EQUITY AND LIABILITIES</t>
  </si>
  <si>
    <t>Equity</t>
  </si>
  <si>
    <t>(a) Equity Share capital</t>
  </si>
  <si>
    <t>(b) Other Equity</t>
  </si>
  <si>
    <t>LIABILITIES</t>
  </si>
  <si>
    <t>Non-current liabilities</t>
  </si>
  <si>
    <t>(a) Financial Liabilities</t>
  </si>
  <si>
    <t>(i) Long-term borrowings</t>
  </si>
  <si>
    <t>Current liabilities</t>
  </si>
  <si>
    <t>(i) Short-term borrowings</t>
  </si>
  <si>
    <t>(ii) Other trade payables</t>
  </si>
  <si>
    <t>(b) Short-term provisions</t>
  </si>
  <si>
    <t>Total Equity and Liabilities</t>
  </si>
  <si>
    <t>Revenue from operations</t>
  </si>
  <si>
    <t>Other income</t>
  </si>
  <si>
    <t>Total income</t>
  </si>
  <si>
    <t>Expenses</t>
  </si>
  <si>
    <t xml:space="preserve">Changes in inventories </t>
  </si>
  <si>
    <t>Employee benefits expense</t>
  </si>
  <si>
    <t>Finance costs</t>
  </si>
  <si>
    <t xml:space="preserve">Depreciation and amortisation expense </t>
  </si>
  <si>
    <t>Other expenses</t>
  </si>
  <si>
    <t xml:space="preserve">Total expenses </t>
  </si>
  <si>
    <t>Profit before exceptional items and tax</t>
  </si>
  <si>
    <t>Exceptional items</t>
  </si>
  <si>
    <t>Profit before tax</t>
  </si>
  <si>
    <t>Tax expense</t>
  </si>
  <si>
    <t>(1) Current tax</t>
  </si>
  <si>
    <t>Other comprehensive income:</t>
  </si>
  <si>
    <t>Items that will not be reclassified to profit or loss</t>
  </si>
  <si>
    <t>Remeasurement of net defined benefit liability</t>
  </si>
  <si>
    <t>Income tax relating to items not reclassified</t>
  </si>
  <si>
    <t>Items that will be reclassified subsequently to profit or loss</t>
  </si>
  <si>
    <t>Income tax relating to items that will be reclassified</t>
  </si>
  <si>
    <t>Earnings per share</t>
  </si>
  <si>
    <t>Basic earnings (loss) per share</t>
  </si>
  <si>
    <t>Total</t>
  </si>
  <si>
    <t>Diluted earnings (loss) per share</t>
  </si>
  <si>
    <t>Statement of Profit and Loss</t>
  </si>
  <si>
    <t>2017-18</t>
  </si>
  <si>
    <t xml:space="preserve">Profit for the year </t>
  </si>
  <si>
    <t>Additions</t>
  </si>
  <si>
    <t>Depreciation</t>
  </si>
  <si>
    <t>Considered good</t>
  </si>
  <si>
    <t>Considered doubtful</t>
  </si>
  <si>
    <t>Less: Provision for doubtful debts</t>
  </si>
  <si>
    <t>Balances with banks in:</t>
  </si>
  <si>
    <t>Balance with scheduled banks</t>
  </si>
  <si>
    <t xml:space="preserve">   - current accounts</t>
  </si>
  <si>
    <t>Cash in hand</t>
  </si>
  <si>
    <t>Other bank balances</t>
  </si>
  <si>
    <t>Authorised</t>
  </si>
  <si>
    <t>Number of equity shares</t>
  </si>
  <si>
    <t>Increase/(decrease) during the year</t>
  </si>
  <si>
    <t>Dues to other than micro, small and medium enterprises</t>
  </si>
  <si>
    <t>Gross block - at cost</t>
  </si>
  <si>
    <t>Depreciation/ Amortisation</t>
  </si>
  <si>
    <t>Net block</t>
  </si>
  <si>
    <t xml:space="preserve">                                           </t>
  </si>
  <si>
    <t>As at</t>
  </si>
  <si>
    <t xml:space="preserve">GAAP </t>
  </si>
  <si>
    <t>For the</t>
  </si>
  <si>
    <t>Adjustments</t>
  </si>
  <si>
    <t xml:space="preserve"> Adjustments</t>
  </si>
  <si>
    <t>Deductions</t>
  </si>
  <si>
    <t>year</t>
  </si>
  <si>
    <t>Tangible assets</t>
  </si>
  <si>
    <t xml:space="preserve">          Electrical installations                                              </t>
  </si>
  <si>
    <t>Intangible assets</t>
  </si>
  <si>
    <t xml:space="preserve">            Computer software</t>
  </si>
  <si>
    <t xml:space="preserve">          </t>
  </si>
  <si>
    <t xml:space="preserve">          Computers</t>
  </si>
  <si>
    <t xml:space="preserve">          Furniture and fixtures</t>
  </si>
  <si>
    <t xml:space="preserve">          Office equipments</t>
  </si>
  <si>
    <t xml:space="preserve">           Website Development</t>
  </si>
  <si>
    <t>Deferred tax asset arising on account of (A)</t>
  </si>
  <si>
    <t>Timing difference between book depreciation and depreciation as per Income Tax Act ,1961</t>
  </si>
  <si>
    <t>Employees benefit expenses</t>
  </si>
  <si>
    <t>Deferred tax liability arising on account of (B)</t>
  </si>
  <si>
    <t>1908 E-VENTURES PVT. LTD.</t>
  </si>
  <si>
    <t>Mumbai</t>
  </si>
  <si>
    <t>Trial Balance</t>
  </si>
  <si>
    <t/>
  </si>
  <si>
    <t>Closing Balance</t>
  </si>
  <si>
    <t>Debit</t>
  </si>
  <si>
    <t>Credit</t>
  </si>
  <si>
    <t>Capital Account</t>
  </si>
  <si>
    <t>Equity Share Capital</t>
  </si>
  <si>
    <t>Loans (Liability)</t>
  </si>
  <si>
    <t>Bank OD A/c</t>
  </si>
  <si>
    <t>Financial liabilities</t>
  </si>
  <si>
    <t>Current Liabilities</t>
  </si>
  <si>
    <t>Duties &amp; Taxes</t>
  </si>
  <si>
    <t>Statutory dues payable</t>
  </si>
  <si>
    <t>Profession Tax</t>
  </si>
  <si>
    <t>Staff Income Tax</t>
  </si>
  <si>
    <t>Sundry Creditors</t>
  </si>
  <si>
    <t>Other trade payables</t>
  </si>
  <si>
    <t>Outstanding Expenses</t>
  </si>
  <si>
    <t>Bonus Payable</t>
  </si>
  <si>
    <t>Short-term provisions</t>
  </si>
  <si>
    <t>Bonus payable</t>
  </si>
  <si>
    <t>Corporate Credit Card No 4718 6501 0001 4304</t>
  </si>
  <si>
    <t>Deposit Linked Insurance @ 0.50%</t>
  </si>
  <si>
    <t>Other current financial liabilities</t>
  </si>
  <si>
    <t>Interest accrued but not due</t>
  </si>
  <si>
    <t>PF Employees Contribution @ 12%</t>
  </si>
  <si>
    <t>PF Payable</t>
  </si>
  <si>
    <t>Provision for Gratuity</t>
  </si>
  <si>
    <t>Gratuity</t>
  </si>
  <si>
    <t>Provision for Leave Benefits</t>
  </si>
  <si>
    <t>Leave entitlement</t>
  </si>
  <si>
    <t>Fixed Assets</t>
  </si>
  <si>
    <t>Current Assets</t>
  </si>
  <si>
    <t>Opening Stock</t>
  </si>
  <si>
    <t>Inventories</t>
  </si>
  <si>
    <t>Stock in trade</t>
  </si>
  <si>
    <t>Deposits (Asset)</t>
  </si>
  <si>
    <t>Security Deposit</t>
  </si>
  <si>
    <t>Loans &amp; Advances (Asset)</t>
  </si>
  <si>
    <t>Loans &amp; Advances to Employees</t>
  </si>
  <si>
    <t>Advance for Expenses</t>
  </si>
  <si>
    <t>MVAT Deposit</t>
  </si>
  <si>
    <t>Prepaid Expenses</t>
  </si>
  <si>
    <t>Sundry Debtors</t>
  </si>
  <si>
    <t>Deep Lalvani</t>
  </si>
  <si>
    <t>Ninotchka Nagpal</t>
  </si>
  <si>
    <t>Bank Accounts</t>
  </si>
  <si>
    <t>Cash-in-Hand</t>
  </si>
  <si>
    <t>Cash and cash equivalents</t>
  </si>
  <si>
    <t>Kotak Mahindra Bank</t>
  </si>
  <si>
    <t>Deferred Tax Asset</t>
  </si>
  <si>
    <t>Assets</t>
  </si>
  <si>
    <t>Deferred tax Assets (Net)</t>
  </si>
  <si>
    <t>FD with HDFC Bank</t>
  </si>
  <si>
    <t>Other non-current financial assets</t>
  </si>
  <si>
    <t>Interest Accrued But Not Due</t>
  </si>
  <si>
    <t>Tax Paid on RCM</t>
  </si>
  <si>
    <t>Sales Accounts</t>
  </si>
  <si>
    <t>Purchase Accounts</t>
  </si>
  <si>
    <t>Custom Duty</t>
  </si>
  <si>
    <t>Purchase Import</t>
  </si>
  <si>
    <t>Purchase Interstate</t>
  </si>
  <si>
    <t>Purchase  Local</t>
  </si>
  <si>
    <t>Direct Expenses</t>
  </si>
  <si>
    <t>Packing Material</t>
  </si>
  <si>
    <t>Indirect Incomes</t>
  </si>
  <si>
    <t>Discount Recieved</t>
  </si>
  <si>
    <t>Interest on FD</t>
  </si>
  <si>
    <t>Sundry Receipts</t>
  </si>
  <si>
    <t>Indirect Expenses</t>
  </si>
  <si>
    <t>Salary</t>
  </si>
  <si>
    <t>Basic Salary</t>
  </si>
  <si>
    <t>Conveyance Allowance</t>
  </si>
  <si>
    <t>House Rent Allowance</t>
  </si>
  <si>
    <t>Leave Travel Allowance</t>
  </si>
  <si>
    <t>Medical Allowance</t>
  </si>
  <si>
    <t>Other Allowance</t>
  </si>
  <si>
    <t>Special Allowance</t>
  </si>
  <si>
    <t>Supplementary Allowance</t>
  </si>
  <si>
    <t>Telephone Allowance</t>
  </si>
  <si>
    <t>Variable Incentives</t>
  </si>
  <si>
    <t>Administrative Expenses</t>
  </si>
  <si>
    <t>Advertisement Expenses</t>
  </si>
  <si>
    <t>Audit Fees</t>
  </si>
  <si>
    <t>Auditor Out Of Pocket Expenses</t>
  </si>
  <si>
    <t>Bank Charges</t>
  </si>
  <si>
    <t>Bonus</t>
  </si>
  <si>
    <t>Brand Registeration</t>
  </si>
  <si>
    <t>Business Promotion Expenses</t>
  </si>
  <si>
    <t>Clearing &amp; Forwarding Charges</t>
  </si>
  <si>
    <t>Commission</t>
  </si>
  <si>
    <t>Computer Expenses</t>
  </si>
  <si>
    <t>Conveyance Expenses</t>
  </si>
  <si>
    <t>Discount Given</t>
  </si>
  <si>
    <t>Electricity Charges</t>
  </si>
  <si>
    <t>Entertainment Expenses</t>
  </si>
  <si>
    <t>Exchange Rate Difference</t>
  </si>
  <si>
    <t>Family Pension @ 8.33%</t>
  </si>
  <si>
    <t>Insurance Premium</t>
  </si>
  <si>
    <t>Interest on Debentures</t>
  </si>
  <si>
    <t>Interest on OD</t>
  </si>
  <si>
    <t>Interest on TDS</t>
  </si>
  <si>
    <t>Internet Expenses</t>
  </si>
  <si>
    <t>Labour Charge</t>
  </si>
  <si>
    <t>Legal &amp; Professional Charges</t>
  </si>
  <si>
    <t>Marketing Expenses</t>
  </si>
  <si>
    <t>Office Expenses</t>
  </si>
  <si>
    <t>Other Service Charges</t>
  </si>
  <si>
    <t>Paytm Commission</t>
  </si>
  <si>
    <t>PF Administrative Expenses</t>
  </si>
  <si>
    <t>PF Employers Contribution @ 3.67%</t>
  </si>
  <si>
    <t>Postage &amp; Courier</t>
  </si>
  <si>
    <t>Profession Tax- Company</t>
  </si>
  <si>
    <t>Registration Fees</t>
  </si>
  <si>
    <t>Rent</t>
  </si>
  <si>
    <t>Repairs - Others</t>
  </si>
  <si>
    <t>Retainership Fees</t>
  </si>
  <si>
    <t>Rounding Off</t>
  </si>
  <si>
    <t>Staff Welfare</t>
  </si>
  <si>
    <t>Stipend</t>
  </si>
  <si>
    <t>Sundry Expenses</t>
  </si>
  <si>
    <t>Telephone Expenses</t>
  </si>
  <si>
    <t>Travelling Expenses</t>
  </si>
  <si>
    <t>Website Expenses</t>
  </si>
  <si>
    <t xml:space="preserve">Deposit with maturity of more than 3 months but less than 12 months from reporting date </t>
  </si>
  <si>
    <t>Other advances</t>
  </si>
  <si>
    <t>Loans and advances to employees</t>
  </si>
  <si>
    <t>Confirm</t>
  </si>
  <si>
    <t>Prepaid expenses</t>
  </si>
  <si>
    <t>Advance Income Tax (Net of Provision)</t>
  </si>
  <si>
    <t>Equity shares of INR 10 each</t>
  </si>
  <si>
    <t xml:space="preserve"> - Gratuity</t>
  </si>
  <si>
    <t xml:space="preserve"> - Leave entitlement</t>
  </si>
  <si>
    <t>Whether to classify as secured?</t>
  </si>
  <si>
    <t xml:space="preserve">Dues to micro, small and medium enterprises </t>
  </si>
  <si>
    <t>Breakup</t>
  </si>
  <si>
    <t>Outstanding expenses</t>
  </si>
  <si>
    <t>Sale of products</t>
  </si>
  <si>
    <t>Other operating revenue</t>
  </si>
  <si>
    <t>Interest income:</t>
  </si>
  <si>
    <t xml:space="preserve"> - on bank deposits</t>
  </si>
  <si>
    <t>Sundry balances written  back</t>
  </si>
  <si>
    <t>Sundry receipts</t>
  </si>
  <si>
    <t>Business Support Services</t>
  </si>
  <si>
    <t>Inventories at the end of the year</t>
  </si>
  <si>
    <t xml:space="preserve">   Finished goods</t>
  </si>
  <si>
    <t>Inventories at the beginning of the year</t>
  </si>
  <si>
    <t>Salaries, wages and bonus</t>
  </si>
  <si>
    <t>Staff welfare expense</t>
  </si>
  <si>
    <t>Purchases of Stock-in-Trade</t>
  </si>
  <si>
    <t>Interest on debentures</t>
  </si>
  <si>
    <t>Marketing expenses</t>
  </si>
  <si>
    <t>Electricity expense</t>
  </si>
  <si>
    <t>Packing material</t>
  </si>
  <si>
    <t>Advertisement expenses</t>
  </si>
  <si>
    <t>Travelling and conveyance</t>
  </si>
  <si>
    <t>Legal and professional</t>
  </si>
  <si>
    <t>Printing and stationery</t>
  </si>
  <si>
    <t>Miscellaneous expenses</t>
  </si>
  <si>
    <t>01)</t>
  </si>
  <si>
    <t>Deposit details</t>
  </si>
  <si>
    <t>Deposit amount (Rs)</t>
  </si>
  <si>
    <t xml:space="preserve">Capital repayment at the end of each year </t>
  </si>
  <si>
    <t>Interest receivable annually</t>
  </si>
  <si>
    <t>Maturity period (years)</t>
  </si>
  <si>
    <t>Market interest rate for a similar deposit</t>
  </si>
  <si>
    <t>02)</t>
  </si>
  <si>
    <t>Initial measurement (fair value of the deposit)</t>
  </si>
  <si>
    <t>Y1</t>
  </si>
  <si>
    <t>Y2</t>
  </si>
  <si>
    <t>Y3</t>
  </si>
  <si>
    <t>Deposit repayment</t>
  </si>
  <si>
    <t>Interest payment</t>
  </si>
  <si>
    <t>Discount rate</t>
  </si>
  <si>
    <t>To be discussed</t>
  </si>
  <si>
    <t>Fair value of deposit</t>
  </si>
  <si>
    <t>03)</t>
  </si>
  <si>
    <t>Subsequent measurement (amortize cost for each year)</t>
  </si>
  <si>
    <t>Accounting journal entries</t>
  </si>
  <si>
    <t>Dr</t>
  </si>
  <si>
    <t>Deferred Rent Expense (B/S)</t>
  </si>
  <si>
    <t>Cash</t>
  </si>
  <si>
    <t>Cr</t>
  </si>
  <si>
    <t>Being the security deposit made with the landloard</t>
  </si>
  <si>
    <t>Interest Income</t>
  </si>
  <si>
    <t>Being the interest income on the deposit</t>
  </si>
  <si>
    <t>Finance Expenses</t>
  </si>
  <si>
    <t>Deferred rent expense</t>
  </si>
  <si>
    <t>Being amortization of deferred rent expenses</t>
  </si>
  <si>
    <t>Interest Expense</t>
  </si>
  <si>
    <t>Being the refund of the deposit</t>
  </si>
  <si>
    <t>Account entries</t>
  </si>
  <si>
    <t>Security Deposit (Balance Sheet)</t>
  </si>
  <si>
    <t>Deferred Rent Expense (Balance Sheet)</t>
  </si>
  <si>
    <t>Y0 - Cash</t>
  </si>
  <si>
    <t>Y1 - Finance exp</t>
  </si>
  <si>
    <t>Y1 - Interest Income</t>
  </si>
  <si>
    <t>C/D</t>
  </si>
  <si>
    <t>B/F - Y2</t>
  </si>
  <si>
    <t>Refund received</t>
  </si>
  <si>
    <t>B/F Y2</t>
  </si>
  <si>
    <t>Y2 - Finance exp</t>
  </si>
  <si>
    <t>Y2 - Interest Income</t>
  </si>
  <si>
    <t>B/F Y3</t>
  </si>
  <si>
    <t>Y3 - Finance exp</t>
  </si>
  <si>
    <t>Y3 - Interest Income</t>
  </si>
  <si>
    <t>Finance Expense</t>
  </si>
  <si>
    <t>Y1 - Deferred Rent</t>
  </si>
  <si>
    <t>Y1 - Security Deposit</t>
  </si>
  <si>
    <t>TRF Income Statement</t>
  </si>
  <si>
    <t>Y2 - Deferred Rent</t>
  </si>
  <si>
    <t>Y2 - Security Deposit</t>
  </si>
  <si>
    <t>Y3 - Deferred Rent</t>
  </si>
  <si>
    <t>Security deposits on leased office premises</t>
  </si>
  <si>
    <t>Y4</t>
  </si>
  <si>
    <t>Y5</t>
  </si>
  <si>
    <t>Other finance costs</t>
  </si>
  <si>
    <t>Insurance charges</t>
  </si>
  <si>
    <t>A. Equity share capital</t>
  </si>
  <si>
    <t>B. Other equity</t>
  </si>
  <si>
    <t>Reserves and surplus</t>
  </si>
  <si>
    <t>Total equity</t>
  </si>
  <si>
    <t>Retained earnings</t>
  </si>
  <si>
    <t>Profit for the year</t>
  </si>
  <si>
    <t>Other comprehensive income</t>
  </si>
  <si>
    <t>Total comprehensive income for the year</t>
  </si>
  <si>
    <t>For and on behalf of the Board of Directors</t>
  </si>
  <si>
    <t>Chartered Accountants</t>
  </si>
  <si>
    <t xml:space="preserve">Auditors' remuneration </t>
  </si>
  <si>
    <t>Issued, Subscribed and fully paid up</t>
  </si>
  <si>
    <t>a) Reconciliation of equity shares outstanding at the beginning and at the end of the reporting period</t>
  </si>
  <si>
    <t>b). Terms/rights attached to equity shares</t>
  </si>
  <si>
    <t>The Company has only one class of equity shares having a par value of Rs 10 per share. Each holder of equity shares is entitled to one vote per share. The Company declares and pays dividends in Indian Rupees. The dividend, if proposed by the Board of Directors, is subject to the approval of the shareholders in the ensuing Annual General Meeting, except interim dividend.</t>
  </si>
  <si>
    <t>c). Shareholders holding more than 5% of the shares in the Company</t>
  </si>
  <si>
    <t>Others</t>
  </si>
  <si>
    <t>Interest accrued but not due liability</t>
  </si>
  <si>
    <t>(b) Long-term provisions</t>
  </si>
  <si>
    <t>Start date</t>
  </si>
  <si>
    <t>End date</t>
  </si>
  <si>
    <t>On maturity</t>
  </si>
  <si>
    <t>Equity share capital</t>
  </si>
  <si>
    <t>Deferred notional rent expense</t>
  </si>
  <si>
    <t>Amortisation of prepaid rent</t>
  </si>
  <si>
    <t>Current portion of deferred notional rent expense</t>
  </si>
  <si>
    <t>See Groupings</t>
  </si>
  <si>
    <t>Statement of Changes in Equity</t>
  </si>
  <si>
    <t>For Sunil Modi &amp; Co</t>
  </si>
  <si>
    <t>Firm Registration No. 142806W</t>
  </si>
  <si>
    <t>Sunil Modi</t>
  </si>
  <si>
    <t>Deep A. Lalvani</t>
  </si>
  <si>
    <t>Partner</t>
  </si>
  <si>
    <t>Chairman</t>
  </si>
  <si>
    <t>Membership No. 042562</t>
  </si>
  <si>
    <t>DIN: 01771000</t>
  </si>
  <si>
    <t>Place : Mumbai</t>
  </si>
  <si>
    <t>Other non-current tax assets</t>
  </si>
  <si>
    <t>Other non-current assets</t>
  </si>
  <si>
    <t>Other current financial assets</t>
  </si>
  <si>
    <t>Other current assets</t>
  </si>
  <si>
    <t>Long-term provisions</t>
  </si>
  <si>
    <t>Short-term borrowings</t>
  </si>
  <si>
    <t>Sanction terms to see</t>
  </si>
  <si>
    <t>Changes in inventories</t>
  </si>
  <si>
    <t>Employee benefit expenses</t>
  </si>
  <si>
    <t>Finance Costs</t>
  </si>
  <si>
    <t>Other Equity</t>
  </si>
  <si>
    <t>Retained Earnings</t>
  </si>
  <si>
    <t>Other Comprehensive Income (OCI)</t>
  </si>
  <si>
    <t>See groupings</t>
  </si>
  <si>
    <t>Deposit  with maturity  more than 12 months from reporting date</t>
  </si>
  <si>
    <t>Deposit</t>
  </si>
  <si>
    <t>D. rent</t>
  </si>
  <si>
    <t>Y3 - Security Deposit</t>
  </si>
  <si>
    <t>Equity shares of Rs 10 each, fully paid up</t>
  </si>
  <si>
    <t>J.B.Advani &amp; Company Pvt. Ltd.</t>
  </si>
  <si>
    <t>Ador Multiproducts Ltd.</t>
  </si>
  <si>
    <t>Number</t>
  </si>
  <si>
    <t>% Holding</t>
  </si>
  <si>
    <t xml:space="preserve">Total comprehensive income for the year </t>
  </si>
  <si>
    <t>i) Net profit after tax as per statement of profit and loss attributable to equity shareholders</t>
  </si>
  <si>
    <t>ii) Weighted average number of equity shares used as denominator for calculating basic ESPS</t>
  </si>
  <si>
    <t>Audit fees</t>
  </si>
  <si>
    <t>Auditor out of pocket expenses</t>
  </si>
  <si>
    <t>Website expenses</t>
  </si>
  <si>
    <t xml:space="preserve">Telephone postage &amp; communication </t>
  </si>
  <si>
    <t>Registration fees</t>
  </si>
  <si>
    <t>Leave &amp; licence Fees</t>
  </si>
  <si>
    <t>Internet expenses</t>
  </si>
  <si>
    <t>a</t>
  </si>
  <si>
    <t>Leases</t>
  </si>
  <si>
    <t>Contingent liabilities are disclosed when there is a possible obligation arising from past events, the existence of which will be confirmed only by the occurrence or non occurrence of one or more uncertain future events not wholly within the control of the Company or a present obligation that arises from past events where it is either not probable that an outflow of resources will be required to settle or a reliable estimate of the amount cannot be made.</t>
  </si>
  <si>
    <t>Critical estimates and judgements</t>
  </si>
  <si>
    <t>A</t>
  </si>
  <si>
    <t>Fair value measurements</t>
  </si>
  <si>
    <t>Financial instruments by category:</t>
  </si>
  <si>
    <t>FVTPL</t>
  </si>
  <si>
    <t>Amortised cost</t>
  </si>
  <si>
    <t>Financial Assets - Non-current</t>
  </si>
  <si>
    <t>Financial Assets - Current</t>
  </si>
  <si>
    <t>Trade receivables</t>
  </si>
  <si>
    <t>Other Bank balances</t>
  </si>
  <si>
    <t>Other current financial asset</t>
  </si>
  <si>
    <t>Financial Liabilities - Non Current</t>
  </si>
  <si>
    <t>Financial Liabilities - Current</t>
  </si>
  <si>
    <t>Trade payables</t>
  </si>
  <si>
    <t>I. Fair value hierarchy</t>
  </si>
  <si>
    <t>II. Valuation techniques used to determine fair value</t>
  </si>
  <si>
    <t xml:space="preserve">III. Financial assets and liabilities measured at fair value Fair value hierarchy - recurring fair value measurement: </t>
  </si>
  <si>
    <t>Level 1</t>
  </si>
  <si>
    <t>Level 2</t>
  </si>
  <si>
    <t>Level 3</t>
  </si>
  <si>
    <t>IV. Financial assets and liabilities measured at amortised cost for which fair values are disclosed:</t>
  </si>
  <si>
    <t>Financial liabilities - Non-current</t>
  </si>
  <si>
    <t>Note:</t>
  </si>
  <si>
    <t>During the periods mentioned above, there have been no transfers amongst the levels of hierarchy.</t>
  </si>
  <si>
    <t>The carrying amounts of trade receivables, cash and bank balances, other bank balances, non-current loans, current loans, other current financial asset, trade payables and other current financial liabilities are considered to be approximately equal to the fair value.</t>
  </si>
  <si>
    <t>The fair values computed above for assets and liabilities measured at amortised cost are based on discounted cash flows using a current borrowing rate. They are classified as level 2 fair values in the fair value hierarchy due to the use of observable inputs.</t>
  </si>
  <si>
    <t>Financial risk management</t>
  </si>
  <si>
    <t>The Company’s principal financial liabilities comprise deposits, trade and other payables. The main purpose of these financial liabilities is to finance the Company’s operations. The Company’s principal financial assets include current loans, trade and other receivables, and cash and cash equivalents that derive directly from its operations.
The Company is exposed to credit risk, market risk and liquidity risk. The Company’s senior management oversees the management of these risks.</t>
  </si>
  <si>
    <t xml:space="preserve">Credit risk </t>
  </si>
  <si>
    <t>The company is exposed to credit risk from its operating activities (primarily for trade receivables) and from its financing activities (deposits with banks and other financial instruments).</t>
  </si>
  <si>
    <t>Credit risk management</t>
  </si>
  <si>
    <t>To manage credit risk, the Company follows a policy of providing 30-180 days credit to the customers basis the nature of customers. The credit limit policy is established considering the current economic trends of the industry in which the company is operating.
However, the trade receivables are monitored on a periodic basis for assessing any significant risk of non-recoverability of dues and provision is created accordingly.</t>
  </si>
  <si>
    <t>Bank balances are held with only high rated banks and majority of other security deposits are placed majorly with government agencies/public sector undertakings.</t>
  </si>
  <si>
    <t>Age of receivables that are past due:</t>
  </si>
  <si>
    <t>Upto 30 days</t>
  </si>
  <si>
    <t>30-60 days</t>
  </si>
  <si>
    <t>60-90 days</t>
  </si>
  <si>
    <t>More than 90 days</t>
  </si>
  <si>
    <t>B</t>
  </si>
  <si>
    <t xml:space="preserve">Liquidity risk </t>
  </si>
  <si>
    <t>Liquidity risk is defined as the risk that the Company will not be able to settle or meet its obligations on time or at a reasonable price. For the Company, liquidity risk arises from obligations on account of financial liabilities – trade payables and other financial liabilities.</t>
  </si>
  <si>
    <t>Liquidity risk management</t>
  </si>
  <si>
    <t>The Company’s management is responsible for liquidity and funding as well as settlement management. In addition, processes and policies related to such risks are overseen by senior management. Management monitors the Company’s net liquidity position through rolling forecasts on the basis of expected cash flows.</t>
  </si>
  <si>
    <t>C</t>
  </si>
  <si>
    <t>Market risk</t>
  </si>
  <si>
    <t>(i)</t>
  </si>
  <si>
    <t>Price Risk</t>
  </si>
  <si>
    <t>The company is exposed to price risk from its investment in mutual fund, investment in equity shares and investment in preference shares classified in the balance sheet at fair value through profit and loss.</t>
  </si>
  <si>
    <t>To manage its price risk arising from the investment, the Company has invested in the mutual fund and equity shares after considering the risk and return profile of the mutual funds and equity shares i.e. the debt profile indicates that the debt has been given to creditworthy parties and equity investment is made after considering the performance of the stock.. However, the entity being risk averse has opted to invest its substantial funds in debt oriented mutual funds.</t>
  </si>
  <si>
    <t>Sensitivity</t>
  </si>
  <si>
    <t>Impact on profit after tax for 5% increase in NAV/price</t>
  </si>
  <si>
    <t>Impact on profit after tax for 5% decrease in NAV/Price</t>
  </si>
  <si>
    <t>Capital Management</t>
  </si>
  <si>
    <t>Risk management</t>
  </si>
  <si>
    <t>The company’s objectives when managing capital are to
• safeguard their ability to continue as a going concern, so that they can continue to provide returns for shareholders and benefits for other stakeholders, and
• maintain an optimal capital structure to reduce the cost of capital.
Apart from trade payables and other current liabilities, there is no debt on the company. Therefore, the company manages its capital and return to shareholders by adequately investing in mutual funds and equity shares and adjusting the amount of dividend paid to the shareholders.</t>
  </si>
  <si>
    <t>Freight Charges</t>
  </si>
  <si>
    <t>Interest on Income Tax Refund</t>
  </si>
  <si>
    <t>Cc Avenue Fees</t>
  </si>
  <si>
    <t>Donation</t>
  </si>
  <si>
    <t>Shipping Charges</t>
  </si>
  <si>
    <t xml:space="preserve"> - on income tax refunds</t>
  </si>
  <si>
    <t>Un Secured</t>
  </si>
  <si>
    <t>TB</t>
  </si>
  <si>
    <t>Working</t>
  </si>
  <si>
    <t>Direct</t>
  </si>
  <si>
    <t>Prev year</t>
  </si>
  <si>
    <t>PL</t>
  </si>
  <si>
    <t>prev year</t>
  </si>
  <si>
    <t>as per bs</t>
  </si>
  <si>
    <t>see working</t>
  </si>
  <si>
    <t>Mannual</t>
  </si>
  <si>
    <t>OCI</t>
  </si>
  <si>
    <t>Prev yr</t>
  </si>
  <si>
    <t>Up to one year</t>
  </si>
  <si>
    <t>Between one and five years</t>
  </si>
  <si>
    <t>More than five years</t>
  </si>
  <si>
    <t>Operating leases</t>
  </si>
  <si>
    <t>i. The Company has entered into various lease agreements under operating lease arrangements. The schedule of future minimum rentals payments in respect of non-cancellable operating leases agreements is set out below :</t>
  </si>
  <si>
    <t>difference is 69k for stall and debot note</t>
  </si>
  <si>
    <t>iv) Total weighted average number of equity shares used as denominator for  calculating diluted EPS</t>
  </si>
  <si>
    <t>v) Net profit after tax for diluted EPS</t>
  </si>
  <si>
    <t>Leases as lessee</t>
  </si>
  <si>
    <t>2018-19</t>
  </si>
  <si>
    <t>2019-20</t>
  </si>
  <si>
    <t>2020-21</t>
  </si>
  <si>
    <t>working ind as</t>
  </si>
  <si>
    <t>Security and other deposits*</t>
  </si>
  <si>
    <t>*Comprises of Security deposit given to related parties:
J.B.Advani &amp; Co Private Limited</t>
  </si>
  <si>
    <t>Considered good:</t>
  </si>
  <si>
    <t>Year ended</t>
  </si>
  <si>
    <t>A. Cash flow from operating activities</t>
  </si>
  <si>
    <t>Net Profit before tax</t>
  </si>
  <si>
    <t>Adjustments for:</t>
  </si>
  <si>
    <t>Depreciation and amortisation expense</t>
  </si>
  <si>
    <t>Interest income</t>
  </si>
  <si>
    <t>Operating profit before working capital changes</t>
  </si>
  <si>
    <t xml:space="preserve">Adjustment for: </t>
  </si>
  <si>
    <t>Decrease/ (Increase) in inventories</t>
  </si>
  <si>
    <t>Decrease/ (Increase) in trade receivable</t>
  </si>
  <si>
    <t>(Decrease)/Increase in trade and other payables</t>
  </si>
  <si>
    <t>Cash generated from operations</t>
  </si>
  <si>
    <t>Income tax refund/(paid)</t>
  </si>
  <si>
    <t>Net cash (used in)/ generated from operating activities</t>
  </si>
  <si>
    <t>B. Cash flow from investing activities</t>
  </si>
  <si>
    <t>Acquisition of fixed assets and capital work in progress</t>
  </si>
  <si>
    <t xml:space="preserve">Interest income on fixed deposits and other advances </t>
  </si>
  <si>
    <t>Net cash (used in)/ generated from investing activities</t>
  </si>
  <si>
    <t>C. Cash flow from financing activities</t>
  </si>
  <si>
    <t>Net cash (used in)/ generated from  financing activities</t>
  </si>
  <si>
    <t>Net (decrease)/ increase in cash and cash equivalents (A+B+C)</t>
  </si>
  <si>
    <t>Cash and cash equivalents as at the beginning of year</t>
  </si>
  <si>
    <t>Cash and cash equivalents at the end of year</t>
  </si>
  <si>
    <t>Balance with scheduled banks in current accounts</t>
  </si>
  <si>
    <t>This is the Cash flow statement referred to in our audit report of even date</t>
  </si>
  <si>
    <t>NPV</t>
  </si>
  <si>
    <t>Sundry balances written back/written-off</t>
  </si>
  <si>
    <t>Decrease/ (Increase) in long term loans and advances and other receivables</t>
  </si>
  <si>
    <t>Decrease/ (Increase) in other assets and receivables</t>
  </si>
  <si>
    <t>Opening DTA</t>
  </si>
  <si>
    <t>3. Property Plant &amp; Equipment</t>
  </si>
  <si>
    <t>Provision for Leave encashment</t>
  </si>
  <si>
    <t>Proceeds from issuance of Debentures</t>
  </si>
  <si>
    <t>TCS (GST) FY 2018-19</t>
  </si>
  <si>
    <t>HDFC Bank</t>
  </si>
  <si>
    <t>Miscellenous  Income</t>
  </si>
  <si>
    <t>Sundry Advances / Credit Balance Written Off</t>
  </si>
  <si>
    <t>Overtime Allowance</t>
  </si>
  <si>
    <t>Annual Maintenance Expenses</t>
  </si>
  <si>
    <t>Finance/Interest Charges (Credit Card)</t>
  </si>
  <si>
    <t>Hdfc Credit Card Charges</t>
  </si>
  <si>
    <t>Miscellenous Expenses</t>
  </si>
  <si>
    <t>Printing &amp; Stationery - Expenses</t>
  </si>
  <si>
    <t>Renewal Fees</t>
  </si>
  <si>
    <t>Repairs &amp; Maintainance</t>
  </si>
  <si>
    <t>Software Expense</t>
  </si>
  <si>
    <t>Training Charges</t>
  </si>
  <si>
    <t>Transportation Expenses</t>
  </si>
  <si>
    <t>Repairs &amp; Maintenance expense</t>
  </si>
  <si>
    <t>Share-based payment arrangements</t>
  </si>
  <si>
    <t>Vesting commences on</t>
  </si>
  <si>
    <t>Options exercised during the year</t>
  </si>
  <si>
    <t>of which</t>
  </si>
  <si>
    <t>1908 E-Ventures Pvt. Ltd. (01/04/18 -</t>
  </si>
  <si>
    <t>GST</t>
  </si>
  <si>
    <t>TDS</t>
  </si>
  <si>
    <t>PF Admin Charges @ 0.50%</t>
  </si>
  <si>
    <t>Advance Income Tax</t>
  </si>
  <si>
    <t>Branch / Divisions</t>
  </si>
  <si>
    <t>Bangalore - Division</t>
  </si>
  <si>
    <t>Branch Account -  Bangalore</t>
  </si>
  <si>
    <t>Non current financial assets</t>
  </si>
  <si>
    <t>Deposit with statutory authorities</t>
  </si>
  <si>
    <t>Employee stock options (net)</t>
  </si>
  <si>
    <t>Employee stock options granted and outstanding #</t>
  </si>
  <si>
    <t>Rupees (at face value)</t>
  </si>
  <si>
    <t>Rupees (at face value)*</t>
  </si>
  <si>
    <t>Number**</t>
  </si>
  <si>
    <t>Reserves &amp; Surplus</t>
  </si>
  <si>
    <t>e). Stock option schemes</t>
  </si>
  <si>
    <t>i). Terms :</t>
  </si>
  <si>
    <t>SD</t>
  </si>
  <si>
    <t>2021-22</t>
  </si>
  <si>
    <t>2022-23</t>
  </si>
  <si>
    <t>Mahalaxmi</t>
  </si>
  <si>
    <t>Regus</t>
  </si>
  <si>
    <t>Adore House</t>
  </si>
  <si>
    <t>Rent payable Annual</t>
  </si>
  <si>
    <t>Adore House 5%</t>
  </si>
  <si>
    <t>Mahalaxmi 10%</t>
  </si>
  <si>
    <t>2023-24</t>
  </si>
  <si>
    <t>Total Security deposit</t>
  </si>
  <si>
    <t>(i) Trade receivables</t>
  </si>
  <si>
    <t>(ii) Cash and cash equivalents</t>
  </si>
  <si>
    <t>Expenses on employee stock option scheme</t>
  </si>
  <si>
    <t>Difference</t>
  </si>
  <si>
    <t xml:space="preserve">BASIS OF PREPARATION OF FINANCIAL STATEMENTS </t>
  </si>
  <si>
    <t>(a)</t>
  </si>
  <si>
    <t xml:space="preserve">Basis of preparation and compliance with Ind AS </t>
  </si>
  <si>
    <t>(ii)</t>
  </si>
  <si>
    <t xml:space="preserve">In accordance with the notification issued by the Ministry of Corporate Affairs, the Company has adopted Indian Accounting Standards (Ind AS) notified under Section 133 (as amended) of the Act (collectively, “Ind AS”) with effect from 1 April, 2017. </t>
  </si>
  <si>
    <t>(b)</t>
  </si>
  <si>
    <t xml:space="preserve">The preparation of Financial Statements in conformity with Ind AS which requires management to make estimates, assumptions and exercise judgement in applying the accounting policies that affect the reported amount of assets, liabilities and disclosure of contingent liabilities at the date of financial statements and the reported amounts of income and expenses during the year. </t>
  </si>
  <si>
    <t xml:space="preserve">The Management believes that these estimates are prudent and reasonable and are based upon the management’s best knowledge of current events and actions. Actual results could differ from these estimates and differences between actual results and estimates are recognised in the periods in which the results are known or materialised.               </t>
  </si>
  <si>
    <t>This note provides an overview of the areas that involved a higher degree of judgement or complexity, and of items which are more likely to be materially adjusted due to estimates and assumptions turning out to be different than those originally assessed.</t>
  </si>
  <si>
    <t>Useful lives of property, plant and equipment</t>
  </si>
  <si>
    <t xml:space="preserve">Property, Plant and Equipment represent a significant proportion of the asset base of the Company . The charge in respect of periodic depreciation is derived after determining an estimate of an asset’s expected useful life and the expected residual value at the end of its life. The useful lives and residual values of Company’s assets are determined by the management at the time the asset is acquired and reviewed periodically, including at each financial year end. </t>
  </si>
  <si>
    <t>Valuation of deferred tax assets</t>
  </si>
  <si>
    <t xml:space="preserve">The Company reviews the carrying amount of deferred tax assets at the end of each reporting period. Significant judgement is involved in arriving at the deferred tax assets and liabilities, which is based on the Company’s current operations and projections for the future. </t>
  </si>
  <si>
    <t>Defined benefit obligation</t>
  </si>
  <si>
    <t>(c)</t>
  </si>
  <si>
    <t xml:space="preserve">Basis of measurement </t>
  </si>
  <si>
    <t xml:space="preserve">The Ind AS financial statements have been prepared on a going concern basis using historical cost convention and on an accrual method of accounting, except for certain financial assets and liabilities which have been measured at fair value as described below and defined benefit plans which have been measured at actuarial valuation as required by relevant Ind AS. 
</t>
  </si>
  <si>
    <t xml:space="preserve">Fair value measurement </t>
  </si>
  <si>
    <t xml:space="preserve">The Company measures certain financial assets and liabilities at fair value at each balance sheet date. Fair value is the price that would be received to sell an asset or paid to transfer a liability in an orderly transaction between market participants at the measurement date. The fair value measurement is based on the presumption that the transaction to sell the asset or transfer the liability takes place either: </t>
  </si>
  <si>
    <t xml:space="preserve">    - In the principal market for the asset or liability, or </t>
  </si>
  <si>
    <t xml:space="preserve">    - In the absence of a principal market, in the most advantageous market for the asset or liability </t>
  </si>
  <si>
    <t xml:space="preserve">The principal or the most advantageous market must be accessible by the Company . </t>
  </si>
  <si>
    <t xml:space="preserve">The fair value of an asset or a liability is measured using the assumptions that market participants would use when pricing the asset or liability, assuming that market participants act in their economic best interest. </t>
  </si>
  <si>
    <t xml:space="preserve">A fair value measurement of a non-financial asset takes into account a market participant’s ability to generate economic benefits by using the asset in its highest and best use or by selling it to another market participant that would use the asset in its highest and best use. </t>
  </si>
  <si>
    <t xml:space="preserve">Fair value for measurement and /or disclosure purpose in these financial statements is determined on such a basis, except for leasing transactions that are within the scope of Ind AS 17, and measurements that have some similarities to fair value, such as net realisable value in Ind AS 2 or value in use in Ind AS 36. </t>
  </si>
  <si>
    <t xml:space="preserve">The Company uses valuation techniques that are appropriate in the circumstances and for which sufficient data are available to measure fair value, maximising the use of relevant observable inputs and minimising the use of unobservable inputs. </t>
  </si>
  <si>
    <t xml:space="preserve">All assets and liabilities for which fair value is measured or disclosed in the financial statements are categorised within the fair value hierarchy, described as follows, based on the lowest level input that is significant to the fair value measurement as a whole: </t>
  </si>
  <si>
    <t xml:space="preserve">Level 1 — Quoted (unadjusted) market prices in active markets for identical assets or liabilities </t>
  </si>
  <si>
    <t xml:space="preserve">Level  3  — Valuation techniques for which the lowest level input that is significant to the fair value measurement is unobservable </t>
  </si>
  <si>
    <t xml:space="preserve">For the purpose of fair value disclosures, the Company has determined classes of assets and liabilities on the basis of the nature, characteristics and risks of the asset or liability and the level of the fair value hierarchy as explained above. </t>
  </si>
  <si>
    <t>(e)</t>
  </si>
  <si>
    <t xml:space="preserve">Functional and presentation currency </t>
  </si>
  <si>
    <t>These Ind AS Financial Statements are prepared in Indian Rupee which is the Company’s functional currency.</t>
  </si>
  <si>
    <t xml:space="preserve">SIGNIFICANT ACCOUNTING POLICIES </t>
  </si>
  <si>
    <t>Revenue from sale of goods</t>
  </si>
  <si>
    <t xml:space="preserve">Revenue is measured at the fair value of the consideration received or receivable, net of discounts, volume rebates, outgoing sales taxes and other indirect taxes excluding excise duty. </t>
  </si>
  <si>
    <t>Revenue from sale of goods is recognised when all significant risks and rewards of ownership of the goods sold are transferred to the customer which generally coincides with delivery.</t>
  </si>
  <si>
    <t>Revenue from Services</t>
  </si>
  <si>
    <t>In contract involving rendering of services, revenue is recognised using the proportionate completion method in line with agreements / arrangements with concerned parties and is net of goods and service tax. Revenue from services is recognised when the services are rendered in accordance with the specific terms of contract and when collectability of the resulting receivable is reasonably assured.</t>
  </si>
  <si>
    <t>(iii)</t>
  </si>
  <si>
    <t>Revenue from Contracts</t>
  </si>
  <si>
    <t>Revenue from fixed price contracts is recognised using the percentage of completion method. Percentage of completion is determined as a proportion of the cost incurred up to the reporting date of the total estimated contract costs. Proportionate completion is measured based upon the efforts incurred to date in relation to the total estimated efforts to complete the contract.  The Company monitors estimates of total contract revenue and costs on a regular basis throughout the delivery period. The cumulative impact of any change in estimates of the contract value or cost is reflected in the period in which the changes become known.  In the event that a loss is anticipated on a particular contract, provision is made for the estimated loss.</t>
  </si>
  <si>
    <t>(iv)</t>
  </si>
  <si>
    <t xml:space="preserve">Interest income is accounted on accrual basis in time proportion. Interest income is recognised using effective rate of interest method. 
</t>
  </si>
  <si>
    <t>(v)</t>
  </si>
  <si>
    <t>Dividend income</t>
  </si>
  <si>
    <t xml:space="preserve">Dividend income is recognised as and when the right to receive payment is established. </t>
  </si>
  <si>
    <t xml:space="preserve">Property, Plant and Equipment </t>
  </si>
  <si>
    <t xml:space="preserve">Property, plant and equipment </t>
  </si>
  <si>
    <t xml:space="preserve">Freehold land is carried at historical cost. All other items of Property, plant and equipment are shown at cost, less accumulated depreciation and impairment, if any. The initial cost of property, plant and equipment comprises its purchase price, including import duties and non-refundable purchase taxes, attributable borrowing cost and any other directly attributable costs of bringing an asset to working condition and location for its intended use. It also includes the present value of the expected cost for the decommissioning and removing of an asset and restoring the site after its use, if the recognition criteria for a provision are met. </t>
  </si>
  <si>
    <t xml:space="preserve">The Company provides depreciation on all assets on written down value basis over its useful life of asset which is in line with Schedule II of Companies Act,2013. </t>
  </si>
  <si>
    <t>Expenditure incurred after the property, plant and equipment have been put into operation, such as repairs and maintenance, are normally charged to the statements of profit and loss in the period in which the costs are incurred. Major inspection and overhaul expenditure is capitalized if the recognition criteria are met.</t>
  </si>
  <si>
    <t xml:space="preserve">When significant parts of plant and equipment are required to be replaced at intervals, the Company depreciates them separately based on their specific useful lives. Likewise, when a major inspection is performed, its cost is recognised in the carrying amount of the plant and equipment as a replacement if the recognition criteria are satisfied. All other repair and maintenance costs are recognised in the statement of profit and loss as incurred. </t>
  </si>
  <si>
    <t xml:space="preserve">Gains and losses on disposal of an item of property, plant and equipment are determined by comparing the proceeds from disposal with the carrying amount of property, plant and equipment, and are recognized net within other income/other expenses in statement of profit and loss. </t>
  </si>
  <si>
    <t xml:space="preserve">An item of property, plant and equipment and any significant part initially recognised is derecognised upon disposal or when no future economic benefits are expected from its use or disposal. Any gain or loss arising on derecognition of the asset (calculated as the difference between the net disposal proceeds and the carrying amount of the asset) is included in the statement of profit and loss, when the asset is derecognised. </t>
  </si>
  <si>
    <t xml:space="preserve">The residual values, useful lives and methods of depreciation of property, plant and equipment are reviewed at each financial year end and adjusted prospectively, if appropriate. </t>
  </si>
  <si>
    <t xml:space="preserve">Capital work in progress </t>
  </si>
  <si>
    <t xml:space="preserve">Assets in the course of construction are capitalized in capital work in progress account. At the point when an asset is capable of operating in the manner intended by management, the cost of construction is transferred to the appropriate category of property, plant and equipment. Costs associated with the commissioning of an asset are capitalised till the time asset is available for use for operating at normal levels. Revenue generated from production during the trial period is credited to capital work in progress. </t>
  </si>
  <si>
    <t>Investment properties:</t>
  </si>
  <si>
    <t xml:space="preserve">Property that is held for long-term rental yields or for capital appreciation or both, and that is not in use by the Company, is classified as investment property. Land held for a currently undetermined future use is also classified as an investment property. Investment property is measured initially at its acquisition cost, including related transaction costs and where applicable borrowing costs.              </t>
  </si>
  <si>
    <t xml:space="preserve">Depreciation </t>
  </si>
  <si>
    <t>Depreciation is provided on a pro-rata basis on the Written down value (WDV) method based on useful life as estimated by the Management and aligned to Schedule II to the Companies Act, 2013 in order to reflect the actual usage of assets. Depreciation on assets acquired under finance lease is spread over the lease period or useful life, whichever is shorter.</t>
  </si>
  <si>
    <t xml:space="preserve">Intangible assets acquired are measured on initial recognition at cost. Following initial recognition, intangible assets are carried at cost less any accumulated amortisation and accumulated impairment losses. 
</t>
  </si>
  <si>
    <t xml:space="preserve">The useful lives of intangible assets are assessed as either finite or indefinite. The Company currently does not have any intangible assets with indefinite useful life. Intangible assets are amortised over the useful economic life and assessed for impairment whenever there is an indication that the intangible asset may be impaired. The amortisation period and the amortisation method for an intangible asset are reviewed at least at the end of each reporting period. Changes in the expected useful life or the expected pattern of consumption of future economic benefits embodied in the asset are considered to modify the amortisation period or method, as appropriate, and are treated as changes in accounting estimates. The amortisation expense on intangible assets is recognised in the statement of profit and loss unless such expenditure forms part of carrying value of another asset. </t>
  </si>
  <si>
    <t xml:space="preserve">Gains or losses arising from derecognition of an intangible asset are measured as the difference between the net disposal proceeds and the carrying amount of the asset and are recognised in the statement of profit and loss when the asset is derecognised. </t>
  </si>
  <si>
    <t>Intangible assets are amortised on a Straight Line basis over their estimated useful lives. The amortisation period and the amortisation method are reviewed at least at each financial year end. If the expected useful life of the asset is significantly different from previous estimates, the amortisation period is changed accordingly.</t>
  </si>
  <si>
    <t>(d)</t>
  </si>
  <si>
    <t xml:space="preserve">Financial instruments </t>
  </si>
  <si>
    <t xml:space="preserve">A financial instrument is any contract that gives rise to a financial asset of one entity and a financial liability or equity instrument of another entity. </t>
  </si>
  <si>
    <t xml:space="preserve">Financial assets </t>
  </si>
  <si>
    <t xml:space="preserve">Initial recognition and measurement </t>
  </si>
  <si>
    <t xml:space="preserve">All financial assets are recognised initially at fair value plus, in the case of financial assets not recorded at fair value through statement of profit and loss, transaction costs that are attributable to the acquisition of the financial asset. Purchases or sales of financial assets that require delivery of assets within a time frame established by regulation or convention in the market place (regular way trades) are recognised on the trade date, i.e., the date that the Company commits to purchase or sell the asset. </t>
  </si>
  <si>
    <t xml:space="preserve">Subsequent measurement </t>
  </si>
  <si>
    <t>Subsequent measurement of financial assets is described below -</t>
  </si>
  <si>
    <t xml:space="preserve">Debt instruments at amortised cost </t>
  </si>
  <si>
    <t xml:space="preserve">A 'debt instrument' is measured at the amortised cost if both the following conditions are met: </t>
  </si>
  <si>
    <t xml:space="preserve">The asset is held within a business model whose objective is to hold assets for collecting contractual  cash flows, and </t>
  </si>
  <si>
    <t xml:space="preserve">Contractual terms of the asset give rise on specified dates to cash flows that are solely payments of  principal and interest (SPPI) on the principal amount outstanding. </t>
  </si>
  <si>
    <t xml:space="preserve">
</t>
  </si>
  <si>
    <t xml:space="preserve">After initial measurement, such financial assets are subsequently measured at amortised cost using the effective interest rate (EIR) method. Amortised cost is calculated by taking into account any discount or premium on acquisition and fees or costs that are an integral part of the EIR. The EIR amortisation is included in finance income in the statement of profit and loss. The losses arising from impairment are recognised in the statement of profit and loss. This category generally applies to trade and other receivables. 
</t>
  </si>
  <si>
    <t xml:space="preserve">Debt instrument at FVTOCI </t>
  </si>
  <si>
    <t xml:space="preserve">A ‘debt instrument’ is classified as at the FVTOCI if both of the following criteria are met: </t>
  </si>
  <si>
    <t>The objective of the business model is achieved both by collecting contractual cash flows and selling the financial assets, and</t>
  </si>
  <si>
    <t>The asset’s contractual cash flows represent SPPI.</t>
  </si>
  <si>
    <t xml:space="preserve">Debt instruments included within the FVTOCI category are measured initially as well as at each reporting date at fair value. Fair value movements are recognized in the other comprehensive income (OCI). However, the Company recognizes interest income, impairment losses &amp; reversals and foreign exchange gain or loss in the statement of profit and loss. On derecognition of the asset, cumulative gain or loss previously recognised in OCI is reclassified from the equity to statement of profit and loss. Interest earned while holding FVTOCI debt instrument is reported as interest income using the EIR method. 
</t>
  </si>
  <si>
    <t xml:space="preserve">Debt instrument at FVTPL </t>
  </si>
  <si>
    <t xml:space="preserve">FVTPL is a residual category for debt instruments. Any debt instrument, which does not meet the criteria for categorization as at amortized cost or as FVTOCI, is classified as at FVTPL. 
</t>
  </si>
  <si>
    <t xml:space="preserve">In addition, the Company may elect to designate a debt instrument, which otherwise meets amortized cost or FVTOCI criteria, as at FVTPL. However, such election is allowed only if doing so reduces or eliminates a measurement or recognition inconsistency  (referred to as ‘accounting mismatch’). The Company has designated its investments in debt instruments as FVTPL. Debt instruments included within the FVTPL category are measured at fair value with all changes recognized in the statement of profit and loss. 
</t>
  </si>
  <si>
    <t xml:space="preserve">Financial Assets - Derecognition </t>
  </si>
  <si>
    <t xml:space="preserve">A financial asset (or, where applicable, a part of a financial asset or part of a Company of similar financial assets) is primarily derecognised (i.e. removed from the Company’s balance sheet) when: </t>
  </si>
  <si>
    <t xml:space="preserve">The rights to receive cash flows from the asset have expired, or </t>
  </si>
  <si>
    <t xml:space="preserve">The Company has transferred its rights to receive cash flows from the asset or has assumed an  obligation to pay the received cash flows in full without material delay to a third party under a ‘pass-  through’ arrangement; and either (a) the Company has transferred substantially all the risks and  rewards of the asset, or (b) the Company has neither transferred nor retained substantially all the risks and rewards of the asset, but has transferred control of the asset. </t>
  </si>
  <si>
    <t xml:space="preserve">When the Company has transferred its rights to receive cash flows from an asset or has entered into a pass-through arrangement, it evaluates if and to what extent it has retained the risks and rewards of ownership. When it has neither transferred nor retained substantially all of the risks and rewards of the asset, nor transferred control of the asset, the Company continues to recognise the transferred asset to the extent of the Company’s continuing involvement. In that case, the Company also recognises an associated liability. The transferred asset and the associated liability are measured on a basis that reflects the rights and obligations that the Company has retained. Continuing involvement that takes the form of a guarantee over the transferred asset is measured at the lower of the original carrying amount of the asset and the maximum amount of consideration that the Company could be required to repay.  </t>
  </si>
  <si>
    <t xml:space="preserve">Impairment of financial assets </t>
  </si>
  <si>
    <t xml:space="preserve">In accordance with Ind AS 109, the Company applies expected credit loss (ECL) model for measurement and recognition of impairment loss on the financial assets that are debt instruments, and are measured at amortised cost e.g., loans, debt securities, deposits and trade receivables or any contractual right to receive cash or another financial asset that result from transactions that are within the scope of Ind AS 18. 
</t>
  </si>
  <si>
    <t xml:space="preserve">The Company follows 'simplified approach' for recognition of impairment loss allowance on trade receivables. The application of simplified approach does not require the Company to track changes in credit risk. Rather, it recognises impairment loss allowance based on lifetime ECLs at each reporting date, right from its initial recognition. </t>
  </si>
  <si>
    <t xml:space="preserve">For recognition of impairment loss on other financial assets and risk exposure, the Company determines that whether there has been a significant increase in the credit risk since initial recognition. If credit risk  has not increased significantly, 12-month ECL is used to provide for impairment loss. However, if credit risk has increased significantly, lifetime ECL is used. If, in a subsequent period, credit quality of the instrument improves such that there is no longer a significant increase in credit risk since initial recognition, the Company reverts to recognising impairment loss allowance based on 12-month ECL. 
</t>
  </si>
  <si>
    <t xml:space="preserve">Lifetime ECL are the expected credit losses resulting from all possible default events over the expected life of a financial instrument. The 12-month ECL is a portion of the lifetime ECL which results from default events that are possible within 12 months after the reporting date. </t>
  </si>
  <si>
    <t xml:space="preserve">ECL is the difference between all contractual cash flows that are due to the Company in accordance with the contract and all the cash flows that the entity expects to receive (i.e., all cash shortfalls), discounted at the original EIR. </t>
  </si>
  <si>
    <t xml:space="preserve">ECL impairment loss allowance (or reversal) recognized during the period is recognized as income/ expense in the statement of profit and loss. This amount is reflected under the head 'other expenses' in the statement of profit and loss. The balance sheet presentation for various financial instruments is described below: </t>
  </si>
  <si>
    <t xml:space="preserve">Financial assets measured as at amortised cost: ECL is presented as an allowance, i.e., as an integral  part of the measurement of those assets in the balance sheet. The allowance reduces the net carrying  amount. Until the asset meets write-off criteria, the Company does not reduce impairment allowance  from the gross carrying amount.
</t>
  </si>
  <si>
    <t xml:space="preserve">Debt instruments measured at FVTPL: Since financial assets are already reflected at fair value,  impairment allowance is not further reduced from its value. The change in fair value is taken to the  statement of Profit and Loss. </t>
  </si>
  <si>
    <t xml:space="preserve">Debt instruments measured at FVTOCI: Since financial assets are already reflected at fair value,  impairment allowance is not further reduced from its value. Rather, ECL amount is presented as 'accumulated impairment amount' in the OCI. '
</t>
  </si>
  <si>
    <t xml:space="preserve">The Company does not have any purchased or originated credit-impaired (POCI) financial assets, i.e., financial assets which are credit impaired on purchase/ origination. </t>
  </si>
  <si>
    <t xml:space="preserve">Financial liabilities - Recognition and measurement </t>
  </si>
  <si>
    <t xml:space="preserve">Financial liabilities are classified, at initial recognition, as financial liabilities at fair value through statement of profit and loss, loans and borrowings, payables, or as derivatives designated as hedging instruments in an effective hedge, as appropriate. </t>
  </si>
  <si>
    <t xml:space="preserve">All financial liabilities are recognised initially at fair value and, in the case of loans and borrowings and payables, net of directly attributable transaction costs. 
</t>
  </si>
  <si>
    <t xml:space="preserve">The Company’s financial liabilities include trade and other payables, loans and borrowings including bank overdrafts, financial guarantee contracts and derivative financial instruments. </t>
  </si>
  <si>
    <t xml:space="preserve">The measurement of financial liabilities depends on their classification, as described below: </t>
  </si>
  <si>
    <t xml:space="preserve">Financial liabilities at fair value through statement of profit and loss </t>
  </si>
  <si>
    <t xml:space="preserve">Financial liabilities at fair value through statement of profit and loss include financial liabilities held for trading and financial liabilities designated upon initial recognition as at fair value through statement of profit and loss. Financial liabilities are classified as held for trading if they are incurred for the purpose of repurchasing in the near term. This category also includes derivative financial instruments entered into by the Company that are not designated as hedging instruments in hedge relationships as defined by Ind AS 109. Separated embedded derivatives are also classified as held for trading unless they are designated as effective hedging instruments. </t>
  </si>
  <si>
    <t xml:space="preserve">Gains or losses on liabilities held for trading are recognised in the statement of profit and loss. </t>
  </si>
  <si>
    <t xml:space="preserve">Financial liabilities designated upon initial recognition at fair value through statement of profit and loss are designated as such at the initial date of recognition, and only if the criteria in Ind AS 109 are satisfied. For liabilities designated as FVTPL, fair value gains/ losses attributable to changes in own credit risk are recognized in OCI. These gains/ losses are not subsequently transferred to statement of profit and loss. However, the Company may transfer the cumulative gain or loss within equity. All other changes in fair value of such liability are recognised in the statement of profit and loss. The Company has not designated any financial liability as at fair value through statement of profit and loss. </t>
  </si>
  <si>
    <t xml:space="preserve">Loans and Borrowings </t>
  </si>
  <si>
    <t xml:space="preserve">After initial recognition, interest-bearing loans and borrowings are subsequently measured at amortised cost using the effective interest rate (hereinafter referred as EIR) method. Gains and losses are recognised in statement of profit and  loss when the liabilities are derecognised as well as through the EIR amortisation process. </t>
  </si>
  <si>
    <t xml:space="preserve">Amortised cost is calculated by taking into account any discount or premium on acquisition and fees or costs that are an integral part of the EIR. The EIR amortisation is included as finance costs in the statement of profit and loss. </t>
  </si>
  <si>
    <t xml:space="preserve">Financial liabilities - Derecognition </t>
  </si>
  <si>
    <t xml:space="preserve">A financial liability is derecognised when the obligation under the liability is discharged or cancelled or expires. When an existing financial liability is replaced by another from the same lender on substantially different terms, or the terms of an existing liability are substantially modified, such an exchange or modification is treated as the derecognition of the original liability and the recognition of a new liability. The difference in the respective carrying amounts is recognised in the statement of profit and loss. 
</t>
  </si>
  <si>
    <t xml:space="preserve">Offsetting of financial instruments </t>
  </si>
  <si>
    <t xml:space="preserve">Financial assets and financial liabilities are offset and the net amount is reported in the balance sheet if there is a currently enforceable legal right to offset the recognised amounts and there is an intention to settle on a net basis, to realise the assets and settle the liabilities simultaneously. </t>
  </si>
  <si>
    <t xml:space="preserve">Cash and cash equivalent in the balance sheet comprise cash at banks and on hand and short-term deposits with an original maturity of three months or less, which are subject to an insignificant risk of changes in value. </t>
  </si>
  <si>
    <t xml:space="preserve">For the purpose of the statement of cash flows, cash and cash equivalents consist of cash and short-term deposits, as defined above. </t>
  </si>
  <si>
    <t>(f)</t>
  </si>
  <si>
    <t>Borrowing costs</t>
  </si>
  <si>
    <t xml:space="preserve">Borrowing costs directly attributable to the acquisition, construction or production of an asset that necessarily takes a substantial period of time to get ready for its intended use or sale are capitalised as part of the cost of the asset. All other borrowing costs are expensed in the period in which they occur. Borrowing costs consist of interest and other costs that an entity incurs in connection with the borrowing of funds. Borrowing cost also includes exchange differences to the extent regarded as an adjustment to the borrowing costs. 
</t>
  </si>
  <si>
    <t>(g)</t>
  </si>
  <si>
    <t xml:space="preserve">Impairment of non-financial assets </t>
  </si>
  <si>
    <t>The Company assesses, at each reporting date, whether there is an indication that an asset may be impaired. If any indication exists, or when annual impairment testing for an asset is required, the Company estimates the asset’s recoverable amount. An asset’s recoverable amount is the higher of an asset’s or cash-generating unit’s (CGU) fair value less costs of disposal and its value in use. Recoverable amount is determined for an individual asset, unless the asset does not generate cash inflows that are largely independent of those from other assets or Companys of assets. When the carrying amount of an asset or CGU exceeds its recoverable amount, the asset is considered impaired and is written down to its recoverable amount.</t>
  </si>
  <si>
    <t>In assessing value in use, the estimated future cash flows are discounted to their present value using a post-tax discount rate that reflects current market assessments of the time value of money and the risks specific to the asset. In determining fair value less costs of disposal, recent market transactions are taken into account. If no such transactions can be identified, an appropriate valuation model is used. These calculations are corroborated by valuation multiples, quoted share prices for publicly traded companies or other available fair value indicators.</t>
  </si>
  <si>
    <t>The Company bases its impairment calculation on detailed budgets and forecast calculations, which are prepared separately for each of the Company’s CGUs to which the individual assets are allocated.</t>
  </si>
  <si>
    <t xml:space="preserve">Impairment losses of continuing operations, including impairment on inventories, are recognised in the statement of profit and loss. </t>
  </si>
  <si>
    <t xml:space="preserve">An assessment is made at each reporting date to determine whether there is an indication that previously recognised impairment losses no longer exist or have decreased. If such indication exists, the Company estimates the asset’s or CGU’s recoverable amount. A previously recognised impairment loss is reversed only if there has been a change in the assumptions used to determine the asset’s recoverable amount since the last impairment loss was recognised. The reversal is limited so that the carrying amount of the asset does  not  exceed  its  recoverable amount,  nor  exceed  the  carrying  amount  that  would  have  been determined, net of depreciation, had no impairment loss been recognised for the asset in prior years. Such reversal is recognised in the statement of profit and loss. 
</t>
  </si>
  <si>
    <t>(h)</t>
  </si>
  <si>
    <t>Government grants</t>
  </si>
  <si>
    <t xml:space="preserve">Government grants are recognised where there is reasonable assurance that the grant will be received and all attached conditions will be complied with. When the grant relates to an expense item, it is recognised as income on a systematic basis over the periods that the related costs, for which it is intended to compensate, are expensed. When the grant relates to an asset, it is treated as deferred income and released to the statement of profit and loss over the expected useful lives of the assets concerned. When the Company receives grants of non-monetary assets, the asset and the grant are recorded at fair value amounts and released to statement of profit and loss over the expected useful life in a pattern of consumption of the benefit of the underlying asset. When loans or similar assistance are provided by  governments or related institutions, with an interest rate below the current applicable market rate, the effect of this favorable interest is regarded as a government grant. The loan or assistance is initially recognised and measured at fair value and the government grant is measured as the difference between the initial carrying value of the loan and the proceeds received. The loan is subsequently measured as per the accounting policy applicable to financial liabilities. 
</t>
  </si>
  <si>
    <t xml:space="preserve">Inventories are valued at the lower of cost and net realisable value except scrap and by products which are valued at net realisable value. </t>
  </si>
  <si>
    <t xml:space="preserve">Costs incurred in bringing the inventory to its present location and condition are accounted for as follows: </t>
  </si>
  <si>
    <t xml:space="preserve">Raw materials: cost includes cost of purchase and other costs incurred in bringing the inventories to  their present location and condition. Cost is determined on first in first out (FIFO) basis. </t>
  </si>
  <si>
    <t xml:space="preserve">Finished goods and work in progress: cost includes cost of direct materials and labour and a  proportion of manufacturing overheads based on the normal operating capacity, but excluding  borrowing costs. Cost is determined on weighted average basis.
</t>
  </si>
  <si>
    <t xml:space="preserve">Net realisable value is the estimated selling price in the ordinary course of business, less estimated costs of completion and the estimated costs necessary to make the sale. </t>
  </si>
  <si>
    <t xml:space="preserve">Obsolete inventories are identified and written down to net realisable value. Slow moving and defective inventories are identified and provided to net realisable value. </t>
  </si>
  <si>
    <t>(j)</t>
  </si>
  <si>
    <t>Taxation</t>
  </si>
  <si>
    <t xml:space="preserve">Current income tax </t>
  </si>
  <si>
    <t xml:space="preserve">Current income tax relating to items recognised outside profit or loss is recognised outside profit or loss (either in other comprehensive income or in equity). Current tax items are recognised in correlation to the underlying transaction either in OCI or directly in equity. Management periodically evaluates positions taken in the tax returns with respect to situations in which applicable tax regulations are subject to interpretation and establishes provisions where appropriate. </t>
  </si>
  <si>
    <t xml:space="preserve">Deferred tax </t>
  </si>
  <si>
    <t xml:space="preserve">Deferred tax is provided using the liability method on temporary differences between the tax bases of assets and liabilities and their carrying amounts for financial reporting purposes at the reporting date. Deferred tax liabilities are recognised for all taxable temporary differences except when it is probable that the temporary differences will not reverse in the foreseeable future. </t>
  </si>
  <si>
    <t xml:space="preserve">Deferred tax assets are recognised for all deductible temporary differences, the carry forward of unused tax credits and any unused tax losses. Deferred tax assets are recognised to the extent that it is probable that taxable profit will be available against which the deductible temporary differences, and the carry forward of unused tax credits and unused tax losses can be utilized. 
</t>
  </si>
  <si>
    <t>The carrying amount of deferred tax assets is reviewed at each reporting date and reduced to the extent that it is no longer probable that sufficient taxable profit will be available to allow all or part of the deferred tax asset to be utilised. Unrecognised deferred tax assets are re-assessed at each reporting date and are recognised to the extent that it has become probable that future taxable profits will allow the deferred tax asset to be recovered.</t>
  </si>
  <si>
    <t xml:space="preserve">Deferred tax assets and liabilities are measured at the tax rates that are expected to apply in the year when the asset is realised or the liability is settled, based on tax rates (and tax laws) that have been enacted or substantively enacted at the reporting date. </t>
  </si>
  <si>
    <t xml:space="preserve">Deferred tax relating to items recognised outside profit or loss is recognised outside profit or loss (either in other comprehensive income or in equity). Deferred tax items are recognised in correlation to the underlying transaction either in OCI or directly in equity. </t>
  </si>
  <si>
    <t>Deferred tax assets and deferred tax liabilities are offset if a legally enforceable right exists to set off current tax assets against current tax liabilities and the deferred taxes relate to the same taxable entity and the same taxation authority.</t>
  </si>
  <si>
    <t xml:space="preserve">Minimum Alternate Tax (MAT) paid in accordance with the tax laws, which gives future economic benefits in the form of adjustment to future income tax liability, is considered as an asset if there is convincing evidence that the Company will pay normal income tax. Accordingly, MAT is recognised as an asset in the Balance Sheet when it is probable that future economic benefit associated with it will flow to the Company. 
</t>
  </si>
  <si>
    <t>(k)</t>
  </si>
  <si>
    <t>Employee benefit schemes</t>
  </si>
  <si>
    <t>(a) Short-term employee benefits</t>
  </si>
  <si>
    <t xml:space="preserve">Employee benefits payable wholly within twelve months of receiving employee services are classified as short-term employee benefits. These benefits include salaries and wages, performance incentives and compensated absences which are expected to occur in next twelve months. The undiscounted amount of short-term employee benefits to be paid in exchange for employee services is recognised as an expense as the related service is rendered by employees. </t>
  </si>
  <si>
    <t xml:space="preserve">Compensated absences: </t>
  </si>
  <si>
    <t xml:space="preserve">Compensated absences accruing to employees and which can be carried to future periods but where there are restrictions on availment or encashment or where the availment or encashment is not expected to occur wholly in the next twelve months, the liability on account of the benefit is determined actuarially using the projected unit credit method. 'Re-measurement  gains  and  losses  arising  from  experience  adjustments  and  changes  in  actuarial assumptions are recognised in the period in which they occur, directly to statement of profit and loss. 
</t>
  </si>
  <si>
    <t xml:space="preserve">(b) Post-employment benefits </t>
  </si>
  <si>
    <t xml:space="preserve">(i) Defined contribution plan </t>
  </si>
  <si>
    <t xml:space="preserve">Contributions to defined contribution schemes such as contribution to Provident Fund, Superannuation Fund, Employees’ State Insurance Corporation and Labours Welfare Fund are charged as an expense to the Statement of Profit and Loss based on the amount of contribution required to be made as and when services are rendered by the employees. The above benefits are classified as Defined Contribution Schemes as the Company has no further defined obligations beyond the monthly contributions.  The Company makes specified monthly contributions towards employee provident fund to Government administered provident fund scheme which is a defined contribution plan.                                                                                                              </t>
  </si>
  <si>
    <t xml:space="preserve">Gratuity </t>
  </si>
  <si>
    <t xml:space="preserve">The present value of the defined benefit obligation is determined by discounting the estimated future cash outflows by reference to market yields at the end of the reporting period on government bonds that have terms approximating to the terms of the related obligation. The net interest cost is calculated by applying the discount rate to the net balance of the defined benefit obligation and the fair value of plan assets if any. This cost is included in employee benefit expense in the statement of profit and loss. 
</t>
  </si>
  <si>
    <t xml:space="preserve">The liability or asset recognised in the balance sheet in respect of gratuity plan is the present value of the defined benefit obligation at the end of the reporting period less the fair value of plan assets if any. The defined benefit obligation is calculated annually by actuaries using the projected unit credit method. 
</t>
  </si>
  <si>
    <t xml:space="preserve">Re-measurement  gains  and  losses  arising  from  experience  adjustments  and  changes  in  actuarial assumptions are recognised in the period in which they occur, directly in other comprehensive income and are never reclassified to profit or loss. Changes in the present value of the defined benefit obligation resulting from plan amendments or curtailments are recognised immediately in the statement of profit and loss as past service cost. </t>
  </si>
  <si>
    <t xml:space="preserve">Provident Fund </t>
  </si>
  <si>
    <t>Eligible employees of the Company receive benefits from a provident fund, which is a defined contribution plan. Both the eligible employee and the Company make monthly contributions to the provident fund plan equal to a specified percentage of the covered employee's salary. Contributions to defined contribution schemes are charged as an expense based on the amount of contribution required to be made as and when services are rendered by the employees. The Company has no further defined obligations beyond the monthly contributions.</t>
  </si>
  <si>
    <t>(l)</t>
  </si>
  <si>
    <t xml:space="preserve">Provision for liabilities and charges, Contingent liabilities and contingent assets </t>
  </si>
  <si>
    <t xml:space="preserve">The assessments undertaken in recognising provisions and contingencies have been made in accordance with the applicable Ind AS. </t>
  </si>
  <si>
    <t xml:space="preserve">Provisions represent liabilities to the Company for which the amount or timing is uncertain. Provisions are recognized when the Company has a present obligation (legal or constructive), as a result of past events, and it is probable that an outflow of resources, that can be reliably estimated, will be required to settle such an obligation. If the effect of the time value of money is material, provisions are determined by discounting the expected future cash flows to net present value using an appropriate pre-tax discount rate that reflects current market assessments of the time value of money and, where appropriate, the risks specific to the liability. Unwinding of the discount is recognized in the statement of profit and loss as a finance cost. Provisions are reviewed at each reporting date and are adjusted to reflect the current best estimate. 
</t>
  </si>
  <si>
    <t xml:space="preserve">Contingent assets are not recognised but disclosed in the financial statements when an inflow of economic benefits is probable. </t>
  </si>
  <si>
    <t>(m)</t>
  </si>
  <si>
    <t>Foreign currency transactions</t>
  </si>
  <si>
    <t xml:space="preserve">In the financial statements of the Company , transactions in currencies other than the functional currency are translated into the functional currency at the exchange rates ruling at the date of the transaction. Monetary assets and liabilities denominated in other currencies are translated into the functional currency  at  exchange  rates  prevailing  on  the  reporting  date.  Non-monetary  assets  and  liabilities denominated in other currencies and measured at historical cost or fair value are translated at the exchange rates prevailing on the dates on which such values were determined. </t>
  </si>
  <si>
    <t>(n)</t>
  </si>
  <si>
    <t xml:space="preserve">The Company presents basic and diluted earnings per share (“EPS”) data for its equity shares. Basic EPS is calculated by dividing the profit and loss attributable to equity shareholders of the Company by the weighted average number of equity shares outstanding during the period. Diluted EPS is determined by adjusting the profit and loss attributable to equity shareholders and the weighted average number of equity shares outstanding for the effects of all dilutive potential equity shares. </t>
  </si>
  <si>
    <t>(o)</t>
  </si>
  <si>
    <t>Operating Segments</t>
  </si>
  <si>
    <t>Operating segments are reported in a manner consistent with the internal reporting provided to the chief operating decision-maker (CODM). The CODM, who is responsible for allocating resources and assessing performance of the operating segments.</t>
  </si>
  <si>
    <t>Segments are organised based on business which have similar economic characteristics as well as exhibit similarities in nature of products and services offered, the nature of production processes, the type and class of customer and distribution methods.</t>
  </si>
  <si>
    <t xml:space="preserve">“Unallocated Corporate Expenses” include revenue and expenses that relate to initiatives/costs attributable to the enterprise as a whole and are not attributable to segments. </t>
  </si>
  <si>
    <t>(p)</t>
  </si>
  <si>
    <t>The Company as lessee</t>
  </si>
  <si>
    <t xml:space="preserve"> </t>
  </si>
  <si>
    <t>The Company as a Lessor</t>
  </si>
  <si>
    <t>Leases in which the Company does not transfer substantially all the risks and rewards of ownership of an asset are classified as operating leases. Where the Company is a lessor under an operating lease, the asset is capitalised within property, plant and equipment and depreciated over its useful economic life. Payments received under operating leases are recognised in the statement of profit and loss on a straight-line basis over the term of the lease, unless the payments to the lessor are structured to increase in line with expected general inflation to compensate for the inflationary cost increases.</t>
  </si>
  <si>
    <t>(q)</t>
  </si>
  <si>
    <t xml:space="preserve">Company information </t>
  </si>
  <si>
    <t>Proceeds from Short term borrowings</t>
  </si>
  <si>
    <t>Deposits</t>
  </si>
  <si>
    <t>Financial Assets - Non Current</t>
  </si>
  <si>
    <t>Fully Compulsorily Convertible debentures</t>
  </si>
  <si>
    <t>The fair values of security deposits are based on discounted cash flows using a discount rate being incremental borrowing rate (refer note III below)</t>
  </si>
  <si>
    <t>iii) Weighted average number of potential equity shares on account of employee stock options</t>
  </si>
  <si>
    <t>(iii) Other current financial assets</t>
  </si>
  <si>
    <t>Number of Shares</t>
  </si>
  <si>
    <t>9.5% Compulsory convertible debentures ##</t>
  </si>
  <si>
    <t>Other expnses</t>
  </si>
  <si>
    <t>Names of related parties and description of relationship</t>
  </si>
  <si>
    <t>Enterprise where control exists</t>
  </si>
  <si>
    <t>i)</t>
  </si>
  <si>
    <t>Holding Company</t>
  </si>
  <si>
    <t>J. B. Advani &amp; Company Pvt Ltd.</t>
  </si>
  <si>
    <t>Others related party withwhom transactions have been taken place during the year</t>
  </si>
  <si>
    <t>Ador Multiproduct Limited</t>
  </si>
  <si>
    <t>ii)</t>
  </si>
  <si>
    <t>3D Future Technologies Pvt. Ltd.</t>
  </si>
  <si>
    <t>iii)</t>
  </si>
  <si>
    <t xml:space="preserve">Ador Powertron Ltd. </t>
  </si>
  <si>
    <t>iv)</t>
  </si>
  <si>
    <t>v)</t>
  </si>
  <si>
    <t xml:space="preserve">Ador Fontech Ltd. </t>
  </si>
  <si>
    <t>vi)</t>
  </si>
  <si>
    <t>Aditya Malkani</t>
  </si>
  <si>
    <t>vii)</t>
  </si>
  <si>
    <t>Key management personnel (KMP)</t>
  </si>
  <si>
    <t>None</t>
  </si>
  <si>
    <t>Transactions with related parties for the year are as follows:</t>
  </si>
  <si>
    <t>Transaction during the year</t>
  </si>
  <si>
    <t>Ador Multi Products Ltd.</t>
  </si>
  <si>
    <t>J. B. Advani &amp; Company Pvt. Ltd.</t>
  </si>
  <si>
    <t xml:space="preserve">Aditya Malkani </t>
  </si>
  <si>
    <t>Balances at the year end :</t>
  </si>
  <si>
    <t>Reshma Lalwani</t>
  </si>
  <si>
    <t>Director</t>
  </si>
  <si>
    <t>Grant date</t>
  </si>
  <si>
    <t>Options granted and outstanding at the end of the year</t>
  </si>
  <si>
    <t>no. of options vested</t>
  </si>
  <si>
    <t>Profit/(loss) for the year</t>
  </si>
  <si>
    <t>Employee share options (net)</t>
  </si>
  <si>
    <t>Remeasurement of defined employee benefit plan</t>
  </si>
  <si>
    <t>the amount of interest paid by the buyer in terms section 16 of the Micro, Small and Medium Enterprises Development  Act, 2006 along with the amounts of the payment made to the supplier beyond the appointed day during each accounting year;</t>
  </si>
  <si>
    <t xml:space="preserve">The amount of interest accrued and remaining unpaid at the end of each accounting year; and </t>
  </si>
  <si>
    <t>the principal amount and the interest due thereon (to be shown separately) remaining unpaid to any supplier as at the end of each accounting year;</t>
  </si>
  <si>
    <t>the amount of further interest remaining due and payable even in the succeeding year, until such date when the interest dues as above are actually paid to the small enterprise, for the purpose of disallowance as a deductible expenditure under section 23 of  the Micro, Small and Medium Enterprises Development (MSMED) Act, 2006;</t>
  </si>
  <si>
    <t>Details relating to Micro, Small and Medium Enterprises:</t>
  </si>
  <si>
    <t>Employee Benefits</t>
  </si>
  <si>
    <t>(ii) Defined Benefit Plan:</t>
  </si>
  <si>
    <t>Liability towards long term defined employee benefits - leave encashment and gratuity are determined on actuarial valuation by independent actuaries at the year-end by using Projected Unit Credit method. Liability so determined is not funded.</t>
  </si>
  <si>
    <t>A. Movement in net defined benefit (asset) liability</t>
  </si>
  <si>
    <t>April 1, 
2015</t>
  </si>
  <si>
    <t>Opening balance</t>
  </si>
  <si>
    <t>Included in profit or loss</t>
  </si>
  <si>
    <t>Current service cost</t>
  </si>
  <si>
    <t xml:space="preserve">Interest cost </t>
  </si>
  <si>
    <t>Included in OCI</t>
  </si>
  <si>
    <t>Remeasurement loss or (gain):</t>
  </si>
  <si>
    <t>Actuarial loss or (gain) arising from:</t>
  </si>
  <si>
    <t>Financial assumptions</t>
  </si>
  <si>
    <t>Experience adjustment</t>
  </si>
  <si>
    <t>Other</t>
  </si>
  <si>
    <t>Liability Taken Over of Employees</t>
  </si>
  <si>
    <t>Contributions paid by the employer</t>
  </si>
  <si>
    <t>Benefits paid</t>
  </si>
  <si>
    <t>Closing balance</t>
  </si>
  <si>
    <t>B. Defined benefit obligations</t>
  </si>
  <si>
    <t>i. Actuarial assumptions</t>
  </si>
  <si>
    <t>The following were the weighted average assumptions used to determine benefit obligations at the reporting date.</t>
  </si>
  <si>
    <t>Salary escalation rate</t>
  </si>
  <si>
    <t>Employee turnover rate</t>
  </si>
  <si>
    <t>Age(Years)</t>
  </si>
  <si>
    <t>21-30</t>
  </si>
  <si>
    <t>31-40</t>
  </si>
  <si>
    <t>41-59</t>
  </si>
  <si>
    <t>Mortality rate during employment</t>
  </si>
  <si>
    <t>ii. Sensitivity analysis</t>
  </si>
  <si>
    <t>Reasonably possible changes at the reporting date to one of the relevant actuarial assumptions, holding other assumptions constant, would have affected the defined benefit obligation by the amounts shown below.</t>
  </si>
  <si>
    <t>Increase</t>
  </si>
  <si>
    <t xml:space="preserve">Decrease </t>
  </si>
  <si>
    <t>Discount rate (0.5% movement)</t>
  </si>
  <si>
    <t>Future salary growth (0.5% movement)</t>
  </si>
  <si>
    <t>iii. Expected future contributions to defined benefit plan</t>
  </si>
  <si>
    <t>1st following year (next reporting period)</t>
  </si>
  <si>
    <t xml:space="preserve">2nd following year </t>
  </si>
  <si>
    <t xml:space="preserve">3rd following year </t>
  </si>
  <si>
    <t xml:space="preserve">4th following year </t>
  </si>
  <si>
    <t xml:space="preserve">5th following year </t>
  </si>
  <si>
    <t>6th following year</t>
  </si>
  <si>
    <t>7th following year</t>
  </si>
  <si>
    <t>8th following year</t>
  </si>
  <si>
    <t>9th following year</t>
  </si>
  <si>
    <t>10th and following years</t>
  </si>
  <si>
    <t>Other long term retirement benefit</t>
  </si>
  <si>
    <t>Related Party Disclosures :</t>
  </si>
  <si>
    <t xml:space="preserve">Ador welding Ltd. </t>
  </si>
  <si>
    <t xml:space="preserve"> Relatives of Key Management Personnel where transactions have taken place</t>
  </si>
  <si>
    <r>
      <rPr>
        <b/>
        <sz val="11"/>
        <rFont val="Garamond"/>
        <family val="1"/>
      </rPr>
      <t>(i) Defined Contribution Plans:</t>
    </r>
    <r>
      <rPr>
        <sz val="11"/>
        <rFont val="Garamond"/>
        <family val="1"/>
      </rPr>
      <t xml:space="preserve">
Provident Fund is a defined contribution scheme and the contributions as required by the statute are charged to the Statement of Profit and Loss as incurred. The contributions are made to a government administered Provident Fund.</t>
    </r>
  </si>
  <si>
    <r>
      <rPr>
        <b/>
        <sz val="11"/>
        <rFont val="Garamond"/>
        <family val="1"/>
      </rPr>
      <t xml:space="preserve">Discount rate :- </t>
    </r>
    <r>
      <rPr>
        <sz val="11"/>
        <rFont val="Garamond"/>
        <family val="1"/>
      </rPr>
      <t xml:space="preserve"> The discount rate is based on the prevailing market yields of Indian government securities at the end of the reporting period for the estimated terms of obligations </t>
    </r>
  </si>
  <si>
    <r>
      <rPr>
        <b/>
        <sz val="11"/>
        <rFont val="Garamond"/>
        <family val="1"/>
      </rPr>
      <t xml:space="preserve">Salary escalation rate:-  </t>
    </r>
    <r>
      <rPr>
        <sz val="11"/>
        <rFont val="Garamond"/>
        <family val="1"/>
      </rPr>
      <t>The estimates of future salary increases take into account the inflation, seniority, promotion and other relevant factors, such as supply and demand in the employment market.</t>
    </r>
  </si>
  <si>
    <t>Changes in demographic assumptions</t>
  </si>
  <si>
    <t>The fair values of the financial assets and liabilities are included at the amount that would be received to sell an asset or paid to transfer a liability in an orderly transaction between market participants at the measurement date.
This section explains the judgements and estimates made in determining the fair values of the financial instruments that are 
(a) recognised and measured at fair value and 
(b) measured at amortised cost and for which fair values are disclosed in the financial statements.
 To provide an indication about the reliability of the inputs used in determining fair value, the group has classified its financial instruments into the three levels prescribed under the accounting standard. An explanation of each level follows underneath the table.</t>
  </si>
  <si>
    <t>Contingent liabilities and Commitments</t>
  </si>
  <si>
    <t>(a) Contingent liabilities</t>
  </si>
  <si>
    <t>There is no contingent liabilities of the company for the reporting periods.</t>
  </si>
  <si>
    <t>(b) Commitments</t>
  </si>
  <si>
    <t>Segment Information</t>
  </si>
  <si>
    <t>The Company is engaged in the business of trading of personal care products. The performance of the Company is assessed and reviewed by the Chief Operating Decision Maker (‘CODM’) as a single operating segment and accordingly "Personal care products" is the only operating segment.</t>
  </si>
  <si>
    <t>The company is domiciled in India. The amount of it's revenue from external customer broken down by location of the customers is shown in table below:</t>
  </si>
  <si>
    <t>Revenue from external customer</t>
  </si>
  <si>
    <t>India</t>
  </si>
  <si>
    <t>Outside India</t>
  </si>
  <si>
    <t>Total Revenue</t>
  </si>
  <si>
    <t>All Non-current assets of the Company are located in India.</t>
  </si>
  <si>
    <t>Risk analysis</t>
  </si>
  <si>
    <t>Company is exposed to a number of risks in the defined benefit plans. Most significant risks pertaining to defined benefits plans and management estimation of the impact of these risks are as follows:</t>
  </si>
  <si>
    <t>The amount of defined benefit obligation, plan assets, the deficit thereof and the experience adjustments on plan assets and plan liabilities for the current and previous four years are as follows:</t>
  </si>
  <si>
    <t>Salary growth risks</t>
  </si>
  <si>
    <t>Life expectancy / Longevity risks</t>
  </si>
  <si>
    <t>The present value of the defined benefit plan liability is calculated by reference to the best estimates of the mortality of plan participants both during and after their employment. Mortality tables as per Indian Assured Lives Mortality (2006-08) modified Ult. is used for during the employment and post retirement respectively. An increase in the life expectancy of the plan participants will increase the plan's liability. Since the benefits are lump sum in nature the plan is not subject to longevity risks.</t>
  </si>
  <si>
    <t>Interest rate risks</t>
  </si>
  <si>
    <t>A decrease in the bond interest rate will increase the plan liability.</t>
  </si>
  <si>
    <t>Inflation risks</t>
  </si>
  <si>
    <t>Micro and small enterprises</t>
  </si>
  <si>
    <t xml:space="preserve">There are no Micro, Small and Medium Enterprises, to whom the Company owes dues, which are outstanding for more than 45 days as at 31 March 2018. This information as required to be disclosed under the Micro, Small and Medium Enterprises Development Act, 2006, has been determined to the extent such parties have been identified on the basis of information available with the Company. </t>
  </si>
  <si>
    <t>Previous year’s figures have been regrouped/reclassified wherever necessary to correspond with the current year's classification/disclosure.</t>
  </si>
  <si>
    <t>Income tax</t>
  </si>
  <si>
    <t>1908 E-Ventures Private Limited</t>
  </si>
  <si>
    <t xml:space="preserve">Notes forming part of the financial statements </t>
  </si>
  <si>
    <t>1908 E VENTURES PVT LTD.</t>
  </si>
  <si>
    <t>Sr. No.</t>
  </si>
  <si>
    <t>Amount (Rs.)</t>
  </si>
  <si>
    <t>Tax @ 25.75%</t>
  </si>
  <si>
    <t>COMPUTATION FOR ACCOUNTING FOR TAX</t>
  </si>
  <si>
    <t>Items leading to Deferred Tax Assets:</t>
  </si>
  <si>
    <t>as per income tax Act</t>
  </si>
  <si>
    <t xml:space="preserve">Less: </t>
  </si>
  <si>
    <t>as per Companies Act, 2013</t>
  </si>
  <si>
    <t>Reversal of Last Years DTL</t>
  </si>
  <si>
    <t>Items leading to Deferred Tax Asset</t>
  </si>
  <si>
    <t>Op DTA</t>
  </si>
  <si>
    <t>Deduction u/s 35 D (Reversal of DTA)</t>
  </si>
  <si>
    <t>Provision for Bonus</t>
  </si>
  <si>
    <t>Provision for Leave Encashment</t>
  </si>
  <si>
    <t>Unabsorbed Depreciation A Y. 2016-17</t>
  </si>
  <si>
    <t>Unabsorbed Depreciation A Y. 2017-18</t>
  </si>
  <si>
    <t>Unabsorbed Depreciation A Y. 2018-19</t>
  </si>
  <si>
    <t>Carried Forward Losses</t>
  </si>
  <si>
    <t>Losses A.Y. 2016-17</t>
  </si>
  <si>
    <t>Losses A.Y. 2017-18</t>
  </si>
  <si>
    <t>Losses A.Y. 2018-19</t>
  </si>
  <si>
    <t>Net Deferred Tax Assets/(Liability)</t>
  </si>
  <si>
    <t>Deferred Tax Assets:</t>
  </si>
  <si>
    <t>Expenses allowable in subsequents years under law</t>
  </si>
  <si>
    <t>Deferred Tax Liability:</t>
  </si>
  <si>
    <t>Expenses disallowed in earlier years now allowed in payment basis</t>
  </si>
  <si>
    <t>A Y 2016-17</t>
  </si>
  <si>
    <t>A Y 2017-18</t>
  </si>
  <si>
    <t>A Y 2018-19</t>
  </si>
  <si>
    <t xml:space="preserve">Losses </t>
  </si>
  <si>
    <t>IT Dep</t>
  </si>
  <si>
    <t>Bal Fig is  Bus Loss</t>
  </si>
  <si>
    <t>FINANCIAL YEAR 2018-19</t>
  </si>
  <si>
    <t>---A D D I T I O N S---</t>
  </si>
  <si>
    <t>---D E D U C T I O N S---</t>
  </si>
  <si>
    <t>S.No</t>
  </si>
  <si>
    <t>Description/Block of asset</t>
  </si>
  <si>
    <t>Opening WDV</t>
  </si>
  <si>
    <t>Rate</t>
  </si>
  <si>
    <t>180 Days OR more</t>
  </si>
  <si>
    <t>Less Then 180 Days</t>
  </si>
  <si>
    <t>Capital Gain</t>
  </si>
  <si>
    <t>Add. Depreciation</t>
  </si>
  <si>
    <t>Additional Depreciation on Opening Assets</t>
  </si>
  <si>
    <t>Total Depreciation</t>
  </si>
  <si>
    <t>Closing WDV Depreciation</t>
  </si>
  <si>
    <t>Block Nill(Y/N)</t>
  </si>
  <si>
    <t xml:space="preserve">Intangible Assets </t>
  </si>
  <si>
    <t>25 %</t>
  </si>
  <si>
    <t>N</t>
  </si>
  <si>
    <t xml:space="preserve">Furniture and fittings </t>
  </si>
  <si>
    <t>10 %</t>
  </si>
  <si>
    <t>40 %</t>
  </si>
  <si>
    <t xml:space="preserve">Machinery and plant </t>
  </si>
  <si>
    <t>15 %</t>
  </si>
  <si>
    <t>WDV of Fixed Assets as on 31.03.2019</t>
  </si>
  <si>
    <t>Reversal of earlier year excess deferred tax created on losses</t>
  </si>
  <si>
    <t>Opening Balance - Assets/ (Liability) as on 31/03/2018</t>
  </si>
  <si>
    <t>Movement in Deferred tax during the year</t>
  </si>
  <si>
    <t>Net Deferred Tax Assets/ (Liability) as on 31/03/2019</t>
  </si>
  <si>
    <t>Brought forward depreciation / Unabsorbed losses</t>
  </si>
  <si>
    <t>DTA created in 15-16</t>
  </si>
  <si>
    <t>Reversal of DTA</t>
  </si>
  <si>
    <t>FY 16-17</t>
  </si>
  <si>
    <t>FY 17-18</t>
  </si>
  <si>
    <t>FY 18-19</t>
  </si>
  <si>
    <t>FY 19-20</t>
  </si>
  <si>
    <t>Incorporation Expenses (one fifth of Rs. 9,26,310) 3rd Installment</t>
  </si>
  <si>
    <t>Actual</t>
  </si>
  <si>
    <t>Reversed so far</t>
  </si>
  <si>
    <t>Pending to be reversed</t>
  </si>
  <si>
    <t>Preliminary expenses</t>
  </si>
  <si>
    <t>The accompanying notes are integral part of the financial statements (all amounts in rupees)</t>
  </si>
  <si>
    <t>In terms of our report on even date attached</t>
  </si>
  <si>
    <t>The present value of the defined benefit plan liability is calculated by reference to the future salaries of plan participates. Salary increase considered @ 7.50%. As such, an increase in the salary of the plan participants will increase the plan's liability.</t>
  </si>
  <si>
    <t>The present value of the defined benefit plan liability is calculated using 5% inflation rate. As such, a decrease in the inflation rate will increase the plan's liability.</t>
  </si>
  <si>
    <t>Depreciation/Amortisation</t>
  </si>
  <si>
    <t>(2) Deferred tax asset/(liability)</t>
  </si>
  <si>
    <t>Defined benefit obligation (Rs.)</t>
  </si>
  <si>
    <t>Rs.</t>
  </si>
  <si>
    <t xml:space="preserve">For all periods upto and including the year ended 31 March 2017, the Company prepared its financial statements  in  accordance  with  Generally  Accepted  Accounting  Principles  in  India  (IGAAP)  and complied  with  the  accounting  standards  (Previous  GAAP)  as  notified  under  Section  133  of  the Companies Act, 2013 read together with Rule 7 of the Companies (Accounts) Rules, 2014, (as amended), to the extent applicable and the presentation requirements of the Companies Act, 2013. </t>
  </si>
  <si>
    <t>Notes to the financial statements</t>
  </si>
  <si>
    <t>The fair value has been calculated using the Black Scholes Option Pricing Model and the significant assumptions and inputs to estimate the fair value of options granted during the year are as follows:</t>
  </si>
  <si>
    <t>A) Compounded risk free interest rate</t>
  </si>
  <si>
    <t>NIL</t>
  </si>
  <si>
    <t>G) Method used to determine expected volatility</t>
  </si>
  <si>
    <t>The company is not exposed to any price risk.</t>
  </si>
  <si>
    <t>no. of options yet to vest</t>
  </si>
  <si>
    <t>C) Expected volatility</t>
  </si>
  <si>
    <t>D) Expected dividends over the life of options</t>
  </si>
  <si>
    <t>F) Weighted Average Exercise price</t>
  </si>
  <si>
    <t>B) Weighted Average Expected life of options</t>
  </si>
  <si>
    <t xml:space="preserve">the  amount  of  interest due and payable  for  the  period of  delay in making payment (which have been paid but beyond the appointed day during the year) but without adding the interest specified  under the Micro, Small and Medium Enterprises Development  Act, 2006; </t>
  </si>
  <si>
    <t>The following table shows a reconciliation from the opening balances to the closing balances for net defined benefit (asset) liability and its components:</t>
  </si>
  <si>
    <t>Extra Entry</t>
  </si>
  <si>
    <t>Ador Multiproducts Ltd (Inter-Company Deposits)</t>
  </si>
  <si>
    <t>Salary Payable</t>
  </si>
  <si>
    <t>Anatomicals Ador India Pvt Ltd</t>
  </si>
  <si>
    <t>TCS (GST) FY 2019-20</t>
  </si>
  <si>
    <t>Business Support Service Charges</t>
  </si>
  <si>
    <t>Freight on Sales</t>
  </si>
  <si>
    <t>Razorpay's Service Fees</t>
  </si>
  <si>
    <t>Testing charges</t>
  </si>
  <si>
    <t>From Banks</t>
  </si>
  <si>
    <t>From other parties.</t>
  </si>
  <si>
    <t>Loans and advances from related parties;</t>
  </si>
  <si>
    <t>Loans from Directors</t>
  </si>
  <si>
    <t>Bad Debts</t>
  </si>
  <si>
    <t>Interest on Inter Company Deposits.</t>
  </si>
  <si>
    <t>Interest on Inter Corporate Deposits</t>
  </si>
  <si>
    <t>Interest on borrowings from banks</t>
  </si>
  <si>
    <t>Securities premium</t>
  </si>
  <si>
    <t>Bad debts</t>
  </si>
  <si>
    <t>Securities
premium</t>
  </si>
  <si>
    <t>Employee share
options (net)</t>
  </si>
  <si>
    <t>Issue of equity shares</t>
  </si>
  <si>
    <t>Add: Shares issued on exercise of employee stock options during the year</t>
  </si>
  <si>
    <t>Add: Shares issued on conversion of Convertible debenture during the year</t>
  </si>
  <si>
    <t>Balance as at the end of the year</t>
  </si>
  <si>
    <t>Amount in Rupees</t>
  </si>
  <si>
    <t>Options granted and outstanding at the beginning of the year</t>
  </si>
  <si>
    <t>Options granted during the year</t>
  </si>
  <si>
    <t>Options lapsed during the year</t>
  </si>
  <si>
    <t>viii)</t>
  </si>
  <si>
    <t>Ador Fontech Ltd.</t>
  </si>
  <si>
    <t>Interest on Inter-company deposits</t>
  </si>
  <si>
    <t>Transfer from/to general reserve/retained earnings during the year</t>
  </si>
  <si>
    <t>Overdraft facility from bank*</t>
  </si>
  <si>
    <t>Inter corporate deposits**</t>
  </si>
  <si>
    <t>Leave encashment</t>
  </si>
  <si>
    <t>Employee stock options</t>
  </si>
  <si>
    <t>Proceeds from issuance of Equity shares</t>
  </si>
  <si>
    <t>Tanya Advani</t>
  </si>
  <si>
    <t>Aruna Advani</t>
  </si>
  <si>
    <t>The stock options granted to employees pursuant to the Company’s Stock Options Schemes, are measured at the fair value of the options at the grant date. The fair value of the options is treated as discount and accounted as employee compensation cost over the vesting period on a straight line basis. The amount recognised as expense in each year is arrived at based on the number of grants expected to vest. If a grant lapses after the vesting period, the cumulative discount recognised as expense in respect of such grant is transferred to the general reserve/ retained earnings within equity.</t>
  </si>
  <si>
    <t>Exchange Loss</t>
  </si>
  <si>
    <t>ix)</t>
  </si>
  <si>
    <t>Advance from customers</t>
  </si>
  <si>
    <t>SECTION 115BBA</t>
  </si>
  <si>
    <t>FINANCIAL YEAR 2019-20</t>
  </si>
  <si>
    <t xml:space="preserve">Tax Rate </t>
  </si>
  <si>
    <t>Surcharge</t>
  </si>
  <si>
    <t>Amount already recognized till March 2019</t>
  </si>
  <si>
    <t>Differential DTA/DTL</t>
  </si>
  <si>
    <t>Health and Education cess:</t>
  </si>
  <si>
    <t>Effetive Tax Rate</t>
  </si>
  <si>
    <t>LAST YEAR</t>
  </si>
  <si>
    <t>Incorporation Expenses (one fifth of Rs. 9,26,310) 4th Installment</t>
  </si>
  <si>
    <t>Unabsorbed Depreciation A Y. 2019-20</t>
  </si>
  <si>
    <t>Alreadt Created DTA due to loss</t>
  </si>
  <si>
    <t>Unabsorbed Depreciation A Y. 2020-21</t>
  </si>
  <si>
    <t>FY 15-16</t>
  </si>
  <si>
    <t>Losses A.Y. 2019-20</t>
  </si>
  <si>
    <t>Losses A.Y. 2020-21</t>
  </si>
  <si>
    <t>DTA TO BE MADE</t>
  </si>
  <si>
    <t>A Y 2019-20</t>
  </si>
  <si>
    <t>Incremental impact</t>
  </si>
  <si>
    <t>Depreciation Chart for the Year Ending '2018-2019'</t>
  </si>
  <si>
    <t>Machinery And plant- computer</t>
  </si>
  <si>
    <t>Unused Tax Losses</t>
  </si>
  <si>
    <t>Unabsorbed Tax depreciation</t>
  </si>
  <si>
    <t>Temporary differences</t>
  </si>
  <si>
    <t>Unabsorbed depreciation does not have any expiry period under the Income Tax Act, 1961.</t>
  </si>
  <si>
    <t>Tax @ 22.9%</t>
  </si>
  <si>
    <t>WDV of Fixed Assets as on 31.03.2020</t>
  </si>
  <si>
    <t>Remeasurement of net defined benefit liability (OCI)</t>
  </si>
  <si>
    <t>Indian Assured Lives Mortality
(2012-14)</t>
  </si>
  <si>
    <t>Assumption regarding the future mortality experience are set in accordance with the Indian Assured Live Mortality statistics (2012-14).</t>
  </si>
  <si>
    <t>1908 E-Ventures Pvt. Ltd. is a private limited company  incorporated under the provision of the Companies Act, 2013. The Company was promoted &amp; incorporated by M/s. J.B. Advani &amp; Company Pvt. Ltd. and M/s. Ador Multiproducts Ltd. on 18th August 2015 to carry on  the business to create an e-commerce platform - both website based &amp; mobile application based that will showcase, display and sell multiple brands and provide all e - commerce based trading of consumer goods.
1908 E-Ventures Pvt. Ltd. (‘the Company’) is a private limited company and was incorporated in 2015. The registered and corporate office of the company is situated at 5th floor, Ador House, 6K Dubash Marg, Fort, 6, K Dubash Marg, Kala Ghoda, Fort, Mumbai, Maharashtra 400001.</t>
  </si>
  <si>
    <t>The Company amortises intangible assets with a finite useful life using the straight-line method over the following periods: Computer Software/Website Development - 3 to 5 years.</t>
  </si>
  <si>
    <t>Current income tax assets and liabilities are measured at the amount expected to be recovered from or paid to the taxation authorities. The tax rates and tax laws used to compute the amount are those that are enacted or substantively enacted, at the reporting date.</t>
  </si>
  <si>
    <t xml:space="preserve">The results and financial position of foreign operations (none of which has the currency of a hyperinflationary economy) that have a functional currency different from the presentation currency are translated into the presentation currency as follows:
(a) Assets and liabilities are translated at the closing rate on the balance sheet date
(b) Income and expenses are translated at the average exchange rate (unless this is not a reasonable approximation of the cumulative effect of the rates prevailing on the transaction dates, in which case income and expenses are translated at the date of transaction
(c) All resulting exchange differences are recognised in other comprehensive income
When a foreign operation is sold, the associated exchange differences are reclassified to statement of profit and loss, as part of the gain or loss on sale.
Fair value adjustments arising on the acquisition of a foreign operation are treated as assets and liabilities of the foreign operation and translated at the closing rate.
</t>
  </si>
  <si>
    <t>General Reserve</t>
  </si>
  <si>
    <t>TCS (GST) FY 20-21</t>
  </si>
  <si>
    <t>Union Bank of India - 510101005905914</t>
  </si>
  <si>
    <t>Tax on RCM - IGST</t>
  </si>
  <si>
    <t>Branch Account - Delhi</t>
  </si>
  <si>
    <t>Purchase Interstate@0.25%</t>
  </si>
  <si>
    <t>Purchase Interstate@12%</t>
  </si>
  <si>
    <t>Purchase Interstate@5%</t>
  </si>
  <si>
    <t>Purchase Local@12%</t>
  </si>
  <si>
    <t>Purchase Local@3%</t>
  </si>
  <si>
    <t>Discount Given (Non GST)</t>
  </si>
  <si>
    <t>Discount Received( Sales)</t>
  </si>
  <si>
    <t>Freight on SL  Sales</t>
  </si>
  <si>
    <t>Sales Interstate ( Damage Stock )</t>
  </si>
  <si>
    <t>Citibank Card Late Charges</t>
  </si>
  <si>
    <t>GST Late Fees</t>
  </si>
  <si>
    <t>Round Off</t>
  </si>
  <si>
    <t>SBI Credit Card Late Fees</t>
  </si>
  <si>
    <t>Sponsership Service Charges</t>
  </si>
  <si>
    <t>Stamp Duty Fees</t>
  </si>
  <si>
    <t>Stripe Commission</t>
  </si>
  <si>
    <t>Telephone and Internet Reimbursement</t>
  </si>
  <si>
    <t>Profit &amp; Loss A/c</t>
  </si>
  <si>
    <t>Grand Total</t>
  </si>
  <si>
    <t>Branch purchase account</t>
  </si>
  <si>
    <t>Closing stock</t>
  </si>
  <si>
    <t>Delhi</t>
  </si>
  <si>
    <t>Banglore</t>
  </si>
  <si>
    <t xml:space="preserve">           Brand acquisition</t>
  </si>
  <si>
    <t>1908 E ventures Pvt. Ltd</t>
  </si>
  <si>
    <t>23 Yards India Pvt Ltd</t>
  </si>
  <si>
    <t>Reshma Lalvani</t>
  </si>
  <si>
    <t>B)</t>
  </si>
  <si>
    <t xml:space="preserve"> Relatives of Key Management Personnel</t>
  </si>
  <si>
    <t>Other related parties</t>
  </si>
  <si>
    <t>Contd….</t>
  </si>
  <si>
    <t>Transactions with related parties for the year are as follows: (Contd….)</t>
  </si>
  <si>
    <t>Reimbursement of Expenses</t>
  </si>
  <si>
    <t>Business Support Service rendered</t>
  </si>
  <si>
    <t>Needs to be seen</t>
  </si>
  <si>
    <t>Holding pattern to be changed</t>
  </si>
  <si>
    <t>0.8 years</t>
  </si>
  <si>
    <t xml:space="preserve"> Long-term borrowings</t>
  </si>
  <si>
    <t>Assets in the course of development or construction and freehold land are not depreciated. 
Other property, plant and equipment are stated at cost less accumulated depreciation and any provision for impairment. Depreciation commences when the assets are ready for their intended use. 
Depreciation is calculated on the depreciable amount, which is the cost of an asset less its residual value. Depreciation is provided at rates calculated to write off the cost, less estimated residual value, of each asset on a  written down value basis over its expected useful life determined by the management and aligned to the schedule II to the Companies Act, 2013 in order to reflect the actual usage of assets. 
Major inspection and overhaul costs are depreciated over the estimated life of the economic benefit derived from such costs. The carrying amount of the remaining previous overhaul cost is charged to the statement of profit and loss if the next overhaul is undertaken earlier than the previously estimated life of the economic benefit. 
When significant spare parts of an item of property, plant and equipment have different useful lives, they are accounted for as separate items (major components) of property, plant and equipment.
Depreciation methods, useful lives and residual values are reviewed at each financial year end and changes in estimates, if any, are accounted for prospectively.</t>
  </si>
  <si>
    <t xml:space="preserve">Level  2  — Valuation techniques for which the lowest level input that is significant to the fair value measurement is directly or indirectly observable </t>
  </si>
  <si>
    <t>Balance at the beginning of the year</t>
  </si>
  <si>
    <t>Income Recognition</t>
  </si>
  <si>
    <t>Incorporation Expenses (one fifth of Rs. 9,26,310) 5th Installment</t>
  </si>
  <si>
    <t>Impact not given in FY 20-21 financials to be considered in FY 21-22 financials</t>
  </si>
  <si>
    <t>Depreciation Chart for the Year Ending '2019-2020'</t>
  </si>
  <si>
    <t>WDV of Fixed Assets as on 31.03.2021</t>
  </si>
  <si>
    <t>Amount already recognized till March 2020</t>
  </si>
  <si>
    <t>Unabsorbed Depreciation A Y. 2021-22</t>
  </si>
  <si>
    <t>Losses A.Y. 2021-22</t>
  </si>
  <si>
    <t>Opening Balance - Assets/ (Liability) as on 31/03/2020</t>
  </si>
  <si>
    <t xml:space="preserve">The Company has a defined benefit plan (the “Gratuity Plan”). The Gratuity Plan provides a lump sum payment to employees who have completed five years or more of service at retirement, disability or termination of employment, being an amount based on the respective employee’s last drawn salary and the number of years of employment with the Company.
</t>
  </si>
  <si>
    <t xml:space="preserve"> As at  31st March, 2022</t>
  </si>
  <si>
    <t>2021-2022</t>
  </si>
  <si>
    <t>Balance as at 31 March 2022</t>
  </si>
  <si>
    <t>As at 01 April 2021</t>
  </si>
  <si>
    <t>As at 31st March, 2022</t>
  </si>
  <si>
    <t>1 April 2021</t>
  </si>
  <si>
    <t>31 March 2022</t>
  </si>
  <si>
    <t>For the year ended 31 March 2022</t>
  </si>
  <si>
    <t>Bhadu</t>
  </si>
  <si>
    <t>Aunty</t>
  </si>
  <si>
    <t>EMI</t>
  </si>
  <si>
    <t>Dhupani</t>
  </si>
  <si>
    <t>Bank transfer</t>
  </si>
  <si>
    <t>Adj</t>
  </si>
  <si>
    <t>Reference</t>
  </si>
  <si>
    <t>Equity &amp; Reserves</t>
  </si>
  <si>
    <t xml:space="preserve"> - on security deposits measured at amortised cost</t>
  </si>
  <si>
    <t xml:space="preserve">      (i) Lease liabilities</t>
  </si>
  <si>
    <t>pending</t>
  </si>
  <si>
    <t>From related parties;-Un secured</t>
  </si>
  <si>
    <t xml:space="preserve">      (ia) Lease liabilities</t>
  </si>
  <si>
    <t>OSL</t>
  </si>
  <si>
    <t>Employee Bonus payable</t>
  </si>
  <si>
    <t>working</t>
  </si>
  <si>
    <t>Interest on bank deposit</t>
  </si>
  <si>
    <t>Interest on income tax refunds</t>
  </si>
  <si>
    <t>Closing Stock</t>
  </si>
  <si>
    <t>opening Stock</t>
  </si>
  <si>
    <t xml:space="preserve">Contribution to provident and other funds </t>
  </si>
  <si>
    <t xml:space="preserve">Contribution to gratuity </t>
  </si>
  <si>
    <t>Interest on debentures issued</t>
  </si>
  <si>
    <t>Brand Registeration expense</t>
  </si>
  <si>
    <t>Packing material expense</t>
  </si>
  <si>
    <t xml:space="preserve">Advertisement expenses </t>
  </si>
  <si>
    <t>Bad debt</t>
  </si>
  <si>
    <t>check</t>
  </si>
  <si>
    <t>Security deposit amortised cost</t>
  </si>
  <si>
    <t>NA</t>
  </si>
  <si>
    <t>HDFC Bank CA</t>
  </si>
  <si>
    <t>Branch Purchase</t>
  </si>
  <si>
    <t>Local@0%</t>
  </si>
  <si>
    <t>Purchase Interstate@3%</t>
  </si>
  <si>
    <t>Purchase Local@0%</t>
  </si>
  <si>
    <t>Purchase Local@5%</t>
  </si>
  <si>
    <t>Marketing Activities ( Advertisement )</t>
  </si>
  <si>
    <t>Axis Bank Credit Card Charges</t>
  </si>
  <si>
    <t>E-Gift Card- Sublime Life</t>
  </si>
  <si>
    <t>Esic 3.25%</t>
  </si>
  <si>
    <t>Fine and Penalties</t>
  </si>
  <si>
    <t>For March 21</t>
  </si>
  <si>
    <t>For March 22</t>
  </si>
  <si>
    <t>JB Advani &amp; Co. 5%</t>
  </si>
  <si>
    <t>Period from</t>
  </si>
  <si>
    <t xml:space="preserve">Period to </t>
  </si>
  <si>
    <t>2024-25</t>
  </si>
  <si>
    <t>2025-26</t>
  </si>
  <si>
    <t>Days total</t>
  </si>
  <si>
    <t>Year 1</t>
  </si>
  <si>
    <t>Year2</t>
  </si>
  <si>
    <t>Year 3</t>
  </si>
  <si>
    <t>Total rent</t>
  </si>
  <si>
    <t>Per day</t>
  </si>
  <si>
    <t>End of Year 2 (31/03/2023)</t>
  </si>
  <si>
    <t>End of Year 3 (31/03/2023)</t>
  </si>
  <si>
    <t>End of Year 4 (14/02/2025)</t>
  </si>
  <si>
    <t>Year 0 (At the time of deposit) 15/02/22</t>
  </si>
  <si>
    <t xml:space="preserve">                      -  </t>
  </si>
  <si>
    <t>to be identified</t>
  </si>
  <si>
    <t>Business Support Service (Expense)</t>
  </si>
  <si>
    <t>Notional Interest Income</t>
  </si>
  <si>
    <t>Government  Fees</t>
  </si>
  <si>
    <t>Remeasurement of Defined Emoployee Benefit Plan Exp</t>
  </si>
  <si>
    <t>exchange gain</t>
  </si>
  <si>
    <t>Branch purchase</t>
  </si>
  <si>
    <t xml:space="preserve">                    -  </t>
  </si>
  <si>
    <t>Tax audit fees</t>
  </si>
  <si>
    <t>Leave benefits</t>
  </si>
  <si>
    <t>Add: Shares issued on private placement</t>
  </si>
  <si>
    <t>Add: Shares issued on conversion of ICD/Loan during the year</t>
  </si>
  <si>
    <t>b</t>
  </si>
  <si>
    <t>d4</t>
  </si>
  <si>
    <t>Loans and advances from other parties</t>
  </si>
  <si>
    <t>From others</t>
  </si>
  <si>
    <t>ESIC 0.75%</t>
  </si>
  <si>
    <t>Contant writing charges</t>
  </si>
  <si>
    <t>Interest on GST</t>
  </si>
  <si>
    <t>Platform charges</t>
  </si>
  <si>
    <t>Add: Shares issued on conversion of ICD/loan during the year</t>
  </si>
  <si>
    <t>Add: Shares issued on private placement during the year</t>
  </si>
  <si>
    <t>Add: Shares issued on conversion of ICD/loans during the year</t>
  </si>
  <si>
    <t>e). Shares reserved for issue under options outstanding as at the end of the year on un-issued share capital:</t>
  </si>
  <si>
    <t>d).  Shareholding of Promoters</t>
  </si>
  <si>
    <t>Name of Promoter</t>
  </si>
  <si>
    <t>Number of shares held</t>
  </si>
  <si>
    <t>% of total shares</t>
  </si>
  <si>
    <t>% Change during the year</t>
  </si>
  <si>
    <t>Total Income</t>
  </si>
  <si>
    <t>Total Expense</t>
  </si>
  <si>
    <t>Net</t>
  </si>
  <si>
    <t>Depreciaition</t>
  </si>
  <si>
    <t>Liabilities</t>
  </si>
  <si>
    <t>Current year profit</t>
  </si>
  <si>
    <t>Profit on sale of assets</t>
  </si>
  <si>
    <t>Profit on sale of  fixed assets</t>
  </si>
  <si>
    <t>Name if lessor</t>
  </si>
  <si>
    <t>Ador Welding Limited</t>
  </si>
  <si>
    <t>Lease arrangement</t>
  </si>
  <si>
    <t>Arrangement period (years)</t>
  </si>
  <si>
    <t>Lease end date</t>
  </si>
  <si>
    <t>Lease rent p.a.</t>
  </si>
  <si>
    <t>Incremental borrowing rate as on 1.4.2019 (P.M.)</t>
  </si>
  <si>
    <t>A. Right to use of assets (ROU)</t>
  </si>
  <si>
    <t>FY</t>
  </si>
  <si>
    <t>Gross Amount</t>
  </si>
  <si>
    <t>Accumulated Dep</t>
  </si>
  <si>
    <t>Useful life</t>
  </si>
  <si>
    <t>Salvage value</t>
  </si>
  <si>
    <t>Tenure</t>
  </si>
  <si>
    <t>Completed period</t>
  </si>
  <si>
    <t>Balance</t>
  </si>
  <si>
    <t>Dep for the year</t>
  </si>
  <si>
    <t>FY 2021-22</t>
  </si>
  <si>
    <t>FY 2022-23</t>
  </si>
  <si>
    <t>B. Lease liability</t>
  </si>
  <si>
    <t>Opening lease liability (As at 01/07/20)</t>
  </si>
  <si>
    <t>Lease Rent</t>
  </si>
  <si>
    <t>Interest charge</t>
  </si>
  <si>
    <t>Payment against lease liability</t>
  </si>
  <si>
    <t>Closing balance of lease liability</t>
  </si>
  <si>
    <t>Depreciation (WDV Method)</t>
  </si>
  <si>
    <t>Net Book Value (ROU Assets)</t>
  </si>
  <si>
    <t>1908 ROU Working</t>
  </si>
  <si>
    <t>FY 2023-24</t>
  </si>
  <si>
    <t>FY 2024-25</t>
  </si>
  <si>
    <t>Right-of-use asset</t>
  </si>
  <si>
    <t>Gross carrying value</t>
  </si>
  <si>
    <t>Disposals</t>
  </si>
  <si>
    <t>Closing carrying value</t>
  </si>
  <si>
    <t>Accumulated amortisation</t>
  </si>
  <si>
    <t>Amortisation during the year</t>
  </si>
  <si>
    <t>(d) Deferred tax Assets (Net)</t>
  </si>
  <si>
    <t>(e) Non-current financial assets</t>
  </si>
  <si>
    <t>(f) Other non-current tax assets</t>
  </si>
  <si>
    <t>(g) Other non-current assets</t>
  </si>
  <si>
    <t>(c) Right-of-use asset</t>
  </si>
  <si>
    <t>(ii) Long-term borrowings</t>
  </si>
  <si>
    <t>(i) Lease liabilities</t>
  </si>
  <si>
    <t>Lease liabilities</t>
  </si>
  <si>
    <t>Depreciation on property, plant and equipment (Refer note 3)</t>
  </si>
  <si>
    <t>Depreciation on on Right-of-use assets  (Refer note 4)</t>
  </si>
  <si>
    <t>Amortisation of intangible assets (Refer note 3)</t>
  </si>
  <si>
    <t>31st March, 2022</t>
  </si>
  <si>
    <t>Ratios</t>
  </si>
  <si>
    <t>Current Ratio</t>
  </si>
  <si>
    <t>Debt-Equity ratio</t>
  </si>
  <si>
    <t>Debt service coverage ratio</t>
  </si>
  <si>
    <t>Return on equity ratio</t>
  </si>
  <si>
    <t>Inventory turnover ratio</t>
  </si>
  <si>
    <t>Trade receivables turnover ratio</t>
  </si>
  <si>
    <t>Trade payables turnover ratio</t>
  </si>
  <si>
    <t>Net capital turnover ratio</t>
  </si>
  <si>
    <t>Net profit ratio</t>
  </si>
  <si>
    <t>Return on capital employed</t>
  </si>
  <si>
    <t>Return on investment</t>
  </si>
  <si>
    <t>(ii) Short-term borrowings</t>
  </si>
  <si>
    <t>(iii) Other trade payables</t>
  </si>
  <si>
    <t>(iv) Other current financial liabilities</t>
  </si>
  <si>
    <t>Total outstanding dues to micro and small enterprises</t>
  </si>
  <si>
    <t>Total outstanding dues to creditors other than micro and small enterprises</t>
  </si>
  <si>
    <t>Storage and handeling charges</t>
  </si>
  <si>
    <t>Storage and handling charges</t>
  </si>
  <si>
    <t>Trade payable aging schedule:</t>
  </si>
  <si>
    <t>(i) MSME</t>
  </si>
  <si>
    <t>Less than 1year</t>
  </si>
  <si>
    <t>1-2 years</t>
  </si>
  <si>
    <t>More than 3 years</t>
  </si>
  <si>
    <t>(ii) Others</t>
  </si>
  <si>
    <t>There are no disputed  dues MSME and others</t>
  </si>
  <si>
    <t>01-03-2020 onwards</t>
  </si>
  <si>
    <t>Brand acquired have been amortised over the estimated useful lives of 7 years.</t>
  </si>
  <si>
    <t>Trade Receivables aging schedule:</t>
  </si>
  <si>
    <t>Outstanding for following periods from the date of the transaction</t>
  </si>
  <si>
    <t>(i) Undisputed Trade receivables – considered good</t>
  </si>
  <si>
    <t>Less than 6 months</t>
  </si>
  <si>
    <t>6 months -1 year</t>
  </si>
  <si>
    <t>2-3 years</t>
  </si>
  <si>
    <t>(ii) Undisputed Trade Receivables – considered doubtful</t>
  </si>
  <si>
    <t>(iii) Disputed Trade Receivables considered good</t>
  </si>
  <si>
    <t>(iv) Disputed Trade Receivables considered doubtful</t>
  </si>
  <si>
    <t>Cash losses Calculation</t>
  </si>
  <si>
    <t>Profit &amp; Loss ( excluding other comprehensive income)</t>
  </si>
  <si>
    <t>Add: Interest charge as per Ind AS 116</t>
  </si>
  <si>
    <t>Less: Interest income on security deposit given</t>
  </si>
  <si>
    <t>Less: Amortisation of Rent income</t>
  </si>
  <si>
    <t>Add: Net gain /loss on FV changes on redemtion of Mutual Fund</t>
  </si>
  <si>
    <t>Add: Gratuity</t>
  </si>
  <si>
    <t>Add: Loss on settlement of financial assets</t>
  </si>
  <si>
    <t>Less: Defered Tax</t>
  </si>
  <si>
    <t>Net cash loss</t>
  </si>
  <si>
    <t>1908 E-ventures Private Limited</t>
  </si>
  <si>
    <t>Add: Depreciation and amortisation</t>
  </si>
  <si>
    <t>Add: Foreign exchange gain/loss</t>
  </si>
  <si>
    <t>Numerator</t>
  </si>
  <si>
    <t>Denominator</t>
  </si>
  <si>
    <t>Ratio Current period</t>
  </si>
  <si>
    <t>Ratio Previous period</t>
  </si>
  <si>
    <t>% of Variance</t>
  </si>
  <si>
    <t>Total Debt</t>
  </si>
  <si>
    <t>Shareholder’s Equity</t>
  </si>
  <si>
    <t>Earnings available for debt service</t>
  </si>
  <si>
    <t>Debt Service</t>
  </si>
  <si>
    <t>Net Profits after taxes – Preference Dividend (if any)</t>
  </si>
  <si>
    <t>Average Shareholder’s Equity</t>
  </si>
  <si>
    <t>Cost of goods sold OR sales</t>
  </si>
  <si>
    <t>Average Inventory</t>
  </si>
  <si>
    <t>Net Credit Sales</t>
  </si>
  <si>
    <t>Average Accounts Receivable</t>
  </si>
  <si>
    <t>Net Credit Purchases</t>
  </si>
  <si>
    <t>Average Trade Payables</t>
  </si>
  <si>
    <t>Net Sales</t>
  </si>
  <si>
    <t>Average Working Capital</t>
  </si>
  <si>
    <t>Net Profit</t>
  </si>
  <si>
    <t>Earning before interest and taxes</t>
  </si>
  <si>
    <t>{MV(T1) – MV(T0) – Sum [C(t)]}</t>
  </si>
  <si>
    <t>{MV(T0) + Sum [W(t) * C(t)]}</t>
  </si>
  <si>
    <t>For Retun on investments</t>
  </si>
  <si>
    <t>C(t) = Cash inflow, cash outflow on specific date</t>
  </si>
  <si>
    <t>W(t) = Weight of the net cash flow (i.e. either net inflow or net outflow) on day ‘t’, calculated as [T1 – t] / T1</t>
  </si>
  <si>
    <t>Add: ESOP expense</t>
  </si>
  <si>
    <t>The tax benefits for the losses would expire if not utilised starting from financial year 2023-24 to 2030-31</t>
  </si>
  <si>
    <t>FINANCIAL YEAR 2021-22</t>
  </si>
  <si>
    <t>WDV of Fixed Assets as on 31.03.2022</t>
  </si>
  <si>
    <t>Depreciation Chart for the Year Ending '2020-2021'</t>
  </si>
  <si>
    <t>Depreciation Chart for the Year Ending '2021-2022'</t>
  </si>
  <si>
    <t>Amount already recognized till March 2021</t>
  </si>
  <si>
    <t>Impact not given in FY 20-21 financials is now considered in FY 21-22 financials</t>
  </si>
  <si>
    <t>Losses A.Y. 2022-23</t>
  </si>
  <si>
    <t>Unabsorbed Depreciation A Y. 2022-23</t>
  </si>
  <si>
    <t>Since DTA reversal and DTL to be created, impact given in unused tax loss in FY 21-22</t>
  </si>
  <si>
    <t>31st March, 2023</t>
  </si>
  <si>
    <t xml:space="preserve"> As at  31st March, 2023</t>
  </si>
  <si>
    <t>As at 01 April 2022</t>
  </si>
  <si>
    <t>As at 31st March, 2023</t>
  </si>
  <si>
    <t>For the year ended 31 March 2023</t>
  </si>
  <si>
    <t>Just check</t>
  </si>
  <si>
    <t>1 April 2022</t>
  </si>
  <si>
    <t>31 March 2023</t>
  </si>
  <si>
    <t>Balance as at 1 April 2022</t>
  </si>
  <si>
    <t>Balance as at 31 March 2023</t>
  </si>
  <si>
    <t>HDFC O/D 6905</t>
  </si>
  <si>
    <t>Kudos Finance Ltd - Getvantage</t>
  </si>
  <si>
    <t>ROU Lease Liability</t>
  </si>
  <si>
    <t>Stipend Payable</t>
  </si>
  <si>
    <t>Investments</t>
  </si>
  <si>
    <t>Investment In Boofotel</t>
  </si>
  <si>
    <t>Deferred Rent Expense (Ind-AS Asset)</t>
  </si>
  <si>
    <t>ROU Asset</t>
  </si>
  <si>
    <t>Branch Account- Haryana</t>
  </si>
  <si>
    <t>Sales Bills to Make</t>
  </si>
  <si>
    <t>Brancha Sales Account</t>
  </si>
  <si>
    <t>Interstate@0%</t>
  </si>
  <si>
    <t>Interstate Sales</t>
  </si>
  <si>
    <t>Local Sales</t>
  </si>
  <si>
    <t>Sales- Interstate</t>
  </si>
  <si>
    <t>SALES LOCAL</t>
  </si>
  <si>
    <t>Clearing &amp; Forwarding Charges (Import)</t>
  </si>
  <si>
    <t>Purchase Account - Packing Material</t>
  </si>
  <si>
    <t>Purchase Interstate@28%</t>
  </si>
  <si>
    <t>Transportation Expenses (Import)</t>
  </si>
  <si>
    <t>Freight</t>
  </si>
  <si>
    <t>Printing &amp; Labelling</t>
  </si>
  <si>
    <t>Marketing Charges</t>
  </si>
  <si>
    <t>Exchnge Rate Loss</t>
  </si>
  <si>
    <t>Hotel Charges</t>
  </si>
  <si>
    <t>Loading/Unloading Charges</t>
  </si>
  <si>
    <t>Loss on Sale of Assets</t>
  </si>
  <si>
    <t>Recruitment Charges</t>
  </si>
  <si>
    <t>Recycling and Disposal of Plastic Waste</t>
  </si>
  <si>
    <t>RoundOff</t>
  </si>
  <si>
    <t>Simpl Commission</t>
  </si>
  <si>
    <t>Sundry Advances / Debit Balance Written Off</t>
  </si>
  <si>
    <t>Warehouse Service Charges</t>
  </si>
  <si>
    <t>Waste Disposal Charges</t>
  </si>
  <si>
    <t>if error exp</t>
  </si>
  <si>
    <t>Commission and gateway charges</t>
  </si>
  <si>
    <t xml:space="preserve">Total </t>
  </si>
  <si>
    <t>PY</t>
  </si>
  <si>
    <t>Storage and handeling chargess</t>
  </si>
  <si>
    <t>Auditors' remuneration  s</t>
  </si>
  <si>
    <t xml:space="preserve">Website expenses </t>
  </si>
  <si>
    <t xml:space="preserve">Amortisation of prepaid rent </t>
  </si>
  <si>
    <t xml:space="preserve">Internet expenses </t>
  </si>
  <si>
    <t xml:space="preserve">Marketing expenses </t>
  </si>
  <si>
    <t xml:space="preserve">Clearing &amp; Forwarding Charges </t>
  </si>
  <si>
    <t xml:space="preserve">Business Promotion Expenses </t>
  </si>
  <si>
    <t xml:space="preserve">Administrative Expenses </t>
  </si>
  <si>
    <t xml:space="preserve">Sundry receipts </t>
  </si>
  <si>
    <t xml:space="preserve">Leave encashment </t>
  </si>
  <si>
    <t xml:space="preserve">Exchange rate difference </t>
  </si>
  <si>
    <t xml:space="preserve">Registration fees </t>
  </si>
  <si>
    <t>If eror</t>
  </si>
  <si>
    <t>Employee related dues</t>
  </si>
  <si>
    <t>TCS (GST) FY 22-23</t>
  </si>
  <si>
    <t>Lease related assets net</t>
  </si>
  <si>
    <t xml:space="preserve">      (i) Investments</t>
  </si>
  <si>
    <t xml:space="preserve">      (ii) Other financial assets</t>
  </si>
  <si>
    <t>1908 Eventures Pvt Ltd (Delhi)</t>
  </si>
  <si>
    <t>1908 E Ventures Pvt Ltd - Bangalore</t>
  </si>
  <si>
    <t>1908 E-Ventures Pvt Ltd- Haryana</t>
  </si>
  <si>
    <t>TCS AY 22-23</t>
  </si>
  <si>
    <t>Head Office - Mumbai</t>
  </si>
  <si>
    <t>Branch-Sales</t>
  </si>
  <si>
    <t>Amazon Storage, Pick Pack, Transp and Shipping Fees</t>
  </si>
  <si>
    <t>Business Support Service</t>
  </si>
  <si>
    <t>Electricity Expenses</t>
  </si>
  <si>
    <t>Gst Late Filing Fees</t>
  </si>
  <si>
    <t>Maintenance Expenses</t>
  </si>
  <si>
    <t>Storage, Shipping and Pick and Pack Fees</t>
  </si>
  <si>
    <t>Haryana</t>
  </si>
  <si>
    <t>haryana</t>
  </si>
  <si>
    <t>Groupings BS</t>
  </si>
  <si>
    <t>IND AS</t>
  </si>
  <si>
    <t>Paid to best</t>
  </si>
  <si>
    <t>Interest on Sec depo Lease</t>
  </si>
  <si>
    <t>Notional Interest exp on lease rent</t>
  </si>
  <si>
    <t>Rent adjustment</t>
  </si>
  <si>
    <t>Amortisation of ROU Assets</t>
  </si>
  <si>
    <t xml:space="preserve">Non current </t>
  </si>
  <si>
    <t>Current</t>
  </si>
  <si>
    <t>Loss on sale of property plant &amp; equipement</t>
  </si>
  <si>
    <t>Profit on sale of property plant &amp; equipement</t>
  </si>
  <si>
    <t>Current portion</t>
  </si>
  <si>
    <t>Gratuity current portion</t>
  </si>
  <si>
    <t xml:space="preserve">Short term </t>
  </si>
  <si>
    <t>Short term leave</t>
  </si>
  <si>
    <t xml:space="preserve"> As at 31st March, 2023</t>
  </si>
  <si>
    <t>31.3.2021</t>
  </si>
  <si>
    <t>Groupings PL</t>
  </si>
  <si>
    <t>BOOFOOTEL PRIVATE LIMITED</t>
  </si>
  <si>
    <t>Every Last Details</t>
  </si>
  <si>
    <t>Expressphotos</t>
  </si>
  <si>
    <t>Boofootel Private Limited</t>
  </si>
  <si>
    <t>3D Future Technologies Pvt Ltd</t>
  </si>
  <si>
    <t>Rent Paid</t>
  </si>
  <si>
    <t>31.3.2020</t>
  </si>
  <si>
    <t>Proceeds from sale of PPE</t>
  </si>
  <si>
    <t>Opening Balance</t>
  </si>
  <si>
    <t>as per tb</t>
  </si>
  <si>
    <t>As at 31 March 2023</t>
  </si>
  <si>
    <t>Investments in equity shares (fully paid- up)</t>
  </si>
  <si>
    <t xml:space="preserve">Unquoted </t>
  </si>
  <si>
    <t>tally</t>
  </si>
  <si>
    <t>20 lacs against FD of Directors</t>
  </si>
  <si>
    <t>FINANCIAL YEAR 2022-23</t>
  </si>
  <si>
    <t>WDV of Fixed Assets as on 31.03.2023</t>
  </si>
  <si>
    <t>Depreciation Chart for the Year Ending '2022-2023'</t>
  </si>
  <si>
    <t>Unabsorbed Depreciation A Y. 2023-24</t>
  </si>
  <si>
    <t>Losses A.Y. 2023-24</t>
  </si>
  <si>
    <t>Amount already recognized till March 2022</t>
  </si>
  <si>
    <t xml:space="preserve">  In Indian Associate company measured at cost</t>
  </si>
  <si>
    <t>Provsion for doubtful debts</t>
  </si>
  <si>
    <t>Balance with revenue authorities</t>
  </si>
  <si>
    <t>In respect of stock options granted pursuant to the Company’s stock options schemes, the fair value of the options is treated as discount and accounted as employee compensation over the vesting period.
Expense on Employee Stock Option Schemes debited to the Statement of Profit and Loss during 2022-23 is Rupees NIL, (previous year: Rupees 2074000).</t>
  </si>
  <si>
    <t>The expected volatility has been determined on basis of, inter alia, historical data, forecasted growth of the company and other factors as deemed reasonable and appropriate for the purposes of this valuation.</t>
  </si>
  <si>
    <t>A. The major components of income tax expense for the year are as under :</t>
  </si>
  <si>
    <t>(i) Income tax recognised in the statement of profit and loss</t>
  </si>
  <si>
    <t>Current tax</t>
  </si>
  <si>
    <t>In respect of current year</t>
  </si>
  <si>
    <t>Deferred tax credit</t>
  </si>
  <si>
    <t>Income tax expense/(credit) recognised in the statement of profit and loss</t>
  </si>
  <si>
    <t>(ii) Income tax recognised in OCI</t>
  </si>
  <si>
    <t>Deferred tax expenses on remeasurements of defined benefit plans</t>
  </si>
  <si>
    <t>Income tax expenses recognised in OCI</t>
  </si>
  <si>
    <t>J. B. Advani &amp; Company Pvt Ltd</t>
  </si>
  <si>
    <t>Ador Welding Ltd</t>
  </si>
  <si>
    <t>Ador Fontech Ltd</t>
  </si>
  <si>
    <t>Sale of Capital Goods</t>
  </si>
  <si>
    <t xml:space="preserve">Anatomicals Ador India Pvt. Ltd. </t>
  </si>
  <si>
    <t>As at 31 March 2022</t>
  </si>
  <si>
    <t>Add: Rent paid</t>
  </si>
  <si>
    <t>End of Year 1 (31/03/2022)</t>
  </si>
  <si>
    <r>
      <rPr>
        <b/>
        <sz val="11"/>
        <rFont val="Garamond"/>
        <family val="1"/>
      </rPr>
      <t xml:space="preserve">Level 1: </t>
    </r>
    <r>
      <rPr>
        <sz val="11"/>
        <rFont val="Garamond"/>
        <family val="1"/>
      </rPr>
      <t>Level 1 hierarchy includes financial instruments measured using quoted prices. For example, listed equity instruments that have quoted market price.</t>
    </r>
  </si>
  <si>
    <r>
      <rPr>
        <b/>
        <sz val="11"/>
        <rFont val="Garamond"/>
        <family val="1"/>
      </rPr>
      <t>Level 2</t>
    </r>
    <r>
      <rPr>
        <sz val="11"/>
        <rFont val="Garamond"/>
        <family val="1"/>
      </rPr>
      <t>: The fair value of financial instruments that are not traded in an active market (for example, traded bonds, over-the- counter derivatives) is determined using valuation techniques which maximise the use of observable market data and rely as little as possible on entity-specific estimates. If all significant inputs required to fair value an instrument are observable, the instrument is included in level 2.</t>
    </r>
  </si>
  <si>
    <r>
      <rPr>
        <b/>
        <sz val="11"/>
        <rFont val="Garamond"/>
        <family val="1"/>
      </rPr>
      <t xml:space="preserve">Level 3: </t>
    </r>
    <r>
      <rPr>
        <sz val="11"/>
        <rFont val="Garamond"/>
        <family val="1"/>
      </rPr>
      <t>If one or more of the significant inputs is not based on observable market data, the instrument is included in level 3. This is the case for unlisted equity securities, contingent consideration and indemnification asset included in level 3.</t>
    </r>
  </si>
  <si>
    <r>
      <t>T</t>
    </r>
    <r>
      <rPr>
        <sz val="7"/>
        <rFont val="Garamond"/>
        <family val="1"/>
      </rPr>
      <t xml:space="preserve">1 </t>
    </r>
    <r>
      <rPr>
        <sz val="11"/>
        <rFont val="Garamond"/>
        <family val="1"/>
      </rPr>
      <t>= End of time period</t>
    </r>
  </si>
  <si>
    <r>
      <t>T</t>
    </r>
    <r>
      <rPr>
        <sz val="7"/>
        <rFont val="Garamond"/>
        <family val="1"/>
      </rPr>
      <t xml:space="preserve">0 </t>
    </r>
    <r>
      <rPr>
        <sz val="11"/>
        <rFont val="Garamond"/>
        <family val="1"/>
      </rPr>
      <t>= Beginning of time period</t>
    </r>
  </si>
  <si>
    <r>
      <t>t = Specific date falling between T</t>
    </r>
    <r>
      <rPr>
        <sz val="7"/>
        <rFont val="Garamond"/>
        <family val="1"/>
      </rPr>
      <t xml:space="preserve">1 </t>
    </r>
    <r>
      <rPr>
        <sz val="11"/>
        <rFont val="Garamond"/>
        <family val="1"/>
      </rPr>
      <t>and T</t>
    </r>
    <r>
      <rPr>
        <sz val="7"/>
        <rFont val="Garamond"/>
        <family val="1"/>
      </rPr>
      <t>0</t>
    </r>
  </si>
  <si>
    <r>
      <t>MV(T</t>
    </r>
    <r>
      <rPr>
        <sz val="7"/>
        <rFont val="Garamond"/>
        <family val="1"/>
      </rPr>
      <t>1</t>
    </r>
    <r>
      <rPr>
        <sz val="11"/>
        <rFont val="Garamond"/>
        <family val="1"/>
      </rPr>
      <t>) = Market Value at T</t>
    </r>
    <r>
      <rPr>
        <sz val="7"/>
        <rFont val="Garamond"/>
        <family val="1"/>
      </rPr>
      <t>1</t>
    </r>
  </si>
  <si>
    <r>
      <t>MV(T</t>
    </r>
    <r>
      <rPr>
        <sz val="7"/>
        <rFont val="Garamond"/>
        <family val="1"/>
      </rPr>
      <t>0</t>
    </r>
    <r>
      <rPr>
        <sz val="11"/>
        <rFont val="Garamond"/>
        <family val="1"/>
      </rPr>
      <t>) = Market Value at T</t>
    </r>
    <r>
      <rPr>
        <sz val="7"/>
        <rFont val="Garamond"/>
        <family val="1"/>
      </rPr>
      <t>0</t>
    </r>
  </si>
  <si>
    <t>[Currency: Indian Rupees(Rs.'000)]</t>
  </si>
  <si>
    <t>The grant of options to the employees under the stock option schemes is on the basis of their performance and other eligibility criteria. The options are vested over a period of 3 years subject to the discretion of the management and fulfillment of certain conditions.
Nil Equity Shares of Face Value of Rupees  10/- each (Previous Year: 50,000 Equity Shares of Face Value of Rupees  10/- each ) are reserved for issue under Employee Stock Option Scheme-2019 (ESOS-2019)</t>
  </si>
  <si>
    <t>As at 30 Sep 2023</t>
  </si>
  <si>
    <t>Half year ended 30 September 2023</t>
  </si>
  <si>
    <t xml:space="preserve"> As at  30th September, 2023</t>
  </si>
  <si>
    <t>For the Period ended 30 Sep 23</t>
  </si>
  <si>
    <t>For the period ended 30 Sep 23</t>
  </si>
  <si>
    <t>Pruchase returns</t>
  </si>
  <si>
    <t>J.B. Advani and Co. Pvt. Ltd. (ICD)</t>
  </si>
  <si>
    <t>Electricity Deposit</t>
  </si>
  <si>
    <t>Free Samples</t>
  </si>
  <si>
    <t>Interstate@0.25%</t>
  </si>
  <si>
    <t>Interstate Sales @ 5%</t>
  </si>
  <si>
    <t>Purchase Interstate@0%</t>
  </si>
  <si>
    <t>Liability No Longer Payable</t>
  </si>
  <si>
    <t>ESIC Employer's Contribution 3.25%</t>
  </si>
  <si>
    <t>Notice Pay</t>
  </si>
  <si>
    <t>Stock Damaged in Transit</t>
  </si>
  <si>
    <t>Sales bills to make please see</t>
  </si>
  <si>
    <t>Notice pay</t>
  </si>
  <si>
    <t>Electricity deposit</t>
  </si>
  <si>
    <t>Total LIAB</t>
  </si>
  <si>
    <t>Total ASSETS</t>
  </si>
  <si>
    <t>Balance as at 1 April 2023</t>
  </si>
  <si>
    <t>Balance as at 30 Sep 2023</t>
  </si>
  <si>
    <t>Balance as at 1 April 2021</t>
  </si>
  <si>
    <t>As at 01 April 2023</t>
  </si>
  <si>
    <t>The accompanying notes are integral part of the financial statements (all amounts in Rupees Thousands)
In terms of our report on even date attached</t>
  </si>
  <si>
    <t>1 April 2023</t>
  </si>
  <si>
    <t>30 September 2023</t>
  </si>
  <si>
    <t>Period</t>
  </si>
  <si>
    <t>The Company has not recognized deferred tax asset on unabsorbed depreciation &amp; carried forward business losses under tax laws and other temporary differences in view that it not probable that taxable profits will be available against which the deductible temporary differences can be utilized.
Unused tax losses, unabsorbed depreciation and temporary differences on which no deferred tax asset is recognised in Balance Sheet.</t>
  </si>
  <si>
    <t xml:space="preserve"> - From Related party</t>
  </si>
  <si>
    <t>Jatin D. Pokarne</t>
  </si>
  <si>
    <t>DIN: 10205733</t>
  </si>
  <si>
    <t>For the period ended 31 Dec 23</t>
  </si>
  <si>
    <t>For the Period ended Dec 23</t>
  </si>
  <si>
    <t>30th September, 2023</t>
  </si>
  <si>
    <t>Period ended</t>
  </si>
  <si>
    <t>Share Premium</t>
  </si>
  <si>
    <t>Retained Earning(New)</t>
  </si>
  <si>
    <t>TCS Haryana</t>
  </si>
  <si>
    <t>TDS Delhi</t>
  </si>
  <si>
    <t>Local@0.25%</t>
  </si>
  <si>
    <t>Goods Lost in Transit</t>
  </si>
  <si>
    <t>INCOME TAX REFUND</t>
  </si>
  <si>
    <t>Shipping Charges@0.25</t>
  </si>
  <si>
    <t>Shipping Charges@3.0</t>
  </si>
  <si>
    <t>Ex-Gratia</t>
  </si>
  <si>
    <t>HDFC Credit Card Charges</t>
  </si>
  <si>
    <t>Packing Charges</t>
  </si>
  <si>
    <t>As per TB</t>
  </si>
  <si>
    <t>Packing charges</t>
  </si>
  <si>
    <t>income tax refund to be fgrouped in balance sheet</t>
  </si>
  <si>
    <t>Testing charge</t>
  </si>
  <si>
    <t>xx</t>
  </si>
  <si>
    <t>sep</t>
  </si>
  <si>
    <t>Ok</t>
  </si>
  <si>
    <t>Balance Sheet as at 31st March, 2024</t>
  </si>
  <si>
    <t>For the year ended 31st March, 2024</t>
  </si>
  <si>
    <t>As at 31st March 2024</t>
  </si>
  <si>
    <t>Cash flow statement for the year ended 31st March, 2024</t>
  </si>
  <si>
    <t>Notes forming part of the financial statements as at 31st March 2024</t>
  </si>
  <si>
    <t xml:space="preserve"> As at  31st March, 2024</t>
  </si>
  <si>
    <t>Balance as at 31st March 2024</t>
  </si>
  <si>
    <t>Notes forming part of the financial statements  as on 31st March 2024</t>
  </si>
  <si>
    <t xml:space="preserve"> As at 31st March, 2024</t>
  </si>
  <si>
    <t>31st March, 2024</t>
  </si>
  <si>
    <t>For the Period ended March 24</t>
  </si>
  <si>
    <t>31st March 2024</t>
  </si>
  <si>
    <t>For the period ended 31 March 24</t>
  </si>
  <si>
    <t>1-Apr-2023 to 31-Mar-2024</t>
  </si>
  <si>
    <t>P&amp;L for Capital Account</t>
  </si>
  <si>
    <t>TDS Professional</t>
  </si>
  <si>
    <t>Furniture &amp; Fixtures</t>
  </si>
  <si>
    <t>Computers</t>
  </si>
  <si>
    <t>Intangible Assets</t>
  </si>
  <si>
    <t>Office Equipment</t>
  </si>
  <si>
    <t>Accumulated Depreciation</t>
  </si>
  <si>
    <t>Computer System</t>
  </si>
  <si>
    <t>Electrical Installations</t>
  </si>
  <si>
    <t>TDS A.Y. 2024-25</t>
  </si>
  <si>
    <t>Cash-in-hand</t>
  </si>
  <si>
    <t>Branch Account - Haryana</t>
  </si>
  <si>
    <t>Head Office -Mumbai</t>
  </si>
  <si>
    <t>Sublime Factory</t>
  </si>
  <si>
    <t>Loan Not Payable</t>
  </si>
  <si>
    <t>Sale of Fixed Assets</t>
  </si>
  <si>
    <t>Short/Excess IT Provision</t>
  </si>
  <si>
    <t>EPFO Fine</t>
  </si>
  <si>
    <t>Rate Difference</t>
  </si>
  <si>
    <t>1-Apr-2023 to 31-Dec-2023</t>
  </si>
  <si>
    <t>Profit and Loss  (New)</t>
  </si>
  <si>
    <t>Secured Deposit</t>
  </si>
  <si>
    <t>TDS A.Y. 2023-24</t>
  </si>
  <si>
    <t>TDS A.Y. 23-24 (1%)</t>
  </si>
  <si>
    <t>Flipkart Tds</t>
  </si>
  <si>
    <t>Debtors - Local</t>
  </si>
  <si>
    <t>Ador Multiproducts - Drs. (Puducherry)</t>
  </si>
  <si>
    <t>Amazon - Dr.</t>
  </si>
  <si>
    <t>Amazon Retention</t>
  </si>
  <si>
    <t>Amazon_ATS</t>
  </si>
  <si>
    <t>DELTACMA PRIVATE LIMITED</t>
  </si>
  <si>
    <t>Ekanek Networks Private Limited</t>
  </si>
  <si>
    <t>FOY E RETAIL PRIVATE LIMITED</t>
  </si>
  <si>
    <t>J B ADVANI &amp; COMPANY PRIVATE LIMITED</t>
  </si>
  <si>
    <t>J.B. Advani &amp; Company Pvt. Ltd. (Goa)</t>
  </si>
  <si>
    <t>Junobo Hotels Pvt. Ltd.</t>
  </si>
  <si>
    <t>Myntra Jabong India Pvt. Ltd.</t>
  </si>
  <si>
    <t>OCTAVOS ENTERPRISE SOLUTIONS PVT LTD</t>
  </si>
  <si>
    <t>Razorpay Cards UPI NetBanking Wallets</t>
  </si>
  <si>
    <t>RENAURA WELLNESS PRIVATE LIMITED Dr</t>
  </si>
  <si>
    <t>Spurthi Agencies Our Stores</t>
  </si>
  <si>
    <t>Leave Encashment</t>
  </si>
  <si>
    <t>Considered</t>
  </si>
  <si>
    <t>Bangalore</t>
  </si>
  <si>
    <t>As per Grouping</t>
  </si>
  <si>
    <t>As pe PL</t>
  </si>
  <si>
    <t>31 March 2024</t>
  </si>
  <si>
    <t>Opening reserves diff</t>
  </si>
  <si>
    <t>Rounding off</t>
  </si>
  <si>
    <t>Exchange (Gain)/Loss</t>
  </si>
  <si>
    <t>Details to discuss</t>
  </si>
  <si>
    <t>Significant accounting policies and other explanatory information for the year ended 31st March, 2024</t>
  </si>
  <si>
    <t>The other long term retirement benefit compensated absences is recognised based on the acturial valuation report for the relevant period. During the year company has recognised liability for compensated absences of Rs. NIL (Previous year Rs. 479.27).</t>
  </si>
  <si>
    <t>Writt of of deposit</t>
  </si>
  <si>
    <t>Gain on account of cancellation of lease</t>
  </si>
  <si>
    <t>Losses A.Y. 2024-25</t>
  </si>
  <si>
    <t>Depreciation Chart for the Year Ending '2023-24</t>
  </si>
  <si>
    <t>(Profit)/loss on sale of PPE</t>
  </si>
  <si>
    <t>Purchase/(Sale) of investments</t>
  </si>
  <si>
    <t>separate</t>
  </si>
  <si>
    <t>Lease</t>
  </si>
  <si>
    <t>Gain on account of lease cancellation</t>
  </si>
  <si>
    <t>*Company has cancelled its lease during the year.</t>
  </si>
  <si>
    <t>Notes forming part of the financial statements 2024</t>
  </si>
  <si>
    <t>Boofootel Private Limited (upto 17th August, 2023)</t>
  </si>
  <si>
    <t>Ninotchka Nagpal (Resigned w.e.f 30th May 2023 )</t>
  </si>
  <si>
    <t>Tanya Advani (Resigned w.e.f 30th May 2023)</t>
  </si>
  <si>
    <t>Jatin Pokarne (Appointed w.e.f 21st June 2023)</t>
  </si>
  <si>
    <t>Sushant Shinde (Appointed w.e.f 13th July 2023)</t>
  </si>
  <si>
    <t>-</t>
  </si>
  <si>
    <t>Jatin Pokarne</t>
  </si>
  <si>
    <t>Sushant Shinde</t>
  </si>
  <si>
    <t>License fees and common area maintenance charges paid (Net)</t>
  </si>
  <si>
    <t>Business support charges paid (Net)</t>
  </si>
  <si>
    <t>Other Service Charges (Net)</t>
  </si>
  <si>
    <t>Receipt of ICD</t>
  </si>
  <si>
    <t xml:space="preserve">Waiver of Inter-company deposit </t>
  </si>
  <si>
    <t>Security deposits received</t>
  </si>
  <si>
    <t>Waiver of Receivables</t>
  </si>
  <si>
    <t>Sale of personal Care Product (Net)</t>
  </si>
  <si>
    <t>Purchases of Goods (Net)</t>
  </si>
  <si>
    <t>Unabsorbed Depreciation A Y. 2024-25</t>
  </si>
  <si>
    <t>(ii) Defined benefit plans (up to 31.03.2023)</t>
  </si>
  <si>
    <t>vi) Basic earnings per share (Rupees.)</t>
  </si>
  <si>
    <t>vii) Anti-dilutive earnings per share (Rupees)</t>
  </si>
  <si>
    <t>viii) Face value per equity share (Rupees)</t>
  </si>
  <si>
    <t>ix) Anti-dilutive earnings per share (Rupees)</t>
  </si>
  <si>
    <t>NIL (31 March 2023: 4000) equity shares of Rupees  10 each.</t>
  </si>
  <si>
    <t>Amount in Rupees 
(at par value)</t>
  </si>
  <si>
    <t xml:space="preserve">In the event of liquidation of the Company, the holders of equity shares will be entitled to receive remaining assets of the Company, after distribution of all preferential amounts, if any. The distribution will be in proportion to the number of equity shares held by the shareholdeRupees </t>
  </si>
  <si>
    <t>Equity shares of Rupees  10 each, fully paid up</t>
  </si>
  <si>
    <t xml:space="preserve">Grant price Rupees </t>
  </si>
  <si>
    <t xml:space="preserve">E) Share price Rupees </t>
  </si>
  <si>
    <t>Proceeds from issuance of Inter corporate deposits</t>
  </si>
  <si>
    <t>GST expense</t>
  </si>
  <si>
    <t>Components of cash and cash equivalents (Also, refer note 12)</t>
  </si>
  <si>
    <t>Auditors' remuneration (Refer Note No. 34)</t>
  </si>
  <si>
    <t>iii. The lease rentals recognised in the Statement of Profit and Loss for the year are Rupees 490.60  (Previous Year: Rupees  628.33).</t>
  </si>
  <si>
    <t>ii. The Company's Right-of-use assets comprises of office building whose net carrying amount as at 31 March 2024 is Rupees NIL (Previous year: Rupees 569.72) after adjusting accumulated depreciation of Rupees  NIL (Previous year: Rupees 339.67).</t>
  </si>
  <si>
    <t>The Company recognised Rs. 275.35 (previous year Rs. 921.03) for Provident Fund contribution in the Statement of Profit and Loss.</t>
  </si>
  <si>
    <t>For operating lease commitments, Refer Note 35</t>
  </si>
  <si>
    <t>(Amount in Rs.'000)</t>
  </si>
  <si>
    <t>Exceptional item</t>
  </si>
  <si>
    <t>SOCE difference in op balance</t>
  </si>
  <si>
    <t>Accounting policy to check in line with JBA</t>
  </si>
  <si>
    <t>Check note referencing in accounting policies</t>
  </si>
  <si>
    <t>WDV of Fixed Assets as on 31.03.2024</t>
  </si>
  <si>
    <t>Less reversal</t>
  </si>
  <si>
    <t>*The Company has utilised overdraft facility aggregating to Rupees  NIL (Previous Year:  9,604.11). One overdraft facility is against the drawing power of  Rupees  NIL (Previous Year Rupees  9,000.00) which is secured against mutual fund investment of M/s J.B.Advani &amp; Company Private Limited provided as collateral security by marking lien on mutual fund investments in favour of the bank.
Another overdraft facility is of Rupees NIL  (Previous Year Rupees 2000.00) which is secured against Fixed deposit provided by Director as collateral security by marking lien on Fixed deposit.</t>
  </si>
  <si>
    <t>The weighted average duration of the defined benefit obligation is 18.39 as on 31st March, 2023</t>
  </si>
  <si>
    <t>Related Party file Prev year figures</t>
  </si>
  <si>
    <t>Ask about directors date</t>
  </si>
  <si>
    <t>Other statutory information</t>
  </si>
  <si>
    <t>There are no transactions during the year with struck off companies as at 31 March 2024</t>
  </si>
  <si>
    <t xml:space="preserve">	The company has not traded or invested in crypto currency or Virtual currency during the year.</t>
  </si>
  <si>
    <t>During the year the Company has not advanced or loaned or invested funds (either borrowed funds or share premium or any other sources or kind of funds) to any other person or entity including foreign entities (intermediaries) with the understanding (whether recorded in writing or otherwise) that the intermediary shall (i) directly or indirectly lend or invest in other person or entities identified in any manner whatsoever by or on behalf of company (ultimate beneficiaries) or (ii) provide any guarantee, security or the like to or behalf of  the ultimate beneficiaries. The company has not given any loans except loans to employees and made inventories in the marketable equity shares. The company has not given guarantee or provided security.</t>
  </si>
  <si>
    <t>The Company has not received any fund from any person(s) or entity(ies) including foreign entities (funding party) with the understanding (whether recorded in writing or otherwise) that the Company shall (i) directly or indirectly lender invest in any manner whatsoever by or on behalf of the funding party (ultimate beneficiaries) or (ii) provide any guarantee, security or the  to or behalf of the (ultimate beneficiaries) or (iii) provide any guarantee, security or the like to or on behalf of the ultimate beneficiaries.</t>
  </si>
  <si>
    <t>No proceedings are initiated or pending against the company for holding benami property under the Benami Transactions  (Prohibition) Act, 1988 (45 of 1988)</t>
  </si>
  <si>
    <t>Interest writt off</t>
  </si>
  <si>
    <t>Amount</t>
  </si>
  <si>
    <t>ICD received from J. B. Advani &amp; Company Pvt. Ltd.</t>
  </si>
  <si>
    <t>Interest on ICD received from J. B. Advani &amp; Company Pvt. Ltd.</t>
  </si>
  <si>
    <t>Done</t>
  </si>
  <si>
    <t>The cost of post-employment benefits is determined using actuarial valuations. The actuarial valuation involves making assumptions about discount rates, expected rate of return on assets, future salary increases and mortality rates. Due to the long term nature of these plans such estimates are subject to significant uncertainty. The assumptions used as disclosed in Note 36.</t>
  </si>
  <si>
    <t>For more information on financial instruments Refer note no. 39.</t>
  </si>
  <si>
    <t xml:space="preserve">The financial statements have been prepared in accordance with the Indian Accounting Standards (referred to as “Ind AS”) prescribed under section 133 of the Companies Act, 2013 read with Companies (Indian Accounting Standards) Rules 2015, as amended and other relevant provisions of the Act.
</t>
  </si>
  <si>
    <t>The financial statements have been prepared on a historical cost convention and accrual basis, except for the certain financial assets and liabilities that are measured at fair value and defined benefit plan assets measured at fair values by Ind AS.</t>
  </si>
  <si>
    <t>Fair value is the price that would be received on sale of asset or paid on transfer of liability in an orderly transaction between market participants at the measurement date, regardless of whether that price is directly observable or estimated using another valuation technique. In estimating the fair value of an asset or a liability, the Company takes into account the characteristics of the asset or liability if market participants would take those characteristics into account when pricing the asset or liability at the measurement date.</t>
  </si>
  <si>
    <t>All  assets  and  liabilities  have  been  classified  as current  or  non-current  based  on  the  Company’s normal  operating  cycle  for  each  of  its  businesses, as per the criteria set out in the Schedule III to the Act.</t>
  </si>
  <si>
    <t>The comparative figures included in the standalone financial statements are restated as and when Company absorb or amalgamate the Company by way of merger as per respective NCLT orders.</t>
  </si>
  <si>
    <t>Lease Cost / Expenses</t>
  </si>
  <si>
    <t>(vi)</t>
  </si>
  <si>
    <t>The initial direct costs incurred in negotiation and arranging an operating lease are added to the carrying amount of the leased assets and  recognized over the lease term on the same basis as rental income. The rent free period, incentives or discounts during the initial periods of the lease term be recognized as an integral part of the net consideration agreed for the use of the leased assets. The common utility charges such as Property Taxes, Water &amp; Electricity Charges, Security &amp; other maintenances changes collected in terms of contractual obligations are netted against the respective utility charges/ Expenses.</t>
  </si>
  <si>
    <t>The Company’s lease asset classes primarily consist of leases for Land and Buildings. The Company assesses whether a contract is or contains a lease, at inception of a contract. A contract is, or contains, a lease if the contract conveys the right to control the use of an identified asset for a period of time in exchange for consideration. To assess whether a contract conveys the right to control the use of an identified asset, the Company assesses whether:
(i)   the contract involves the use of an identified asset
(ii)  the Company has substantially all of the economic benefits from use of the asset through the period of the lease and
(iii) the Company has the right to direct the use of the asset.
At the date of commencement of the lease, the Company recognises a right-of-use asset (“ROU”) and a corresponding lease liability for all lease arrangements in which it is a lessee, except for leases with a term of twelve months or less (short term leases) and leases of low value assets. For these short term and leases of low value assets, the Company recognises the lease payments as an operating expense on a straightline basis over the term of the lease.
The right-of-use assets are initially recognised at cost, which comprises the initial amount of the lease liability adjusted for any lease payments made at or prior to the commencement date of the lease plus any initial direct costs less any lease incentives. They are subsequently measured at cost less accumulated depreciation and impairment losses, if any. Right-of-use assets are depreciated from the commencement date on a straight-line basis over the shorter of the lease term and useful life of the underlying asset.
The lease liability is initially measured at the present value of the future lease payments. The lease payments are discounted using the interest rate implicit in the lease or, if not readily determinable, using the incremental borrowing rates. The lease liability is subsequently remeasured by increasing the carrying amount to reflect interest on the lease liability, reducing the carrying amount to reflect the lease payments made. A lease liability is remeasured upon the occurrence of certain events such as a change in the lease term or a change in an index or rate used to determine lease payments. The remeasurement normally also adjusts the leased assets.</t>
  </si>
  <si>
    <t>An ordinary item of income or expense which by its size, nature, occurrence or incidence requires a disclosure in order to improve understanding of the performance of the Company is treated as an exceptional item in the Statement of Profit and Loss account.</t>
  </si>
  <si>
    <t>Exceptional items:</t>
  </si>
  <si>
    <t>(r)</t>
  </si>
  <si>
    <t>PL Grouping</t>
  </si>
  <si>
    <t>Tally PL</t>
  </si>
  <si>
    <t>Tally Total PL</t>
  </si>
  <si>
    <t xml:space="preserve">Final PL </t>
  </si>
  <si>
    <t>Net Impact</t>
  </si>
  <si>
    <t>Int on TDS- No Longer payable</t>
  </si>
  <si>
    <t>Indirect Income</t>
  </si>
  <si>
    <t>TDS On INT</t>
  </si>
  <si>
    <t>Lib- TDS</t>
  </si>
  <si>
    <t>Int Charges to P&amp;L</t>
  </si>
  <si>
    <t>Indirect Expense</t>
  </si>
  <si>
    <t>Tally</t>
  </si>
  <si>
    <t>The Company has executed NDA with interested party/investor for revival of business. The ultimate holding company is supporting and extending financial support to the Company. Moreever the material worth Rupees 19.46 lakhs during the year.</t>
  </si>
  <si>
    <t>Date : 8th May, 2024</t>
  </si>
  <si>
    <t>The Company has scaled down it's operations and hence no employees on roll so no actuarial valuations done for the year and hence figures for 2023-2024 are not presented for gratuity valuations and liability existed as on 31 March, 2023 amount of Rupees 730.31 Thousands is paid/adjusted during the year..</t>
  </si>
  <si>
    <t>(Figures in negative represents previous years numbers)</t>
  </si>
  <si>
    <t>Y</t>
  </si>
  <si>
    <t>Amount already recognized till March 2023</t>
  </si>
  <si>
    <t>The Company has migrated to Tally Prime from Tally ERP 9 during the year and is in the process of establishing necessary controls and documentations regarding audit trail.</t>
  </si>
  <si>
    <t xml:space="preserve">The company is retaining all major brands such as Sublime Life, Coccoon and Santic, which creates value for the stakeholders. The management carried out its own assessment towards future business plan, interest, ability and liquidity to run the busienss activities and management is confident that the going concern of the business activity has not impacted.
</t>
  </si>
  <si>
    <t xml:space="preserve">Waiver of Interest on Inter-company deposit </t>
  </si>
  <si>
    <t>These financial statements were authorised and approved for issue by the Board of Directors on 8 May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</si>
</sst>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2">
    <numFmt numFmtId="6" formatCode="&quot;₹&quot;\ #,##0;[Red]&quot;₹&quot;\ \-#,##0"/>
    <numFmt numFmtId="8" formatCode="&quot;₹&quot;\ #,##0.00;[Red]&quot;₹&quot;\ \-#,##0.00"/>
    <numFmt numFmtId="43" formatCode="_ * #,##0.00_ ;_ * \-#,##0.00_ ;_ * &quot;-&quot;??_ ;_ @_ "/>
    <numFmt numFmtId="164" formatCode="&quot;$&quot;#,##0_);[Red]\(&quot;$&quot;#,##0\)"/>
    <numFmt numFmtId="165" formatCode="_(&quot;$&quot;* #,##0.00_);_(&quot;$&quot;* \(#,##0.00\);_(&quot;$&quot;* &quot;-&quot;??_);_(@_)"/>
    <numFmt numFmtId="166" formatCode="_(* #,##0.00_);_(* \(#,##0.00\);_(* &quot;-&quot;??_);_(@_)"/>
    <numFmt numFmtId="167" formatCode="_(* #,##0_);_(* \(#,##0\);_(* &quot;-&quot;??_);_(@_)"/>
    <numFmt numFmtId="168" formatCode="0.00_);\(0.00\)"/>
    <numFmt numFmtId="169" formatCode="_-* #,##0.00_-;\-* #,##0.00_-;_-* &quot;-&quot;??_-;_-@_-"/>
    <numFmt numFmtId="170" formatCode="_-* #,##0_-;\-* #,##0_-;_-* &quot;-&quot;??_-;_-@_-"/>
    <numFmt numFmtId="171" formatCode="_(* #,##0.000_);_(* \(#,##0.000\);_(* &quot;-&quot;??_);_(@_)"/>
    <numFmt numFmtId="172" formatCode="&quot;&quot;0"/>
    <numFmt numFmtId="173" formatCode="&quot;&quot;0.00"/>
    <numFmt numFmtId="174" formatCode="_ [$₹-4009]\ * #,##0_ ;_ [$₹-4009]\ * \-#,##0_ ;_ [$₹-4009]\ * &quot;-&quot;_ ;_ @_ "/>
    <numFmt numFmtId="175" formatCode="0.0%"/>
    <numFmt numFmtId="176" formatCode="_(&quot;$&quot;* #,##0_);_(&quot;$&quot;* \(#,##0\);_(&quot;$&quot;* &quot;-&quot;??_);_(@_)"/>
    <numFmt numFmtId="177" formatCode="[$$-409]#,##0.00;[Red]&quot;-&quot;[$$-409]#,##0.00"/>
    <numFmt numFmtId="178" formatCode="0.00_)"/>
    <numFmt numFmtId="179" formatCode="_(* #,##0.00_);_(* \(#,##0.00\);_(* \-??_);_(@_)"/>
    <numFmt numFmtId="180" formatCode="[$$-409]#,##0.00;[Red]\-[$$-409]#,##0.00"/>
    <numFmt numFmtId="181" formatCode="_ * #,##0_ ;_ * \-#,##0_ ;_ * &quot;-&quot;??_ ;_ @_ "/>
    <numFmt numFmtId="182" formatCode="#,##0.000;\-#,##0.000;\-\ "/>
    <numFmt numFmtId="183" formatCode="[$-809]d\ mmmm\ yyyy;@"/>
    <numFmt numFmtId="184" formatCode="\£\ #,##0_);[Red]\(\£\ #,##0\)"/>
    <numFmt numFmtId="185" formatCode="_(* #,##0.0000_);_(* \(#,##0.0000\);_(* &quot;-&quot;??_);_(@_)"/>
    <numFmt numFmtId="186" formatCode="0.000%"/>
    <numFmt numFmtId="187" formatCode="#,##0.0000000000_ ;\-#,##0.0000000000\ "/>
    <numFmt numFmtId="188" formatCode="#,##0.00,"/>
    <numFmt numFmtId="189" formatCode="#,##0.0"/>
    <numFmt numFmtId="190" formatCode="#,##0.0000000000"/>
    <numFmt numFmtId="191" formatCode="#,##0.0000000"/>
    <numFmt numFmtId="192" formatCode="#,##0_ ;\-#,##0\ "/>
  </numFmts>
  <fonts count="90">
    <font>
      <sz val="11"/>
      <color theme="1"/>
      <name val="Calibri"/>
      <family val="2"/>
      <scheme val="minor"/>
    </font>
    <font>
      <sz val="11"/>
      <color theme="1"/>
      <name val="Calibri"/>
      <family val="2"/>
      <scheme val="minor"/>
    </font>
    <font>
      <sz val="11"/>
      <color theme="1"/>
      <name val="Garamond"/>
      <family val="2"/>
    </font>
    <font>
      <sz val="11"/>
      <name val="Garamond"/>
      <family val="1"/>
    </font>
    <font>
      <b/>
      <sz val="11"/>
      <name val="Garamond"/>
      <family val="1"/>
    </font>
    <font>
      <sz val="10"/>
      <name val="Arial"/>
      <family val="2"/>
    </font>
    <font>
      <sz val="11"/>
      <name val="Arial"/>
      <family val="2"/>
    </font>
    <font>
      <b/>
      <sz val="11"/>
      <name val="Arial"/>
      <family val="2"/>
    </font>
    <font>
      <sz val="10"/>
      <color theme="1"/>
      <name val="Arial"/>
      <family val="2"/>
    </font>
    <font>
      <b/>
      <sz val="10"/>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000000"/>
      <name val="Arial"/>
      <family val="2"/>
    </font>
    <font>
      <b/>
      <i/>
      <sz val="16"/>
      <color rgb="FF000000"/>
      <name val="Arial"/>
      <family val="2"/>
    </font>
    <font>
      <b/>
      <i/>
      <u/>
      <sz val="11"/>
      <color rgb="FF000000"/>
      <name val="Arial"/>
      <family val="2"/>
    </font>
    <font>
      <sz val="10"/>
      <name val="Arial"/>
      <family val="2"/>
      <charset val="1"/>
    </font>
    <font>
      <sz val="10"/>
      <name val="Mangal"/>
      <family val="2"/>
    </font>
    <font>
      <b/>
      <i/>
      <sz val="16"/>
      <color indexed="8"/>
      <name val="Arial"/>
      <family val="2"/>
      <charset val="1"/>
    </font>
    <font>
      <b/>
      <i/>
      <u/>
      <sz val="11"/>
      <color indexed="8"/>
      <name val="Arial"/>
      <family val="2"/>
      <charset val="1"/>
    </font>
    <font>
      <b/>
      <u/>
      <sz val="11"/>
      <name val="Garamond"/>
      <family val="1"/>
    </font>
    <font>
      <sz val="11"/>
      <name val="Garamond"/>
      <family val="2"/>
    </font>
    <font>
      <u/>
      <sz val="10"/>
      <color indexed="12"/>
      <name val="Arial"/>
      <family val="2"/>
    </font>
    <font>
      <i/>
      <sz val="11"/>
      <name val="Garamond"/>
      <family val="1"/>
    </font>
    <font>
      <sz val="11.5"/>
      <name val="Garamond"/>
      <family val="1"/>
    </font>
    <font>
      <sz val="12"/>
      <name val="Garamond"/>
      <family val="1"/>
    </font>
    <font>
      <u/>
      <sz val="11"/>
      <name val="Garamond"/>
      <family val="1"/>
    </font>
    <font>
      <sz val="10"/>
      <name val="Garamond"/>
      <family val="1"/>
    </font>
    <font>
      <sz val="11"/>
      <name val="Calibri"/>
      <family val="2"/>
      <scheme val="minor"/>
    </font>
    <font>
      <u/>
      <sz val="11"/>
      <color theme="10"/>
      <name val="Calibri"/>
      <family val="2"/>
      <scheme val="minor"/>
    </font>
    <font>
      <b/>
      <sz val="11"/>
      <name val="Rupee f"/>
    </font>
    <font>
      <sz val="11"/>
      <name val="Book Antiqua"/>
      <family val="1"/>
    </font>
    <font>
      <b/>
      <sz val="10"/>
      <name val="Book Antiqua"/>
      <family val="1"/>
    </font>
    <font>
      <b/>
      <sz val="12"/>
      <name val="Book Antiqua"/>
      <family val="1"/>
    </font>
    <font>
      <b/>
      <sz val="11"/>
      <name val="Book Antiqua"/>
      <family val="1"/>
    </font>
    <font>
      <sz val="10"/>
      <name val="Book Antiqua"/>
      <family val="1"/>
    </font>
    <font>
      <b/>
      <i/>
      <sz val="11"/>
      <name val="Garamond"/>
      <family val="1"/>
    </font>
    <font>
      <b/>
      <sz val="11"/>
      <name val="Calibri"/>
      <family val="2"/>
      <scheme val="minor"/>
    </font>
    <font>
      <b/>
      <u val="singleAccounting"/>
      <sz val="11"/>
      <name val="Garamond"/>
      <family val="1"/>
    </font>
    <font>
      <b/>
      <sz val="14"/>
      <name val="Calibri"/>
      <family val="2"/>
      <scheme val="minor"/>
    </font>
    <font>
      <b/>
      <u/>
      <sz val="11"/>
      <name val="Calibri"/>
      <family val="2"/>
      <scheme val="minor"/>
    </font>
    <font>
      <i/>
      <sz val="11"/>
      <name val="Calibri"/>
      <family val="2"/>
      <scheme val="minor"/>
    </font>
    <font>
      <b/>
      <sz val="11.5"/>
      <name val="Garamond"/>
      <family val="1"/>
    </font>
    <font>
      <sz val="8"/>
      <name val="Garamond"/>
      <family val="1"/>
    </font>
    <font>
      <sz val="8"/>
      <name val="Calibri"/>
      <family val="2"/>
      <scheme val="minor"/>
    </font>
    <font>
      <sz val="7"/>
      <name val="Garamond"/>
      <family val="1"/>
    </font>
    <font>
      <u/>
      <sz val="11"/>
      <name val="Calibri"/>
      <family val="2"/>
      <scheme val="minor"/>
    </font>
    <font>
      <sz val="12"/>
      <name val="Book Antiqua"/>
      <family val="1"/>
    </font>
    <font>
      <b/>
      <u/>
      <sz val="12"/>
      <name val="Book Antiqua"/>
      <family val="1"/>
    </font>
    <font>
      <sz val="11"/>
      <name val="Rupee f"/>
    </font>
    <font>
      <b/>
      <sz val="11"/>
      <name val="Rupee Foradian"/>
      <family val="2"/>
    </font>
    <font>
      <sz val="12"/>
      <name val="Times New Roman"/>
      <family val="1"/>
    </font>
    <font>
      <b/>
      <sz val="11"/>
      <color rgb="FFFF0000"/>
      <name val="Garamond"/>
      <family val="1"/>
    </font>
    <font>
      <sz val="11"/>
      <color rgb="FFFF0000"/>
      <name val="Calibri"/>
      <family val="2"/>
      <scheme val="minor"/>
    </font>
    <font>
      <b/>
      <sz val="12"/>
      <color theme="1"/>
      <name val="Arial"/>
      <family val="2"/>
    </font>
    <font>
      <b/>
      <sz val="9"/>
      <color theme="1"/>
      <name val="Arial"/>
      <family val="2"/>
    </font>
    <font>
      <sz val="9"/>
      <color theme="1"/>
      <name val="Arial"/>
      <family val="2"/>
    </font>
    <font>
      <i/>
      <sz val="9"/>
      <color theme="1"/>
      <name val="Arial"/>
      <family val="2"/>
    </font>
    <font>
      <b/>
      <i/>
      <sz val="9"/>
      <color theme="1"/>
      <name val="Arial"/>
      <family val="2"/>
    </font>
    <font>
      <sz val="10"/>
      <name val="Garamond"/>
      <family val="2"/>
    </font>
    <font>
      <sz val="11"/>
      <color rgb="FFFF0000"/>
      <name val="Garamond"/>
      <family val="1"/>
    </font>
    <font>
      <sz val="10"/>
      <color rgb="FFFF0000"/>
      <name val="Garamond"/>
      <family val="1"/>
    </font>
    <font>
      <sz val="11"/>
      <color rgb="FFFF0000"/>
      <name val="Garamond"/>
      <family val="2"/>
    </font>
    <font>
      <sz val="11"/>
      <color theme="7" tint="0.39997558519241921"/>
      <name val="Garamond"/>
      <family val="2"/>
    </font>
    <font>
      <sz val="11"/>
      <color theme="7" tint="0.39997558519241921"/>
      <name val="Garamond"/>
      <family val="1"/>
    </font>
    <font>
      <b/>
      <sz val="11"/>
      <color theme="0"/>
      <name val="Garamond"/>
      <family val="1"/>
    </font>
    <font>
      <sz val="11"/>
      <color theme="0"/>
      <name val="Garamond"/>
      <family val="1"/>
    </font>
    <font>
      <b/>
      <sz val="11"/>
      <color rgb="FFFFC000"/>
      <name val="Garamond"/>
      <family val="1"/>
    </font>
    <font>
      <b/>
      <u/>
      <sz val="11.5"/>
      <color rgb="FFFF0000"/>
      <name val="Garamond"/>
      <family val="1"/>
    </font>
    <font>
      <b/>
      <sz val="11"/>
      <color rgb="FFFF0000"/>
      <name val="Book Antiqua"/>
      <family val="1"/>
    </font>
    <font>
      <sz val="11"/>
      <color rgb="FFFF0000"/>
      <name val="Book Antiqua"/>
      <family val="1"/>
    </font>
    <font>
      <b/>
      <sz val="10"/>
      <color rgb="FFFF0000"/>
      <name val="Book Antiqua"/>
      <family val="1"/>
    </font>
    <font>
      <sz val="10"/>
      <color rgb="FFFF0000"/>
      <name val="Book Antiqua"/>
      <family val="1"/>
    </font>
    <font>
      <b/>
      <u/>
      <sz val="11.5"/>
      <name val="Garamond"/>
      <family val="1"/>
    </font>
    <font>
      <sz val="12"/>
      <color rgb="FF000000"/>
      <name val="Arial"/>
      <family val="2"/>
    </font>
  </fonts>
  <fills count="34">
    <fill>
      <patternFill patternType="none"/>
    </fill>
    <fill>
      <patternFill patternType="gray125"/>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79998168889431442"/>
        <bgColor indexed="64"/>
      </patternFill>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rgb="FFFFC000"/>
        <bgColor indexed="64"/>
      </patternFill>
    </fill>
    <fill>
      <patternFill patternType="solid">
        <fgColor rgb="FF92D050"/>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rgb="FFFF0000"/>
        <bgColor indexed="64"/>
      </patternFill>
    </fill>
  </fills>
  <borders count="114">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bottom style="double">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double">
        <color indexed="64"/>
      </bottom>
      <diagonal/>
    </border>
    <border>
      <left style="thin">
        <color indexed="64"/>
      </left>
      <right style="thin">
        <color indexed="64"/>
      </right>
      <top style="thin">
        <color indexed="64"/>
      </top>
      <bottom/>
      <diagonal/>
    </border>
    <border>
      <left/>
      <right style="thin">
        <color indexed="64"/>
      </right>
      <top style="thin">
        <color auto="1"/>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auto="1"/>
      </left>
      <right/>
      <top style="thin">
        <color auto="1"/>
      </top>
      <bottom style="thin">
        <color indexed="64"/>
      </bottom>
      <diagonal/>
    </border>
    <border>
      <left/>
      <right/>
      <top style="thin">
        <color auto="1"/>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ck">
        <color auto="1"/>
      </left>
      <right style="thin">
        <color auto="1"/>
      </right>
      <top/>
      <bottom/>
      <diagonal/>
    </border>
    <border>
      <left style="thin">
        <color auto="1"/>
      </left>
      <right style="thick">
        <color auto="1"/>
      </right>
      <top/>
      <bottom/>
      <diagonal/>
    </border>
    <border>
      <left style="thick">
        <color indexed="64"/>
      </left>
      <right style="thin">
        <color indexed="64"/>
      </right>
      <top style="thin">
        <color indexed="64"/>
      </top>
      <bottom style="thick">
        <color indexed="64"/>
      </bottom>
      <diagonal/>
    </border>
    <border>
      <left style="thick">
        <color indexed="64"/>
      </left>
      <right/>
      <top style="thick">
        <color indexed="64"/>
      </top>
      <bottom style="thin">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bottom style="thick">
        <color indexed="64"/>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ck">
        <color auto="1"/>
      </left>
      <right style="thin">
        <color auto="1"/>
      </right>
      <top style="thick">
        <color auto="1"/>
      </top>
      <bottom style="thick">
        <color auto="1"/>
      </bottom>
      <diagonal/>
    </border>
    <border>
      <left style="thin">
        <color indexed="64"/>
      </left>
      <right style="thin">
        <color indexed="64"/>
      </right>
      <top style="thick">
        <color auto="1"/>
      </top>
      <bottom style="thick">
        <color auto="1"/>
      </bottom>
      <diagonal/>
    </border>
    <border>
      <left style="thin">
        <color auto="1"/>
      </left>
      <right style="thick">
        <color auto="1"/>
      </right>
      <top style="thick">
        <color auto="1"/>
      </top>
      <bottom style="thick">
        <color auto="1"/>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683">
    <xf numFmtId="0" fontId="0" fillId="0" borderId="0"/>
    <xf numFmtId="166" fontId="1" fillId="0" borderId="0" applyFont="0" applyFill="0" applyBorder="0" applyAlignment="0" applyProtection="0"/>
    <xf numFmtId="0" fontId="2" fillId="0" borderId="0"/>
    <xf numFmtId="166" fontId="2" fillId="0" borderId="0" applyFont="0" applyFill="0" applyBorder="0" applyAlignment="0" applyProtection="0"/>
    <xf numFmtId="0" fontId="5" fillId="0" borderId="0"/>
    <xf numFmtId="0" fontId="5" fillId="0" borderId="0"/>
    <xf numFmtId="0" fontId="5" fillId="0" borderId="0"/>
    <xf numFmtId="166" fontId="1" fillId="0" borderId="0" applyFont="0" applyFill="0" applyBorder="0" applyAlignment="0" applyProtection="0"/>
    <xf numFmtId="0" fontId="5" fillId="0" borderId="0" applyFont="0" applyFill="0" applyBorder="0" applyAlignment="0" applyProtection="0"/>
    <xf numFmtId="171" fontId="5" fillId="0" borderId="0" applyFont="0" applyFill="0" applyBorder="0" applyAlignment="0" applyProtection="0"/>
    <xf numFmtId="166" fontId="5" fillId="0" borderId="0" applyFont="0" applyFill="0" applyBorder="0" applyAlignment="0" applyProtection="0"/>
    <xf numFmtId="0" fontId="1" fillId="0" borderId="0" applyFont="0" applyFill="0" applyBorder="0" applyAlignment="0" applyProtection="0"/>
    <xf numFmtId="0" fontId="1" fillId="0" borderId="0"/>
    <xf numFmtId="0" fontId="5" fillId="0" borderId="0"/>
    <xf numFmtId="165" fontId="1" fillId="0" borderId="0" applyFont="0" applyFill="0" applyBorder="0" applyAlignment="0" applyProtection="0"/>
    <xf numFmtId="0" fontId="1" fillId="0" borderId="0"/>
    <xf numFmtId="166" fontId="1" fillId="0" borderId="0" applyFont="0" applyFill="0" applyBorder="0" applyAlignment="0" applyProtection="0"/>
    <xf numFmtId="0" fontId="5" fillId="0" borderId="0"/>
    <xf numFmtId="0" fontId="5" fillId="0" borderId="0"/>
    <xf numFmtId="166" fontId="1" fillId="0" borderId="0" applyFont="0" applyFill="0" applyBorder="0" applyAlignment="0" applyProtection="0"/>
    <xf numFmtId="9" fontId="1" fillId="0" borderId="0" applyFont="0" applyFill="0" applyBorder="0" applyAlignment="0" applyProtection="0"/>
    <xf numFmtId="0" fontId="10" fillId="0" borderId="0">
      <alignment vertical="top"/>
    </xf>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0" fillId="0" borderId="0">
      <alignment vertical="top"/>
    </xf>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0" fillId="0" borderId="0">
      <alignment vertical="top"/>
    </xf>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10" fillId="0" borderId="0">
      <alignment vertical="top"/>
    </xf>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5" fillId="0" borderId="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5" fillId="0" borderId="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24" applyNumberFormat="0" applyAlignment="0" applyProtection="0"/>
    <xf numFmtId="0" fontId="15" fillId="22" borderId="25" applyNumberFormat="0" applyAlignment="0" applyProtection="0"/>
    <xf numFmtId="166" fontId="5"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26" applyNumberFormat="0" applyFill="0" applyAlignment="0" applyProtection="0"/>
    <xf numFmtId="0" fontId="19" fillId="0" borderId="27" applyNumberFormat="0" applyFill="0" applyAlignment="0" applyProtection="0"/>
    <xf numFmtId="0" fontId="20" fillId="0" borderId="28" applyNumberFormat="0" applyFill="0" applyAlignment="0" applyProtection="0"/>
    <xf numFmtId="0" fontId="20" fillId="0" borderId="0" applyNumberFormat="0" applyFill="0" applyBorder="0" applyAlignment="0" applyProtection="0"/>
    <xf numFmtId="0" fontId="21" fillId="8" borderId="24" applyNumberFormat="0" applyAlignment="0" applyProtection="0"/>
    <xf numFmtId="0" fontId="22" fillId="0" borderId="29" applyNumberFormat="0" applyFill="0" applyAlignment="0" applyProtection="0"/>
    <xf numFmtId="0" fontId="23" fillId="23" borderId="0" applyNumberFormat="0" applyBorder="0" applyAlignment="0" applyProtection="0"/>
    <xf numFmtId="0" fontId="11" fillId="24" borderId="30" applyNumberFormat="0" applyFont="0" applyAlignment="0" applyProtection="0"/>
    <xf numFmtId="0" fontId="24" fillId="21" borderId="31" applyNumberFormat="0" applyAlignment="0" applyProtection="0"/>
    <xf numFmtId="0" fontId="25" fillId="0" borderId="0" applyNumberFormat="0" applyFill="0" applyBorder="0" applyAlignment="0" applyProtection="0"/>
    <xf numFmtId="0" fontId="26" fillId="0" borderId="32" applyNumberFormat="0" applyFill="0" applyAlignment="0" applyProtection="0"/>
    <xf numFmtId="0" fontId="27" fillId="0" borderId="0" applyNumberFormat="0" applyFill="0" applyBorder="0" applyAlignment="0" applyProtection="0"/>
    <xf numFmtId="0" fontId="5" fillId="0" borderId="0"/>
    <xf numFmtId="0" fontId="5" fillId="0" borderId="0"/>
    <xf numFmtId="0" fontId="5" fillId="0" borderId="0"/>
    <xf numFmtId="0" fontId="28" fillId="0" borderId="0"/>
    <xf numFmtId="0" fontId="29" fillId="0" borderId="0" applyNumberFormat="0" applyBorder="0" applyProtection="0">
      <alignment horizontal="center"/>
    </xf>
    <xf numFmtId="0" fontId="29" fillId="0" borderId="0" applyNumberFormat="0" applyBorder="0" applyProtection="0">
      <alignment horizontal="center" textRotation="90"/>
    </xf>
    <xf numFmtId="0" fontId="30" fillId="0" borderId="0" applyNumberFormat="0" applyBorder="0" applyProtection="0"/>
    <xf numFmtId="177" fontId="30" fillId="0" borderId="0" applyBorder="0" applyProtection="0"/>
    <xf numFmtId="178" fontId="5" fillId="0" borderId="0"/>
    <xf numFmtId="178" fontId="5" fillId="0" borderId="0"/>
    <xf numFmtId="166" fontId="1" fillId="0" borderId="0" applyFont="0" applyFill="0" applyBorder="0" applyAlignment="0" applyProtection="0"/>
    <xf numFmtId="0" fontId="5" fillId="0" borderId="0"/>
    <xf numFmtId="9" fontId="1" fillId="0" borderId="0" applyFont="0" applyFill="0" applyBorder="0" applyAlignment="0" applyProtection="0"/>
    <xf numFmtId="0" fontId="31" fillId="0" borderId="0"/>
    <xf numFmtId="179" fontId="32" fillId="0" borderId="0" applyFill="0" applyBorder="0" applyAlignment="0" applyProtection="0"/>
    <xf numFmtId="43" fontId="1" fillId="0" borderId="0" applyFont="0" applyFill="0" applyBorder="0" applyAlignment="0" applyProtection="0"/>
    <xf numFmtId="166" fontId="5" fillId="0" borderId="0" applyFont="0" applyFill="0" applyBorder="0" applyAlignment="0" applyProtection="0"/>
    <xf numFmtId="0" fontId="11" fillId="0" borderId="0" applyBorder="0" applyProtection="0"/>
    <xf numFmtId="0" fontId="33" fillId="0" borderId="0" applyNumberFormat="0" applyBorder="0" applyProtection="0">
      <alignment horizontal="center" textRotation="90"/>
    </xf>
    <xf numFmtId="0" fontId="1" fillId="0" borderId="0"/>
    <xf numFmtId="0" fontId="34" fillId="0" borderId="0" applyNumberFormat="0" applyBorder="0" applyProtection="0"/>
    <xf numFmtId="180" fontId="34" fillId="0" borderId="0" applyBorder="0" applyProtection="0"/>
    <xf numFmtId="0" fontId="26" fillId="0" borderId="41"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21" fillId="8" borderId="38" applyNumberFormat="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6" fillId="0" borderId="41" applyNumberFormat="0" applyFill="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24" fillId="21" borderId="40" applyNumberFormat="0" applyAlignment="0" applyProtection="0"/>
    <xf numFmtId="0" fontId="14" fillId="21" borderId="33" applyNumberFormat="0" applyAlignment="0" applyProtection="0"/>
    <xf numFmtId="0" fontId="21" fillId="8" borderId="33" applyNumberFormat="0" applyAlignment="0" applyProtection="0"/>
    <xf numFmtId="0" fontId="21" fillId="8" borderId="38"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3" applyNumberFormat="0" applyAlignment="0" applyProtection="0"/>
    <xf numFmtId="0" fontId="14" fillId="21" borderId="38" applyNumberFormat="0" applyAlignment="0" applyProtection="0"/>
    <xf numFmtId="0" fontId="26" fillId="0" borderId="41" applyNumberFormat="0" applyFill="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4" fillId="21" borderId="40" applyNumberFormat="0" applyAlignment="0" applyProtection="0"/>
    <xf numFmtId="0" fontId="21" fillId="8" borderId="33" applyNumberFormat="0" applyAlignment="0" applyProtection="0"/>
    <xf numFmtId="0" fontId="14" fillId="21" borderId="38"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11" fillId="24" borderId="39" applyNumberFormat="0" applyFon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24" fillId="21" borderId="40" applyNumberFormat="0" applyAlignment="0" applyProtection="0"/>
    <xf numFmtId="0" fontId="14" fillId="21" borderId="33" applyNumberFormat="0" applyAlignment="0" applyProtection="0"/>
    <xf numFmtId="0" fontId="14" fillId="21"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3" applyNumberFormat="0" applyAlignment="0" applyProtection="0"/>
    <xf numFmtId="0" fontId="26" fillId="0" borderId="41" applyNumberFormat="0" applyFill="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6" fillId="0" borderId="41" applyNumberFormat="0" applyFill="0" applyAlignment="0" applyProtection="0"/>
    <xf numFmtId="0" fontId="21" fillId="8"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4" fillId="21" borderId="40"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4" fillId="21" borderId="38" applyNumberFormat="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11" fillId="24" borderId="39" applyNumberFormat="0" applyFont="0" applyAlignment="0" applyProtection="0"/>
    <xf numFmtId="0" fontId="21" fillId="8" borderId="33" applyNumberFormat="0" applyAlignment="0" applyProtection="0"/>
    <xf numFmtId="0" fontId="26" fillId="0" borderId="41" applyNumberFormat="0" applyFill="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24" fillId="21" borderId="40" applyNumberFormat="0" applyAlignment="0" applyProtection="0"/>
    <xf numFmtId="0" fontId="14" fillId="21"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4" fillId="21" borderId="33" applyNumberFormat="0" applyAlignment="0" applyProtection="0"/>
    <xf numFmtId="0" fontId="11" fillId="24" borderId="39" applyNumberFormat="0" applyFont="0" applyAlignment="0" applyProtection="0"/>
    <xf numFmtId="0" fontId="21" fillId="8" borderId="33" applyNumberFormat="0" applyAlignment="0" applyProtection="0"/>
    <xf numFmtId="0" fontId="24" fillId="21" borderId="40"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6" fillId="0" borderId="41" applyNumberFormat="0" applyFill="0" applyAlignment="0" applyProtection="0"/>
    <xf numFmtId="0" fontId="21" fillId="8" borderId="33" applyNumberFormat="0" applyAlignment="0" applyProtection="0"/>
    <xf numFmtId="0" fontId="11" fillId="24" borderId="39" applyNumberFormat="0" applyFon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1" fillId="8" borderId="38" applyNumberFormat="0" applyAlignment="0" applyProtection="0"/>
    <xf numFmtId="0" fontId="21" fillId="8" borderId="33" applyNumberFormat="0" applyAlignment="0" applyProtection="0"/>
    <xf numFmtId="0" fontId="26" fillId="0" borderId="41" applyNumberFormat="0" applyFill="0" applyAlignment="0" applyProtection="0"/>
    <xf numFmtId="0" fontId="11" fillId="24" borderId="34" applyNumberFormat="0" applyFont="0" applyAlignment="0" applyProtection="0"/>
    <xf numFmtId="0" fontId="24" fillId="21" borderId="35" applyNumberFormat="0" applyAlignment="0" applyProtection="0"/>
    <xf numFmtId="0" fontId="26" fillId="0" borderId="41" applyNumberFormat="0" applyFill="0" applyAlignment="0" applyProtection="0"/>
    <xf numFmtId="0" fontId="26" fillId="0" borderId="36" applyNumberFormat="0" applyFill="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8" applyNumberFormat="0" applyAlignment="0" applyProtection="0"/>
    <xf numFmtId="0" fontId="24" fillId="21" borderId="40"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11" fillId="24" borderId="39" applyNumberFormat="0" applyFont="0" applyAlignment="0" applyProtection="0"/>
    <xf numFmtId="0" fontId="14" fillId="21" borderId="38" applyNumberFormat="0" applyAlignment="0" applyProtection="0"/>
    <xf numFmtId="0" fontId="21" fillId="8" borderId="33" applyNumberFormat="0" applyAlignment="0" applyProtection="0"/>
    <xf numFmtId="0" fontId="21" fillId="8" borderId="38" applyNumberFormat="0" applyAlignment="0" applyProtection="0"/>
    <xf numFmtId="0" fontId="24" fillId="21" borderId="40"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41" applyNumberFormat="0" applyFill="0" applyAlignment="0" applyProtection="0"/>
    <xf numFmtId="0" fontId="24" fillId="21" borderId="40"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4" fillId="21" borderId="33" applyNumberFormat="0" applyAlignment="0" applyProtection="0"/>
    <xf numFmtId="0" fontId="21" fillId="8" borderId="33" applyNumberFormat="0" applyAlignment="0" applyProtection="0"/>
    <xf numFmtId="0" fontId="11" fillId="24" borderId="39" applyNumberFormat="0" applyFont="0" applyAlignment="0" applyProtection="0"/>
    <xf numFmtId="0" fontId="11" fillId="24" borderId="34" applyNumberFormat="0" applyFont="0" applyAlignment="0" applyProtection="0"/>
    <xf numFmtId="0" fontId="24" fillId="21" borderId="35" applyNumberFormat="0" applyAlignment="0" applyProtection="0"/>
    <xf numFmtId="0" fontId="11" fillId="24" borderId="39" applyNumberFormat="0" applyFon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4" fillId="21" borderId="40"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6" fillId="0" borderId="41" applyNumberFormat="0" applyFill="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11" fillId="24" borderId="39" applyNumberFormat="0" applyFont="0" applyAlignment="0" applyProtection="0"/>
    <xf numFmtId="0" fontId="26" fillId="0" borderId="36" applyNumberFormat="0" applyFill="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1" fillId="8" borderId="38" applyNumberFormat="0" applyAlignment="0" applyProtection="0"/>
    <xf numFmtId="0" fontId="26" fillId="0" borderId="36" applyNumberFormat="0" applyFill="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3" applyNumberFormat="0" applyAlignment="0" applyProtection="0"/>
    <xf numFmtId="0" fontId="21" fillId="8" borderId="38"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24" fillId="21" borderId="40" applyNumberFormat="0" applyAlignment="0" applyProtection="0"/>
    <xf numFmtId="0" fontId="14" fillId="21"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1" fillId="8" borderId="38"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4" fillId="21" borderId="33" applyNumberFormat="0" applyAlignment="0" applyProtection="0"/>
    <xf numFmtId="0" fontId="11" fillId="24" borderId="39" applyNumberFormat="0" applyFon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3" applyNumberFormat="0" applyAlignment="0" applyProtection="0"/>
    <xf numFmtId="0" fontId="14" fillId="21" borderId="38" applyNumberFormat="0" applyAlignment="0" applyProtection="0"/>
    <xf numFmtId="0" fontId="21" fillId="8" borderId="33" applyNumberFormat="0" applyAlignment="0" applyProtection="0"/>
    <xf numFmtId="0" fontId="14" fillId="21" borderId="38"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8"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24" fillId="21" borderId="40" applyNumberFormat="0" applyAlignment="0" applyProtection="0"/>
    <xf numFmtId="0" fontId="21" fillId="8" borderId="33" applyNumberFormat="0" applyAlignment="0" applyProtection="0"/>
    <xf numFmtId="0" fontId="26" fillId="0" borderId="41" applyNumberFormat="0" applyFill="0" applyAlignment="0" applyProtection="0"/>
    <xf numFmtId="0" fontId="11" fillId="24" borderId="34" applyNumberFormat="0" applyFont="0" applyAlignment="0" applyProtection="0"/>
    <xf numFmtId="0" fontId="24" fillId="21" borderId="35" applyNumberFormat="0" applyAlignment="0" applyProtection="0"/>
    <xf numFmtId="0" fontId="14" fillId="21" borderId="38" applyNumberFormat="0" applyAlignment="0" applyProtection="0"/>
    <xf numFmtId="0" fontId="14" fillId="21" borderId="38"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4" fillId="21" borderId="33" applyNumberFormat="0" applyAlignment="0" applyProtection="0"/>
    <xf numFmtId="0" fontId="14" fillId="21" borderId="38" applyNumberFormat="0" applyAlignment="0" applyProtection="0"/>
    <xf numFmtId="0" fontId="11" fillId="24" borderId="39" applyNumberFormat="0" applyFont="0" applyAlignment="0" applyProtection="0"/>
    <xf numFmtId="0" fontId="21" fillId="8" borderId="33" applyNumberFormat="0" applyAlignment="0" applyProtection="0"/>
    <xf numFmtId="0" fontId="14" fillId="21" borderId="38"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1" fillId="8" borderId="38" applyNumberFormat="0" applyAlignment="0" applyProtection="0"/>
    <xf numFmtId="0" fontId="24" fillId="21" borderId="40" applyNumberFormat="0" applyAlignment="0" applyProtection="0"/>
    <xf numFmtId="0" fontId="11" fillId="24" borderId="39" applyNumberFormat="0" applyFont="0" applyAlignment="0" applyProtection="0"/>
    <xf numFmtId="0" fontId="14" fillId="21" borderId="33" applyNumberFormat="0" applyAlignment="0" applyProtection="0"/>
    <xf numFmtId="0" fontId="26" fillId="0" borderId="41" applyNumberFormat="0" applyFill="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4" fillId="21" borderId="40" applyNumberFormat="0" applyAlignment="0" applyProtection="0"/>
    <xf numFmtId="0" fontId="11" fillId="24" borderId="39" applyNumberFormat="0" applyFont="0" applyAlignment="0" applyProtection="0"/>
    <xf numFmtId="0" fontId="14" fillId="21" borderId="38" applyNumberFormat="0" applyAlignment="0" applyProtection="0"/>
    <xf numFmtId="0" fontId="14" fillId="21" borderId="33" applyNumberFormat="0" applyAlignment="0" applyProtection="0"/>
    <xf numFmtId="0" fontId="21" fillId="8" borderId="33" applyNumberFormat="0" applyAlignment="0" applyProtection="0"/>
    <xf numFmtId="0" fontId="24" fillId="21" borderId="40"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1" fillId="24" borderId="39" applyNumberFormat="0" applyFont="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3" applyNumberFormat="0" applyAlignment="0" applyProtection="0"/>
    <xf numFmtId="0" fontId="11" fillId="24" borderId="39" applyNumberFormat="0" applyFon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4" fillId="21" borderId="38" applyNumberFormat="0" applyAlignment="0" applyProtection="0"/>
    <xf numFmtId="0" fontId="26" fillId="0" borderId="41" applyNumberFormat="0" applyFill="0" applyAlignment="0" applyProtection="0"/>
    <xf numFmtId="0" fontId="14" fillId="21" borderId="33" applyNumberFormat="0" applyAlignment="0" applyProtection="0"/>
    <xf numFmtId="0" fontId="21" fillId="8" borderId="38" applyNumberFormat="0" applyAlignment="0" applyProtection="0"/>
    <xf numFmtId="0" fontId="24" fillId="21" borderId="40" applyNumberForma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26" fillId="0" borderId="41" applyNumberFormat="0" applyFill="0" applyAlignment="0" applyProtection="0"/>
    <xf numFmtId="0" fontId="21" fillId="8" borderId="38" applyNumberFormat="0" applyAlignment="0" applyProtection="0"/>
    <xf numFmtId="0" fontId="14" fillId="21" borderId="33" applyNumberFormat="0" applyAlignment="0" applyProtection="0"/>
    <xf numFmtId="0" fontId="11" fillId="24" borderId="39" applyNumberFormat="0" applyFont="0" applyAlignment="0" applyProtection="0"/>
    <xf numFmtId="0" fontId="21" fillId="8" borderId="33" applyNumberFormat="0" applyAlignment="0" applyProtection="0"/>
    <xf numFmtId="0" fontId="11" fillId="24" borderId="34" applyNumberFormat="0" applyFont="0" applyAlignment="0" applyProtection="0"/>
    <xf numFmtId="0" fontId="24" fillId="21" borderId="35" applyNumberFormat="0" applyAlignment="0" applyProtection="0"/>
    <xf numFmtId="0" fontId="26" fillId="0" borderId="36" applyNumberFormat="0" applyFill="0" applyAlignment="0" applyProtection="0"/>
    <xf numFmtId="0" fontId="14" fillId="21" borderId="38" applyNumberFormat="0" applyAlignment="0" applyProtection="0"/>
    <xf numFmtId="0" fontId="21" fillId="8" borderId="38" applyNumberFormat="0" applyAlignment="0" applyProtection="0"/>
    <xf numFmtId="0" fontId="11" fillId="24" borderId="39" applyNumberFormat="0" applyFont="0" applyAlignment="0" applyProtection="0"/>
    <xf numFmtId="0" fontId="24" fillId="21" borderId="40" applyNumberFormat="0" applyAlignment="0" applyProtection="0"/>
    <xf numFmtId="0" fontId="26" fillId="0" borderId="41" applyNumberFormat="0" applyFill="0" applyAlignment="0" applyProtection="0"/>
    <xf numFmtId="0" fontId="14" fillId="21" borderId="38" applyNumberFormat="0" applyAlignment="0" applyProtection="0"/>
    <xf numFmtId="0" fontId="21" fillId="8" borderId="38" applyNumberFormat="0" applyAlignment="0" applyProtection="0"/>
    <xf numFmtId="0" fontId="11" fillId="24" borderId="39" applyNumberFormat="0" applyFont="0" applyAlignment="0" applyProtection="0"/>
    <xf numFmtId="0" fontId="24" fillId="21" borderId="40" applyNumberFormat="0" applyAlignment="0" applyProtection="0"/>
    <xf numFmtId="0" fontId="26" fillId="0" borderId="41" applyNumberFormat="0" applyFill="0" applyAlignment="0" applyProtection="0"/>
    <xf numFmtId="0" fontId="14" fillId="21" borderId="38" applyNumberFormat="0" applyAlignment="0" applyProtection="0"/>
    <xf numFmtId="0" fontId="21" fillId="8" borderId="38" applyNumberFormat="0" applyAlignment="0" applyProtection="0"/>
    <xf numFmtId="0" fontId="11" fillId="24" borderId="39" applyNumberFormat="0" applyFont="0" applyAlignment="0" applyProtection="0"/>
    <xf numFmtId="0" fontId="24" fillId="21" borderId="40" applyNumberFormat="0" applyAlignment="0" applyProtection="0"/>
    <xf numFmtId="0" fontId="26" fillId="0" borderId="41" applyNumberFormat="0" applyFill="0" applyAlignment="0" applyProtection="0"/>
    <xf numFmtId="0" fontId="14" fillId="21" borderId="38" applyNumberFormat="0" applyAlignment="0" applyProtection="0"/>
    <xf numFmtId="0" fontId="21" fillId="8" borderId="38" applyNumberFormat="0" applyAlignment="0" applyProtection="0"/>
    <xf numFmtId="0" fontId="11" fillId="24" borderId="39" applyNumberFormat="0" applyFont="0" applyAlignment="0" applyProtection="0"/>
    <xf numFmtId="0" fontId="24" fillId="21" borderId="40" applyNumberFormat="0" applyAlignment="0" applyProtection="0"/>
    <xf numFmtId="0" fontId="26" fillId="0" borderId="41" applyNumberFormat="0" applyFill="0" applyAlignment="0" applyProtection="0"/>
    <xf numFmtId="0" fontId="2" fillId="0" borderId="0"/>
    <xf numFmtId="166" fontId="2" fillId="0" borderId="0" applyFont="0" applyFill="0" applyBorder="0" applyAlignment="0" applyProtection="0"/>
    <xf numFmtId="182" fontId="5" fillId="0" borderId="0">
      <alignment vertical="center"/>
    </xf>
    <xf numFmtId="0" fontId="1" fillId="0" borderId="0"/>
    <xf numFmtId="9" fontId="1" fillId="0" borderId="0" applyFont="0" applyFill="0" applyBorder="0" applyAlignment="0" applyProtection="0"/>
    <xf numFmtId="0" fontId="37" fillId="0" borderId="0" applyNumberFormat="0" applyFill="0" applyBorder="0" applyAlignment="0" applyProtection="0">
      <alignment vertical="top"/>
      <protection locked="0"/>
    </xf>
    <xf numFmtId="0" fontId="5" fillId="0" borderId="0"/>
    <xf numFmtId="166" fontId="5" fillId="0" borderId="0" applyFont="0" applyFill="0" applyBorder="0" applyAlignment="0" applyProtection="0"/>
    <xf numFmtId="0" fontId="5" fillId="0" borderId="0"/>
    <xf numFmtId="0" fontId="5" fillId="0" borderId="0"/>
    <xf numFmtId="166" fontId="5" fillId="0" borderId="0" applyFont="0" applyFill="0" applyBorder="0" applyAlignment="0" applyProtection="0"/>
    <xf numFmtId="0" fontId="1" fillId="0" borderId="0"/>
    <xf numFmtId="0" fontId="5" fillId="0" borderId="0"/>
    <xf numFmtId="184" fontId="5" fillId="0" borderId="0" applyFont="0" applyFill="0" applyBorder="0" applyAlignment="0" applyProtection="0"/>
    <xf numFmtId="0" fontId="5" fillId="0" borderId="0"/>
    <xf numFmtId="169" fontId="8" fillId="0" borderId="0" applyFont="0" applyFill="0" applyBorder="0" applyAlignment="0" applyProtection="0"/>
    <xf numFmtId="9" fontId="8" fillId="0" borderId="0" applyFont="0" applyFill="0" applyBorder="0" applyAlignment="0" applyProtection="0"/>
    <xf numFmtId="0" fontId="8" fillId="0" borderId="0"/>
    <xf numFmtId="186" fontId="5" fillId="0" borderId="0" applyFont="0" applyFill="0" applyBorder="0" applyAlignment="0" applyProtection="0"/>
    <xf numFmtId="169" fontId="1" fillId="0" borderId="0" applyFont="0" applyFill="0" applyBorder="0" applyAlignment="0" applyProtection="0"/>
    <xf numFmtId="166"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43" fontId="5" fillId="0" borderId="0" applyFont="0" applyFill="0" applyBorder="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43" fontId="1" fillId="0" borderId="0" applyFont="0" applyFill="0" applyBorder="0" applyAlignment="0" applyProtection="0"/>
    <xf numFmtId="43" fontId="1" fillId="0" borderId="0" applyFont="0" applyFill="0" applyBorder="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21" fillId="8" borderId="87" applyNumberFormat="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4" fillId="21" borderId="89" applyNumberFormat="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4" fillId="21" borderId="89"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1" fillId="8" borderId="87"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24" fillId="21" borderId="89"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4" fillId="21" borderId="87" applyNumberFormat="0" applyAlignment="0" applyProtection="0"/>
    <xf numFmtId="0" fontId="11" fillId="24" borderId="88" applyNumberFormat="0" applyFont="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1" fillId="24" borderId="88" applyNumberFormat="0" applyFon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24" fillId="21" borderId="89"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11" fillId="24" borderId="88" applyNumberFormat="0" applyFont="0" applyAlignment="0" applyProtection="0"/>
    <xf numFmtId="0" fontId="24" fillId="21" borderId="89" applyNumberFormat="0" applyAlignment="0" applyProtection="0"/>
    <xf numFmtId="0" fontId="11" fillId="24" borderId="88" applyNumberFormat="0" applyFon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11" fillId="24" borderId="88" applyNumberFormat="0" applyFont="0" applyAlignment="0" applyProtection="0"/>
    <xf numFmtId="0" fontId="26" fillId="0" borderId="90" applyNumberFormat="0" applyFill="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1" fillId="8"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24" fillId="21" borderId="89" applyNumberFormat="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1" fillId="8"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4" fillId="21" borderId="87" applyNumberFormat="0" applyAlignment="0" applyProtection="0"/>
    <xf numFmtId="0" fontId="11" fillId="24" borderId="88" applyNumberFormat="0" applyFon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24" fillId="21" borderId="89" applyNumberFormat="0" applyAlignment="0" applyProtection="0"/>
    <xf numFmtId="0" fontId="21" fillId="8" borderId="87"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24" fillId="21" borderId="89" applyNumberFormat="0" applyAlignment="0" applyProtection="0"/>
    <xf numFmtId="0" fontId="14" fillId="21" borderId="87" applyNumberForma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4" fillId="21"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4" fillId="21" borderId="89" applyNumberFormat="0" applyAlignment="0" applyProtection="0"/>
    <xf numFmtId="0" fontId="11" fillId="24" borderId="88" applyNumberFormat="0" applyFont="0" applyAlignment="0" applyProtection="0"/>
    <xf numFmtId="0" fontId="14" fillId="21" borderId="87" applyNumberFormat="0" applyAlignment="0" applyProtection="0"/>
    <xf numFmtId="0" fontId="14" fillId="21" borderId="87" applyNumberFormat="0" applyAlignment="0" applyProtection="0"/>
    <xf numFmtId="0" fontId="21" fillId="8" borderId="87" applyNumberFormat="0" applyAlignment="0" applyProtection="0"/>
    <xf numFmtId="0" fontId="24" fillId="21" borderId="89"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1" fillId="24" borderId="88" applyNumberFormat="0" applyFont="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24" fillId="21" borderId="89"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26" fillId="0" borderId="90" applyNumberFormat="0" applyFill="0" applyAlignment="0" applyProtection="0"/>
    <xf numFmtId="0" fontId="21" fillId="8" borderId="87" applyNumberFormat="0" applyAlignment="0" applyProtection="0"/>
    <xf numFmtId="0" fontId="14" fillId="21" borderId="87" applyNumberFormat="0" applyAlignment="0" applyProtection="0"/>
    <xf numFmtId="0" fontId="11" fillId="24" borderId="88" applyNumberFormat="0" applyFon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0" fontId="14" fillId="21" borderId="87" applyNumberFormat="0" applyAlignment="0" applyProtection="0"/>
    <xf numFmtId="0" fontId="21" fillId="8" borderId="87" applyNumberFormat="0" applyAlignment="0" applyProtection="0"/>
    <xf numFmtId="0" fontId="11" fillId="24" borderId="88" applyNumberFormat="0" applyFont="0" applyAlignment="0" applyProtection="0"/>
    <xf numFmtId="0" fontId="24" fillId="21" borderId="89" applyNumberFormat="0" applyAlignment="0" applyProtection="0"/>
    <xf numFmtId="0" fontId="26" fillId="0" borderId="90" applyNumberFormat="0" applyFill="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0" fontId="44"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cellStyleXfs>
  <cellXfs count="1391">
    <xf numFmtId="0" fontId="0" fillId="0" borderId="0" xfId="0"/>
    <xf numFmtId="0" fontId="3" fillId="2" borderId="0" xfId="0" applyFont="1" applyFill="1"/>
    <xf numFmtId="0" fontId="3" fillId="2" borderId="2" xfId="0" applyFont="1" applyFill="1" applyBorder="1"/>
    <xf numFmtId="0" fontId="4" fillId="2" borderId="2" xfId="0" applyFont="1" applyFill="1" applyBorder="1"/>
    <xf numFmtId="167" fontId="3" fillId="2" borderId="2" xfId="1" applyNumberFormat="1" applyFont="1" applyFill="1" applyBorder="1"/>
    <xf numFmtId="0" fontId="4" fillId="2" borderId="0" xfId="0" applyFont="1" applyFill="1"/>
    <xf numFmtId="0" fontId="3" fillId="2" borderId="0" xfId="4" applyFont="1" applyFill="1"/>
    <xf numFmtId="0" fontId="42" fillId="2" borderId="0" xfId="17" applyFont="1" applyFill="1" applyAlignment="1">
      <alignment vertical="top"/>
    </xf>
    <xf numFmtId="0" fontId="3" fillId="2" borderId="0" xfId="2021" applyFont="1" applyFill="1"/>
    <xf numFmtId="0" fontId="4" fillId="2" borderId="8" xfId="0" applyFont="1" applyFill="1" applyBorder="1" applyAlignment="1">
      <alignment horizontal="center" vertical="center" wrapText="1"/>
    </xf>
    <xf numFmtId="0" fontId="3" fillId="2" borderId="2" xfId="0" applyFont="1" applyFill="1" applyBorder="1" applyAlignment="1">
      <alignment wrapText="1"/>
    </xf>
    <xf numFmtId="0" fontId="4" fillId="2" borderId="0" xfId="2025" applyFont="1" applyFill="1" applyAlignment="1">
      <alignment horizontal="left"/>
    </xf>
    <xf numFmtId="0" fontId="3" fillId="2" borderId="0" xfId="2025" applyFont="1" applyFill="1"/>
    <xf numFmtId="0" fontId="3" fillId="2" borderId="0" xfId="2025" applyFont="1" applyFill="1" applyAlignment="1">
      <alignment horizontal="center" vertical="top"/>
    </xf>
    <xf numFmtId="0" fontId="4" fillId="2" borderId="0" xfId="4" applyFont="1" applyFill="1" applyAlignment="1">
      <alignment horizontal="left"/>
    </xf>
    <xf numFmtId="0" fontId="4" fillId="2" borderId="0" xfId="2025" applyFont="1" applyFill="1" applyAlignment="1">
      <alignment horizontal="center"/>
    </xf>
    <xf numFmtId="0" fontId="4" fillId="2" borderId="0" xfId="2025" quotePrefix="1" applyFont="1" applyFill="1" applyAlignment="1">
      <alignment horizontal="left"/>
    </xf>
    <xf numFmtId="0" fontId="4" fillId="2" borderId="0" xfId="2025" applyFont="1" applyFill="1" applyAlignment="1">
      <alignment horizontal="center" vertical="top"/>
    </xf>
    <xf numFmtId="0" fontId="3" fillId="2" borderId="0" xfId="2025" applyFont="1" applyFill="1" applyAlignment="1">
      <alignment horizontal="center"/>
    </xf>
    <xf numFmtId="0" fontId="3" fillId="2" borderId="0" xfId="2025" applyFont="1" applyFill="1" applyAlignment="1">
      <alignment horizontal="left"/>
    </xf>
    <xf numFmtId="0" fontId="4" fillId="2" borderId="0" xfId="2025" applyFont="1" applyFill="1"/>
    <xf numFmtId="0" fontId="3" fillId="2" borderId="0" xfId="4" applyFont="1" applyFill="1" applyAlignment="1">
      <alignment horizontal="left"/>
    </xf>
    <xf numFmtId="167" fontId="3" fillId="2" borderId="0" xfId="1" applyNumberFormat="1" applyFont="1" applyFill="1" applyBorder="1" applyAlignment="1">
      <alignment horizontal="right"/>
    </xf>
    <xf numFmtId="167" fontId="3" fillId="2" borderId="0" xfId="1" applyNumberFormat="1" applyFont="1" applyFill="1"/>
    <xf numFmtId="0" fontId="3" fillId="2" borderId="2" xfId="0" applyFont="1" applyFill="1" applyBorder="1" applyAlignment="1">
      <alignment horizontal="left" wrapText="1"/>
    </xf>
    <xf numFmtId="167" fontId="4" fillId="2" borderId="5" xfId="3" applyNumberFormat="1" applyFont="1" applyFill="1" applyBorder="1"/>
    <xf numFmtId="170" fontId="3" fillId="2" borderId="18" xfId="2032" applyNumberFormat="1" applyFont="1" applyFill="1" applyBorder="1"/>
    <xf numFmtId="0" fontId="9" fillId="2" borderId="20" xfId="15" applyFont="1" applyFill="1" applyBorder="1"/>
    <xf numFmtId="0" fontId="4" fillId="2" borderId="0" xfId="2027" applyFont="1" applyFill="1" applyAlignment="1">
      <alignment horizontal="justify" vertical="top"/>
    </xf>
    <xf numFmtId="0" fontId="3" fillId="2" borderId="0" xfId="2027" applyFont="1" applyFill="1" applyAlignment="1">
      <alignment horizontal="justify" vertical="top"/>
    </xf>
    <xf numFmtId="170" fontId="39" fillId="2" borderId="2" xfId="4" applyNumberFormat="1" applyFont="1" applyFill="1" applyBorder="1" applyAlignment="1">
      <alignment horizontal="left" vertical="center"/>
    </xf>
    <xf numFmtId="170" fontId="39" fillId="2" borderId="8" xfId="4" applyNumberFormat="1" applyFont="1" applyFill="1" applyBorder="1" applyAlignment="1">
      <alignment horizontal="left" vertical="center"/>
    </xf>
    <xf numFmtId="0" fontId="3" fillId="2" borderId="0" xfId="0" applyFont="1" applyFill="1" applyAlignment="1">
      <alignment horizontal="justify" vertical="center" wrapText="1"/>
    </xf>
    <xf numFmtId="1" fontId="4" fillId="2" borderId="0" xfId="5" applyNumberFormat="1" applyFont="1" applyFill="1" applyAlignment="1">
      <alignment horizontal="center"/>
    </xf>
    <xf numFmtId="0" fontId="4" fillId="2" borderId="0" xfId="5" quotePrefix="1" applyFont="1" applyFill="1" applyAlignment="1">
      <alignment horizontal="left" vertical="top"/>
    </xf>
    <xf numFmtId="0" fontId="4" fillId="2" borderId="0" xfId="5" applyFont="1" applyFill="1" applyAlignment="1">
      <alignment horizontal="center"/>
    </xf>
    <xf numFmtId="0" fontId="3" fillId="2" borderId="0" xfId="4" applyFont="1" applyFill="1" applyAlignment="1">
      <alignment horizontal="right"/>
    </xf>
    <xf numFmtId="167" fontId="3" fillId="2" borderId="0" xfId="1" applyNumberFormat="1" applyFont="1" applyFill="1" applyBorder="1"/>
    <xf numFmtId="0" fontId="4" fillId="2" borderId="0" xfId="5" applyFont="1" applyFill="1" applyAlignment="1">
      <alignment horizontal="right"/>
    </xf>
    <xf numFmtId="0" fontId="4" fillId="2" borderId="0" xfId="5" applyFont="1" applyFill="1"/>
    <xf numFmtId="15" fontId="4" fillId="2" borderId="42" xfId="2016" applyNumberFormat="1" applyFont="1" applyFill="1" applyBorder="1" applyAlignment="1">
      <alignment horizontal="center" vertical="center" wrapText="1"/>
    </xf>
    <xf numFmtId="166" fontId="3" fillId="2" borderId="42" xfId="1631" applyFont="1" applyFill="1" applyBorder="1" applyAlignment="1">
      <alignment horizontal="left" vertical="top" wrapText="1"/>
    </xf>
    <xf numFmtId="166" fontId="3" fillId="2" borderId="48" xfId="1631" applyFont="1" applyFill="1" applyBorder="1" applyAlignment="1">
      <alignment horizontal="right" vertical="top" wrapText="1"/>
    </xf>
    <xf numFmtId="166" fontId="3" fillId="2" borderId="8" xfId="1631" applyFont="1" applyFill="1" applyBorder="1" applyAlignment="1">
      <alignment horizontal="left" vertical="top" wrapText="1"/>
    </xf>
    <xf numFmtId="166" fontId="3" fillId="2" borderId="12" xfId="1631" applyFont="1" applyFill="1" applyBorder="1" applyAlignment="1">
      <alignment horizontal="right" vertical="top" wrapText="1"/>
    </xf>
    <xf numFmtId="0" fontId="3" fillId="2" borderId="0" xfId="2016" applyFont="1" applyFill="1" applyAlignment="1">
      <alignment horizontal="justify" vertical="top" wrapText="1"/>
    </xf>
    <xf numFmtId="0" fontId="3" fillId="2" borderId="14" xfId="2016" applyFont="1" applyFill="1" applyBorder="1" applyAlignment="1">
      <alignment vertical="top" wrapText="1"/>
    </xf>
    <xf numFmtId="0" fontId="3" fillId="2" borderId="0" xfId="2016" applyFont="1" applyFill="1" applyAlignment="1">
      <alignment vertical="top" wrapText="1"/>
    </xf>
    <xf numFmtId="0" fontId="3" fillId="2" borderId="11" xfId="2016" applyFont="1" applyFill="1" applyBorder="1" applyAlignment="1">
      <alignment vertical="top" wrapText="1"/>
    </xf>
    <xf numFmtId="0" fontId="4" fillId="2" borderId="14" xfId="2016" applyFont="1" applyFill="1" applyBorder="1" applyAlignment="1">
      <alignment vertical="top"/>
    </xf>
    <xf numFmtId="0" fontId="4" fillId="2" borderId="44" xfId="2016" applyFont="1" applyFill="1" applyBorder="1" applyAlignment="1">
      <alignment horizontal="center" vertical="center" wrapText="1"/>
    </xf>
    <xf numFmtId="0" fontId="4" fillId="2" borderId="50" xfId="2016" applyFont="1" applyFill="1" applyBorder="1" applyAlignment="1">
      <alignment horizontal="center" vertical="center" wrapText="1"/>
    </xf>
    <xf numFmtId="0" fontId="4" fillId="2" borderId="37" xfId="2016" applyFont="1" applyFill="1" applyBorder="1" applyAlignment="1">
      <alignment horizontal="center" vertical="center" wrapText="1"/>
    </xf>
    <xf numFmtId="0" fontId="4" fillId="2" borderId="44" xfId="2016" applyFont="1" applyFill="1" applyBorder="1" applyAlignment="1">
      <alignment horizontal="center" vertical="top" wrapText="1"/>
    </xf>
    <xf numFmtId="0" fontId="4" fillId="2" borderId="50" xfId="2016" applyFont="1" applyFill="1" applyBorder="1" applyAlignment="1">
      <alignment vertical="top" wrapText="1"/>
    </xf>
    <xf numFmtId="0" fontId="4" fillId="2" borderId="61" xfId="2016" applyFont="1" applyFill="1" applyBorder="1" applyAlignment="1">
      <alignment vertical="top" wrapText="1"/>
    </xf>
    <xf numFmtId="0" fontId="4" fillId="2" borderId="62" xfId="2016" applyFont="1" applyFill="1" applyBorder="1" applyAlignment="1">
      <alignment vertical="top" wrapText="1"/>
    </xf>
    <xf numFmtId="15" fontId="4" fillId="2" borderId="64" xfId="2016" applyNumberFormat="1" applyFont="1" applyFill="1" applyBorder="1" applyAlignment="1">
      <alignment horizontal="center" vertical="top" wrapText="1"/>
    </xf>
    <xf numFmtId="0" fontId="3" fillId="2" borderId="58" xfId="2016" applyFont="1" applyFill="1" applyBorder="1" applyAlignment="1">
      <alignment vertical="top" wrapText="1"/>
    </xf>
    <xf numFmtId="0" fontId="3" fillId="2" borderId="59" xfId="2016" applyFont="1" applyFill="1" applyBorder="1" applyAlignment="1">
      <alignment vertical="top" wrapText="1"/>
    </xf>
    <xf numFmtId="166" fontId="3" fillId="2" borderId="64" xfId="1631" applyFont="1" applyFill="1" applyBorder="1" applyAlignment="1">
      <alignment horizontal="left" vertical="top" wrapText="1"/>
    </xf>
    <xf numFmtId="166" fontId="3" fillId="2" borderId="60" xfId="1631" applyFont="1" applyFill="1" applyBorder="1" applyAlignment="1">
      <alignment horizontal="right" vertical="top" wrapText="1"/>
    </xf>
    <xf numFmtId="0" fontId="3" fillId="2" borderId="18" xfId="2016" applyFont="1" applyFill="1" applyBorder="1" applyAlignment="1">
      <alignment vertical="top" wrapText="1"/>
    </xf>
    <xf numFmtId="0" fontId="3" fillId="2" borderId="20" xfId="2016" applyFont="1" applyFill="1" applyBorder="1" applyAlignment="1">
      <alignment vertical="top" wrapText="1"/>
    </xf>
    <xf numFmtId="0" fontId="35" fillId="2" borderId="2" xfId="2016" applyFont="1" applyFill="1" applyBorder="1" applyAlignment="1">
      <alignment horizontal="left" vertical="top"/>
    </xf>
    <xf numFmtId="0" fontId="3" fillId="2" borderId="2" xfId="2016" applyFont="1" applyFill="1" applyBorder="1" applyAlignment="1">
      <alignment horizontal="left" vertical="top" indent="2"/>
    </xf>
    <xf numFmtId="0" fontId="3" fillId="2" borderId="8" xfId="2018" applyFont="1" applyFill="1" applyBorder="1" applyAlignment="1" applyProtection="1">
      <alignment horizontal="left" vertical="top" indent="2"/>
    </xf>
    <xf numFmtId="0" fontId="3" fillId="2" borderId="8" xfId="2016" applyFont="1" applyFill="1" applyBorder="1" applyAlignment="1">
      <alignment horizontal="left" vertical="top" indent="2"/>
    </xf>
    <xf numFmtId="0" fontId="3" fillId="2" borderId="8" xfId="2013" applyFont="1" applyFill="1" applyBorder="1" applyAlignment="1">
      <alignment horizontal="left" vertical="top" indent="2"/>
    </xf>
    <xf numFmtId="0" fontId="3" fillId="2" borderId="0" xfId="2016" applyFont="1" applyFill="1" applyAlignment="1">
      <alignment wrapText="1"/>
    </xf>
    <xf numFmtId="0" fontId="3" fillId="2" borderId="4" xfId="2016" applyFont="1" applyFill="1" applyBorder="1" applyAlignment="1">
      <alignment vertical="top" wrapText="1"/>
    </xf>
    <xf numFmtId="0" fontId="3" fillId="2" borderId="0" xfId="2018" applyFont="1" applyFill="1" applyBorder="1" applyAlignment="1" applyProtection="1">
      <alignment horizontal="left" vertical="top" indent="2"/>
    </xf>
    <xf numFmtId="0" fontId="35" fillId="2" borderId="0" xfId="2016" applyFont="1" applyFill="1" applyAlignment="1">
      <alignment vertical="top"/>
    </xf>
    <xf numFmtId="0" fontId="3" fillId="2" borderId="0" xfId="2016" applyFont="1" applyFill="1" applyAlignment="1">
      <alignment vertical="top"/>
    </xf>
    <xf numFmtId="170" fontId="3" fillId="2" borderId="0" xfId="2028" applyNumberFormat="1" applyFont="1" applyFill="1" applyAlignment="1">
      <alignment horizontal="justify" vertical="top" wrapText="1"/>
    </xf>
    <xf numFmtId="0" fontId="3" fillId="2" borderId="0" xfId="2027" applyFont="1" applyFill="1" applyAlignment="1">
      <alignment horizontal="justify" vertical="top" wrapText="1"/>
    </xf>
    <xf numFmtId="0" fontId="4" fillId="2" borderId="0" xfId="2027" applyFont="1" applyFill="1" applyAlignment="1">
      <alignment horizontal="justify" vertical="top" wrapText="1"/>
    </xf>
    <xf numFmtId="0" fontId="4" fillId="2" borderId="0" xfId="2027" applyFont="1" applyFill="1" applyAlignment="1">
      <alignment vertical="top" wrapText="1"/>
    </xf>
    <xf numFmtId="0" fontId="3" fillId="2" borderId="0" xfId="2027" applyFont="1" applyFill="1" applyAlignment="1">
      <alignment horizontal="left" vertical="top"/>
    </xf>
    <xf numFmtId="0" fontId="3" fillId="2" borderId="0" xfId="2027" applyFont="1" applyFill="1" applyAlignment="1">
      <alignment horizontal="justify" vertical="center" wrapText="1"/>
    </xf>
    <xf numFmtId="0" fontId="3" fillId="2" borderId="0" xfId="2027" applyFont="1" applyFill="1" applyAlignment="1">
      <alignment horizontal="justify" vertical="justify" wrapText="1"/>
    </xf>
    <xf numFmtId="0" fontId="4" fillId="2" borderId="0" xfId="2027" applyFont="1" applyFill="1" applyAlignment="1">
      <alignment horizontal="left" vertical="top"/>
    </xf>
    <xf numFmtId="170" fontId="3" fillId="2" borderId="0" xfId="2028" applyNumberFormat="1" applyFont="1" applyFill="1" applyBorder="1" applyAlignment="1">
      <alignment horizontal="left" vertical="top" wrapText="1"/>
    </xf>
    <xf numFmtId="0" fontId="4" fillId="2" borderId="0" xfId="2027" applyFont="1" applyFill="1" applyAlignment="1">
      <alignment vertical="top"/>
    </xf>
    <xf numFmtId="170" fontId="4" fillId="2" borderId="0" xfId="2028" applyNumberFormat="1" applyFont="1" applyFill="1" applyBorder="1" applyAlignment="1">
      <alignment vertical="top" wrapText="1"/>
    </xf>
    <xf numFmtId="0" fontId="4" fillId="2" borderId="0" xfId="2027" applyFont="1" applyFill="1" applyAlignment="1">
      <alignment horizontal="left" vertical="top" wrapText="1"/>
    </xf>
    <xf numFmtId="170" fontId="4" fillId="2" borderId="0" xfId="2028" applyNumberFormat="1" applyFont="1" applyFill="1" applyBorder="1" applyAlignment="1">
      <alignment horizontal="left" vertical="top" wrapText="1"/>
    </xf>
    <xf numFmtId="170" fontId="4" fillId="2" borderId="0" xfId="2028" applyNumberFormat="1" applyFont="1" applyFill="1" applyBorder="1" applyAlignment="1">
      <alignment horizontal="center" vertical="top" wrapText="1"/>
    </xf>
    <xf numFmtId="0" fontId="3" fillId="2" borderId="0" xfId="2027" applyFont="1" applyFill="1" applyAlignment="1">
      <alignment horizontal="left" vertical="top" wrapText="1"/>
    </xf>
    <xf numFmtId="170" fontId="4" fillId="2" borderId="57" xfId="2028" quotePrefix="1" applyNumberFormat="1" applyFont="1" applyFill="1" applyBorder="1" applyAlignment="1">
      <alignment horizontal="left" vertical="center" wrapText="1"/>
    </xf>
    <xf numFmtId="0" fontId="3" fillId="2" borderId="57" xfId="2027" applyFont="1" applyFill="1" applyBorder="1" applyAlignment="1">
      <alignment horizontal="left" vertical="top" wrapText="1"/>
    </xf>
    <xf numFmtId="170" fontId="4" fillId="2" borderId="57" xfId="2028" applyNumberFormat="1" applyFont="1" applyFill="1" applyBorder="1" applyAlignment="1">
      <alignment horizontal="right" vertical="center" wrapText="1"/>
    </xf>
    <xf numFmtId="170" fontId="3" fillId="2" borderId="57" xfId="2028" applyNumberFormat="1" applyFont="1" applyFill="1" applyBorder="1" applyAlignment="1">
      <alignment horizontal="center" vertical="top" wrapText="1"/>
    </xf>
    <xf numFmtId="3" fontId="3" fillId="2" borderId="0" xfId="2027" applyNumberFormat="1" applyFont="1" applyFill="1" applyAlignment="1">
      <alignment horizontal="justify" vertical="top" wrapText="1"/>
    </xf>
    <xf numFmtId="167" fontId="3" fillId="2" borderId="0" xfId="2027" applyNumberFormat="1" applyFont="1" applyFill="1" applyAlignment="1">
      <alignment horizontal="justify" vertical="top" wrapText="1"/>
    </xf>
    <xf numFmtId="169" fontId="3" fillId="2" borderId="0" xfId="2028" applyFont="1" applyFill="1" applyBorder="1" applyAlignment="1">
      <alignment horizontal="left" vertical="top" wrapText="1"/>
    </xf>
    <xf numFmtId="0" fontId="4" fillId="2" borderId="0" xfId="2027" applyFont="1" applyFill="1" applyAlignment="1">
      <alignment vertical="center" wrapText="1"/>
    </xf>
    <xf numFmtId="170" fontId="3" fillId="2" borderId="0" xfId="2028" applyNumberFormat="1" applyFont="1" applyFill="1" applyBorder="1" applyAlignment="1">
      <alignment horizontal="center" vertical="top" wrapText="1"/>
    </xf>
    <xf numFmtId="170" fontId="3" fillId="2" borderId="0" xfId="2027" applyNumberFormat="1" applyFont="1" applyFill="1" applyAlignment="1">
      <alignment horizontal="justify" vertical="top" wrapText="1"/>
    </xf>
    <xf numFmtId="0" fontId="3" fillId="2" borderId="0" xfId="2027" applyFont="1" applyFill="1" applyAlignment="1">
      <alignment horizontal="left" vertical="center" wrapText="1"/>
    </xf>
    <xf numFmtId="167" fontId="3" fillId="2" borderId="0" xfId="1" applyNumberFormat="1" applyFont="1" applyFill="1" applyBorder="1" applyAlignment="1">
      <alignment vertical="top"/>
    </xf>
    <xf numFmtId="169" fontId="3" fillId="2" borderId="0" xfId="2028" applyFont="1" applyFill="1" applyAlignment="1">
      <alignment horizontal="justify" vertical="top" wrapText="1"/>
    </xf>
    <xf numFmtId="170" fontId="3" fillId="2" borderId="0" xfId="2028" applyNumberFormat="1" applyFont="1" applyFill="1" applyBorder="1" applyAlignment="1">
      <alignment horizontal="justify" vertical="top"/>
    </xf>
    <xf numFmtId="0" fontId="41" fillId="2" borderId="0" xfId="2027" applyFont="1" applyFill="1" applyAlignment="1">
      <alignment horizontal="left" vertical="top" wrapText="1"/>
    </xf>
    <xf numFmtId="170" fontId="4" fillId="2" borderId="22" xfId="2028" applyNumberFormat="1" applyFont="1" applyFill="1" applyBorder="1" applyAlignment="1">
      <alignment horizontal="left" vertical="top" wrapText="1"/>
    </xf>
    <xf numFmtId="170" fontId="4" fillId="2" borderId="22" xfId="2028" applyNumberFormat="1" applyFont="1" applyFill="1" applyBorder="1" applyAlignment="1">
      <alignment horizontal="center" vertical="top" wrapText="1"/>
    </xf>
    <xf numFmtId="170" fontId="4" fillId="2" borderId="57" xfId="2028" applyNumberFormat="1" applyFont="1" applyFill="1" applyBorder="1" applyAlignment="1">
      <alignment horizontal="center" vertical="center"/>
    </xf>
    <xf numFmtId="10" fontId="3" fillId="2" borderId="0" xfId="2029" applyNumberFormat="1" applyFont="1" applyFill="1" applyAlignment="1">
      <alignment horizontal="center" vertical="top" wrapText="1"/>
    </xf>
    <xf numFmtId="10" fontId="3" fillId="2" borderId="0" xfId="2029" applyNumberFormat="1" applyFont="1" applyFill="1" applyAlignment="1">
      <alignment horizontal="justify" vertical="top" wrapText="1"/>
    </xf>
    <xf numFmtId="170" fontId="3" fillId="2" borderId="0" xfId="2028" applyNumberFormat="1" applyFont="1" applyFill="1" applyAlignment="1">
      <alignment horizontal="center" vertical="top" wrapText="1"/>
    </xf>
    <xf numFmtId="170" fontId="3" fillId="2" borderId="20" xfId="2028" applyNumberFormat="1" applyFont="1" applyFill="1" applyBorder="1" applyAlignment="1">
      <alignment horizontal="center" vertical="center" wrapText="1"/>
    </xf>
    <xf numFmtId="0" fontId="3" fillId="2" borderId="0" xfId="2027" applyFont="1" applyFill="1" applyAlignment="1">
      <alignment vertical="center" wrapText="1"/>
    </xf>
    <xf numFmtId="10" fontId="3" fillId="2" borderId="0" xfId="2029" applyNumberFormat="1" applyFont="1" applyFill="1" applyAlignment="1">
      <alignment horizontal="right" vertical="center" wrapText="1"/>
    </xf>
    <xf numFmtId="10" fontId="3" fillId="2" borderId="0" xfId="2029" applyNumberFormat="1" applyFont="1" applyFill="1" applyBorder="1" applyAlignment="1">
      <alignment horizontal="justify" vertical="top" wrapText="1"/>
    </xf>
    <xf numFmtId="0" fontId="4" fillId="2" borderId="57" xfId="2027" applyFont="1" applyFill="1" applyBorder="1" applyAlignment="1">
      <alignment horizontal="center" vertical="top" wrapText="1"/>
    </xf>
    <xf numFmtId="3" fontId="3" fillId="2" borderId="0" xfId="2027" applyNumberFormat="1" applyFont="1" applyFill="1" applyAlignment="1">
      <alignment horizontal="left" vertical="top" wrapText="1"/>
    </xf>
    <xf numFmtId="3" fontId="3" fillId="2" borderId="0" xfId="2027" applyNumberFormat="1" applyFont="1" applyFill="1" applyAlignment="1">
      <alignment horizontal="center" vertical="top" wrapText="1"/>
    </xf>
    <xf numFmtId="0" fontId="3" fillId="2" borderId="0" xfId="6" applyFont="1" applyFill="1"/>
    <xf numFmtId="0" fontId="4" fillId="2" borderId="0" xfId="6" applyFont="1" applyFill="1"/>
    <xf numFmtId="0" fontId="4" fillId="2" borderId="0" xfId="6" applyFont="1" applyFill="1" applyAlignment="1">
      <alignment horizontal="left"/>
    </xf>
    <xf numFmtId="168" fontId="3" fillId="2" borderId="0" xfId="6" applyNumberFormat="1" applyFont="1" applyFill="1"/>
    <xf numFmtId="168" fontId="4" fillId="2" borderId="0" xfId="6" applyNumberFormat="1" applyFont="1" applyFill="1"/>
    <xf numFmtId="0" fontId="6" fillId="2" borderId="0" xfId="6" applyFont="1" applyFill="1"/>
    <xf numFmtId="3" fontId="3" fillId="2" borderId="0" xfId="6" applyNumberFormat="1" applyFont="1" applyFill="1"/>
    <xf numFmtId="3" fontId="3" fillId="2" borderId="0" xfId="8" applyNumberFormat="1" applyFont="1" applyFill="1" applyBorder="1"/>
    <xf numFmtId="3" fontId="4" fillId="2" borderId="0" xfId="6" applyNumberFormat="1" applyFont="1" applyFill="1"/>
    <xf numFmtId="170" fontId="3" fillId="2" borderId="0" xfId="6" applyNumberFormat="1" applyFont="1" applyFill="1"/>
    <xf numFmtId="170" fontId="3" fillId="2" borderId="0" xfId="9" applyNumberFormat="1" applyFont="1" applyFill="1" applyBorder="1"/>
    <xf numFmtId="170" fontId="3" fillId="2" borderId="0" xfId="8" applyNumberFormat="1" applyFont="1" applyFill="1" applyBorder="1"/>
    <xf numFmtId="0" fontId="4" fillId="2" borderId="0" xfId="6" applyFont="1" applyFill="1" applyAlignment="1">
      <alignment horizontal="right"/>
    </xf>
    <xf numFmtId="0" fontId="7" fillId="2" borderId="0" xfId="6" applyFont="1" applyFill="1"/>
    <xf numFmtId="167" fontId="4" fillId="2" borderId="14" xfId="1" applyNumberFormat="1" applyFont="1" applyFill="1" applyBorder="1"/>
    <xf numFmtId="167" fontId="3" fillId="2" borderId="11" xfId="1" applyNumberFormat="1" applyFont="1" applyFill="1" applyBorder="1"/>
    <xf numFmtId="167" fontId="4" fillId="2" borderId="11" xfId="1" applyNumberFormat="1" applyFont="1" applyFill="1" applyBorder="1"/>
    <xf numFmtId="167" fontId="3" fillId="2" borderId="11" xfId="1" applyNumberFormat="1" applyFont="1" applyFill="1" applyBorder="1" applyAlignment="1">
      <alignment horizontal="fill"/>
    </xf>
    <xf numFmtId="167" fontId="3" fillId="2" borderId="2" xfId="1" applyNumberFormat="1" applyFont="1" applyFill="1" applyBorder="1" applyAlignment="1">
      <alignment horizontal="fill"/>
    </xf>
    <xf numFmtId="167" fontId="4" fillId="2" borderId="2" xfId="1" applyNumberFormat="1" applyFont="1" applyFill="1" applyBorder="1" applyAlignment="1">
      <alignment horizontal="fill"/>
    </xf>
    <xf numFmtId="167" fontId="6" fillId="2" borderId="0" xfId="1" applyNumberFormat="1" applyFont="1" applyFill="1"/>
    <xf numFmtId="167" fontId="3" fillId="2" borderId="14" xfId="1" applyNumberFormat="1" applyFont="1" applyFill="1" applyBorder="1"/>
    <xf numFmtId="167" fontId="3" fillId="2" borderId="18" xfId="1" applyNumberFormat="1" applyFont="1" applyFill="1" applyBorder="1"/>
    <xf numFmtId="167" fontId="3" fillId="2" borderId="8" xfId="1" applyNumberFormat="1" applyFont="1" applyFill="1" applyBorder="1"/>
    <xf numFmtId="167" fontId="3" fillId="2" borderId="13" xfId="1" applyNumberFormat="1" applyFont="1" applyFill="1" applyBorder="1"/>
    <xf numFmtId="167" fontId="3" fillId="2" borderId="10" xfId="1" applyNumberFormat="1" applyFont="1" applyFill="1" applyBorder="1"/>
    <xf numFmtId="167" fontId="4" fillId="2" borderId="14" xfId="1" applyNumberFormat="1" applyFont="1" applyFill="1" applyBorder="1" applyAlignment="1">
      <alignment horizontal="right"/>
    </xf>
    <xf numFmtId="167" fontId="7" fillId="2" borderId="0" xfId="1" applyNumberFormat="1" applyFont="1" applyFill="1"/>
    <xf numFmtId="0" fontId="3" fillId="2" borderId="18" xfId="6" applyFont="1" applyFill="1" applyBorder="1" applyAlignment="1">
      <alignment horizontal="right"/>
    </xf>
    <xf numFmtId="0" fontId="3" fillId="2" borderId="14" xfId="6" applyFont="1" applyFill="1" applyBorder="1" applyAlignment="1">
      <alignment horizontal="right"/>
    </xf>
    <xf numFmtId="0" fontId="4" fillId="2" borderId="14" xfId="6" applyFont="1" applyFill="1" applyBorder="1"/>
    <xf numFmtId="167" fontId="3" fillId="2" borderId="18" xfId="1" applyNumberFormat="1" applyFont="1" applyFill="1" applyBorder="1" applyAlignment="1">
      <alignment horizontal="right"/>
    </xf>
    <xf numFmtId="167" fontId="3" fillId="2" borderId="8" xfId="1" applyNumberFormat="1" applyFont="1" applyFill="1" applyBorder="1" applyAlignment="1">
      <alignment horizontal="right"/>
    </xf>
    <xf numFmtId="167" fontId="4" fillId="2" borderId="0" xfId="1" applyNumberFormat="1" applyFont="1" applyFill="1"/>
    <xf numFmtId="0" fontId="43" fillId="2" borderId="0" xfId="0" applyFont="1" applyFill="1"/>
    <xf numFmtId="167" fontId="43" fillId="2" borderId="0" xfId="0" applyNumberFormat="1" applyFont="1" applyFill="1"/>
    <xf numFmtId="166" fontId="43" fillId="2" borderId="0" xfId="1" applyFont="1" applyFill="1"/>
    <xf numFmtId="0" fontId="36" fillId="2" borderId="2" xfId="2" applyFont="1" applyFill="1" applyBorder="1"/>
    <xf numFmtId="0" fontId="4" fillId="2" borderId="0" xfId="2" applyFont="1" applyFill="1"/>
    <xf numFmtId="167" fontId="3" fillId="2" borderId="2" xfId="0" applyNumberFormat="1" applyFont="1" applyFill="1" applyBorder="1"/>
    <xf numFmtId="0" fontId="3" fillId="2" borderId="14" xfId="0" applyFont="1" applyFill="1" applyBorder="1"/>
    <xf numFmtId="0" fontId="36" fillId="2" borderId="0" xfId="2" applyFont="1" applyFill="1"/>
    <xf numFmtId="0" fontId="36" fillId="2" borderId="0" xfId="2" applyFont="1" applyFill="1" applyAlignment="1">
      <alignment wrapText="1"/>
    </xf>
    <xf numFmtId="0" fontId="4" fillId="2" borderId="1" xfId="2" applyFont="1" applyFill="1" applyBorder="1" applyAlignment="1">
      <alignment horizontal="center" vertical="center" wrapText="1"/>
    </xf>
    <xf numFmtId="167" fontId="3" fillId="2" borderId="0" xfId="0" applyNumberFormat="1" applyFont="1" applyFill="1"/>
    <xf numFmtId="0" fontId="4" fillId="2" borderId="0" xfId="0" applyFont="1" applyFill="1" applyAlignment="1">
      <alignment horizontal="left"/>
    </xf>
    <xf numFmtId="0" fontId="3" fillId="2" borderId="0" xfId="5" applyFont="1" applyFill="1"/>
    <xf numFmtId="0" fontId="46" fillId="2" borderId="0" xfId="0" applyFont="1" applyFill="1"/>
    <xf numFmtId="0" fontId="47" fillId="2" borderId="37" xfId="0" applyFont="1" applyFill="1" applyBorder="1" applyAlignment="1">
      <alignment horizontal="center" wrapText="1"/>
    </xf>
    <xf numFmtId="4" fontId="47" fillId="2" borderId="37" xfId="0" applyNumberFormat="1" applyFont="1" applyFill="1" applyBorder="1" applyAlignment="1">
      <alignment horizontal="center" wrapText="1"/>
    </xf>
    <xf numFmtId="0" fontId="50" fillId="2" borderId="37" xfId="0" applyFont="1" applyFill="1" applyBorder="1" applyAlignment="1">
      <alignment horizontal="center" wrapText="1"/>
    </xf>
    <xf numFmtId="0" fontId="50" fillId="2" borderId="37" xfId="0" applyFont="1" applyFill="1" applyBorder="1" applyAlignment="1">
      <alignment horizontal="left" wrapText="1"/>
    </xf>
    <xf numFmtId="4" fontId="50" fillId="2" borderId="37" xfId="0" applyNumberFormat="1" applyFont="1" applyFill="1" applyBorder="1" applyAlignment="1">
      <alignment horizontal="right" wrapText="1"/>
    </xf>
    <xf numFmtId="4" fontId="50" fillId="2" borderId="37" xfId="0" quotePrefix="1" applyNumberFormat="1" applyFont="1" applyFill="1" applyBorder="1" applyAlignment="1">
      <alignment horizontal="right" wrapText="1"/>
    </xf>
    <xf numFmtId="4" fontId="50" fillId="2" borderId="79" xfId="0" applyNumberFormat="1" applyFont="1" applyFill="1" applyBorder="1" applyAlignment="1">
      <alignment horizontal="right" wrapText="1"/>
    </xf>
    <xf numFmtId="4" fontId="46" fillId="2" borderId="78" xfId="0" applyNumberFormat="1" applyFont="1" applyFill="1" applyBorder="1" applyAlignment="1">
      <alignment wrapText="1"/>
    </xf>
    <xf numFmtId="4" fontId="46" fillId="2" borderId="0" xfId="0" applyNumberFormat="1" applyFont="1" applyFill="1" applyAlignment="1">
      <alignment wrapText="1"/>
    </xf>
    <xf numFmtId="170" fontId="3" fillId="2" borderId="0" xfId="2032" applyNumberFormat="1" applyFont="1" applyFill="1"/>
    <xf numFmtId="170" fontId="3" fillId="2" borderId="20" xfId="2032" applyNumberFormat="1" applyFont="1" applyFill="1" applyBorder="1"/>
    <xf numFmtId="4" fontId="46" fillId="2" borderId="20" xfId="0" applyNumberFormat="1" applyFont="1" applyFill="1" applyBorder="1" applyAlignment="1">
      <alignment wrapText="1"/>
    </xf>
    <xf numFmtId="4" fontId="47" fillId="2" borderId="37" xfId="0" applyNumberFormat="1" applyFont="1" applyFill="1" applyBorder="1" applyAlignment="1">
      <alignment horizontal="right" wrapText="1"/>
    </xf>
    <xf numFmtId="4" fontId="46" fillId="2" borderId="37" xfId="0" applyNumberFormat="1" applyFont="1" applyFill="1" applyBorder="1" applyAlignment="1">
      <alignment wrapText="1"/>
    </xf>
    <xf numFmtId="0" fontId="46" fillId="2" borderId="0" xfId="0" applyFont="1" applyFill="1" applyAlignment="1">
      <alignment wrapText="1"/>
    </xf>
    <xf numFmtId="0" fontId="4" fillId="2" borderId="0" xfId="0" applyFont="1" applyFill="1" applyAlignment="1">
      <alignment horizontal="center"/>
    </xf>
    <xf numFmtId="0" fontId="4" fillId="2" borderId="37" xfId="0" applyFont="1" applyFill="1" applyBorder="1"/>
    <xf numFmtId="0" fontId="4" fillId="2" borderId="80" xfId="0" applyFont="1" applyFill="1" applyBorder="1"/>
    <xf numFmtId="170" fontId="4" fillId="2" borderId="37" xfId="2032" applyNumberFormat="1" applyFont="1" applyFill="1" applyBorder="1"/>
    <xf numFmtId="170" fontId="4" fillId="2" borderId="80" xfId="2032" applyNumberFormat="1" applyFont="1" applyFill="1" applyBorder="1"/>
    <xf numFmtId="170" fontId="3" fillId="2" borderId="2" xfId="2032" applyNumberFormat="1" applyFont="1" applyFill="1" applyBorder="1"/>
    <xf numFmtId="170" fontId="3" fillId="2" borderId="0" xfId="2032" applyNumberFormat="1" applyFont="1" applyFill="1" applyBorder="1"/>
    <xf numFmtId="0" fontId="3" fillId="2" borderId="2" xfId="0" applyFont="1" applyFill="1" applyBorder="1" applyAlignment="1">
      <alignment vertical="center"/>
    </xf>
    <xf numFmtId="0" fontId="35" fillId="2" borderId="0" xfId="0" applyFont="1" applyFill="1" applyAlignment="1">
      <alignment vertical="center" wrapText="1"/>
    </xf>
    <xf numFmtId="170" fontId="3" fillId="2" borderId="2" xfId="2032" applyNumberFormat="1" applyFont="1" applyFill="1" applyBorder="1" applyAlignment="1">
      <alignment vertical="center"/>
    </xf>
    <xf numFmtId="170" fontId="3" fillId="2" borderId="0" xfId="2032" applyNumberFormat="1" applyFont="1" applyFill="1" applyBorder="1" applyAlignment="1">
      <alignment vertical="center"/>
    </xf>
    <xf numFmtId="0" fontId="3" fillId="2" borderId="2" xfId="0" applyFont="1" applyFill="1" applyBorder="1" applyAlignment="1">
      <alignment horizontal="center"/>
    </xf>
    <xf numFmtId="0" fontId="35" fillId="2" borderId="0" xfId="0" applyFont="1" applyFill="1"/>
    <xf numFmtId="170" fontId="3" fillId="2" borderId="8" xfId="2032" applyNumberFormat="1" applyFont="1" applyFill="1" applyBorder="1"/>
    <xf numFmtId="0" fontId="43" fillId="2" borderId="0" xfId="20" applyNumberFormat="1" applyFont="1" applyFill="1"/>
    <xf numFmtId="170" fontId="4" fillId="2" borderId="5" xfId="2032" applyNumberFormat="1" applyFont="1" applyFill="1" applyBorder="1"/>
    <xf numFmtId="170" fontId="4" fillId="2" borderId="2" xfId="2032" applyNumberFormat="1" applyFont="1" applyFill="1" applyBorder="1"/>
    <xf numFmtId="0" fontId="51" fillId="2" borderId="0" xfId="0" applyFont="1" applyFill="1"/>
    <xf numFmtId="0" fontId="38" fillId="2" borderId="0" xfId="0" applyFont="1" applyFill="1"/>
    <xf numFmtId="1" fontId="43" fillId="2" borderId="0" xfId="0" applyNumberFormat="1" applyFont="1" applyFill="1"/>
    <xf numFmtId="43" fontId="43" fillId="2" borderId="0" xfId="0" applyNumberFormat="1" applyFont="1" applyFill="1"/>
    <xf numFmtId="170" fontId="43" fillId="2" borderId="0" xfId="0" applyNumberFormat="1" applyFont="1" applyFill="1"/>
    <xf numFmtId="167" fontId="43" fillId="2" borderId="0" xfId="1" applyNumberFormat="1" applyFont="1" applyFill="1"/>
    <xf numFmtId="170" fontId="4" fillId="2" borderId="2" xfId="2032" applyNumberFormat="1" applyFont="1" applyFill="1" applyBorder="1" applyAlignment="1">
      <alignment horizontal="center"/>
    </xf>
    <xf numFmtId="170" fontId="4" fillId="2" borderId="0" xfId="2032" applyNumberFormat="1" applyFont="1" applyFill="1" applyBorder="1" applyAlignment="1">
      <alignment horizontal="center"/>
    </xf>
    <xf numFmtId="170" fontId="4" fillId="2" borderId="0" xfId="2032" applyNumberFormat="1" applyFont="1" applyFill="1" applyBorder="1"/>
    <xf numFmtId="0" fontId="52" fillId="2" borderId="0" xfId="0" applyFont="1" applyFill="1"/>
    <xf numFmtId="0" fontId="3" fillId="2" borderId="8" xfId="0" applyFont="1" applyFill="1" applyBorder="1" applyAlignment="1">
      <alignment horizontal="center"/>
    </xf>
    <xf numFmtId="0" fontId="3" fillId="2" borderId="20" xfId="0" applyFont="1" applyFill="1" applyBorder="1"/>
    <xf numFmtId="170" fontId="3" fillId="2" borderId="8" xfId="2032" applyNumberFormat="1" applyFont="1" applyFill="1" applyBorder="1" applyAlignment="1">
      <alignment horizontal="center"/>
    </xf>
    <xf numFmtId="170" fontId="3" fillId="2" borderId="20" xfId="2032" applyNumberFormat="1" applyFont="1" applyFill="1" applyBorder="1" applyAlignment="1">
      <alignment horizontal="center"/>
    </xf>
    <xf numFmtId="0" fontId="3" fillId="2" borderId="0" xfId="0" applyFont="1" applyFill="1" applyAlignment="1">
      <alignment horizontal="center"/>
    </xf>
    <xf numFmtId="170" fontId="3" fillId="2" borderId="0" xfId="2032" applyNumberFormat="1" applyFont="1" applyFill="1" applyBorder="1" applyAlignment="1">
      <alignment horizontal="center"/>
    </xf>
    <xf numFmtId="170" fontId="4" fillId="2" borderId="0" xfId="2032" applyNumberFormat="1" applyFont="1" applyFill="1"/>
    <xf numFmtId="170" fontId="43" fillId="2" borderId="20" xfId="0" applyNumberFormat="1" applyFont="1" applyFill="1" applyBorder="1"/>
    <xf numFmtId="0" fontId="43" fillId="2" borderId="0" xfId="0" applyFont="1" applyFill="1" applyAlignment="1">
      <alignment horizontal="right"/>
    </xf>
    <xf numFmtId="170" fontId="4" fillId="2" borderId="37" xfId="2032" applyNumberFormat="1" applyFont="1" applyFill="1" applyBorder="1" applyAlignment="1">
      <alignment wrapText="1"/>
    </xf>
    <xf numFmtId="170" fontId="4" fillId="2" borderId="14" xfId="2032" applyNumberFormat="1" applyFont="1" applyFill="1" applyBorder="1"/>
    <xf numFmtId="170" fontId="3" fillId="2" borderId="11" xfId="2032" applyNumberFormat="1" applyFont="1" applyFill="1" applyBorder="1"/>
    <xf numFmtId="170" fontId="3" fillId="2" borderId="11" xfId="2032" applyNumberFormat="1" applyFont="1" applyFill="1" applyBorder="1" applyAlignment="1">
      <alignment vertical="center"/>
    </xf>
    <xf numFmtId="170" fontId="4" fillId="2" borderId="11" xfId="2032" applyNumberFormat="1" applyFont="1" applyFill="1" applyBorder="1"/>
    <xf numFmtId="170" fontId="3" fillId="2" borderId="12" xfId="2032" applyNumberFormat="1" applyFont="1" applyFill="1" applyBorder="1" applyAlignment="1">
      <alignment horizontal="center"/>
    </xf>
    <xf numFmtId="170" fontId="53" fillId="2" borderId="0" xfId="2032" applyNumberFormat="1" applyFont="1" applyFill="1" applyBorder="1"/>
    <xf numFmtId="17" fontId="3" fillId="2" borderId="0" xfId="0" applyNumberFormat="1" applyFont="1" applyFill="1"/>
    <xf numFmtId="0" fontId="4" fillId="2" borderId="15" xfId="0" applyFont="1" applyFill="1" applyBorder="1" applyAlignment="1">
      <alignment vertical="center"/>
    </xf>
    <xf numFmtId="0" fontId="4" fillId="2" borderId="18" xfId="0" applyFont="1" applyFill="1" applyBorder="1" applyAlignment="1">
      <alignment vertical="center"/>
    </xf>
    <xf numFmtId="0" fontId="4" fillId="2" borderId="13" xfId="0" applyFont="1" applyFill="1" applyBorder="1"/>
    <xf numFmtId="0" fontId="4" fillId="2" borderId="51" xfId="0" applyFont="1" applyFill="1" applyBorder="1"/>
    <xf numFmtId="167" fontId="3" fillId="2" borderId="10" xfId="0" applyNumberFormat="1" applyFont="1" applyFill="1" applyBorder="1"/>
    <xf numFmtId="0" fontId="4" fillId="2" borderId="84" xfId="0" applyFont="1" applyFill="1" applyBorder="1"/>
    <xf numFmtId="14" fontId="3" fillId="2" borderId="14" xfId="0" applyNumberFormat="1" applyFont="1" applyFill="1" applyBorder="1"/>
    <xf numFmtId="167" fontId="3" fillId="2" borderId="14" xfId="1" applyNumberFormat="1" applyFont="1" applyFill="1" applyBorder="1" applyAlignment="1"/>
    <xf numFmtId="0" fontId="4" fillId="2" borderId="18" xfId="0" applyFont="1" applyFill="1" applyBorder="1"/>
    <xf numFmtId="0" fontId="4" fillId="2" borderId="14" xfId="0" applyFont="1" applyFill="1" applyBorder="1"/>
    <xf numFmtId="167" fontId="4" fillId="2" borderId="2" xfId="3" applyNumberFormat="1" applyFont="1" applyFill="1" applyBorder="1"/>
    <xf numFmtId="14" fontId="4" fillId="2" borderId="1" xfId="2" applyNumberFormat="1" applyFont="1" applyFill="1" applyBorder="1" applyAlignment="1">
      <alignment horizontal="center" vertical="center" wrapText="1"/>
    </xf>
    <xf numFmtId="167" fontId="3" fillId="2" borderId="14" xfId="0" applyNumberFormat="1" applyFont="1" applyFill="1" applyBorder="1"/>
    <xf numFmtId="43" fontId="3" fillId="2" borderId="14" xfId="0" applyNumberFormat="1" applyFont="1" applyFill="1" applyBorder="1"/>
    <xf numFmtId="181" fontId="3" fillId="2" borderId="0" xfId="0" applyNumberFormat="1" applyFont="1" applyFill="1"/>
    <xf numFmtId="14" fontId="3" fillId="2" borderId="0" xfId="0" applyNumberFormat="1" applyFont="1" applyFill="1"/>
    <xf numFmtId="10" fontId="3" fillId="2" borderId="0" xfId="0" applyNumberFormat="1" applyFont="1" applyFill="1"/>
    <xf numFmtId="9" fontId="3" fillId="2" borderId="0" xfId="0" applyNumberFormat="1" applyFont="1" applyFill="1"/>
    <xf numFmtId="6" fontId="4" fillId="2" borderId="0" xfId="0" applyNumberFormat="1" applyFont="1" applyFill="1"/>
    <xf numFmtId="0" fontId="4" fillId="2" borderId="4" xfId="0" applyFont="1" applyFill="1" applyBorder="1"/>
    <xf numFmtId="6" fontId="4" fillId="2" borderId="4" xfId="0" applyNumberFormat="1" applyFont="1" applyFill="1" applyBorder="1"/>
    <xf numFmtId="6" fontId="4" fillId="2" borderId="106" xfId="0" applyNumberFormat="1" applyFont="1" applyFill="1" applyBorder="1"/>
    <xf numFmtId="0" fontId="3" fillId="2" borderId="8" xfId="0" applyFont="1" applyFill="1" applyBorder="1"/>
    <xf numFmtId="167" fontId="3" fillId="2" borderId="8" xfId="0" applyNumberFormat="1" applyFont="1" applyFill="1" applyBorder="1"/>
    <xf numFmtId="167" fontId="3" fillId="2" borderId="20" xfId="1" applyNumberFormat="1" applyFont="1" applyFill="1" applyBorder="1"/>
    <xf numFmtId="167" fontId="4" fillId="2" borderId="0" xfId="0" applyNumberFormat="1" applyFont="1" applyFill="1"/>
    <xf numFmtId="43" fontId="4" fillId="2" borderId="0" xfId="0" applyNumberFormat="1" applyFont="1" applyFill="1"/>
    <xf numFmtId="170" fontId="43" fillId="2" borderId="0" xfId="1" applyNumberFormat="1" applyFont="1" applyFill="1"/>
    <xf numFmtId="9" fontId="43" fillId="2" borderId="0" xfId="0" applyNumberFormat="1" applyFont="1" applyFill="1"/>
    <xf numFmtId="8" fontId="4" fillId="2" borderId="0" xfId="0" applyNumberFormat="1" applyFont="1" applyFill="1"/>
    <xf numFmtId="0" fontId="4" fillId="2" borderId="4" xfId="0" applyFont="1" applyFill="1" applyBorder="1" applyAlignment="1">
      <alignment vertical="top"/>
    </xf>
    <xf numFmtId="0" fontId="4" fillId="2" borderId="79" xfId="0" applyFont="1" applyFill="1" applyBorder="1" applyAlignment="1">
      <alignment horizontal="center" vertical="top" wrapText="1"/>
    </xf>
    <xf numFmtId="0" fontId="4" fillId="2" borderId="4" xfId="0" applyFont="1" applyFill="1" applyBorder="1" applyAlignment="1">
      <alignment horizontal="center" vertical="top" wrapText="1"/>
    </xf>
    <xf numFmtId="0" fontId="4" fillId="2" borderId="0" xfId="0" applyFont="1" applyFill="1" applyAlignment="1">
      <alignment vertical="top"/>
    </xf>
    <xf numFmtId="0" fontId="4" fillId="2" borderId="0" xfId="0" applyFont="1" applyFill="1" applyAlignment="1">
      <alignment horizontal="center" vertical="top"/>
    </xf>
    <xf numFmtId="167" fontId="3" fillId="2" borderId="14" xfId="1" applyNumberFormat="1" applyFont="1" applyFill="1" applyBorder="1" applyAlignment="1">
      <alignment horizontal="center"/>
    </xf>
    <xf numFmtId="167" fontId="3" fillId="2" borderId="2" xfId="1" applyNumberFormat="1" applyFont="1" applyFill="1" applyBorder="1" applyAlignment="1">
      <alignment horizontal="center"/>
    </xf>
    <xf numFmtId="167" fontId="3" fillId="2" borderId="0" xfId="1" applyNumberFormat="1" applyFont="1" applyFill="1" applyBorder="1" applyAlignment="1">
      <alignment horizontal="center"/>
    </xf>
    <xf numFmtId="167" fontId="3" fillId="2" borderId="18" xfId="1" applyNumberFormat="1" applyFont="1" applyFill="1" applyBorder="1" applyAlignment="1">
      <alignment horizontal="center"/>
    </xf>
    <xf numFmtId="167" fontId="3" fillId="2" borderId="8" xfId="1" applyNumberFormat="1" applyFont="1" applyFill="1" applyBorder="1" applyAlignment="1">
      <alignment horizontal="center"/>
    </xf>
    <xf numFmtId="0" fontId="43" fillId="2" borderId="0" xfId="15" applyFont="1" applyFill="1"/>
    <xf numFmtId="0" fontId="52" fillId="2" borderId="20" xfId="15" applyFont="1" applyFill="1" applyBorder="1"/>
    <xf numFmtId="0" fontId="43" fillId="2" borderId="20" xfId="15" applyFont="1" applyFill="1" applyBorder="1"/>
    <xf numFmtId="0" fontId="43" fillId="2" borderId="0" xfId="15" applyFont="1" applyFill="1" applyAlignment="1">
      <alignment horizontal="center"/>
    </xf>
    <xf numFmtId="174" fontId="43" fillId="2" borderId="0" xfId="14" applyNumberFormat="1" applyFont="1" applyFill="1" applyAlignment="1">
      <alignment horizontal="right"/>
    </xf>
    <xf numFmtId="15" fontId="3" fillId="2" borderId="4" xfId="0" applyNumberFormat="1" applyFont="1" applyFill="1" applyBorder="1" applyAlignment="1">
      <alignment vertical="top"/>
    </xf>
    <xf numFmtId="167" fontId="43" fillId="2" borderId="0" xfId="16" applyNumberFormat="1" applyFont="1" applyFill="1" applyAlignment="1"/>
    <xf numFmtId="9" fontId="43" fillId="2" borderId="0" xfId="15" applyNumberFormat="1" applyFont="1" applyFill="1"/>
    <xf numFmtId="175" fontId="43" fillId="2" borderId="0" xfId="15" applyNumberFormat="1" applyFont="1" applyFill="1"/>
    <xf numFmtId="164" fontId="43" fillId="2" borderId="0" xfId="15" applyNumberFormat="1" applyFont="1" applyFill="1"/>
    <xf numFmtId="167" fontId="43" fillId="2" borderId="0" xfId="15" applyNumberFormat="1" applyFont="1" applyFill="1"/>
    <xf numFmtId="167" fontId="43" fillId="2" borderId="20" xfId="15" applyNumberFormat="1" applyFont="1" applyFill="1" applyBorder="1"/>
    <xf numFmtId="167" fontId="43" fillId="2" borderId="21" xfId="15" applyNumberFormat="1" applyFont="1" applyFill="1" applyBorder="1"/>
    <xf numFmtId="37" fontId="43" fillId="2" borderId="0" xfId="14" applyNumberFormat="1" applyFont="1" applyFill="1" applyAlignment="1">
      <alignment horizontal="right"/>
    </xf>
    <xf numFmtId="176" fontId="43" fillId="2" borderId="0" xfId="14" applyNumberFormat="1" applyFont="1" applyFill="1" applyAlignment="1">
      <alignment horizontal="right"/>
    </xf>
    <xf numFmtId="176" fontId="43" fillId="2" borderId="0" xfId="15" applyNumberFormat="1" applyFont="1" applyFill="1"/>
    <xf numFmtId="165" fontId="43" fillId="2" borderId="0" xfId="15" applyNumberFormat="1" applyFont="1" applyFill="1"/>
    <xf numFmtId="0" fontId="55" fillId="2" borderId="0" xfId="15" applyFont="1" applyFill="1"/>
    <xf numFmtId="3" fontId="55" fillId="2" borderId="0" xfId="15" applyNumberFormat="1" applyFont="1" applyFill="1"/>
    <xf numFmtId="3" fontId="43" fillId="2" borderId="0" xfId="15" applyNumberFormat="1" applyFont="1" applyFill="1"/>
    <xf numFmtId="0" fontId="43" fillId="2" borderId="13" xfId="15" applyFont="1" applyFill="1" applyBorder="1"/>
    <xf numFmtId="0" fontId="43" fillId="2" borderId="19" xfId="15" applyFont="1" applyFill="1" applyBorder="1"/>
    <xf numFmtId="167" fontId="43" fillId="2" borderId="19" xfId="1" applyNumberFormat="1" applyFont="1" applyFill="1" applyBorder="1" applyAlignment="1">
      <alignment horizontal="right"/>
    </xf>
    <xf numFmtId="176" fontId="43" fillId="2" borderId="19" xfId="14" applyNumberFormat="1" applyFont="1" applyFill="1" applyBorder="1" applyAlignment="1">
      <alignment horizontal="right"/>
    </xf>
    <xf numFmtId="176" fontId="43" fillId="2" borderId="17" xfId="14" applyNumberFormat="1" applyFont="1" applyFill="1" applyBorder="1" applyAlignment="1">
      <alignment horizontal="right"/>
    </xf>
    <xf numFmtId="0" fontId="43" fillId="2" borderId="14" xfId="15" applyFont="1" applyFill="1" applyBorder="1"/>
    <xf numFmtId="37" fontId="43" fillId="2" borderId="0" xfId="14" applyNumberFormat="1" applyFont="1" applyFill="1" applyBorder="1" applyAlignment="1">
      <alignment horizontal="right"/>
    </xf>
    <xf numFmtId="176" fontId="43" fillId="2" borderId="0" xfId="14" applyNumberFormat="1" applyFont="1" applyFill="1" applyBorder="1" applyAlignment="1">
      <alignment horizontal="right"/>
    </xf>
    <xf numFmtId="176" fontId="43" fillId="2" borderId="11" xfId="14" applyNumberFormat="1" applyFont="1" applyFill="1" applyBorder="1" applyAlignment="1">
      <alignment horizontal="right"/>
    </xf>
    <xf numFmtId="37" fontId="43" fillId="2" borderId="11" xfId="14" applyNumberFormat="1" applyFont="1" applyFill="1" applyBorder="1" applyAlignment="1">
      <alignment horizontal="right"/>
    </xf>
    <xf numFmtId="0" fontId="43" fillId="2" borderId="18" xfId="15" applyFont="1" applyFill="1" applyBorder="1"/>
    <xf numFmtId="176" fontId="43" fillId="2" borderId="20" xfId="14" applyNumberFormat="1" applyFont="1" applyFill="1" applyBorder="1" applyAlignment="1">
      <alignment horizontal="right"/>
    </xf>
    <xf numFmtId="176" fontId="43" fillId="2" borderId="12" xfId="14" applyNumberFormat="1" applyFont="1" applyFill="1" applyBorder="1" applyAlignment="1">
      <alignment horizontal="right"/>
    </xf>
    <xf numFmtId="37" fontId="43" fillId="2" borderId="19" xfId="14" applyNumberFormat="1" applyFont="1" applyFill="1" applyBorder="1" applyAlignment="1">
      <alignment horizontal="right"/>
    </xf>
    <xf numFmtId="0" fontId="56" fillId="2" borderId="18" xfId="15" applyFont="1" applyFill="1" applyBorder="1"/>
    <xf numFmtId="14" fontId="43" fillId="2" borderId="19" xfId="15" applyNumberFormat="1" applyFont="1" applyFill="1" applyBorder="1"/>
    <xf numFmtId="167" fontId="43" fillId="2" borderId="19" xfId="14" applyNumberFormat="1" applyFont="1" applyFill="1" applyBorder="1" applyAlignment="1">
      <alignment horizontal="right"/>
    </xf>
    <xf numFmtId="37" fontId="43" fillId="2" borderId="12" xfId="14" applyNumberFormat="1" applyFont="1" applyFill="1" applyBorder="1" applyAlignment="1">
      <alignment horizontal="right"/>
    </xf>
    <xf numFmtId="0" fontId="56" fillId="2" borderId="0" xfId="15" applyFont="1" applyFill="1"/>
    <xf numFmtId="166" fontId="43" fillId="2" borderId="11" xfId="14" applyNumberFormat="1" applyFont="1" applyFill="1" applyBorder="1" applyAlignment="1">
      <alignment horizontal="right"/>
    </xf>
    <xf numFmtId="0" fontId="52" fillId="2" borderId="0" xfId="15" applyFont="1" applyFill="1"/>
    <xf numFmtId="167" fontId="43" fillId="2" borderId="20" xfId="1" applyNumberFormat="1" applyFont="1" applyFill="1" applyBorder="1"/>
    <xf numFmtId="166" fontId="43" fillId="2" borderId="0" xfId="15" applyNumberFormat="1" applyFont="1" applyFill="1"/>
    <xf numFmtId="37" fontId="43" fillId="2" borderId="19" xfId="15" applyNumberFormat="1" applyFont="1" applyFill="1" applyBorder="1"/>
    <xf numFmtId="176" fontId="43" fillId="2" borderId="19" xfId="15" applyNumberFormat="1" applyFont="1" applyFill="1" applyBorder="1"/>
    <xf numFmtId="167" fontId="43" fillId="2" borderId="19" xfId="1" applyNumberFormat="1" applyFont="1" applyFill="1" applyBorder="1"/>
    <xf numFmtId="37" fontId="43" fillId="2" borderId="0" xfId="15" applyNumberFormat="1" applyFont="1" applyFill="1"/>
    <xf numFmtId="167" fontId="43" fillId="2" borderId="0" xfId="1" applyNumberFormat="1" applyFont="1" applyFill="1" applyBorder="1"/>
    <xf numFmtId="37" fontId="43" fillId="2" borderId="21" xfId="15" applyNumberFormat="1" applyFont="1" applyFill="1" applyBorder="1"/>
    <xf numFmtId="167" fontId="43" fillId="2" borderId="21" xfId="1" applyNumberFormat="1" applyFont="1" applyFill="1" applyBorder="1"/>
    <xf numFmtId="187" fontId="43" fillId="2" borderId="0" xfId="0" applyNumberFormat="1" applyFont="1" applyFill="1"/>
    <xf numFmtId="37" fontId="43" fillId="2" borderId="0" xfId="14" applyNumberFormat="1" applyFont="1" applyFill="1"/>
    <xf numFmtId="37" fontId="43" fillId="2" borderId="0" xfId="0" applyNumberFormat="1" applyFont="1" applyFill="1"/>
    <xf numFmtId="37" fontId="43" fillId="2" borderId="16" xfId="14" applyNumberFormat="1" applyFont="1" applyFill="1" applyBorder="1"/>
    <xf numFmtId="37" fontId="43" fillId="2" borderId="16" xfId="15" applyNumberFormat="1" applyFont="1" applyFill="1" applyBorder="1"/>
    <xf numFmtId="37" fontId="43" fillId="2" borderId="17" xfId="15" applyNumberFormat="1" applyFont="1" applyFill="1" applyBorder="1"/>
    <xf numFmtId="37" fontId="43" fillId="2" borderId="12" xfId="15" applyNumberFormat="1" applyFont="1" applyFill="1" applyBorder="1"/>
    <xf numFmtId="37" fontId="43" fillId="2" borderId="11" xfId="15" applyNumberFormat="1" applyFont="1" applyFill="1" applyBorder="1"/>
    <xf numFmtId="0" fontId="55" fillId="2" borderId="0" xfId="0" applyFont="1" applyFill="1"/>
    <xf numFmtId="0" fontId="39" fillId="2" borderId="0" xfId="0" applyFont="1" applyFill="1"/>
    <xf numFmtId="0" fontId="57" fillId="2" borderId="0" xfId="0" applyFont="1" applyFill="1"/>
    <xf numFmtId="0" fontId="57" fillId="2" borderId="54" xfId="0" applyFont="1" applyFill="1" applyBorder="1" applyAlignment="1">
      <alignment vertical="center"/>
    </xf>
    <xf numFmtId="0" fontId="39" fillId="2" borderId="55" xfId="0" applyFont="1" applyFill="1" applyBorder="1" applyAlignment="1">
      <alignment vertical="center"/>
    </xf>
    <xf numFmtId="0" fontId="39" fillId="2" borderId="56" xfId="0" applyFont="1" applyFill="1" applyBorder="1" applyAlignment="1">
      <alignment vertical="center"/>
    </xf>
    <xf numFmtId="0" fontId="4" fillId="2" borderId="37" xfId="4" applyFont="1" applyFill="1" applyBorder="1" applyAlignment="1">
      <alignment horizontal="center" vertical="center" wrapText="1"/>
    </xf>
    <xf numFmtId="0" fontId="39" fillId="2" borderId="14" xfId="0" applyFont="1" applyFill="1" applyBorder="1"/>
    <xf numFmtId="0" fontId="39" fillId="2" borderId="0" xfId="0" applyFont="1" applyFill="1" applyAlignment="1">
      <alignment horizontal="left" vertical="center"/>
    </xf>
    <xf numFmtId="0" fontId="4" fillId="2" borderId="2" xfId="4" applyFont="1" applyFill="1" applyBorder="1" applyAlignment="1">
      <alignment horizontal="center" vertical="center" wrapText="1"/>
    </xf>
    <xf numFmtId="0" fontId="4" fillId="2" borderId="11" xfId="4" applyFont="1" applyFill="1" applyBorder="1" applyAlignment="1">
      <alignment horizontal="center" vertical="center" wrapText="1"/>
    </xf>
    <xf numFmtId="0" fontId="39" fillId="2" borderId="14" xfId="0" applyFont="1" applyFill="1" applyBorder="1" applyAlignment="1">
      <alignment vertical="top"/>
    </xf>
    <xf numFmtId="0" fontId="39" fillId="2" borderId="18" xfId="0" applyFont="1" applyFill="1" applyBorder="1" applyAlignment="1">
      <alignment vertical="top"/>
    </xf>
    <xf numFmtId="0" fontId="57" fillId="2" borderId="0" xfId="0" applyFont="1" applyFill="1" applyAlignment="1">
      <alignment vertical="top"/>
    </xf>
    <xf numFmtId="0" fontId="58" fillId="2" borderId="0" xfId="0" applyFont="1" applyFill="1"/>
    <xf numFmtId="0" fontId="59" fillId="2" borderId="0" xfId="0" applyFont="1" applyFill="1"/>
    <xf numFmtId="15" fontId="4" fillId="2" borderId="20" xfId="0" applyNumberFormat="1" applyFont="1" applyFill="1" applyBorder="1" applyAlignment="1">
      <alignment horizontal="center" wrapText="1"/>
    </xf>
    <xf numFmtId="0" fontId="4" fillId="2" borderId="0" xfId="0" applyFont="1" applyFill="1" applyAlignment="1">
      <alignment horizontal="right"/>
    </xf>
    <xf numFmtId="0" fontId="4" fillId="2" borderId="37" xfId="2016" applyFont="1" applyFill="1" applyBorder="1" applyAlignment="1">
      <alignment horizontal="center" vertical="top"/>
    </xf>
    <xf numFmtId="0" fontId="4" fillId="2" borderId="44" xfId="2016" applyFont="1" applyFill="1" applyBorder="1" applyAlignment="1">
      <alignment vertical="top"/>
    </xf>
    <xf numFmtId="0" fontId="3" fillId="2" borderId="45" xfId="2016" applyFont="1" applyFill="1" applyBorder="1" applyAlignment="1">
      <alignment vertical="top"/>
    </xf>
    <xf numFmtId="0" fontId="3" fillId="2" borderId="43" xfId="2016" applyFont="1" applyFill="1" applyBorder="1" applyAlignment="1">
      <alignment vertical="top"/>
    </xf>
    <xf numFmtId="0" fontId="3" fillId="2" borderId="2" xfId="2016" applyFont="1" applyFill="1" applyBorder="1" applyAlignment="1">
      <alignment horizontal="center" vertical="top"/>
    </xf>
    <xf numFmtId="0" fontId="3" fillId="2" borderId="11" xfId="2016" applyFont="1" applyFill="1" applyBorder="1" applyAlignment="1">
      <alignment vertical="top"/>
    </xf>
    <xf numFmtId="0" fontId="4" fillId="2" borderId="45" xfId="2016" applyFont="1" applyFill="1" applyBorder="1" applyAlignment="1">
      <alignment vertical="top"/>
    </xf>
    <xf numFmtId="0" fontId="4" fillId="2" borderId="43" xfId="2016" applyFont="1" applyFill="1" applyBorder="1" applyAlignment="1">
      <alignment vertical="top"/>
    </xf>
    <xf numFmtId="0" fontId="3" fillId="2" borderId="0" xfId="2016" applyFont="1" applyFill="1" applyAlignment="1">
      <alignment horizontal="justify" vertical="top"/>
    </xf>
    <xf numFmtId="0" fontId="3" fillId="2" borderId="11" xfId="2016" applyFont="1" applyFill="1" applyBorder="1" applyAlignment="1">
      <alignment horizontal="justify" vertical="top"/>
    </xf>
    <xf numFmtId="0" fontId="3" fillId="2" borderId="8" xfId="2016" applyFont="1" applyFill="1" applyBorder="1" applyAlignment="1">
      <alignment horizontal="center" vertical="top"/>
    </xf>
    <xf numFmtId="0" fontId="3" fillId="2" borderId="20" xfId="2016" applyFont="1" applyFill="1" applyBorder="1" applyAlignment="1">
      <alignment vertical="top"/>
    </xf>
    <xf numFmtId="0" fontId="3" fillId="2" borderId="12" xfId="2016" applyFont="1" applyFill="1" applyBorder="1" applyAlignment="1">
      <alignment vertical="top"/>
    </xf>
    <xf numFmtId="1" fontId="4" fillId="2" borderId="79" xfId="2016" applyNumberFormat="1" applyFont="1" applyFill="1" applyBorder="1" applyAlignment="1">
      <alignment horizontal="center" vertical="top"/>
    </xf>
    <xf numFmtId="0" fontId="4" fillId="2" borderId="84" xfId="2016" applyFont="1" applyFill="1" applyBorder="1" applyAlignment="1">
      <alignment vertical="top"/>
    </xf>
    <xf numFmtId="0" fontId="3" fillId="2" borderId="86" xfId="2016" applyFont="1" applyFill="1" applyBorder="1" applyAlignment="1">
      <alignment vertical="top"/>
    </xf>
    <xf numFmtId="0" fontId="3" fillId="2" borderId="85" xfId="2016" applyFont="1" applyFill="1" applyBorder="1" applyAlignment="1">
      <alignment vertical="top"/>
    </xf>
    <xf numFmtId="0" fontId="3" fillId="2" borderId="84" xfId="2016" applyFont="1" applyFill="1" applyBorder="1" applyAlignment="1">
      <alignment horizontal="center" vertical="top"/>
    </xf>
    <xf numFmtId="0" fontId="3" fillId="2" borderId="84" xfId="2016" applyFont="1" applyFill="1" applyBorder="1" applyAlignment="1">
      <alignment vertical="top"/>
    </xf>
    <xf numFmtId="0" fontId="4" fillId="2" borderId="14" xfId="2016" applyFont="1" applyFill="1" applyBorder="1" applyAlignment="1">
      <alignment horizontal="center" vertical="top"/>
    </xf>
    <xf numFmtId="0" fontId="4" fillId="2" borderId="14" xfId="2016" applyFont="1" applyFill="1" applyBorder="1" applyAlignment="1">
      <alignment horizontal="justify" vertical="top"/>
    </xf>
    <xf numFmtId="0" fontId="3" fillId="2" borderId="14" xfId="2016" applyFont="1" applyFill="1" applyBorder="1" applyAlignment="1">
      <alignment horizontal="center" vertical="top"/>
    </xf>
    <xf numFmtId="0" fontId="3" fillId="2" borderId="14" xfId="2016" applyFont="1" applyFill="1" applyBorder="1" applyAlignment="1">
      <alignment vertical="top"/>
    </xf>
    <xf numFmtId="0" fontId="3" fillId="2" borderId="18" xfId="2016" applyFont="1" applyFill="1" applyBorder="1" applyAlignment="1">
      <alignment horizontal="center" vertical="top"/>
    </xf>
    <xf numFmtId="0" fontId="3" fillId="2" borderId="18" xfId="2016" applyFont="1" applyFill="1" applyBorder="1" applyAlignment="1">
      <alignment vertical="top"/>
    </xf>
    <xf numFmtId="166" fontId="4" fillId="2" borderId="20" xfId="1631" applyFont="1" applyFill="1" applyBorder="1" applyAlignment="1">
      <alignment vertical="top"/>
    </xf>
    <xf numFmtId="167" fontId="4" fillId="2" borderId="20" xfId="1631" applyNumberFormat="1" applyFont="1" applyFill="1" applyBorder="1" applyAlignment="1">
      <alignment vertical="top"/>
    </xf>
    <xf numFmtId="0" fontId="3" fillId="2" borderId="0" xfId="2016" applyFont="1" applyFill="1" applyAlignment="1">
      <alignment horizontal="center" vertical="top"/>
    </xf>
    <xf numFmtId="1" fontId="4" fillId="2" borderId="42" xfId="2016" applyNumberFormat="1" applyFont="1" applyFill="1" applyBorder="1" applyAlignment="1">
      <alignment horizontal="center" vertical="top"/>
    </xf>
    <xf numFmtId="0" fontId="35" fillId="2" borderId="46" xfId="2016" applyFont="1" applyFill="1" applyBorder="1" applyAlignment="1">
      <alignment vertical="top" wrapText="1"/>
    </xf>
    <xf numFmtId="0" fontId="3" fillId="2" borderId="47" xfId="2016" applyFont="1" applyFill="1" applyBorder="1" applyAlignment="1">
      <alignment vertical="top"/>
    </xf>
    <xf numFmtId="0" fontId="3" fillId="2" borderId="48" xfId="2016" applyFont="1" applyFill="1" applyBorder="1" applyAlignment="1">
      <alignment vertical="top"/>
    </xf>
    <xf numFmtId="0" fontId="4" fillId="2" borderId="2" xfId="2016" applyFont="1" applyFill="1" applyBorder="1" applyAlignment="1">
      <alignment horizontal="center" vertical="top"/>
    </xf>
    <xf numFmtId="0" fontId="4" fillId="2" borderId="8" xfId="2016" applyFont="1" applyFill="1" applyBorder="1" applyAlignment="1">
      <alignment horizontal="center" vertical="top"/>
    </xf>
    <xf numFmtId="0" fontId="3" fillId="2" borderId="12" xfId="2016" applyFont="1" applyFill="1" applyBorder="1" applyAlignment="1">
      <alignment vertical="top" wrapText="1"/>
    </xf>
    <xf numFmtId="167" fontId="3" fillId="2" borderId="0" xfId="2016" applyNumberFormat="1" applyFont="1" applyFill="1" applyAlignment="1">
      <alignment vertical="top"/>
    </xf>
    <xf numFmtId="0" fontId="4" fillId="2" borderId="44" xfId="2016" applyFont="1" applyFill="1" applyBorder="1" applyAlignment="1">
      <alignment vertical="top" wrapText="1"/>
    </xf>
    <xf numFmtId="0" fontId="4" fillId="2" borderId="45" xfId="2016" applyFont="1" applyFill="1" applyBorder="1" applyAlignment="1">
      <alignment vertical="top" wrapText="1"/>
    </xf>
    <xf numFmtId="0" fontId="4" fillId="2" borderId="43" xfId="2016" applyFont="1" applyFill="1" applyBorder="1" applyAlignment="1">
      <alignment vertical="top" wrapText="1"/>
    </xf>
    <xf numFmtId="0" fontId="4" fillId="2" borderId="0" xfId="2016" applyFont="1" applyFill="1" applyAlignment="1">
      <alignment vertical="top"/>
    </xf>
    <xf numFmtId="0" fontId="4" fillId="2" borderId="61" xfId="2016" applyFont="1" applyFill="1" applyBorder="1" applyAlignment="1">
      <alignment vertical="top"/>
    </xf>
    <xf numFmtId="0" fontId="3" fillId="2" borderId="62" xfId="2016" applyFont="1" applyFill="1" applyBorder="1" applyAlignment="1">
      <alignment vertical="top"/>
    </xf>
    <xf numFmtId="0" fontId="3" fillId="2" borderId="63" xfId="2016" applyFont="1" applyFill="1" applyBorder="1" applyAlignment="1">
      <alignment vertical="top"/>
    </xf>
    <xf numFmtId="0" fontId="4" fillId="2" borderId="62" xfId="2016" applyFont="1" applyFill="1" applyBorder="1" applyAlignment="1">
      <alignment vertical="top"/>
    </xf>
    <xf numFmtId="0" fontId="4" fillId="2" borderId="63" xfId="2016" applyFont="1" applyFill="1" applyBorder="1" applyAlignment="1">
      <alignment vertical="top"/>
    </xf>
    <xf numFmtId="0" fontId="3" fillId="2" borderId="4" xfId="2016" applyFont="1" applyFill="1" applyBorder="1" applyAlignment="1">
      <alignment horizontal="center" vertical="top"/>
    </xf>
    <xf numFmtId="0" fontId="3" fillId="2" borderId="4" xfId="2016" applyFont="1" applyFill="1" applyBorder="1" applyAlignment="1">
      <alignment horizontal="left" vertical="top" wrapText="1"/>
    </xf>
    <xf numFmtId="0" fontId="43" fillId="2" borderId="0" xfId="2016" applyFont="1" applyFill="1" applyAlignment="1">
      <alignment vertical="top"/>
    </xf>
    <xf numFmtId="0" fontId="3" fillId="2" borderId="14" xfId="2016" applyFont="1" applyFill="1" applyBorder="1" applyAlignment="1">
      <alignment horizontal="justify" vertical="top"/>
    </xf>
    <xf numFmtId="1" fontId="4" fillId="2" borderId="37" xfId="2016" applyNumberFormat="1" applyFont="1" applyFill="1" applyBorder="1" applyAlignment="1">
      <alignment horizontal="center" vertical="top"/>
    </xf>
    <xf numFmtId="0" fontId="3" fillId="2" borderId="64" xfId="2016" applyFont="1" applyFill="1" applyBorder="1" applyAlignment="1">
      <alignment horizontal="center" vertical="top"/>
    </xf>
    <xf numFmtId="0" fontId="3" fillId="2" borderId="58" xfId="2016" applyFont="1" applyFill="1" applyBorder="1" applyAlignment="1">
      <alignment vertical="top"/>
    </xf>
    <xf numFmtId="0" fontId="3" fillId="2" borderId="59" xfId="2016" applyFont="1" applyFill="1" applyBorder="1" applyAlignment="1">
      <alignment vertical="top"/>
    </xf>
    <xf numFmtId="0" fontId="3" fillId="2" borderId="60" xfId="2016" applyFont="1" applyFill="1" applyBorder="1" applyAlignment="1">
      <alignment vertical="top"/>
    </xf>
    <xf numFmtId="0" fontId="4" fillId="2" borderId="18" xfId="2016" applyFont="1" applyFill="1" applyBorder="1" applyAlignment="1">
      <alignment horizontal="justify" vertical="top"/>
    </xf>
    <xf numFmtId="0" fontId="4" fillId="2" borderId="0" xfId="2016" applyFont="1" applyFill="1" applyAlignment="1">
      <alignment horizontal="center" vertical="top"/>
    </xf>
    <xf numFmtId="1" fontId="4" fillId="2" borderId="0" xfId="2016" applyNumberFormat="1" applyFont="1" applyFill="1" applyAlignment="1">
      <alignment horizontal="right" vertical="top"/>
    </xf>
    <xf numFmtId="0" fontId="35" fillId="2" borderId="0" xfId="2016" applyFont="1" applyFill="1" applyAlignment="1">
      <alignment horizontal="justify" vertical="top"/>
    </xf>
    <xf numFmtId="0" fontId="3" fillId="2" borderId="0" xfId="2016" applyFont="1" applyFill="1" applyAlignment="1">
      <alignment horizontal="right" vertical="top"/>
    </xf>
    <xf numFmtId="0" fontId="38" fillId="2" borderId="0" xfId="2016" applyFont="1" applyFill="1" applyAlignment="1">
      <alignment horizontal="center" vertical="center"/>
    </xf>
    <xf numFmtId="0" fontId="4" fillId="2" borderId="2" xfId="2016" applyFont="1" applyFill="1" applyBorder="1" applyAlignment="1">
      <alignment horizontal="center" vertical="center" wrapText="1"/>
    </xf>
    <xf numFmtId="0" fontId="3" fillId="2" borderId="2" xfId="2016" applyFont="1" applyFill="1" applyBorder="1" applyAlignment="1">
      <alignment vertical="top"/>
    </xf>
    <xf numFmtId="166" fontId="3" fillId="2" borderId="14" xfId="1631" applyFont="1" applyFill="1" applyBorder="1" applyAlignment="1">
      <alignment vertical="top"/>
    </xf>
    <xf numFmtId="166" fontId="3" fillId="2" borderId="0" xfId="1631" applyFont="1" applyFill="1" applyBorder="1" applyAlignment="1">
      <alignment vertical="top"/>
    </xf>
    <xf numFmtId="167" fontId="3" fillId="2" borderId="14" xfId="1631" applyNumberFormat="1" applyFont="1" applyFill="1" applyBorder="1" applyAlignment="1">
      <alignment vertical="top"/>
    </xf>
    <xf numFmtId="167" fontId="3" fillId="2" borderId="0" xfId="1631" applyNumberFormat="1" applyFont="1" applyFill="1" applyBorder="1" applyAlignment="1">
      <alignment vertical="top"/>
    </xf>
    <xf numFmtId="0" fontId="3" fillId="2" borderId="8" xfId="2016" applyFont="1" applyFill="1" applyBorder="1" applyAlignment="1">
      <alignment vertical="top"/>
    </xf>
    <xf numFmtId="0" fontId="4" fillId="2" borderId="0" xfId="2016" applyFont="1" applyFill="1" applyAlignment="1">
      <alignment horizontal="justify" vertical="top"/>
    </xf>
    <xf numFmtId="166" fontId="3" fillId="2" borderId="0" xfId="2016" applyNumberFormat="1" applyFont="1" applyFill="1" applyAlignment="1">
      <alignment horizontal="justify" vertical="top"/>
    </xf>
    <xf numFmtId="166" fontId="4" fillId="2" borderId="0" xfId="2016" applyNumberFormat="1" applyFont="1" applyFill="1" applyAlignment="1">
      <alignment horizontal="justify" vertical="top"/>
    </xf>
    <xf numFmtId="0" fontId="4" fillId="2" borderId="0" xfId="2013" applyFont="1" applyFill="1" applyAlignment="1">
      <alignment vertical="top"/>
    </xf>
    <xf numFmtId="0" fontId="4" fillId="2" borderId="0" xfId="2016" applyFont="1" applyFill="1" applyAlignment="1">
      <alignment horizontal="left" vertical="top"/>
    </xf>
    <xf numFmtId="166" fontId="3" fillId="2" borderId="0" xfId="2016" applyNumberFormat="1" applyFont="1" applyFill="1" applyAlignment="1">
      <alignment vertical="top"/>
    </xf>
    <xf numFmtId="166" fontId="4" fillId="2" borderId="0" xfId="2016" applyNumberFormat="1" applyFont="1" applyFill="1" applyAlignment="1">
      <alignment vertical="top"/>
    </xf>
    <xf numFmtId="0" fontId="4" fillId="2" borderId="37" xfId="2013" applyFont="1" applyFill="1" applyBorder="1" applyAlignment="1">
      <alignment horizontal="center" vertical="top"/>
    </xf>
    <xf numFmtId="0" fontId="35" fillId="2" borderId="42" xfId="2016" applyFont="1" applyFill="1" applyBorder="1" applyAlignment="1">
      <alignment vertical="top"/>
    </xf>
    <xf numFmtId="0" fontId="3" fillId="2" borderId="42" xfId="2016" applyFont="1" applyFill="1" applyBorder="1" applyAlignment="1">
      <alignment vertical="top"/>
    </xf>
    <xf numFmtId="166" fontId="3" fillId="2" borderId="42" xfId="2016" applyNumberFormat="1" applyFont="1" applyFill="1" applyBorder="1" applyAlignment="1">
      <alignment vertical="top"/>
    </xf>
    <xf numFmtId="166" fontId="3" fillId="2" borderId="42" xfId="1631" applyFont="1" applyFill="1" applyBorder="1" applyAlignment="1">
      <alignment vertical="top"/>
    </xf>
    <xf numFmtId="166" fontId="4" fillId="2" borderId="42" xfId="2016" applyNumberFormat="1" applyFont="1" applyFill="1" applyBorder="1" applyAlignment="1">
      <alignment vertical="top"/>
    </xf>
    <xf numFmtId="166" fontId="3" fillId="2" borderId="2" xfId="2016" applyNumberFormat="1" applyFont="1" applyFill="1" applyBorder="1" applyAlignment="1">
      <alignment vertical="top"/>
    </xf>
    <xf numFmtId="167" fontId="3" fillId="2" borderId="2" xfId="2014" applyNumberFormat="1" applyFont="1" applyFill="1" applyBorder="1" applyAlignment="1">
      <alignment vertical="top"/>
    </xf>
    <xf numFmtId="166" fontId="4" fillId="2" borderId="2" xfId="2016" applyNumberFormat="1" applyFont="1" applyFill="1" applyBorder="1" applyAlignment="1">
      <alignment vertical="top"/>
    </xf>
    <xf numFmtId="166" fontId="3" fillId="2" borderId="8" xfId="2016" applyNumberFormat="1" applyFont="1" applyFill="1" applyBorder="1" applyAlignment="1">
      <alignment vertical="top"/>
    </xf>
    <xf numFmtId="167" fontId="3" fillId="2" borderId="8" xfId="2014" applyNumberFormat="1" applyFont="1" applyFill="1" applyBorder="1" applyAlignment="1">
      <alignment vertical="top"/>
    </xf>
    <xf numFmtId="167" fontId="4" fillId="2" borderId="8" xfId="2014" applyNumberFormat="1" applyFont="1" applyFill="1" applyBorder="1" applyAlignment="1">
      <alignment vertical="top"/>
    </xf>
    <xf numFmtId="166" fontId="4" fillId="2" borderId="8" xfId="2016" applyNumberFormat="1" applyFont="1" applyFill="1" applyBorder="1" applyAlignment="1">
      <alignment vertical="top"/>
    </xf>
    <xf numFmtId="0" fontId="4" fillId="2" borderId="0" xfId="2013" applyFont="1" applyFill="1" applyAlignment="1">
      <alignment horizontal="left" vertical="top"/>
    </xf>
    <xf numFmtId="0" fontId="35" fillId="2" borderId="14" xfId="2013" applyFont="1" applyFill="1" applyBorder="1" applyAlignment="1">
      <alignment vertical="top"/>
    </xf>
    <xf numFmtId="0" fontId="3" fillId="2" borderId="42" xfId="2013" applyFont="1" applyFill="1" applyBorder="1" applyAlignment="1">
      <alignment vertical="top"/>
    </xf>
    <xf numFmtId="166" fontId="3" fillId="2" borderId="42" xfId="2013" applyNumberFormat="1" applyFont="1" applyFill="1" applyBorder="1" applyAlignment="1">
      <alignment vertical="top"/>
    </xf>
    <xf numFmtId="166" fontId="3" fillId="2" borderId="42" xfId="2014" applyFont="1" applyFill="1" applyBorder="1" applyAlignment="1">
      <alignment vertical="top"/>
    </xf>
    <xf numFmtId="166" fontId="4" fillId="2" borderId="42" xfId="2013" applyNumberFormat="1" applyFont="1" applyFill="1" applyBorder="1" applyAlignment="1">
      <alignment vertical="top"/>
    </xf>
    <xf numFmtId="166" fontId="3" fillId="2" borderId="66" xfId="2013" applyNumberFormat="1" applyFont="1" applyFill="1" applyBorder="1" applyAlignment="1">
      <alignment vertical="top"/>
    </xf>
    <xf numFmtId="0" fontId="3" fillId="2" borderId="14" xfId="2013" applyFont="1" applyFill="1" applyBorder="1" applyAlignment="1">
      <alignment horizontal="left" vertical="top" indent="2"/>
    </xf>
    <xf numFmtId="166" fontId="3" fillId="2" borderId="2" xfId="2013" applyNumberFormat="1" applyFont="1" applyFill="1" applyBorder="1" applyAlignment="1">
      <alignment vertical="top"/>
    </xf>
    <xf numFmtId="167" fontId="3" fillId="2" borderId="2" xfId="2013" applyNumberFormat="1" applyFont="1" applyFill="1" applyBorder="1" applyAlignment="1">
      <alignment vertical="top"/>
    </xf>
    <xf numFmtId="167" fontId="36" fillId="2" borderId="2" xfId="2013" applyNumberFormat="1" applyFont="1" applyFill="1" applyBorder="1"/>
    <xf numFmtId="0" fontId="36" fillId="2" borderId="11" xfId="2013" applyFont="1" applyFill="1" applyBorder="1"/>
    <xf numFmtId="0" fontId="3" fillId="2" borderId="8" xfId="2013" applyFont="1" applyFill="1" applyBorder="1" applyAlignment="1">
      <alignment vertical="top"/>
    </xf>
    <xf numFmtId="166" fontId="3" fillId="2" borderId="8" xfId="2013" applyNumberFormat="1" applyFont="1" applyFill="1" applyBorder="1" applyAlignment="1">
      <alignment vertical="top"/>
    </xf>
    <xf numFmtId="166" fontId="3" fillId="2" borderId="8" xfId="2014" applyFont="1" applyFill="1" applyBorder="1" applyAlignment="1">
      <alignment vertical="top"/>
    </xf>
    <xf numFmtId="166" fontId="4" fillId="2" borderId="8" xfId="2013" applyNumberFormat="1" applyFont="1" applyFill="1" applyBorder="1" applyAlignment="1">
      <alignment vertical="top"/>
    </xf>
    <xf numFmtId="0" fontId="36" fillId="2" borderId="0" xfId="2013" applyFont="1" applyFill="1" applyAlignment="1">
      <alignment wrapText="1"/>
    </xf>
    <xf numFmtId="0" fontId="43" fillId="2" borderId="0" xfId="0" applyFont="1" applyFill="1" applyAlignment="1">
      <alignment wrapText="1"/>
    </xf>
    <xf numFmtId="0" fontId="4" fillId="2" borderId="4" xfId="2016" applyFont="1" applyFill="1" applyBorder="1" applyAlignment="1">
      <alignment horizontal="center" vertical="center" wrapText="1"/>
    </xf>
    <xf numFmtId="166" fontId="3" fillId="2" borderId="4" xfId="1" applyFont="1" applyFill="1" applyBorder="1" applyAlignment="1">
      <alignment horizontal="center" vertical="top"/>
    </xf>
    <xf numFmtId="9" fontId="3" fillId="2" borderId="4" xfId="20" applyFont="1" applyFill="1" applyBorder="1" applyAlignment="1">
      <alignment horizontal="center" vertical="top"/>
    </xf>
    <xf numFmtId="0" fontId="43" fillId="2" borderId="0" xfId="0" applyFont="1" applyFill="1" applyAlignment="1">
      <alignment vertical="top"/>
    </xf>
    <xf numFmtId="166" fontId="3" fillId="2" borderId="4" xfId="1631" applyFont="1" applyFill="1" applyBorder="1" applyAlignment="1">
      <alignment vertical="top"/>
    </xf>
    <xf numFmtId="166" fontId="3" fillId="2" borderId="4" xfId="1" applyFont="1" applyFill="1" applyBorder="1" applyAlignment="1">
      <alignment vertical="top"/>
    </xf>
    <xf numFmtId="166" fontId="3" fillId="2" borderId="4" xfId="1631" quotePrefix="1" applyFont="1" applyFill="1" applyBorder="1" applyAlignment="1">
      <alignment vertical="top"/>
    </xf>
    <xf numFmtId="9" fontId="3" fillId="2" borderId="4" xfId="20" applyFont="1" applyFill="1" applyBorder="1" applyAlignment="1">
      <alignment vertical="top"/>
    </xf>
    <xf numFmtId="167" fontId="3" fillId="2" borderId="4" xfId="1631" applyNumberFormat="1" applyFont="1" applyFill="1" applyBorder="1" applyAlignment="1">
      <alignment horizontal="center" vertical="top"/>
    </xf>
    <xf numFmtId="167" fontId="3" fillId="2" borderId="4" xfId="1631" applyNumberFormat="1" applyFont="1" applyFill="1" applyBorder="1" applyAlignment="1">
      <alignment vertical="top"/>
    </xf>
    <xf numFmtId="0" fontId="6" fillId="2" borderId="0" xfId="0" applyFont="1" applyFill="1"/>
    <xf numFmtId="0" fontId="3" fillId="2" borderId="0" xfId="2025" applyFont="1" applyFill="1" applyAlignment="1">
      <alignment horizontal="left" indent="2"/>
    </xf>
    <xf numFmtId="0" fontId="4" fillId="2" borderId="13" xfId="6" applyFont="1" applyFill="1" applyBorder="1"/>
    <xf numFmtId="168" fontId="4" fillId="2" borderId="17" xfId="6" applyNumberFormat="1" applyFont="1" applyFill="1" applyBorder="1" applyAlignment="1">
      <alignment horizontal="center"/>
    </xf>
    <xf numFmtId="168" fontId="4" fillId="2" borderId="4" xfId="6" applyNumberFormat="1" applyFont="1" applyFill="1" applyBorder="1" applyAlignment="1">
      <alignment horizontal="center"/>
    </xf>
    <xf numFmtId="168" fontId="4" fillId="2" borderId="10" xfId="6" applyNumberFormat="1" applyFont="1" applyFill="1" applyBorder="1" applyAlignment="1">
      <alignment horizontal="center"/>
    </xf>
    <xf numFmtId="0" fontId="4" fillId="2" borderId="14" xfId="6" applyFont="1" applyFill="1" applyBorder="1" applyAlignment="1">
      <alignment vertical="center"/>
    </xf>
    <xf numFmtId="0" fontId="4" fillId="2" borderId="2" xfId="6" quotePrefix="1" applyFont="1" applyFill="1" applyBorder="1" applyAlignment="1">
      <alignment horizontal="center"/>
    </xf>
    <xf numFmtId="0" fontId="4" fillId="2" borderId="11" xfId="6" quotePrefix="1" applyFont="1" applyFill="1" applyBorder="1" applyAlignment="1">
      <alignment horizontal="center"/>
    </xf>
    <xf numFmtId="168" fontId="4" fillId="2" borderId="11" xfId="6" applyNumberFormat="1" applyFont="1" applyFill="1" applyBorder="1" applyAlignment="1">
      <alignment horizontal="center"/>
    </xf>
    <xf numFmtId="0" fontId="4" fillId="2" borderId="18" xfId="6" applyFont="1" applyFill="1" applyBorder="1"/>
    <xf numFmtId="168" fontId="4" fillId="2" borderId="8" xfId="6" applyNumberFormat="1" applyFont="1" applyFill="1" applyBorder="1"/>
    <xf numFmtId="168" fontId="4" fillId="2" borderId="12" xfId="6" applyNumberFormat="1" applyFont="1" applyFill="1" applyBorder="1"/>
    <xf numFmtId="168" fontId="3" fillId="2" borderId="12" xfId="6" applyNumberFormat="1" applyFont="1" applyFill="1" applyBorder="1"/>
    <xf numFmtId="168" fontId="4" fillId="2" borderId="12" xfId="6" applyNumberFormat="1" applyFont="1" applyFill="1" applyBorder="1" applyAlignment="1">
      <alignment horizontal="fill"/>
    </xf>
    <xf numFmtId="168" fontId="4" fillId="2" borderId="8" xfId="6" applyNumberFormat="1" applyFont="1" applyFill="1" applyBorder="1" applyAlignment="1">
      <alignment horizontal="fill"/>
    </xf>
    <xf numFmtId="167" fontId="4" fillId="2" borderId="13" xfId="1" applyNumberFormat="1" applyFont="1" applyFill="1" applyBorder="1"/>
    <xf numFmtId="167" fontId="4" fillId="2" borderId="14" xfId="1" applyNumberFormat="1" applyFont="1" applyFill="1" applyBorder="1" applyAlignment="1">
      <alignment vertical="center"/>
    </xf>
    <xf numFmtId="167" fontId="4" fillId="2" borderId="18" xfId="1" applyNumberFormat="1" applyFont="1" applyFill="1" applyBorder="1"/>
    <xf numFmtId="167" fontId="4" fillId="2" borderId="0" xfId="1" applyNumberFormat="1" applyFont="1" applyFill="1" applyAlignment="1">
      <alignment horizontal="left"/>
    </xf>
    <xf numFmtId="167" fontId="3" fillId="2" borderId="0" xfId="1" applyNumberFormat="1" applyFont="1" applyFill="1" applyAlignment="1">
      <alignment horizontal="left"/>
    </xf>
    <xf numFmtId="43" fontId="4" fillId="2" borderId="0" xfId="0" applyNumberFormat="1" applyFont="1" applyFill="1" applyAlignment="1">
      <alignment horizontal="left"/>
    </xf>
    <xf numFmtId="167" fontId="43" fillId="2" borderId="91" xfId="1" applyNumberFormat="1" applyFont="1" applyFill="1" applyBorder="1"/>
    <xf numFmtId="0" fontId="3" fillId="2" borderId="0" xfId="0" applyFont="1" applyFill="1" applyAlignment="1">
      <alignment wrapText="1"/>
    </xf>
    <xf numFmtId="0" fontId="4" fillId="2" borderId="97" xfId="0" applyFont="1" applyFill="1" applyBorder="1" applyAlignment="1">
      <alignment vertical="top" wrapText="1"/>
    </xf>
    <xf numFmtId="0" fontId="4" fillId="2" borderId="97" xfId="0" applyFont="1" applyFill="1" applyBorder="1" applyAlignment="1">
      <alignment horizontal="center" vertical="top"/>
    </xf>
    <xf numFmtId="0" fontId="4" fillId="2" borderId="0" xfId="0" applyFont="1" applyFill="1" applyAlignment="1">
      <alignment horizontal="center" vertical="top" wrapText="1"/>
    </xf>
    <xf numFmtId="0" fontId="4" fillId="2" borderId="103" xfId="0" applyFont="1" applyFill="1" applyBorder="1" applyAlignment="1">
      <alignment vertical="top" wrapText="1"/>
    </xf>
    <xf numFmtId="0" fontId="4" fillId="2" borderId="95" xfId="0" applyFont="1" applyFill="1" applyBorder="1" applyAlignment="1">
      <alignment vertical="top"/>
    </xf>
    <xf numFmtId="167" fontId="4" fillId="2" borderId="95" xfId="1" applyNumberFormat="1" applyFont="1" applyFill="1" applyBorder="1" applyAlignment="1">
      <alignment vertical="top"/>
    </xf>
    <xf numFmtId="167" fontId="3" fillId="2" borderId="95" xfId="1" applyNumberFormat="1" applyFont="1" applyFill="1" applyBorder="1" applyAlignment="1">
      <alignment horizontal="center" vertical="top" wrapText="1"/>
    </xf>
    <xf numFmtId="167" fontId="4" fillId="2" borderId="96" xfId="1" applyNumberFormat="1" applyFont="1" applyFill="1" applyBorder="1" applyAlignment="1">
      <alignment horizontal="center" vertical="top" wrapText="1"/>
    </xf>
    <xf numFmtId="0" fontId="55" fillId="2" borderId="0" xfId="0" applyFont="1" applyFill="1" applyAlignment="1">
      <alignment wrapText="1"/>
    </xf>
    <xf numFmtId="0" fontId="43" fillId="2" borderId="91" xfId="0" applyFont="1" applyFill="1" applyBorder="1"/>
    <xf numFmtId="167" fontId="43" fillId="2" borderId="2" xfId="1" applyNumberFormat="1" applyFont="1" applyFill="1" applyBorder="1"/>
    <xf numFmtId="167" fontId="43" fillId="2" borderId="92" xfId="1" applyNumberFormat="1" applyFont="1" applyFill="1" applyBorder="1"/>
    <xf numFmtId="166" fontId="43" fillId="2" borderId="0" xfId="1" applyFont="1" applyFill="1" applyBorder="1"/>
    <xf numFmtId="0" fontId="43" fillId="2" borderId="98" xfId="0" applyFont="1" applyFill="1" applyBorder="1" applyAlignment="1">
      <alignment wrapText="1"/>
    </xf>
    <xf numFmtId="0" fontId="52" fillId="2" borderId="107" xfId="0" applyFont="1" applyFill="1" applyBorder="1"/>
    <xf numFmtId="167" fontId="43" fillId="2" borderId="107" xfId="1" applyNumberFormat="1" applyFont="1" applyFill="1" applyBorder="1"/>
    <xf numFmtId="167" fontId="43" fillId="2" borderId="108" xfId="1" applyNumberFormat="1" applyFont="1" applyFill="1" applyBorder="1"/>
    <xf numFmtId="167" fontId="52" fillId="2" borderId="109" xfId="1" applyNumberFormat="1" applyFont="1" applyFill="1" applyBorder="1"/>
    <xf numFmtId="167" fontId="43" fillId="2" borderId="109" xfId="1" applyNumberFormat="1" applyFont="1" applyFill="1" applyBorder="1"/>
    <xf numFmtId="0" fontId="52" fillId="2" borderId="0" xfId="0" applyFont="1" applyFill="1" applyAlignment="1">
      <alignment wrapText="1"/>
    </xf>
    <xf numFmtId="0" fontId="52" fillId="2" borderId="91" xfId="0" applyFont="1" applyFill="1" applyBorder="1"/>
    <xf numFmtId="0" fontId="61" fillId="2" borderId="0" xfId="2634" applyFont="1" applyFill="1" applyAlignment="1">
      <alignment wrapText="1"/>
    </xf>
    <xf numFmtId="0" fontId="4" fillId="2" borderId="2" xfId="2" applyFont="1" applyFill="1" applyBorder="1" applyAlignment="1">
      <alignment wrapText="1"/>
    </xf>
    <xf numFmtId="166" fontId="43" fillId="2" borderId="0" xfId="1" applyFont="1" applyFill="1" applyAlignment="1">
      <alignment wrapText="1"/>
    </xf>
    <xf numFmtId="0" fontId="4" fillId="2" borderId="94" xfId="0" applyFont="1" applyFill="1" applyBorder="1" applyAlignment="1">
      <alignment vertical="top" wrapText="1"/>
    </xf>
    <xf numFmtId="0" fontId="4" fillId="2" borderId="93" xfId="0" applyFont="1" applyFill="1" applyBorder="1" applyAlignment="1">
      <alignment vertical="top" wrapText="1"/>
    </xf>
    <xf numFmtId="166" fontId="43" fillId="2" borderId="0" xfId="0" applyNumberFormat="1" applyFont="1" applyFill="1"/>
    <xf numFmtId="166" fontId="36" fillId="2" borderId="98" xfId="2" applyNumberFormat="1" applyFont="1" applyFill="1" applyBorder="1"/>
    <xf numFmtId="0" fontId="52" fillId="2" borderId="98" xfId="0" applyFont="1" applyFill="1" applyBorder="1" applyAlignment="1">
      <alignment wrapText="1"/>
    </xf>
    <xf numFmtId="0" fontId="48" fillId="2" borderId="0" xfId="0" applyFont="1" applyFill="1"/>
    <xf numFmtId="0" fontId="62" fillId="2" borderId="0" xfId="0" applyFont="1" applyFill="1"/>
    <xf numFmtId="0" fontId="63" fillId="2" borderId="0" xfId="0" applyFont="1" applyFill="1"/>
    <xf numFmtId="0" fontId="48" fillId="2" borderId="4" xfId="0" applyFont="1" applyFill="1" applyBorder="1" applyAlignment="1">
      <alignment horizontal="center"/>
    </xf>
    <xf numFmtId="0" fontId="62" fillId="2" borderId="4" xfId="0" applyFont="1" applyFill="1" applyBorder="1"/>
    <xf numFmtId="167" fontId="62" fillId="2" borderId="4" xfId="1" applyNumberFormat="1" applyFont="1" applyFill="1" applyBorder="1"/>
    <xf numFmtId="0" fontId="48" fillId="2" borderId="4" xfId="0" applyFont="1" applyFill="1" applyBorder="1"/>
    <xf numFmtId="167" fontId="48" fillId="2" borderId="4" xfId="1" applyNumberFormat="1" applyFont="1" applyFill="1" applyBorder="1"/>
    <xf numFmtId="167" fontId="62" fillId="2" borderId="0" xfId="0" applyNumberFormat="1" applyFont="1" applyFill="1"/>
    <xf numFmtId="0" fontId="4" fillId="2" borderId="8" xfId="0" applyFont="1" applyFill="1" applyBorder="1"/>
    <xf numFmtId="166" fontId="3" fillId="2" borderId="0" xfId="1" applyFont="1" applyFill="1"/>
    <xf numFmtId="167" fontId="4" fillId="2" borderId="0" xfId="1" applyNumberFormat="1" applyFont="1" applyFill="1" applyBorder="1" applyAlignment="1">
      <alignment horizontal="right"/>
    </xf>
    <xf numFmtId="3" fontId="4" fillId="2" borderId="0" xfId="0" applyNumberFormat="1" applyFont="1" applyFill="1"/>
    <xf numFmtId="3" fontId="4" fillId="2" borderId="0" xfId="0" applyNumberFormat="1" applyFont="1" applyFill="1" applyAlignment="1">
      <alignment horizontal="center"/>
    </xf>
    <xf numFmtId="0" fontId="3" fillId="2" borderId="0" xfId="0" applyFont="1" applyFill="1" applyAlignment="1">
      <alignment vertical="center" wrapText="1"/>
    </xf>
    <xf numFmtId="167" fontId="66" fillId="2" borderId="0" xfId="0" applyNumberFormat="1" applyFont="1" applyFill="1"/>
    <xf numFmtId="167" fontId="52" fillId="2" borderId="0" xfId="1" applyNumberFormat="1" applyFont="1" applyFill="1"/>
    <xf numFmtId="188" fontId="3" fillId="2" borderId="2" xfId="1" applyNumberFormat="1" applyFont="1" applyFill="1" applyBorder="1" applyAlignment="1">
      <alignment horizontal="right"/>
    </xf>
    <xf numFmtId="188" fontId="4" fillId="2" borderId="37" xfId="1" applyNumberFormat="1" applyFont="1" applyFill="1" applyBorder="1" applyAlignment="1">
      <alignment horizontal="right"/>
    </xf>
    <xf numFmtId="188" fontId="4" fillId="2" borderId="2" xfId="1" applyNumberFormat="1" applyFont="1" applyFill="1" applyBorder="1" applyAlignment="1">
      <alignment horizontal="right"/>
    </xf>
    <xf numFmtId="188" fontId="3" fillId="2" borderId="2" xfId="1" applyNumberFormat="1" applyFont="1" applyFill="1" applyBorder="1"/>
    <xf numFmtId="188" fontId="4" fillId="2" borderId="2" xfId="1" applyNumberFormat="1" applyFont="1" applyFill="1" applyBorder="1"/>
    <xf numFmtId="188" fontId="4" fillId="2" borderId="5" xfId="1" applyNumberFormat="1" applyFont="1" applyFill="1" applyBorder="1"/>
    <xf numFmtId="188" fontId="3" fillId="2" borderId="11" xfId="1" applyNumberFormat="1" applyFont="1" applyFill="1" applyBorder="1"/>
    <xf numFmtId="188" fontId="3" fillId="2" borderId="8" xfId="1" applyNumberFormat="1" applyFont="1" applyFill="1" applyBorder="1"/>
    <xf numFmtId="188" fontId="3" fillId="2" borderId="0" xfId="1" applyNumberFormat="1" applyFont="1" applyFill="1"/>
    <xf numFmtId="188" fontId="3" fillId="2" borderId="0" xfId="0" applyNumberFormat="1" applyFont="1" applyFill="1"/>
    <xf numFmtId="188" fontId="4" fillId="2" borderId="8" xfId="0" applyNumberFormat="1" applyFont="1" applyFill="1" applyBorder="1" applyAlignment="1">
      <alignment horizontal="center" vertical="center" wrapText="1"/>
    </xf>
    <xf numFmtId="188" fontId="4" fillId="2" borderId="2" xfId="0" applyNumberFormat="1" applyFont="1" applyFill="1" applyBorder="1" applyAlignment="1">
      <alignment horizontal="center" vertical="center" wrapText="1"/>
    </xf>
    <xf numFmtId="188" fontId="4" fillId="2" borderId="11" xfId="0" applyNumberFormat="1" applyFont="1" applyFill="1" applyBorder="1" applyAlignment="1">
      <alignment horizontal="center" vertical="center" wrapText="1"/>
    </xf>
    <xf numFmtId="188" fontId="4" fillId="2" borderId="11" xfId="1" applyNumberFormat="1" applyFont="1" applyFill="1" applyBorder="1" applyAlignment="1">
      <alignment horizontal="right"/>
    </xf>
    <xf numFmtId="188" fontId="3" fillId="2" borderId="11" xfId="1" applyNumberFormat="1" applyFont="1" applyFill="1" applyBorder="1" applyAlignment="1">
      <alignment horizontal="right"/>
    </xf>
    <xf numFmtId="188" fontId="4" fillId="2" borderId="5" xfId="1" applyNumberFormat="1" applyFont="1" applyFill="1" applyBorder="1" applyAlignment="1">
      <alignment horizontal="right"/>
    </xf>
    <xf numFmtId="188" fontId="3" fillId="2" borderId="37" xfId="1" applyNumberFormat="1" applyFont="1" applyFill="1" applyBorder="1" applyAlignment="1">
      <alignment horizontal="right"/>
    </xf>
    <xf numFmtId="188" fontId="4" fillId="2" borderId="11" xfId="1" applyNumberFormat="1" applyFont="1" applyFill="1" applyBorder="1"/>
    <xf numFmtId="188" fontId="6" fillId="2" borderId="0" xfId="1" applyNumberFormat="1" applyFont="1" applyFill="1"/>
    <xf numFmtId="188" fontId="3" fillId="2" borderId="11" xfId="1" applyNumberFormat="1" applyFont="1" applyFill="1" applyBorder="1" applyAlignment="1">
      <alignment horizontal="center"/>
    </xf>
    <xf numFmtId="188" fontId="3" fillId="2" borderId="12" xfId="1" applyNumberFormat="1" applyFont="1" applyFill="1" applyBorder="1"/>
    <xf numFmtId="188" fontId="3" fillId="2" borderId="12" xfId="1" applyNumberFormat="1" applyFont="1" applyFill="1" applyBorder="1" applyAlignment="1"/>
    <xf numFmtId="188" fontId="4" fillId="2" borderId="12" xfId="1" applyNumberFormat="1" applyFont="1" applyFill="1" applyBorder="1"/>
    <xf numFmtId="188" fontId="4" fillId="2" borderId="8" xfId="1" applyNumberFormat="1" applyFont="1" applyFill="1" applyBorder="1"/>
    <xf numFmtId="188" fontId="3" fillId="2" borderId="10" xfId="1" applyNumberFormat="1" applyFont="1" applyFill="1" applyBorder="1"/>
    <xf numFmtId="188" fontId="3" fillId="2" borderId="17" xfId="1" applyNumberFormat="1" applyFont="1" applyFill="1" applyBorder="1"/>
    <xf numFmtId="188" fontId="3" fillId="2" borderId="17" xfId="1" applyNumberFormat="1" applyFont="1" applyFill="1" applyBorder="1" applyAlignment="1"/>
    <xf numFmtId="188" fontId="4" fillId="2" borderId="17" xfId="1" applyNumberFormat="1" applyFont="1" applyFill="1" applyBorder="1"/>
    <xf numFmtId="188" fontId="4" fillId="2" borderId="2" xfId="1" applyNumberFormat="1" applyFont="1" applyFill="1" applyBorder="1" applyAlignment="1">
      <alignment vertical="center"/>
    </xf>
    <xf numFmtId="188" fontId="7" fillId="2" borderId="0" xfId="1" applyNumberFormat="1" applyFont="1" applyFill="1"/>
    <xf numFmtId="188" fontId="6" fillId="2" borderId="0" xfId="6" applyNumberFormat="1" applyFont="1" applyFill="1"/>
    <xf numFmtId="188" fontId="4" fillId="2" borderId="8" xfId="6" applyNumberFormat="1" applyFont="1" applyFill="1" applyBorder="1"/>
    <xf numFmtId="188" fontId="4" fillId="2" borderId="12" xfId="6" applyNumberFormat="1" applyFont="1" applyFill="1" applyBorder="1"/>
    <xf numFmtId="188" fontId="4" fillId="2" borderId="12" xfId="8" applyNumberFormat="1" applyFont="1" applyFill="1" applyBorder="1"/>
    <xf numFmtId="188" fontId="4" fillId="2" borderId="12" xfId="11" applyNumberFormat="1" applyFont="1" applyFill="1" applyBorder="1"/>
    <xf numFmtId="188" fontId="3" fillId="2" borderId="12" xfId="6" applyNumberFormat="1" applyFont="1" applyFill="1" applyBorder="1"/>
    <xf numFmtId="188" fontId="4" fillId="2" borderId="12" xfId="9" applyNumberFormat="1" applyFont="1" applyFill="1" applyBorder="1"/>
    <xf numFmtId="188" fontId="3" fillId="2" borderId="12" xfId="9" applyNumberFormat="1" applyFont="1" applyFill="1" applyBorder="1"/>
    <xf numFmtId="188" fontId="3" fillId="2" borderId="8" xfId="8" applyNumberFormat="1" applyFont="1" applyFill="1" applyBorder="1"/>
    <xf numFmtId="188" fontId="4" fillId="2" borderId="14" xfId="6" applyNumberFormat="1" applyFont="1" applyFill="1" applyBorder="1"/>
    <xf numFmtId="188" fontId="4" fillId="2" borderId="0" xfId="6" applyNumberFormat="1" applyFont="1" applyFill="1"/>
    <xf numFmtId="188" fontId="4" fillId="2" borderId="0" xfId="8" applyNumberFormat="1" applyFont="1" applyFill="1" applyBorder="1"/>
    <xf numFmtId="188" fontId="4" fillId="2" borderId="0" xfId="11" applyNumberFormat="1" applyFont="1" applyFill="1" applyBorder="1"/>
    <xf numFmtId="188" fontId="4" fillId="2" borderId="11" xfId="6" applyNumberFormat="1" applyFont="1" applyFill="1" applyBorder="1"/>
    <xf numFmtId="188" fontId="3" fillId="2" borderId="0" xfId="6" applyNumberFormat="1" applyFont="1" applyFill="1"/>
    <xf numFmtId="188" fontId="4" fillId="2" borderId="0" xfId="9" applyNumberFormat="1" applyFont="1" applyFill="1" applyBorder="1"/>
    <xf numFmtId="188" fontId="3" fillId="2" borderId="0" xfId="9" applyNumberFormat="1" applyFont="1" applyFill="1" applyBorder="1"/>
    <xf numFmtId="188" fontId="3" fillId="2" borderId="0" xfId="8" applyNumberFormat="1" applyFont="1" applyFill="1" applyBorder="1"/>
    <xf numFmtId="188" fontId="4" fillId="2" borderId="17" xfId="6" applyNumberFormat="1" applyFont="1" applyFill="1" applyBorder="1" applyAlignment="1">
      <alignment horizontal="center"/>
    </xf>
    <xf numFmtId="188" fontId="4" fillId="2" borderId="4" xfId="6" applyNumberFormat="1" applyFont="1" applyFill="1" applyBorder="1" applyAlignment="1">
      <alignment horizontal="center"/>
    </xf>
    <xf numFmtId="188" fontId="4" fillId="2" borderId="10" xfId="6" applyNumberFormat="1" applyFont="1" applyFill="1" applyBorder="1" applyAlignment="1">
      <alignment horizontal="center"/>
    </xf>
    <xf numFmtId="188" fontId="7" fillId="2" borderId="0" xfId="6" applyNumberFormat="1" applyFont="1" applyFill="1"/>
    <xf numFmtId="188" fontId="4" fillId="2" borderId="2" xfId="6" quotePrefix="1" applyNumberFormat="1" applyFont="1" applyFill="1" applyBorder="1" applyAlignment="1">
      <alignment horizontal="center"/>
    </xf>
    <xf numFmtId="188" fontId="4" fillId="2" borderId="11" xfId="6" quotePrefix="1" applyNumberFormat="1" applyFont="1" applyFill="1" applyBorder="1" applyAlignment="1">
      <alignment horizontal="center"/>
    </xf>
    <xf numFmtId="188" fontId="4" fillId="2" borderId="11" xfId="6" applyNumberFormat="1" applyFont="1" applyFill="1" applyBorder="1" applyAlignment="1">
      <alignment horizontal="center"/>
    </xf>
    <xf numFmtId="188" fontId="4" fillId="2" borderId="12" xfId="6" applyNumberFormat="1" applyFont="1" applyFill="1" applyBorder="1" applyAlignment="1">
      <alignment horizontal="fill"/>
    </xf>
    <xf numFmtId="188" fontId="4" fillId="2" borderId="8" xfId="6" applyNumberFormat="1" applyFont="1" applyFill="1" applyBorder="1" applyAlignment="1">
      <alignment horizontal="fill"/>
    </xf>
    <xf numFmtId="188" fontId="3" fillId="2" borderId="2" xfId="6" applyNumberFormat="1" applyFont="1" applyFill="1" applyBorder="1"/>
    <xf numFmtId="188" fontId="3" fillId="2" borderId="11" xfId="6" applyNumberFormat="1" applyFont="1" applyFill="1" applyBorder="1"/>
    <xf numFmtId="188" fontId="3" fillId="2" borderId="11" xfId="6" applyNumberFormat="1" applyFont="1" applyFill="1" applyBorder="1" applyAlignment="1">
      <alignment horizontal="fill"/>
    </xf>
    <xf numFmtId="188" fontId="3" fillId="2" borderId="2" xfId="6" applyNumberFormat="1" applyFont="1" applyFill="1" applyBorder="1" applyAlignment="1">
      <alignment horizontal="fill"/>
    </xf>
    <xf numFmtId="188" fontId="4" fillId="2" borderId="2" xfId="6" applyNumberFormat="1" applyFont="1" applyFill="1" applyBorder="1" applyAlignment="1">
      <alignment horizontal="fill"/>
    </xf>
    <xf numFmtId="188" fontId="4" fillId="2" borderId="17" xfId="1" applyNumberFormat="1" applyFont="1" applyFill="1" applyBorder="1" applyAlignment="1">
      <alignment horizontal="center"/>
    </xf>
    <xf numFmtId="188" fontId="4" fillId="2" borderId="4" xfId="1" applyNumberFormat="1" applyFont="1" applyFill="1" applyBorder="1" applyAlignment="1">
      <alignment horizontal="center"/>
    </xf>
    <xf numFmtId="188" fontId="4" fillId="2" borderId="10" xfId="1" applyNumberFormat="1" applyFont="1" applyFill="1" applyBorder="1" applyAlignment="1">
      <alignment horizontal="center"/>
    </xf>
    <xf numFmtId="188" fontId="4" fillId="2" borderId="2" xfId="1" quotePrefix="1" applyNumberFormat="1" applyFont="1" applyFill="1" applyBorder="1" applyAlignment="1">
      <alignment horizontal="center"/>
    </xf>
    <xf numFmtId="188" fontId="4" fillId="2" borderId="11" xfId="1" quotePrefix="1" applyNumberFormat="1" applyFont="1" applyFill="1" applyBorder="1" applyAlignment="1">
      <alignment horizontal="center"/>
    </xf>
    <xf numFmtId="188" fontId="4" fillId="2" borderId="11" xfId="1" applyNumberFormat="1" applyFont="1" applyFill="1" applyBorder="1" applyAlignment="1">
      <alignment horizontal="center"/>
    </xf>
    <xf numFmtId="188" fontId="4" fillId="2" borderId="12" xfId="1" applyNumberFormat="1" applyFont="1" applyFill="1" applyBorder="1" applyAlignment="1">
      <alignment horizontal="fill"/>
    </xf>
    <xf numFmtId="188" fontId="4" fillId="2" borderId="8" xfId="1" applyNumberFormat="1" applyFont="1" applyFill="1" applyBorder="1" applyAlignment="1">
      <alignment horizontal="fill"/>
    </xf>
    <xf numFmtId="188" fontId="4" fillId="2" borderId="10" xfId="1" applyNumberFormat="1" applyFont="1" applyFill="1" applyBorder="1"/>
    <xf numFmtId="188" fontId="4" fillId="2" borderId="0" xfId="1" applyNumberFormat="1" applyFont="1" applyFill="1" applyBorder="1"/>
    <xf numFmtId="188" fontId="3" fillId="2" borderId="0" xfId="1" applyNumberFormat="1" applyFont="1" applyFill="1" applyBorder="1"/>
    <xf numFmtId="188" fontId="4" fillId="2" borderId="0" xfId="1" applyNumberFormat="1" applyFont="1" applyFill="1"/>
    <xf numFmtId="188" fontId="3" fillId="2" borderId="0" xfId="2028" applyNumberFormat="1" applyFont="1" applyFill="1" applyBorder="1" applyAlignment="1">
      <alignment horizontal="right" vertical="top" wrapText="1"/>
    </xf>
    <xf numFmtId="188" fontId="3" fillId="2" borderId="0" xfId="2028" applyNumberFormat="1" applyFont="1" applyFill="1" applyBorder="1" applyAlignment="1">
      <alignment horizontal="right" vertical="top"/>
    </xf>
    <xf numFmtId="188" fontId="3" fillId="2" borderId="0" xfId="2028" applyNumberFormat="1" applyFont="1" applyFill="1" applyAlignment="1">
      <alignment horizontal="right" vertical="top" wrapText="1"/>
    </xf>
    <xf numFmtId="188" fontId="3" fillId="2" borderId="57" xfId="2028" applyNumberFormat="1" applyFont="1" applyFill="1" applyBorder="1" applyAlignment="1">
      <alignment horizontal="right" vertical="top" wrapText="1"/>
    </xf>
    <xf numFmtId="188" fontId="3" fillId="2" borderId="0" xfId="1" applyNumberFormat="1" applyFont="1" applyFill="1" applyBorder="1" applyAlignment="1">
      <alignment horizontal="right" vertical="top"/>
    </xf>
    <xf numFmtId="188" fontId="3" fillId="2" borderId="57" xfId="2028" applyNumberFormat="1" applyFont="1" applyFill="1" applyBorder="1" applyAlignment="1">
      <alignment horizontal="right" vertical="top"/>
    </xf>
    <xf numFmtId="188" fontId="3" fillId="2" borderId="106" xfId="1" applyNumberFormat="1" applyFont="1" applyFill="1" applyBorder="1" applyAlignment="1">
      <alignment horizontal="right" vertical="top"/>
    </xf>
    <xf numFmtId="188" fontId="4" fillId="2" borderId="22" xfId="1" applyNumberFormat="1" applyFont="1" applyFill="1" applyBorder="1" applyAlignment="1">
      <alignment horizontal="right" vertical="top" wrapText="1"/>
    </xf>
    <xf numFmtId="3" fontId="3" fillId="2" borderId="0" xfId="2027" applyNumberFormat="1" applyFont="1" applyFill="1" applyAlignment="1">
      <alignment horizontal="right" vertical="top" wrapText="1"/>
    </xf>
    <xf numFmtId="0" fontId="3" fillId="2" borderId="0" xfId="2027" applyFont="1" applyFill="1" applyAlignment="1">
      <alignment horizontal="right" vertical="top" wrapText="1"/>
    </xf>
    <xf numFmtId="188" fontId="3" fillId="2" borderId="2" xfId="1" applyNumberFormat="1" applyFont="1" applyFill="1" applyBorder="1" applyAlignment="1">
      <alignment horizontal="right" vertical="top"/>
    </xf>
    <xf numFmtId="188" fontId="4" fillId="2" borderId="2" xfId="2016" applyNumberFormat="1" applyFont="1" applyFill="1" applyBorder="1" applyAlignment="1">
      <alignment horizontal="right" vertical="top"/>
    </xf>
    <xf numFmtId="188" fontId="3" fillId="2" borderId="2" xfId="2016" applyNumberFormat="1" applyFont="1" applyFill="1" applyBorder="1" applyAlignment="1">
      <alignment horizontal="right" vertical="top"/>
    </xf>
    <xf numFmtId="188" fontId="3" fillId="2" borderId="2" xfId="1631" applyNumberFormat="1" applyFont="1" applyFill="1" applyBorder="1" applyAlignment="1">
      <alignment horizontal="right" vertical="top"/>
    </xf>
    <xf numFmtId="188" fontId="3" fillId="2" borderId="8" xfId="2016" applyNumberFormat="1" applyFont="1" applyFill="1" applyBorder="1" applyAlignment="1">
      <alignment horizontal="right" vertical="top"/>
    </xf>
    <xf numFmtId="188" fontId="3" fillId="2" borderId="8" xfId="1" applyNumberFormat="1" applyFont="1" applyFill="1" applyBorder="1" applyAlignment="1">
      <alignment horizontal="right" vertical="top"/>
    </xf>
    <xf numFmtId="188" fontId="3" fillId="2" borderId="8" xfId="1631" applyNumberFormat="1" applyFont="1" applyFill="1" applyBorder="1" applyAlignment="1">
      <alignment horizontal="right" vertical="top"/>
    </xf>
    <xf numFmtId="188" fontId="3" fillId="2" borderId="2" xfId="2014" applyNumberFormat="1" applyFont="1" applyFill="1" applyBorder="1" applyAlignment="1">
      <alignment horizontal="right" vertical="top"/>
    </xf>
    <xf numFmtId="188" fontId="4" fillId="2" borderId="2" xfId="2014" applyNumberFormat="1" applyFont="1" applyFill="1" applyBorder="1" applyAlignment="1">
      <alignment horizontal="right" vertical="top"/>
    </xf>
    <xf numFmtId="188" fontId="3" fillId="2" borderId="2" xfId="1631" applyNumberFormat="1" applyFont="1" applyFill="1" applyBorder="1" applyAlignment="1">
      <alignment vertical="top" wrapText="1"/>
    </xf>
    <xf numFmtId="188" fontId="3" fillId="2" borderId="2" xfId="1" applyNumberFormat="1" applyFont="1" applyFill="1" applyBorder="1" applyAlignment="1">
      <alignment vertical="top" wrapText="1"/>
    </xf>
    <xf numFmtId="188" fontId="4" fillId="2" borderId="37" xfId="1631" applyNumberFormat="1" applyFont="1" applyFill="1" applyBorder="1" applyAlignment="1">
      <alignment vertical="top" wrapText="1"/>
    </xf>
    <xf numFmtId="188" fontId="3" fillId="2" borderId="0" xfId="1" applyNumberFormat="1" applyFont="1" applyFill="1" applyBorder="1" applyAlignment="1">
      <alignment horizontal="right"/>
    </xf>
    <xf numFmtId="188" fontId="4" fillId="2" borderId="57" xfId="2031" applyNumberFormat="1" applyFont="1" applyFill="1" applyBorder="1" applyAlignment="1">
      <alignment horizontal="right"/>
    </xf>
    <xf numFmtId="188" fontId="39" fillId="2" borderId="2" xfId="4" applyNumberFormat="1" applyFont="1" applyFill="1" applyBorder="1" applyAlignment="1">
      <alignment horizontal="right" vertical="center"/>
    </xf>
    <xf numFmtId="0" fontId="52" fillId="25" borderId="0" xfId="0" applyFont="1" applyFill="1" applyAlignment="1">
      <alignment wrapText="1"/>
    </xf>
    <xf numFmtId="0" fontId="52" fillId="25" borderId="91" xfId="0" applyFont="1" applyFill="1" applyBorder="1"/>
    <xf numFmtId="167" fontId="52" fillId="25" borderId="91" xfId="1" applyNumberFormat="1" applyFont="1" applyFill="1" applyBorder="1"/>
    <xf numFmtId="167" fontId="52" fillId="25" borderId="2" xfId="1" applyNumberFormat="1" applyFont="1" applyFill="1" applyBorder="1"/>
    <xf numFmtId="167" fontId="52" fillId="25" borderId="92" xfId="1" applyNumberFormat="1" applyFont="1" applyFill="1" applyBorder="1"/>
    <xf numFmtId="166" fontId="52" fillId="25" borderId="0" xfId="1" applyFont="1" applyFill="1" applyBorder="1"/>
    <xf numFmtId="0" fontId="52" fillId="25" borderId="0" xfId="0" applyFont="1" applyFill="1"/>
    <xf numFmtId="167" fontId="52" fillId="25" borderId="0" xfId="0" applyNumberFormat="1" applyFont="1" applyFill="1"/>
    <xf numFmtId="167" fontId="68" fillId="2" borderId="2" xfId="1" applyNumberFormat="1" applyFont="1" applyFill="1" applyBorder="1"/>
    <xf numFmtId="49" fontId="70" fillId="0" borderId="0" xfId="0" applyNumberFormat="1" applyFont="1" applyAlignment="1">
      <alignment vertical="top"/>
    </xf>
    <xf numFmtId="49" fontId="71" fillId="0" borderId="0" xfId="0" applyNumberFormat="1" applyFont="1" applyAlignment="1">
      <alignment horizontal="left" vertical="top" indent="2"/>
    </xf>
    <xf numFmtId="172" fontId="71" fillId="0" borderId="0" xfId="0" applyNumberFormat="1" applyFont="1" applyAlignment="1">
      <alignment horizontal="right" vertical="top"/>
    </xf>
    <xf numFmtId="173" fontId="71" fillId="0" borderId="0" xfId="0" applyNumberFormat="1" applyFont="1" applyAlignment="1">
      <alignment horizontal="right" vertical="top"/>
    </xf>
    <xf numFmtId="49" fontId="72" fillId="0" borderId="0" xfId="0" applyNumberFormat="1" applyFont="1" applyAlignment="1">
      <alignment horizontal="left" vertical="top" indent="2"/>
    </xf>
    <xf numFmtId="172" fontId="72" fillId="0" borderId="0" xfId="0" applyNumberFormat="1" applyFont="1" applyAlignment="1">
      <alignment horizontal="right" vertical="top"/>
    </xf>
    <xf numFmtId="173" fontId="72" fillId="0" borderId="0" xfId="0" applyNumberFormat="1" applyFont="1" applyAlignment="1">
      <alignment horizontal="right" vertical="top"/>
    </xf>
    <xf numFmtId="173" fontId="70" fillId="0" borderId="20" xfId="0" applyNumberFormat="1" applyFont="1" applyBorder="1" applyAlignment="1">
      <alignment horizontal="right" vertical="top"/>
    </xf>
    <xf numFmtId="49" fontId="72" fillId="0" borderId="0" xfId="0" applyNumberFormat="1" applyFont="1" applyAlignment="1">
      <alignment horizontal="left" vertical="top" indent="3"/>
    </xf>
    <xf numFmtId="172" fontId="70" fillId="0" borderId="0" xfId="0" applyNumberFormat="1" applyFont="1" applyAlignment="1">
      <alignment horizontal="right" vertical="top"/>
    </xf>
    <xf numFmtId="172" fontId="71" fillId="0" borderId="20" xfId="0" applyNumberFormat="1" applyFont="1" applyBorder="1" applyAlignment="1">
      <alignment horizontal="right" vertical="top"/>
    </xf>
    <xf numFmtId="49" fontId="71" fillId="0" borderId="0" xfId="0" applyNumberFormat="1" applyFont="1" applyAlignment="1">
      <alignment horizontal="left" vertical="top" indent="3"/>
    </xf>
    <xf numFmtId="49" fontId="72" fillId="0" borderId="0" xfId="0" applyNumberFormat="1" applyFont="1" applyAlignment="1">
      <alignment horizontal="left" vertical="top" indent="4"/>
    </xf>
    <xf numFmtId="172" fontId="70" fillId="0" borderId="20" xfId="0" applyNumberFormat="1" applyFont="1" applyBorder="1" applyAlignment="1">
      <alignment horizontal="right" vertical="top"/>
    </xf>
    <xf numFmtId="49" fontId="71" fillId="0" borderId="0" xfId="0" applyNumberFormat="1" applyFont="1" applyAlignment="1">
      <alignment vertical="top"/>
    </xf>
    <xf numFmtId="0" fontId="68" fillId="2" borderId="0" xfId="0" applyFont="1" applyFill="1" applyAlignment="1">
      <alignment wrapText="1"/>
    </xf>
    <xf numFmtId="167" fontId="43" fillId="26" borderId="91" xfId="1" applyNumberFormat="1" applyFont="1" applyFill="1" applyBorder="1"/>
    <xf numFmtId="167" fontId="43" fillId="27" borderId="91" xfId="1" applyNumberFormat="1" applyFont="1" applyFill="1" applyBorder="1"/>
    <xf numFmtId="166" fontId="36" fillId="2" borderId="0" xfId="2" applyNumberFormat="1" applyFont="1" applyFill="1"/>
    <xf numFmtId="167" fontId="43" fillId="2" borderId="0" xfId="0" applyNumberFormat="1" applyFont="1" applyFill="1" applyAlignment="1">
      <alignment wrapText="1"/>
    </xf>
    <xf numFmtId="167" fontId="43" fillId="28" borderId="107" xfId="1" applyNumberFormat="1" applyFont="1" applyFill="1" applyBorder="1"/>
    <xf numFmtId="167" fontId="43" fillId="29" borderId="107" xfId="1" applyNumberFormat="1" applyFont="1" applyFill="1" applyBorder="1"/>
    <xf numFmtId="167" fontId="43" fillId="29" borderId="109" xfId="1" applyNumberFormat="1" applyFont="1" applyFill="1" applyBorder="1"/>
    <xf numFmtId="167" fontId="52" fillId="29" borderId="109" xfId="1" applyNumberFormat="1" applyFont="1" applyFill="1" applyBorder="1"/>
    <xf numFmtId="2" fontId="0" fillId="0" borderId="0" xfId="0" applyNumberFormat="1"/>
    <xf numFmtId="166" fontId="3" fillId="2" borderId="0" xfId="0" applyNumberFormat="1" applyFont="1" applyFill="1"/>
    <xf numFmtId="167" fontId="36" fillId="0" borderId="0" xfId="1" applyNumberFormat="1" applyFont="1" applyFill="1"/>
    <xf numFmtId="167" fontId="36" fillId="0" borderId="0" xfId="1" applyNumberFormat="1" applyFont="1" applyFill="1" applyAlignment="1">
      <alignment wrapText="1"/>
    </xf>
    <xf numFmtId="167" fontId="3" fillId="0" borderId="2" xfId="3" applyNumberFormat="1" applyFont="1" applyFill="1" applyBorder="1"/>
    <xf numFmtId="167" fontId="3" fillId="0" borderId="3" xfId="3" applyNumberFormat="1" applyFont="1" applyFill="1" applyBorder="1"/>
    <xf numFmtId="0" fontId="3" fillId="0" borderId="2" xfId="3" applyNumberFormat="1" applyFont="1" applyFill="1" applyBorder="1" applyAlignment="1">
      <alignment horizontal="center" vertical="center"/>
    </xf>
    <xf numFmtId="188" fontId="3" fillId="0" borderId="2" xfId="3" applyNumberFormat="1" applyFont="1" applyFill="1" applyBorder="1"/>
    <xf numFmtId="0" fontId="3" fillId="0" borderId="2" xfId="3" applyNumberFormat="1" applyFont="1" applyFill="1" applyBorder="1" applyAlignment="1">
      <alignment horizontal="center" vertical="center" wrapText="1"/>
    </xf>
    <xf numFmtId="188" fontId="4" fillId="0" borderId="37" xfId="3" applyNumberFormat="1" applyFont="1" applyFill="1" applyBorder="1"/>
    <xf numFmtId="167" fontId="4" fillId="0" borderId="37" xfId="3" applyNumberFormat="1" applyFont="1" applyFill="1" applyBorder="1"/>
    <xf numFmtId="167" fontId="4" fillId="0" borderId="5" xfId="3" applyNumberFormat="1" applyFont="1" applyFill="1" applyBorder="1"/>
    <xf numFmtId="167" fontId="3" fillId="0" borderId="8" xfId="3" applyNumberFormat="1" applyFont="1" applyFill="1" applyBorder="1"/>
    <xf numFmtId="188" fontId="3" fillId="0" borderId="8" xfId="3" applyNumberFormat="1" applyFont="1" applyFill="1" applyBorder="1"/>
    <xf numFmtId="167" fontId="3" fillId="0" borderId="7" xfId="3" applyNumberFormat="1" applyFont="1" applyFill="1" applyBorder="1"/>
    <xf numFmtId="166" fontId="36" fillId="0" borderId="0" xfId="1" applyFont="1" applyFill="1"/>
    <xf numFmtId="166" fontId="3" fillId="0" borderId="0" xfId="1" applyFont="1" applyFill="1"/>
    <xf numFmtId="167" fontId="3" fillId="0" borderId="0" xfId="1" applyNumberFormat="1" applyFont="1" applyFill="1"/>
    <xf numFmtId="0" fontId="4" fillId="2" borderId="105" xfId="6" applyFont="1" applyFill="1" applyBorder="1"/>
    <xf numFmtId="168" fontId="4" fillId="2" borderId="85" xfId="6" applyNumberFormat="1" applyFont="1" applyFill="1" applyBorder="1" applyAlignment="1">
      <alignment horizontal="center"/>
    </xf>
    <xf numFmtId="168" fontId="4" fillId="2" borderId="83" xfId="6" applyNumberFormat="1" applyFont="1" applyFill="1" applyBorder="1" applyAlignment="1">
      <alignment horizontal="center"/>
    </xf>
    <xf numFmtId="0" fontId="4" fillId="2" borderId="2" xfId="6" quotePrefix="1" applyFont="1" applyFill="1" applyBorder="1" applyAlignment="1">
      <alignment horizontal="center" wrapText="1"/>
    </xf>
    <xf numFmtId="166" fontId="6" fillId="2" borderId="0" xfId="1" applyFont="1" applyFill="1"/>
    <xf numFmtId="167" fontId="3" fillId="2" borderId="105" xfId="1" applyNumberFormat="1" applyFont="1" applyFill="1" applyBorder="1"/>
    <xf numFmtId="188" fontId="3" fillId="2" borderId="83" xfId="1" applyNumberFormat="1" applyFont="1" applyFill="1" applyBorder="1"/>
    <xf numFmtId="188" fontId="3" fillId="2" borderId="85" xfId="1" applyNumberFormat="1" applyFont="1" applyFill="1" applyBorder="1"/>
    <xf numFmtId="188" fontId="3" fillId="2" borderId="85" xfId="1" applyNumberFormat="1" applyFont="1" applyFill="1" applyBorder="1" applyAlignment="1"/>
    <xf numFmtId="188" fontId="4" fillId="2" borderId="85" xfId="1" applyNumberFormat="1" applyFont="1" applyFill="1" applyBorder="1"/>
    <xf numFmtId="188" fontId="4" fillId="2" borderId="85" xfId="6" applyNumberFormat="1" applyFont="1" applyFill="1" applyBorder="1" applyAlignment="1">
      <alignment horizontal="center"/>
    </xf>
    <xf numFmtId="188" fontId="4" fillId="2" borderId="83" xfId="6" applyNumberFormat="1" applyFont="1" applyFill="1" applyBorder="1" applyAlignment="1">
      <alignment horizontal="center"/>
    </xf>
    <xf numFmtId="167" fontId="4" fillId="2" borderId="105" xfId="1" applyNumberFormat="1" applyFont="1" applyFill="1" applyBorder="1"/>
    <xf numFmtId="188" fontId="4" fillId="2" borderId="85" xfId="1" applyNumberFormat="1" applyFont="1" applyFill="1" applyBorder="1" applyAlignment="1">
      <alignment horizontal="center"/>
    </xf>
    <xf numFmtId="188" fontId="4" fillId="2" borderId="83" xfId="1" applyNumberFormat="1" applyFont="1" applyFill="1" applyBorder="1" applyAlignment="1">
      <alignment horizontal="center"/>
    </xf>
    <xf numFmtId="188" fontId="4" fillId="2" borderId="83" xfId="1" applyNumberFormat="1" applyFont="1" applyFill="1" applyBorder="1"/>
    <xf numFmtId="167" fontId="3" fillId="2" borderId="83" xfId="1" applyNumberFormat="1" applyFont="1" applyFill="1" applyBorder="1"/>
    <xf numFmtId="166" fontId="6" fillId="2" borderId="0" xfId="6" applyNumberFormat="1" applyFont="1" applyFill="1"/>
    <xf numFmtId="0" fontId="4" fillId="0" borderId="0" xfId="2" applyFont="1"/>
    <xf numFmtId="0" fontId="36" fillId="0" borderId="0" xfId="2" applyFont="1"/>
    <xf numFmtId="0" fontId="3" fillId="0" borderId="0" xfId="2" applyFont="1"/>
    <xf numFmtId="0" fontId="3" fillId="0" borderId="0" xfId="2021" applyFont="1"/>
    <xf numFmtId="0" fontId="4" fillId="0" borderId="0" xfId="2" applyFont="1" applyAlignment="1">
      <alignment horizontal="right"/>
    </xf>
    <xf numFmtId="0" fontId="36" fillId="0" borderId="0" xfId="2" applyFont="1" applyAlignment="1">
      <alignment wrapText="1"/>
    </xf>
    <xf numFmtId="0" fontId="4" fillId="0" borderId="37" xfId="2" applyFont="1" applyBorder="1" applyAlignment="1">
      <alignment horizontal="center" vertical="center" wrapText="1"/>
    </xf>
    <xf numFmtId="0" fontId="4" fillId="0" borderId="1" xfId="2" applyFont="1" applyBorder="1" applyAlignment="1">
      <alignment horizontal="center" vertical="center" wrapText="1"/>
    </xf>
    <xf numFmtId="0" fontId="4" fillId="0" borderId="0" xfId="2" applyFont="1" applyAlignment="1">
      <alignment horizontal="center"/>
    </xf>
    <xf numFmtId="0" fontId="4" fillId="0" borderId="2" xfId="2" applyFont="1" applyBorder="1"/>
    <xf numFmtId="0" fontId="3" fillId="0" borderId="2" xfId="2" applyFont="1" applyBorder="1"/>
    <xf numFmtId="16" fontId="45" fillId="0" borderId="2" xfId="0" quotePrefix="1" applyNumberFormat="1" applyFont="1" applyBorder="1" applyAlignment="1">
      <alignment horizontal="center" vertical="center" wrapText="1"/>
    </xf>
    <xf numFmtId="16" fontId="45" fillId="0" borderId="3" xfId="0" quotePrefix="1" applyNumberFormat="1" applyFont="1" applyBorder="1" applyAlignment="1">
      <alignment horizontal="center" vertical="center" wrapText="1"/>
    </xf>
    <xf numFmtId="0" fontId="36" fillId="0" borderId="2" xfId="2" applyFont="1" applyBorder="1"/>
    <xf numFmtId="0" fontId="4" fillId="0" borderId="0" xfId="2" quotePrefix="1" applyFont="1" applyAlignment="1">
      <alignment horizontal="center" vertical="center"/>
    </xf>
    <xf numFmtId="167" fontId="36" fillId="0" borderId="0" xfId="2" applyNumberFormat="1" applyFont="1"/>
    <xf numFmtId="0" fontId="36" fillId="0" borderId="2" xfId="2" applyFont="1" applyBorder="1" applyAlignment="1">
      <alignment horizontal="left"/>
    </xf>
    <xf numFmtId="0" fontId="36" fillId="0" borderId="2" xfId="2" applyFont="1" applyBorder="1" applyAlignment="1">
      <alignment horizontal="left" indent="3"/>
    </xf>
    <xf numFmtId="0" fontId="4" fillId="0" borderId="2" xfId="2" applyFont="1" applyBorder="1" applyAlignment="1">
      <alignment horizontal="center" vertical="center"/>
    </xf>
    <xf numFmtId="0" fontId="36" fillId="0" borderId="8" xfId="2" applyFont="1" applyBorder="1"/>
    <xf numFmtId="0" fontId="36" fillId="0" borderId="2" xfId="2" quotePrefix="1" applyFont="1" applyBorder="1" applyAlignment="1">
      <alignment horizontal="left" wrapText="1" indent="3"/>
    </xf>
    <xf numFmtId="0" fontId="3" fillId="0" borderId="3" xfId="2" applyFont="1" applyBorder="1"/>
    <xf numFmtId="0" fontId="3" fillId="0" borderId="8" xfId="2" applyFont="1" applyBorder="1" applyAlignment="1">
      <alignment wrapText="1"/>
    </xf>
    <xf numFmtId="0" fontId="42" fillId="0" borderId="8" xfId="2" applyFont="1" applyBorder="1"/>
    <xf numFmtId="0" fontId="3" fillId="0" borderId="8" xfId="2" applyFont="1" applyBorder="1"/>
    <xf numFmtId="0" fontId="3" fillId="0" borderId="9" xfId="2" applyFont="1" applyBorder="1"/>
    <xf numFmtId="0" fontId="4" fillId="0" borderId="0" xfId="0" applyFont="1"/>
    <xf numFmtId="0" fontId="3" fillId="0" borderId="0" xfId="0" applyFont="1"/>
    <xf numFmtId="167" fontId="3" fillId="0" borderId="0" xfId="0" applyNumberFormat="1" applyFont="1"/>
    <xf numFmtId="166" fontId="3" fillId="0" borderId="0" xfId="0" applyNumberFormat="1" applyFont="1"/>
    <xf numFmtId="0" fontId="3" fillId="0" borderId="0" xfId="4" applyFont="1"/>
    <xf numFmtId="0" fontId="4" fillId="0" borderId="0" xfId="0" applyFont="1" applyAlignment="1">
      <alignment horizontal="left"/>
    </xf>
    <xf numFmtId="0" fontId="4" fillId="0" borderId="0" xfId="4" applyFont="1" applyAlignment="1">
      <alignment horizontal="left"/>
    </xf>
    <xf numFmtId="0" fontId="3" fillId="0" borderId="0" xfId="0" applyFont="1" applyAlignment="1">
      <alignment horizontal="left"/>
    </xf>
    <xf numFmtId="0" fontId="3" fillId="0" borderId="0" xfId="5" applyFont="1"/>
    <xf numFmtId="0" fontId="3" fillId="0" borderId="0" xfId="4" applyFont="1" applyAlignment="1">
      <alignment horizontal="left"/>
    </xf>
    <xf numFmtId="188" fontId="4" fillId="0" borderId="5" xfId="3" applyNumberFormat="1" applyFont="1" applyFill="1" applyBorder="1"/>
    <xf numFmtId="0" fontId="4" fillId="0" borderId="0" xfId="2" quotePrefix="1" applyFont="1"/>
    <xf numFmtId="0" fontId="38" fillId="0" borderId="0" xfId="2" applyFont="1" applyAlignment="1">
      <alignment horizontal="center" vertical="center"/>
    </xf>
    <xf numFmtId="0" fontId="4" fillId="0" borderId="4" xfId="2" applyFont="1" applyBorder="1" applyAlignment="1">
      <alignment vertical="center"/>
    </xf>
    <xf numFmtId="0" fontId="4" fillId="0" borderId="4" xfId="2" applyFont="1" applyBorder="1" applyAlignment="1">
      <alignment horizontal="center" vertical="center" wrapText="1"/>
    </xf>
    <xf numFmtId="0" fontId="64" fillId="0" borderId="0" xfId="2" applyFont="1"/>
    <xf numFmtId="0" fontId="4" fillId="0" borderId="10" xfId="2" applyFont="1" applyBorder="1"/>
    <xf numFmtId="167" fontId="3" fillId="0" borderId="11" xfId="3" applyNumberFormat="1" applyFont="1" applyFill="1" applyBorder="1"/>
    <xf numFmtId="188" fontId="3" fillId="0" borderId="11" xfId="3" applyNumberFormat="1" applyFont="1" applyFill="1" applyBorder="1"/>
    <xf numFmtId="188" fontId="36" fillId="0" borderId="0" xfId="1" applyNumberFormat="1" applyFont="1" applyFill="1"/>
    <xf numFmtId="188" fontId="3" fillId="0" borderId="4" xfId="3" applyNumberFormat="1" applyFont="1" applyFill="1" applyBorder="1"/>
    <xf numFmtId="3" fontId="36" fillId="0" borderId="0" xfId="2" applyNumberFormat="1" applyFont="1"/>
    <xf numFmtId="0" fontId="4" fillId="0" borderId="8" xfId="2" applyFont="1" applyBorder="1"/>
    <xf numFmtId="188" fontId="3" fillId="0" borderId="5" xfId="3" applyNumberFormat="1" applyFont="1" applyFill="1" applyBorder="1"/>
    <xf numFmtId="167" fontId="3" fillId="0" borderId="5" xfId="3" applyNumberFormat="1" applyFont="1" applyFill="1" applyBorder="1"/>
    <xf numFmtId="167" fontId="3" fillId="0" borderId="0" xfId="3" applyNumberFormat="1" applyFont="1" applyFill="1" applyBorder="1"/>
    <xf numFmtId="0" fontId="74" fillId="0" borderId="2" xfId="2" applyFont="1" applyBorder="1"/>
    <xf numFmtId="0" fontId="36" fillId="0" borderId="20" xfId="2" applyFont="1" applyBorder="1" applyAlignment="1">
      <alignment vertical="top" wrapText="1"/>
    </xf>
    <xf numFmtId="0" fontId="36" fillId="0" borderId="0" xfId="2" applyFont="1" applyAlignment="1">
      <alignment vertical="top" wrapText="1"/>
    </xf>
    <xf numFmtId="0" fontId="3" fillId="0" borderId="2" xfId="0" applyFont="1" applyBorder="1"/>
    <xf numFmtId="0" fontId="35" fillId="0" borderId="0" xfId="2" applyFont="1"/>
    <xf numFmtId="167" fontId="3" fillId="0" borderId="49" xfId="3" applyNumberFormat="1" applyFont="1" applyFill="1" applyBorder="1"/>
    <xf numFmtId="0" fontId="4" fillId="0" borderId="37" xfId="2" applyFont="1" applyBorder="1" applyAlignment="1">
      <alignment wrapText="1"/>
    </xf>
    <xf numFmtId="167" fontId="3" fillId="0" borderId="50" xfId="3" applyNumberFormat="1" applyFont="1" applyFill="1" applyBorder="1"/>
    <xf numFmtId="188" fontId="3" fillId="0" borderId="50" xfId="3" applyNumberFormat="1" applyFont="1" applyFill="1" applyBorder="1"/>
    <xf numFmtId="0" fontId="3" fillId="0" borderId="10" xfId="2" applyFont="1" applyBorder="1"/>
    <xf numFmtId="188" fontId="3" fillId="0" borderId="12" xfId="3" applyNumberFormat="1" applyFont="1" applyFill="1" applyBorder="1"/>
    <xf numFmtId="4" fontId="36" fillId="0" borderId="0" xfId="2" applyNumberFormat="1" applyFont="1"/>
    <xf numFmtId="0" fontId="3" fillId="0" borderId="83" xfId="2" applyFont="1" applyBorder="1"/>
    <xf numFmtId="0" fontId="3" fillId="0" borderId="2" xfId="2" applyFont="1" applyBorder="1" applyAlignment="1">
      <alignment horizontal="right"/>
    </xf>
    <xf numFmtId="0" fontId="36" fillId="0" borderId="2" xfId="2" applyFont="1" applyBorder="1" applyAlignment="1">
      <alignment horizontal="right"/>
    </xf>
    <xf numFmtId="0" fontId="4" fillId="0" borderId="2" xfId="2" applyFont="1" applyBorder="1" applyAlignment="1">
      <alignment horizontal="right"/>
    </xf>
    <xf numFmtId="188" fontId="4" fillId="0" borderId="4" xfId="3" applyNumberFormat="1" applyFont="1" applyFill="1" applyBorder="1"/>
    <xf numFmtId="0" fontId="4" fillId="0" borderId="8" xfId="2" applyFont="1" applyBorder="1" applyAlignment="1">
      <alignment horizontal="right"/>
    </xf>
    <xf numFmtId="0" fontId="4" fillId="0" borderId="4" xfId="2" applyFont="1" applyBorder="1" applyAlignment="1">
      <alignment horizontal="right"/>
    </xf>
    <xf numFmtId="167" fontId="3" fillId="0" borderId="4" xfId="3" applyNumberFormat="1" applyFont="1" applyFill="1" applyBorder="1"/>
    <xf numFmtId="0" fontId="3" fillId="0" borderId="2" xfId="2" applyFont="1" applyBorder="1" applyAlignment="1">
      <alignment wrapText="1"/>
    </xf>
    <xf numFmtId="188" fontId="3" fillId="0" borderId="0" xfId="2" applyNumberFormat="1" applyFont="1"/>
    <xf numFmtId="0" fontId="4" fillId="0" borderId="15" xfId="0" applyFont="1" applyBorder="1" applyAlignment="1">
      <alignment vertical="center"/>
    </xf>
    <xf numFmtId="0" fontId="4" fillId="0" borderId="4" xfId="0" applyFont="1" applyBorder="1" applyAlignment="1">
      <alignment horizontal="center" vertical="center" wrapText="1"/>
    </xf>
    <xf numFmtId="0" fontId="4" fillId="0" borderId="13" xfId="0" applyFont="1" applyBorder="1"/>
    <xf numFmtId="167" fontId="3" fillId="0" borderId="10" xfId="0" applyNumberFormat="1" applyFont="1" applyBorder="1"/>
    <xf numFmtId="0" fontId="3" fillId="0" borderId="14" xfId="0" applyFont="1" applyBorder="1"/>
    <xf numFmtId="188" fontId="3" fillId="0" borderId="2" xfId="0" applyNumberFormat="1" applyFont="1" applyBorder="1"/>
    <xf numFmtId="167" fontId="3" fillId="0" borderId="2" xfId="0" applyNumberFormat="1" applyFont="1" applyBorder="1"/>
    <xf numFmtId="0" fontId="4" fillId="0" borderId="18" xfId="0" applyFont="1" applyBorder="1"/>
    <xf numFmtId="188" fontId="4" fillId="0" borderId="83" xfId="3" applyNumberFormat="1" applyFont="1" applyFill="1" applyBorder="1"/>
    <xf numFmtId="167" fontId="4" fillId="0" borderId="83" xfId="3" applyNumberFormat="1" applyFont="1" applyFill="1" applyBorder="1"/>
    <xf numFmtId="0" fontId="4" fillId="0" borderId="15" xfId="0" applyFont="1" applyBorder="1"/>
    <xf numFmtId="167" fontId="4" fillId="0" borderId="4" xfId="3" applyNumberFormat="1" applyFont="1" applyFill="1" applyBorder="1"/>
    <xf numFmtId="0" fontId="35" fillId="0" borderId="14" xfId="0" applyFont="1" applyBorder="1"/>
    <xf numFmtId="0" fontId="4" fillId="0" borderId="76" xfId="2" applyFont="1" applyBorder="1" applyAlignment="1">
      <alignment vertical="center"/>
    </xf>
    <xf numFmtId="0" fontId="4" fillId="0" borderId="6" xfId="2" applyFont="1" applyBorder="1" applyAlignment="1">
      <alignment horizontal="center" vertical="center" wrapText="1"/>
    </xf>
    <xf numFmtId="0" fontId="4" fillId="0" borderId="76" xfId="2" applyFont="1" applyBorder="1"/>
    <xf numFmtId="167" fontId="3" fillId="0" borderId="77" xfId="3" applyNumberFormat="1" applyFont="1" applyFill="1" applyBorder="1"/>
    <xf numFmtId="167" fontId="4" fillId="0" borderId="11" xfId="3" applyNumberFormat="1" applyFont="1" applyFill="1" applyBorder="1"/>
    <xf numFmtId="167" fontId="3" fillId="0" borderId="11" xfId="1" applyNumberFormat="1" applyFont="1" applyFill="1" applyBorder="1"/>
    <xf numFmtId="10" fontId="3" fillId="0" borderId="11" xfId="20" applyNumberFormat="1" applyFont="1" applyFill="1" applyBorder="1"/>
    <xf numFmtId="10" fontId="3" fillId="0" borderId="12" xfId="20" applyNumberFormat="1" applyFont="1" applyFill="1" applyBorder="1"/>
    <xf numFmtId="0" fontId="3" fillId="0" borderId="8" xfId="2" applyFont="1" applyBorder="1" applyAlignment="1">
      <alignment horizontal="right"/>
    </xf>
    <xf numFmtId="0" fontId="4" fillId="0" borderId="83" xfId="2" applyFont="1" applyBorder="1"/>
    <xf numFmtId="0" fontId="4" fillId="0" borderId="2" xfId="2" applyFont="1" applyBorder="1" applyAlignment="1">
      <alignment horizontal="left" vertical="top"/>
    </xf>
    <xf numFmtId="167" fontId="3" fillId="0" borderId="12" xfId="1" applyNumberFormat="1" applyFont="1" applyFill="1" applyBorder="1"/>
    <xf numFmtId="0" fontId="3" fillId="0" borderId="0" xfId="2" applyFont="1" applyAlignment="1">
      <alignment horizontal="right"/>
    </xf>
    <xf numFmtId="167" fontId="3" fillId="0" borderId="0" xfId="1" applyNumberFormat="1" applyFont="1" applyFill="1" applyBorder="1"/>
    <xf numFmtId="0" fontId="3" fillId="0" borderId="0" xfId="2" applyFont="1" applyAlignment="1">
      <alignment horizontal="left" vertical="top"/>
    </xf>
    <xf numFmtId="10" fontId="3" fillId="0" borderId="0" xfId="20" applyNumberFormat="1" applyFont="1" applyFill="1" applyBorder="1"/>
    <xf numFmtId="0" fontId="3" fillId="0" borderId="13" xfId="0" applyFont="1" applyBorder="1"/>
    <xf numFmtId="14" fontId="3" fillId="0" borderId="2" xfId="0" applyNumberFormat="1" applyFont="1" applyBorder="1"/>
    <xf numFmtId="0" fontId="3" fillId="0" borderId="14" xfId="0" applyFont="1" applyBorder="1" applyAlignment="1">
      <alignment horizontal="left" vertical="top"/>
    </xf>
    <xf numFmtId="14" fontId="3" fillId="0" borderId="2" xfId="0" applyNumberFormat="1" applyFont="1" applyBorder="1" applyAlignment="1">
      <alignment horizontal="right" vertical="center" wrapText="1"/>
    </xf>
    <xf numFmtId="0" fontId="3" fillId="0" borderId="14" xfId="0" applyFont="1" applyBorder="1" applyAlignment="1">
      <alignment wrapText="1"/>
    </xf>
    <xf numFmtId="0" fontId="3" fillId="0" borderId="71" xfId="0" applyFont="1" applyBorder="1"/>
    <xf numFmtId="10" fontId="3" fillId="0" borderId="81" xfId="20" applyNumberFormat="1" applyFont="1" applyFill="1" applyBorder="1"/>
    <xf numFmtId="167" fontId="3" fillId="0" borderId="2" xfId="1" applyNumberFormat="1" applyFont="1" applyFill="1" applyBorder="1" applyAlignment="1">
      <alignment horizontal="right"/>
    </xf>
    <xf numFmtId="9" fontId="3" fillId="0" borderId="2" xfId="20" applyFont="1" applyFill="1" applyBorder="1"/>
    <xf numFmtId="167" fontId="3" fillId="0" borderId="2" xfId="0" applyNumberFormat="1" applyFont="1" applyBorder="1" applyAlignment="1">
      <alignment horizontal="right"/>
    </xf>
    <xf numFmtId="166" fontId="3" fillId="0" borderId="2" xfId="1" applyFont="1" applyFill="1" applyBorder="1"/>
    <xf numFmtId="0" fontId="3" fillId="0" borderId="8" xfId="0" applyFont="1" applyBorder="1" applyAlignment="1">
      <alignment vertical="top"/>
    </xf>
    <xf numFmtId="0" fontId="3" fillId="0" borderId="0" xfId="2" applyFont="1" applyAlignment="1">
      <alignment horizontal="justify" vertical="top" wrapText="1"/>
    </xf>
    <xf numFmtId="0" fontId="4" fillId="0" borderId="4" xfId="0" applyFont="1" applyBorder="1" applyAlignment="1">
      <alignment vertical="center"/>
    </xf>
    <xf numFmtId="167" fontId="3" fillId="0" borderId="76" xfId="0" applyNumberFormat="1" applyFont="1" applyBorder="1"/>
    <xf numFmtId="43" fontId="36" fillId="0" borderId="0" xfId="2" applyNumberFormat="1" applyFont="1"/>
    <xf numFmtId="0" fontId="4" fillId="0" borderId="14" xfId="0" applyFont="1" applyBorder="1"/>
    <xf numFmtId="188" fontId="3" fillId="0" borderId="8" xfId="0" applyNumberFormat="1" applyFont="1" applyBorder="1"/>
    <xf numFmtId="188" fontId="3" fillId="0" borderId="4" xfId="0" applyNumberFormat="1" applyFont="1" applyBorder="1"/>
    <xf numFmtId="167" fontId="3" fillId="0" borderId="4" xfId="0" applyNumberFormat="1" applyFont="1" applyBorder="1"/>
    <xf numFmtId="0" fontId="4" fillId="0" borderId="2" xfId="2" applyFont="1" applyBorder="1" applyAlignment="1">
      <alignment horizontal="center" vertical="center" wrapText="1"/>
    </xf>
    <xf numFmtId="188" fontId="3" fillId="0" borderId="0" xfId="3" applyNumberFormat="1" applyFont="1" applyFill="1" applyBorder="1"/>
    <xf numFmtId="0" fontId="36" fillId="0" borderId="0" xfId="2" applyFont="1" applyAlignment="1">
      <alignment vertical="top"/>
    </xf>
    <xf numFmtId="167" fontId="3" fillId="0" borderId="85" xfId="3" applyNumberFormat="1" applyFont="1" applyFill="1" applyBorder="1"/>
    <xf numFmtId="0" fontId="3" fillId="0" borderId="8" xfId="2" applyFont="1" applyBorder="1" applyAlignment="1">
      <alignment horizontal="left"/>
    </xf>
    <xf numFmtId="167" fontId="3" fillId="0" borderId="12" xfId="3" applyNumberFormat="1" applyFont="1" applyFill="1" applyBorder="1"/>
    <xf numFmtId="0" fontId="3" fillId="0" borderId="0" xfId="2" applyFont="1" applyAlignment="1">
      <alignment horizontal="justify" vertical="justify" wrapText="1"/>
    </xf>
    <xf numFmtId="0" fontId="4" fillId="0" borderId="105" xfId="2" applyFont="1" applyBorder="1" applyAlignment="1">
      <alignment vertical="center" wrapText="1"/>
    </xf>
    <xf numFmtId="0" fontId="4" fillId="0" borderId="83" xfId="2" applyFont="1" applyBorder="1" applyAlignment="1">
      <alignment vertical="center" wrapText="1"/>
    </xf>
    <xf numFmtId="0" fontId="4" fillId="0" borderId="14" xfId="2" applyFont="1" applyBorder="1" applyAlignment="1">
      <alignment vertical="center" wrapText="1"/>
    </xf>
    <xf numFmtId="0" fontId="4" fillId="0" borderId="2" xfId="2" applyFont="1" applyBorder="1" applyAlignment="1">
      <alignment vertical="center" wrapText="1"/>
    </xf>
    <xf numFmtId="0" fontId="4" fillId="0" borderId="14" xfId="2" applyFont="1" applyBorder="1"/>
    <xf numFmtId="0" fontId="3" fillId="0" borderId="14" xfId="2" applyFont="1" applyBorder="1"/>
    <xf numFmtId="188" fontId="3" fillId="0" borderId="2" xfId="1" applyNumberFormat="1" applyFont="1" applyFill="1" applyBorder="1"/>
    <xf numFmtId="0" fontId="4" fillId="0" borderId="14" xfId="2" applyFont="1" applyBorder="1" applyAlignment="1">
      <alignment vertical="top" wrapText="1"/>
    </xf>
    <xf numFmtId="188" fontId="4" fillId="0" borderId="4" xfId="1" applyNumberFormat="1" applyFont="1" applyFill="1" applyBorder="1" applyAlignment="1">
      <alignment vertical="top"/>
    </xf>
    <xf numFmtId="0" fontId="4" fillId="0" borderId="18" xfId="2" applyFont="1" applyBorder="1"/>
    <xf numFmtId="167" fontId="4" fillId="0" borderId="4" xfId="1" applyNumberFormat="1" applyFont="1" applyFill="1" applyBorder="1" applyAlignment="1">
      <alignment horizontal="right"/>
    </xf>
    <xf numFmtId="0" fontId="3" fillId="0" borderId="0" xfId="2" applyFont="1" applyAlignment="1">
      <alignment vertical="top" wrapText="1"/>
    </xf>
    <xf numFmtId="14" fontId="4" fillId="0" borderId="4" xfId="0" applyNumberFormat="1" applyFont="1" applyBorder="1" applyAlignment="1">
      <alignment horizontal="center" vertical="center" wrapText="1"/>
    </xf>
    <xf numFmtId="14" fontId="3" fillId="0" borderId="72" xfId="0" applyNumberFormat="1" applyFont="1" applyBorder="1"/>
    <xf numFmtId="167" fontId="3" fillId="0" borderId="72" xfId="0" applyNumberFormat="1" applyFont="1" applyBorder="1"/>
    <xf numFmtId="167" fontId="3" fillId="0" borderId="8" xfId="0" applyNumberFormat="1" applyFont="1" applyBorder="1"/>
    <xf numFmtId="14" fontId="3" fillId="0" borderId="0" xfId="2" applyNumberFormat="1" applyFont="1"/>
    <xf numFmtId="188" fontId="4" fillId="0" borderId="4" xfId="0" applyNumberFormat="1" applyFont="1" applyBorder="1" applyAlignment="1">
      <alignment horizontal="center" vertical="center" wrapText="1"/>
    </xf>
    <xf numFmtId="188" fontId="3" fillId="0" borderId="10" xfId="0" applyNumberFormat="1" applyFont="1" applyBorder="1"/>
    <xf numFmtId="188" fontId="4" fillId="0" borderId="82" xfId="0" applyNumberFormat="1" applyFont="1" applyBorder="1" applyAlignment="1">
      <alignment horizontal="center" vertical="center" wrapText="1"/>
    </xf>
    <xf numFmtId="188" fontId="3" fillId="0" borderId="85" xfId="0" applyNumberFormat="1" applyFont="1" applyBorder="1"/>
    <xf numFmtId="188" fontId="3" fillId="0" borderId="11" xfId="0" applyNumberFormat="1" applyFont="1" applyBorder="1"/>
    <xf numFmtId="188" fontId="3" fillId="0" borderId="0" xfId="0" applyNumberFormat="1" applyFont="1"/>
    <xf numFmtId="188" fontId="4" fillId="0" borderId="67" xfId="3" applyNumberFormat="1" applyFont="1" applyFill="1" applyBorder="1"/>
    <xf numFmtId="188" fontId="4" fillId="0" borderId="0" xfId="3" applyNumberFormat="1" applyFont="1" applyFill="1" applyBorder="1"/>
    <xf numFmtId="14" fontId="3" fillId="0" borderId="10" xfId="0" applyNumberFormat="1" applyFont="1" applyBorder="1"/>
    <xf numFmtId="14" fontId="36" fillId="0" borderId="0" xfId="2" applyNumberFormat="1" applyFont="1"/>
    <xf numFmtId="167" fontId="3" fillId="0" borderId="2" xfId="1" applyNumberFormat="1" applyFont="1" applyFill="1" applyBorder="1"/>
    <xf numFmtId="166" fontId="3" fillId="0" borderId="2" xfId="0" applyNumberFormat="1" applyFont="1" applyBorder="1"/>
    <xf numFmtId="167" fontId="4" fillId="0" borderId="23" xfId="3" applyNumberFormat="1" applyFont="1" applyFill="1" applyBorder="1"/>
    <xf numFmtId="167" fontId="4" fillId="0" borderId="0" xfId="3" applyNumberFormat="1" applyFont="1" applyFill="1" applyBorder="1"/>
    <xf numFmtId="0" fontId="3" fillId="0" borderId="0" xfId="0" applyFont="1" applyAlignment="1">
      <alignment vertical="top" wrapText="1"/>
    </xf>
    <xf numFmtId="167" fontId="3" fillId="0" borderId="0" xfId="2" applyNumberFormat="1" applyFont="1"/>
    <xf numFmtId="188" fontId="4" fillId="2" borderId="2" xfId="1" quotePrefix="1" applyNumberFormat="1" applyFont="1" applyFill="1" applyBorder="1" applyAlignment="1">
      <alignment horizontal="center" wrapText="1"/>
    </xf>
    <xf numFmtId="188" fontId="4" fillId="2" borderId="11" xfId="1" quotePrefix="1" applyNumberFormat="1" applyFont="1" applyFill="1" applyBorder="1" applyAlignment="1">
      <alignment horizontal="center" wrapText="1"/>
    </xf>
    <xf numFmtId="188" fontId="4" fillId="2" borderId="11" xfId="1" applyNumberFormat="1" applyFont="1" applyFill="1" applyBorder="1" applyAlignment="1">
      <alignment horizontal="center" wrapText="1"/>
    </xf>
    <xf numFmtId="167" fontId="4" fillId="2" borderId="14" xfId="1" applyNumberFormat="1" applyFont="1" applyFill="1" applyBorder="1" applyAlignment="1">
      <alignment horizontal="center" vertical="center" wrapText="1"/>
    </xf>
    <xf numFmtId="188" fontId="7" fillId="2" borderId="0" xfId="1" applyNumberFormat="1" applyFont="1" applyFill="1" applyAlignment="1">
      <alignment horizontal="center" wrapText="1"/>
    </xf>
    <xf numFmtId="167" fontId="7" fillId="2" borderId="0" xfId="1" applyNumberFormat="1" applyFont="1" applyFill="1" applyAlignment="1">
      <alignment horizontal="center" wrapText="1"/>
    </xf>
    <xf numFmtId="0" fontId="43" fillId="0" borderId="0" xfId="0" applyFont="1"/>
    <xf numFmtId="0" fontId="3" fillId="0" borderId="0" xfId="0" applyFont="1" applyAlignment="1">
      <alignment horizontal="center" vertical="center"/>
    </xf>
    <xf numFmtId="0" fontId="4" fillId="0" borderId="2" xfId="0" applyFont="1" applyBorder="1"/>
    <xf numFmtId="0" fontId="4" fillId="0" borderId="2" xfId="0" applyFont="1" applyBorder="1" applyAlignment="1">
      <alignment horizontal="center" vertical="center"/>
    </xf>
    <xf numFmtId="16" fontId="65" fillId="0" borderId="2" xfId="0" quotePrefix="1" applyNumberFormat="1" applyFont="1" applyBorder="1" applyAlignment="1">
      <alignment horizontal="center" vertical="center" wrapText="1"/>
    </xf>
    <xf numFmtId="0" fontId="3" fillId="0" borderId="2" xfId="0" applyFont="1" applyBorder="1" applyAlignment="1">
      <alignment horizontal="center" vertical="center"/>
    </xf>
    <xf numFmtId="188" fontId="3" fillId="0" borderId="2" xfId="1" applyNumberFormat="1" applyFont="1" applyFill="1" applyBorder="1" applyAlignment="1">
      <alignment horizontal="right"/>
    </xf>
    <xf numFmtId="167" fontId="43" fillId="0" borderId="0" xfId="0" applyNumberFormat="1" applyFont="1"/>
    <xf numFmtId="188" fontId="4" fillId="0" borderId="37" xfId="1" applyNumberFormat="1" applyFont="1" applyFill="1" applyBorder="1" applyAlignment="1">
      <alignment horizontal="right"/>
    </xf>
    <xf numFmtId="188" fontId="4" fillId="0" borderId="2" xfId="1" applyNumberFormat="1" applyFont="1" applyFill="1" applyBorder="1" applyAlignment="1">
      <alignment horizontal="right"/>
    </xf>
    <xf numFmtId="188" fontId="4" fillId="0" borderId="2" xfId="1" applyNumberFormat="1" applyFont="1" applyFill="1" applyBorder="1"/>
    <xf numFmtId="0" fontId="4" fillId="0" borderId="2" xfId="0" applyFont="1" applyBorder="1" applyAlignment="1">
      <alignment horizontal="left"/>
    </xf>
    <xf numFmtId="0" fontId="3" fillId="0" borderId="2" xfId="0" applyFont="1" applyBorder="1" applyAlignment="1">
      <alignment horizontal="left"/>
    </xf>
    <xf numFmtId="188" fontId="4" fillId="0" borderId="2" xfId="0" applyNumberFormat="1" applyFont="1" applyBorder="1"/>
    <xf numFmtId="0" fontId="3" fillId="0" borderId="2" xfId="0" applyFont="1" applyBorder="1" applyAlignment="1">
      <alignment horizontal="left" indent="2"/>
    </xf>
    <xf numFmtId="0" fontId="4" fillId="0" borderId="2" xfId="0" quotePrefix="1" applyFont="1" applyBorder="1"/>
    <xf numFmtId="188" fontId="4" fillId="0" borderId="5" xfId="1" applyNumberFormat="1" applyFont="1" applyFill="1" applyBorder="1"/>
    <xf numFmtId="166" fontId="43" fillId="0" borderId="0" xfId="0" applyNumberFormat="1" applyFont="1"/>
    <xf numFmtId="166" fontId="43" fillId="0" borderId="0" xfId="1" applyFont="1" applyFill="1"/>
    <xf numFmtId="185" fontId="43" fillId="0" borderId="0" xfId="0" applyNumberFormat="1" applyFont="1"/>
    <xf numFmtId="43" fontId="43" fillId="0" borderId="0" xfId="0" applyNumberFormat="1" applyFont="1"/>
    <xf numFmtId="0" fontId="43" fillId="0" borderId="2" xfId="0" applyFont="1" applyBorder="1"/>
    <xf numFmtId="3" fontId="4" fillId="0" borderId="2" xfId="0" applyNumberFormat="1" applyFont="1" applyBorder="1"/>
    <xf numFmtId="0" fontId="43" fillId="0" borderId="8" xfId="0" applyFont="1" applyBorder="1"/>
    <xf numFmtId="0" fontId="43" fillId="0" borderId="8" xfId="0" applyFont="1" applyBorder="1" applyAlignment="1">
      <alignment horizontal="center" vertical="center"/>
    </xf>
    <xf numFmtId="0" fontId="4" fillId="0" borderId="0" xfId="0" applyFont="1" applyAlignment="1">
      <alignment horizontal="left" vertical="top"/>
    </xf>
    <xf numFmtId="0" fontId="3" fillId="0" borderId="0" xfId="0" applyFont="1" applyAlignment="1">
      <alignment horizontal="left" vertical="center"/>
    </xf>
    <xf numFmtId="0" fontId="43" fillId="0" borderId="0" xfId="0" applyFont="1" applyAlignment="1">
      <alignment horizontal="center" vertical="center"/>
    </xf>
    <xf numFmtId="188" fontId="4" fillId="0" borderId="37" xfId="1" applyNumberFormat="1" applyFont="1" applyFill="1" applyBorder="1"/>
    <xf numFmtId="167" fontId="4" fillId="0" borderId="64" xfId="1" applyNumberFormat="1" applyFont="1" applyFill="1" applyBorder="1" applyAlignment="1">
      <alignment horizontal="center" vertical="top" wrapText="1"/>
    </xf>
    <xf numFmtId="170" fontId="4" fillId="0" borderId="60" xfId="281" applyNumberFormat="1" applyFont="1" applyFill="1" applyBorder="1" applyAlignment="1">
      <alignment horizontal="center" vertical="top" wrapText="1"/>
    </xf>
    <xf numFmtId="183" fontId="4" fillId="0" borderId="8" xfId="281" applyNumberFormat="1" applyFont="1" applyFill="1" applyBorder="1" applyAlignment="1">
      <alignment horizontal="center"/>
    </xf>
    <xf numFmtId="183" fontId="4" fillId="0" borderId="12" xfId="281" applyNumberFormat="1" applyFont="1" applyFill="1" applyBorder="1" applyAlignment="1">
      <alignment horizontal="center"/>
    </xf>
    <xf numFmtId="188" fontId="3" fillId="0" borderId="11" xfId="1" applyNumberFormat="1" applyFont="1" applyFill="1" applyBorder="1"/>
    <xf numFmtId="188" fontId="3" fillId="0" borderId="11" xfId="281" applyNumberFormat="1" applyFont="1" applyFill="1" applyBorder="1"/>
    <xf numFmtId="188" fontId="3" fillId="0" borderId="8" xfId="1" applyNumberFormat="1" applyFont="1" applyFill="1" applyBorder="1"/>
    <xf numFmtId="188" fontId="4" fillId="0" borderId="11" xfId="281" applyNumberFormat="1" applyFont="1" applyFill="1" applyBorder="1"/>
    <xf numFmtId="188" fontId="4" fillId="0" borderId="63" xfId="281" applyNumberFormat="1" applyFont="1" applyFill="1" applyBorder="1"/>
    <xf numFmtId="188" fontId="4" fillId="0" borderId="23" xfId="1" applyNumberFormat="1" applyFont="1" applyFill="1" applyBorder="1"/>
    <xf numFmtId="188" fontId="3" fillId="0" borderId="2" xfId="281" quotePrefix="1" applyNumberFormat="1" applyFont="1" applyFill="1" applyBorder="1" applyAlignment="1">
      <alignment horizontal="right" vertical="top"/>
    </xf>
    <xf numFmtId="188" fontId="3" fillId="0" borderId="11" xfId="281" quotePrefix="1" applyNumberFormat="1" applyFont="1" applyFill="1" applyBorder="1" applyAlignment="1">
      <alignment horizontal="right" vertical="top"/>
    </xf>
    <xf numFmtId="188" fontId="4" fillId="0" borderId="67" xfId="281" applyNumberFormat="1" applyFont="1" applyFill="1" applyBorder="1"/>
    <xf numFmtId="188" fontId="3" fillId="0" borderId="0" xfId="1" applyNumberFormat="1" applyFont="1" applyFill="1"/>
    <xf numFmtId="188" fontId="3" fillId="0" borderId="0" xfId="1" applyNumberFormat="1" applyFont="1" applyFill="1" applyAlignment="1">
      <alignment horizontal="center"/>
    </xf>
    <xf numFmtId="166" fontId="4" fillId="0" borderId="0" xfId="1" applyFont="1" applyFill="1" applyAlignment="1">
      <alignment horizontal="left" indent="4"/>
    </xf>
    <xf numFmtId="167" fontId="3" fillId="0" borderId="0" xfId="1" applyNumberFormat="1" applyFont="1" applyFill="1" applyAlignment="1">
      <alignment horizontal="center"/>
    </xf>
    <xf numFmtId="188" fontId="4" fillId="0" borderId="63" xfId="1" applyNumberFormat="1" applyFont="1" applyFill="1" applyBorder="1"/>
    <xf numFmtId="167" fontId="43" fillId="30" borderId="91" xfId="1" applyNumberFormat="1" applyFont="1" applyFill="1" applyBorder="1"/>
    <xf numFmtId="0" fontId="3" fillId="2" borderId="0" xfId="0" applyFont="1" applyFill="1" applyAlignment="1">
      <alignment horizontal="left"/>
    </xf>
    <xf numFmtId="167" fontId="43" fillId="32" borderId="107" xfId="1" applyNumberFormat="1" applyFont="1" applyFill="1" applyBorder="1"/>
    <xf numFmtId="167" fontId="68" fillId="2" borderId="107" xfId="1" applyNumberFormat="1" applyFont="1" applyFill="1" applyBorder="1"/>
    <xf numFmtId="167" fontId="68" fillId="2" borderId="91" xfId="1" applyNumberFormat="1" applyFont="1" applyFill="1" applyBorder="1"/>
    <xf numFmtId="167" fontId="43" fillId="31" borderId="91" xfId="1" applyNumberFormat="1" applyFont="1" applyFill="1" applyBorder="1"/>
    <xf numFmtId="188" fontId="4" fillId="31" borderId="5" xfId="1" applyNumberFormat="1" applyFont="1" applyFill="1" applyBorder="1"/>
    <xf numFmtId="167" fontId="52" fillId="26" borderId="0" xfId="1" applyNumberFormat="1" applyFont="1" applyFill="1"/>
    <xf numFmtId="0" fontId="8" fillId="0" borderId="0" xfId="0" applyFont="1" applyAlignment="1">
      <alignment vertical="top"/>
    </xf>
    <xf numFmtId="49" fontId="70" fillId="0" borderId="14" xfId="0" applyNumberFormat="1" applyFont="1" applyBorder="1" applyAlignment="1">
      <alignment horizontal="left" vertical="top" indent="3"/>
    </xf>
    <xf numFmtId="49" fontId="70" fillId="0" borderId="18" xfId="0" applyNumberFormat="1" applyFont="1" applyBorder="1" applyAlignment="1">
      <alignment horizontal="left" vertical="top" indent="3"/>
    </xf>
    <xf numFmtId="173" fontId="71" fillId="0" borderId="18" xfId="0" applyNumberFormat="1" applyFont="1" applyBorder="1" applyAlignment="1">
      <alignment horizontal="right" vertical="top"/>
    </xf>
    <xf numFmtId="172" fontId="72" fillId="0" borderId="18" xfId="0" applyNumberFormat="1" applyFont="1" applyBorder="1" applyAlignment="1">
      <alignment horizontal="right" vertical="top"/>
    </xf>
    <xf numFmtId="172" fontId="72" fillId="0" borderId="20" xfId="0" applyNumberFormat="1" applyFont="1" applyBorder="1" applyAlignment="1">
      <alignment horizontal="right" vertical="top"/>
    </xf>
    <xf numFmtId="172" fontId="71" fillId="0" borderId="18" xfId="0" applyNumberFormat="1" applyFont="1" applyBorder="1" applyAlignment="1">
      <alignment horizontal="right" vertical="top"/>
    </xf>
    <xf numFmtId="49" fontId="71" fillId="0" borderId="0" xfId="0" applyNumberFormat="1" applyFont="1" applyAlignment="1">
      <alignment horizontal="left" vertical="top" indent="5"/>
    </xf>
    <xf numFmtId="172" fontId="72" fillId="0" borderId="14" xfId="0" applyNumberFormat="1" applyFont="1" applyBorder="1" applyAlignment="1">
      <alignment horizontal="right" vertical="top"/>
    </xf>
    <xf numFmtId="172" fontId="71" fillId="0" borderId="14" xfId="0" applyNumberFormat="1" applyFont="1" applyBorder="1" applyAlignment="1">
      <alignment horizontal="right" vertical="top"/>
    </xf>
    <xf numFmtId="172" fontId="70" fillId="0" borderId="18" xfId="0" applyNumberFormat="1" applyFont="1" applyBorder="1" applyAlignment="1">
      <alignment horizontal="right" vertical="top"/>
    </xf>
    <xf numFmtId="172" fontId="73" fillId="0" borderId="18" xfId="0" applyNumberFormat="1" applyFont="1" applyBorder="1" applyAlignment="1">
      <alignment horizontal="right" vertical="top"/>
    </xf>
    <xf numFmtId="172" fontId="73" fillId="0" borderId="20" xfId="0" applyNumberFormat="1" applyFont="1" applyBorder="1" applyAlignment="1">
      <alignment horizontal="right" vertical="top"/>
    </xf>
    <xf numFmtId="173" fontId="70" fillId="0" borderId="18" xfId="0" applyNumberFormat="1" applyFont="1" applyBorder="1" applyAlignment="1">
      <alignment horizontal="right" vertical="top"/>
    </xf>
    <xf numFmtId="173" fontId="73" fillId="0" borderId="18" xfId="0" applyNumberFormat="1" applyFont="1" applyBorder="1" applyAlignment="1">
      <alignment horizontal="right" vertical="top"/>
    </xf>
    <xf numFmtId="173" fontId="73" fillId="0" borderId="20" xfId="0" applyNumberFormat="1" applyFont="1" applyBorder="1" applyAlignment="1">
      <alignment horizontal="right" vertical="top"/>
    </xf>
    <xf numFmtId="173" fontId="71" fillId="0" borderId="14" xfId="0" applyNumberFormat="1" applyFont="1" applyBorder="1" applyAlignment="1">
      <alignment horizontal="right" vertical="top"/>
    </xf>
    <xf numFmtId="173" fontId="72" fillId="0" borderId="14" xfId="0" applyNumberFormat="1" applyFont="1" applyBorder="1" applyAlignment="1">
      <alignment horizontal="right" vertical="top"/>
    </xf>
    <xf numFmtId="172" fontId="73" fillId="0" borderId="14" xfId="0" applyNumberFormat="1" applyFont="1" applyBorder="1" applyAlignment="1">
      <alignment horizontal="right" vertical="top"/>
    </xf>
    <xf numFmtId="172" fontId="73" fillId="0" borderId="0" xfId="0" applyNumberFormat="1" applyFont="1" applyAlignment="1">
      <alignment horizontal="right" vertical="top"/>
    </xf>
    <xf numFmtId="172" fontId="70" fillId="0" borderId="14" xfId="0" applyNumberFormat="1" applyFont="1" applyBorder="1" applyAlignment="1">
      <alignment horizontal="right" vertical="top"/>
    </xf>
    <xf numFmtId="49" fontId="72" fillId="0" borderId="0" xfId="0" applyNumberFormat="1" applyFont="1" applyAlignment="1">
      <alignment horizontal="left" vertical="top" indent="5"/>
    </xf>
    <xf numFmtId="49" fontId="73" fillId="0" borderId="0" xfId="0" applyNumberFormat="1" applyFont="1" applyAlignment="1">
      <alignment horizontal="left" vertical="top" indent="3"/>
    </xf>
    <xf numFmtId="0" fontId="43" fillId="26" borderId="0" xfId="0" applyFont="1" applyFill="1" applyAlignment="1">
      <alignment wrapText="1"/>
    </xf>
    <xf numFmtId="0" fontId="43" fillId="26" borderId="91" xfId="0" applyFont="1" applyFill="1" applyBorder="1"/>
    <xf numFmtId="167" fontId="43" fillId="26" borderId="2" xfId="1" applyNumberFormat="1" applyFont="1" applyFill="1" applyBorder="1"/>
    <xf numFmtId="167" fontId="43" fillId="26" borderId="92" xfId="1" applyNumberFormat="1" applyFont="1" applyFill="1" applyBorder="1"/>
    <xf numFmtId="166" fontId="43" fillId="26" borderId="0" xfId="1" applyFont="1" applyFill="1" applyBorder="1"/>
    <xf numFmtId="0" fontId="43" fillId="26" borderId="0" xfId="0" applyFont="1" applyFill="1"/>
    <xf numFmtId="0" fontId="36" fillId="26" borderId="0" xfId="2" applyFont="1" applyFill="1"/>
    <xf numFmtId="167" fontId="4" fillId="26" borderId="0" xfId="1" applyNumberFormat="1" applyFont="1" applyFill="1" applyAlignment="1">
      <alignment horizontal="left"/>
    </xf>
    <xf numFmtId="188" fontId="4" fillId="2" borderId="105" xfId="1" applyNumberFormat="1" applyFont="1" applyFill="1" applyBorder="1" applyAlignment="1">
      <alignment horizontal="right"/>
    </xf>
    <xf numFmtId="188" fontId="4" fillId="2" borderId="104" xfId="1" applyNumberFormat="1" applyFont="1" applyFill="1" applyBorder="1" applyAlignment="1">
      <alignment horizontal="right"/>
    </xf>
    <xf numFmtId="188" fontId="4" fillId="2" borderId="85" xfId="1" applyNumberFormat="1" applyFont="1" applyFill="1" applyBorder="1" applyAlignment="1">
      <alignment horizontal="right"/>
    </xf>
    <xf numFmtId="189" fontId="36" fillId="0" borderId="0" xfId="2" applyNumberFormat="1" applyFont="1"/>
    <xf numFmtId="0" fontId="67" fillId="0" borderId="0" xfId="2" applyFont="1"/>
    <xf numFmtId="0" fontId="75" fillId="0" borderId="14" xfId="0" applyFont="1" applyBorder="1"/>
    <xf numFmtId="188" fontId="75" fillId="0" borderId="2" xfId="0" applyNumberFormat="1" applyFont="1" applyBorder="1"/>
    <xf numFmtId="167" fontId="75" fillId="0" borderId="2" xfId="0" applyNumberFormat="1" applyFont="1" applyBorder="1"/>
    <xf numFmtId="167" fontId="75" fillId="0" borderId="0" xfId="2" applyNumberFormat="1" applyFont="1"/>
    <xf numFmtId="0" fontId="75" fillId="0" borderId="0" xfId="2" applyFont="1"/>
    <xf numFmtId="167" fontId="52" fillId="28" borderId="109" xfId="1" applyNumberFormat="1" applyFont="1" applyFill="1" applyBorder="1"/>
    <xf numFmtId="167" fontId="43" fillId="28" borderId="109" xfId="1" applyNumberFormat="1" applyFont="1" applyFill="1" applyBorder="1"/>
    <xf numFmtId="167" fontId="3" fillId="28" borderId="2" xfId="1" applyNumberFormat="1" applyFont="1" applyFill="1" applyBorder="1" applyAlignment="1">
      <alignment horizontal="center"/>
    </xf>
    <xf numFmtId="166" fontId="3" fillId="0" borderId="0" xfId="1" applyFont="1"/>
    <xf numFmtId="188" fontId="75" fillId="0" borderId="2" xfId="1" applyNumberFormat="1" applyFont="1" applyFill="1" applyBorder="1"/>
    <xf numFmtId="190" fontId="36" fillId="0" borderId="0" xfId="2" applyNumberFormat="1" applyFont="1"/>
    <xf numFmtId="166" fontId="36" fillId="0" borderId="0" xfId="1" applyFont="1"/>
    <xf numFmtId="4" fontId="7" fillId="2" borderId="0" xfId="6" applyNumberFormat="1" applyFont="1" applyFill="1"/>
    <xf numFmtId="4" fontId="6" fillId="2" borderId="0" xfId="6" applyNumberFormat="1" applyFont="1" applyFill="1"/>
    <xf numFmtId="167" fontId="3" fillId="2" borderId="14" xfId="1" applyNumberFormat="1" applyFont="1" applyFill="1" applyBorder="1" applyAlignment="1">
      <alignment horizontal="right"/>
    </xf>
    <xf numFmtId="188" fontId="3" fillId="2" borderId="14" xfId="1" applyNumberFormat="1" applyFont="1" applyFill="1" applyBorder="1"/>
    <xf numFmtId="166" fontId="3" fillId="2" borderId="11" xfId="1" applyFont="1" applyFill="1" applyBorder="1"/>
    <xf numFmtId="166" fontId="3" fillId="2" borderId="2" xfId="1" applyFont="1" applyFill="1" applyBorder="1"/>
    <xf numFmtId="166" fontId="3" fillId="2" borderId="11" xfId="1" applyFont="1" applyFill="1" applyBorder="1" applyAlignment="1">
      <alignment horizontal="center"/>
    </xf>
    <xf numFmtId="9" fontId="36" fillId="0" borderId="0" xfId="20" applyFont="1"/>
    <xf numFmtId="167" fontId="4" fillId="2" borderId="99" xfId="1" applyNumberFormat="1" applyFont="1" applyFill="1" applyBorder="1" applyAlignment="1">
      <alignment horizontal="center" vertical="top" wrapText="1"/>
    </xf>
    <xf numFmtId="0" fontId="67" fillId="2" borderId="0" xfId="0" applyFont="1" applyFill="1"/>
    <xf numFmtId="0" fontId="75" fillId="2" borderId="0" xfId="2021" applyFont="1" applyFill="1"/>
    <xf numFmtId="0" fontId="67" fillId="2" borderId="8" xfId="0" applyFont="1" applyFill="1" applyBorder="1" applyAlignment="1">
      <alignment horizontal="center" vertical="center" wrapText="1"/>
    </xf>
    <xf numFmtId="188" fontId="75" fillId="2" borderId="2" xfId="1" applyNumberFormat="1" applyFont="1" applyFill="1" applyBorder="1"/>
    <xf numFmtId="188" fontId="67" fillId="2" borderId="5" xfId="1" applyNumberFormat="1" applyFont="1" applyFill="1" applyBorder="1"/>
    <xf numFmtId="188" fontId="67" fillId="31" borderId="5" xfId="1" applyNumberFormat="1" applyFont="1" applyFill="1" applyBorder="1"/>
    <xf numFmtId="0" fontId="75" fillId="2" borderId="0" xfId="0" applyFont="1" applyFill="1"/>
    <xf numFmtId="0" fontId="67" fillId="2" borderId="105" xfId="0" applyFont="1" applyFill="1" applyBorder="1" applyAlignment="1">
      <alignment horizontal="left" vertical="center"/>
    </xf>
    <xf numFmtId="0" fontId="67" fillId="2" borderId="8" xfId="0" applyFont="1" applyFill="1" applyBorder="1" applyAlignment="1">
      <alignment horizontal="left" vertical="center"/>
    </xf>
    <xf numFmtId="0" fontId="75" fillId="2" borderId="2" xfId="0" applyFont="1" applyFill="1" applyBorder="1"/>
    <xf numFmtId="0" fontId="67" fillId="2" borderId="2" xfId="0" applyFont="1" applyFill="1" applyBorder="1"/>
    <xf numFmtId="0" fontId="75" fillId="2" borderId="2" xfId="0" applyFont="1" applyFill="1" applyBorder="1" applyAlignment="1">
      <alignment wrapText="1"/>
    </xf>
    <xf numFmtId="0" fontId="67" fillId="2" borderId="14" xfId="0" applyFont="1" applyFill="1" applyBorder="1"/>
    <xf numFmtId="0" fontId="76" fillId="2" borderId="0" xfId="17" applyFont="1" applyFill="1" applyAlignment="1">
      <alignment vertical="top"/>
    </xf>
    <xf numFmtId="0" fontId="75" fillId="2" borderId="0" xfId="4" applyFont="1" applyFill="1"/>
    <xf numFmtId="0" fontId="75" fillId="2" borderId="0" xfId="5" applyFont="1" applyFill="1"/>
    <xf numFmtId="167" fontId="52" fillId="2" borderId="99" xfId="1" applyNumberFormat="1" applyFont="1" applyFill="1" applyBorder="1"/>
    <xf numFmtId="167" fontId="43" fillId="2" borderId="99" xfId="1" applyNumberFormat="1" applyFont="1" applyFill="1" applyBorder="1"/>
    <xf numFmtId="167" fontId="43" fillId="26" borderId="0" xfId="1" applyNumberFormat="1" applyFont="1" applyFill="1" applyBorder="1"/>
    <xf numFmtId="167" fontId="52" fillId="25" borderId="0" xfId="1" applyNumberFormat="1" applyFont="1" applyFill="1" applyBorder="1"/>
    <xf numFmtId="167" fontId="43" fillId="28" borderId="99" xfId="1" applyNumberFormat="1" applyFont="1" applyFill="1" applyBorder="1"/>
    <xf numFmtId="167" fontId="52" fillId="28" borderId="99" xfId="1" applyNumberFormat="1" applyFont="1" applyFill="1" applyBorder="1"/>
    <xf numFmtId="167" fontId="4" fillId="2" borderId="99" xfId="1" applyNumberFormat="1" applyFont="1" applyFill="1" applyBorder="1" applyAlignment="1">
      <alignment horizontal="center" vertical="top"/>
    </xf>
    <xf numFmtId="49" fontId="69" fillId="0" borderId="0" xfId="0" applyNumberFormat="1" applyFont="1" applyAlignment="1">
      <alignment vertical="top"/>
    </xf>
    <xf numFmtId="49" fontId="8" fillId="0" borderId="0" xfId="0" applyNumberFormat="1" applyFont="1" applyAlignment="1">
      <alignment vertical="top"/>
    </xf>
    <xf numFmtId="49" fontId="70" fillId="0" borderId="110" xfId="0" applyNumberFormat="1" applyFont="1" applyBorder="1" applyAlignment="1">
      <alignment horizontal="left" vertical="top" indent="3"/>
    </xf>
    <xf numFmtId="49" fontId="71" fillId="0" borderId="37" xfId="0" applyNumberFormat="1" applyFont="1" applyBorder="1" applyAlignment="1">
      <alignment horizontal="center" vertical="top"/>
    </xf>
    <xf numFmtId="173" fontId="70" fillId="0" borderId="112" xfId="0" applyNumberFormat="1" applyFont="1" applyBorder="1" applyAlignment="1">
      <alignment horizontal="right" vertical="top"/>
    </xf>
    <xf numFmtId="173" fontId="70" fillId="0" borderId="113" xfId="0" applyNumberFormat="1" applyFont="1" applyBorder="1" applyAlignment="1">
      <alignment horizontal="right" vertical="top"/>
    </xf>
    <xf numFmtId="172" fontId="73" fillId="0" borderId="112" xfId="0" applyNumberFormat="1" applyFont="1" applyBorder="1" applyAlignment="1">
      <alignment horizontal="right" vertical="top"/>
    </xf>
    <xf numFmtId="172" fontId="73" fillId="0" borderId="113" xfId="0" applyNumberFormat="1" applyFont="1" applyBorder="1" applyAlignment="1">
      <alignment horizontal="right" vertical="top"/>
    </xf>
    <xf numFmtId="172" fontId="70" fillId="0" borderId="112" xfId="0" applyNumberFormat="1" applyFont="1" applyBorder="1" applyAlignment="1">
      <alignment horizontal="right" vertical="top"/>
    </xf>
    <xf numFmtId="172" fontId="70" fillId="0" borderId="113" xfId="0" applyNumberFormat="1" applyFont="1" applyBorder="1" applyAlignment="1">
      <alignment horizontal="right" vertical="top"/>
    </xf>
    <xf numFmtId="172" fontId="71" fillId="0" borderId="112" xfId="0" applyNumberFormat="1" applyFont="1" applyBorder="1" applyAlignment="1">
      <alignment horizontal="right" vertical="top"/>
    </xf>
    <xf numFmtId="173" fontId="71" fillId="0" borderId="113" xfId="0" applyNumberFormat="1" applyFont="1" applyBorder="1" applyAlignment="1">
      <alignment horizontal="right" vertical="top"/>
    </xf>
    <xf numFmtId="172" fontId="72" fillId="0" borderId="112" xfId="0" applyNumberFormat="1" applyFont="1" applyBorder="1" applyAlignment="1">
      <alignment horizontal="right" vertical="top"/>
    </xf>
    <xf numFmtId="172" fontId="72" fillId="0" borderId="113" xfId="0" applyNumberFormat="1" applyFont="1" applyBorder="1" applyAlignment="1">
      <alignment horizontal="right" vertical="top"/>
    </xf>
    <xf numFmtId="172" fontId="71" fillId="0" borderId="113" xfId="0" applyNumberFormat="1" applyFont="1" applyBorder="1" applyAlignment="1">
      <alignment horizontal="right" vertical="top"/>
    </xf>
    <xf numFmtId="172" fontId="71" fillId="0" borderId="111" xfId="0" applyNumberFormat="1" applyFont="1" applyBorder="1" applyAlignment="1">
      <alignment horizontal="right" vertical="top"/>
    </xf>
    <xf numFmtId="173" fontId="71" fillId="0" borderId="110" xfId="0" applyNumberFormat="1" applyFont="1" applyBorder="1" applyAlignment="1">
      <alignment horizontal="right" vertical="top"/>
    </xf>
    <xf numFmtId="172" fontId="72" fillId="0" borderId="111" xfId="0" applyNumberFormat="1" applyFont="1" applyBorder="1" applyAlignment="1">
      <alignment horizontal="right" vertical="top"/>
    </xf>
    <xf numFmtId="172" fontId="72" fillId="0" borderId="110" xfId="0" applyNumberFormat="1" applyFont="1" applyBorder="1" applyAlignment="1">
      <alignment horizontal="right" vertical="top"/>
    </xf>
    <xf numFmtId="172" fontId="71" fillId="0" borderId="110" xfId="0" applyNumberFormat="1" applyFont="1" applyBorder="1" applyAlignment="1">
      <alignment horizontal="right" vertical="top"/>
    </xf>
    <xf numFmtId="173" fontId="72" fillId="0" borderId="111" xfId="0" applyNumberFormat="1" applyFont="1" applyBorder="1" applyAlignment="1">
      <alignment horizontal="right" vertical="top"/>
    </xf>
    <xf numFmtId="173" fontId="71" fillId="0" borderId="111" xfId="0" applyNumberFormat="1" applyFont="1" applyBorder="1" applyAlignment="1">
      <alignment horizontal="right" vertical="top"/>
    </xf>
    <xf numFmtId="173" fontId="72" fillId="0" borderId="110" xfId="0" applyNumberFormat="1" applyFont="1" applyBorder="1" applyAlignment="1">
      <alignment horizontal="right" vertical="top"/>
    </xf>
    <xf numFmtId="49" fontId="70" fillId="0" borderId="113" xfId="0" applyNumberFormat="1" applyFont="1" applyBorder="1" applyAlignment="1">
      <alignment horizontal="left" vertical="top" indent="3"/>
    </xf>
    <xf numFmtId="173" fontId="73" fillId="0" borderId="112" xfId="0" applyNumberFormat="1" applyFont="1" applyBorder="1" applyAlignment="1">
      <alignment horizontal="right" vertical="top"/>
    </xf>
    <xf numFmtId="173" fontId="73" fillId="0" borderId="113" xfId="0" applyNumberFormat="1" applyFont="1" applyBorder="1" applyAlignment="1">
      <alignment horizontal="right" vertical="top"/>
    </xf>
    <xf numFmtId="49" fontId="72" fillId="0" borderId="0" xfId="0" applyNumberFormat="1" applyFont="1" applyAlignment="1">
      <alignment horizontal="left" vertical="top" indent="8"/>
    </xf>
    <xf numFmtId="49" fontId="72" fillId="0" borderId="0" xfId="0" applyNumberFormat="1" applyFont="1" applyAlignment="1">
      <alignment horizontal="left" vertical="top" indent="7"/>
    </xf>
    <xf numFmtId="49" fontId="72" fillId="0" borderId="0" xfId="0" applyNumberFormat="1" applyFont="1" applyAlignment="1">
      <alignment horizontal="left" vertical="top" indent="6"/>
    </xf>
    <xf numFmtId="49" fontId="73" fillId="0" borderId="0" xfId="0" applyNumberFormat="1" applyFont="1" applyAlignment="1">
      <alignment horizontal="left" vertical="top" indent="5"/>
    </xf>
    <xf numFmtId="49" fontId="71" fillId="0" borderId="0" xfId="0" applyNumberFormat="1" applyFont="1" applyAlignment="1">
      <alignment horizontal="left" vertical="top" indent="4"/>
    </xf>
    <xf numFmtId="0" fontId="0" fillId="26" borderId="0" xfId="0" applyFill="1"/>
    <xf numFmtId="167" fontId="43" fillId="2" borderId="11" xfId="1" applyNumberFormat="1" applyFont="1" applyFill="1" applyBorder="1"/>
    <xf numFmtId="167" fontId="43" fillId="2" borderId="98" xfId="0" applyNumberFormat="1" applyFont="1" applyFill="1" applyBorder="1" applyAlignment="1">
      <alignment wrapText="1"/>
    </xf>
    <xf numFmtId="4" fontId="3" fillId="2" borderId="0" xfId="0" applyNumberFormat="1" applyFont="1" applyFill="1"/>
    <xf numFmtId="0" fontId="3" fillId="2" borderId="83" xfId="0" applyFont="1" applyFill="1" applyBorder="1"/>
    <xf numFmtId="166" fontId="77" fillId="0" borderId="0" xfId="1" applyFont="1"/>
    <xf numFmtId="167" fontId="3" fillId="0" borderId="83" xfId="3" applyNumberFormat="1" applyFont="1" applyFill="1" applyBorder="1"/>
    <xf numFmtId="191" fontId="36" fillId="0" borderId="0" xfId="2" applyNumberFormat="1" applyFont="1"/>
    <xf numFmtId="167" fontId="36" fillId="0" borderId="0" xfId="1" applyNumberFormat="1" applyFont="1"/>
    <xf numFmtId="43" fontId="4" fillId="26" borderId="0" xfId="0" applyNumberFormat="1" applyFont="1" applyFill="1"/>
    <xf numFmtId="167" fontId="3" fillId="26" borderId="0" xfId="1" applyNumberFormat="1" applyFont="1" applyFill="1" applyBorder="1" applyAlignment="1">
      <alignment horizontal="center"/>
    </xf>
    <xf numFmtId="170" fontId="3" fillId="2" borderId="14" xfId="2032" applyNumberFormat="1" applyFont="1" applyFill="1" applyBorder="1"/>
    <xf numFmtId="4" fontId="78" fillId="0" borderId="0" xfId="2" applyNumberFormat="1" applyFont="1"/>
    <xf numFmtId="4" fontId="78" fillId="26" borderId="0" xfId="2" applyNumberFormat="1" applyFont="1" applyFill="1"/>
    <xf numFmtId="4" fontId="79" fillId="0" borderId="0" xfId="2" applyNumberFormat="1" applyFont="1"/>
    <xf numFmtId="170" fontId="80" fillId="2" borderId="57" xfId="2028" applyNumberFormat="1" applyFont="1" applyFill="1" applyBorder="1" applyAlignment="1">
      <alignment horizontal="right" vertical="center" wrapText="1"/>
    </xf>
    <xf numFmtId="188" fontId="81" fillId="2" borderId="0" xfId="2028" applyNumberFormat="1" applyFont="1" applyFill="1" applyBorder="1" applyAlignment="1">
      <alignment horizontal="right" vertical="top" wrapText="1"/>
    </xf>
    <xf numFmtId="188" fontId="81" fillId="2" borderId="0" xfId="2028" applyNumberFormat="1" applyFont="1" applyFill="1" applyAlignment="1">
      <alignment horizontal="right" vertical="top" wrapText="1"/>
    </xf>
    <xf numFmtId="188" fontId="81" fillId="2" borderId="57" xfId="2028" applyNumberFormat="1" applyFont="1" applyFill="1" applyBorder="1" applyAlignment="1">
      <alignment horizontal="right" vertical="top" wrapText="1"/>
    </xf>
    <xf numFmtId="188" fontId="81" fillId="2" borderId="0" xfId="1" applyNumberFormat="1" applyFont="1" applyFill="1" applyBorder="1" applyAlignment="1">
      <alignment horizontal="right" vertical="top"/>
    </xf>
    <xf numFmtId="188" fontId="81" fillId="2" borderId="57" xfId="2028" applyNumberFormat="1" applyFont="1" applyFill="1" applyBorder="1" applyAlignment="1">
      <alignment horizontal="right" vertical="top"/>
    </xf>
    <xf numFmtId="188" fontId="81" fillId="2" borderId="0" xfId="2028" applyNumberFormat="1" applyFont="1" applyFill="1" applyBorder="1" applyAlignment="1">
      <alignment horizontal="right" vertical="top"/>
    </xf>
    <xf numFmtId="188" fontId="80" fillId="2" borderId="22" xfId="1" applyNumberFormat="1" applyFont="1" applyFill="1" applyBorder="1" applyAlignment="1">
      <alignment horizontal="right" vertical="top" wrapText="1"/>
    </xf>
    <xf numFmtId="170" fontId="80" fillId="2" borderId="57" xfId="2028" applyNumberFormat="1" applyFont="1" applyFill="1" applyBorder="1" applyAlignment="1">
      <alignment horizontal="center" vertical="center"/>
    </xf>
    <xf numFmtId="170" fontId="81" fillId="2" borderId="20" xfId="2028" applyNumberFormat="1" applyFont="1" applyFill="1" applyBorder="1" applyAlignment="1">
      <alignment horizontal="right" vertical="center" wrapText="1"/>
    </xf>
    <xf numFmtId="0" fontId="80" fillId="2" borderId="57" xfId="2027" applyFont="1" applyFill="1" applyBorder="1" applyAlignment="1">
      <alignment horizontal="center" vertical="top" wrapText="1"/>
    </xf>
    <xf numFmtId="0" fontId="82" fillId="0" borderId="0" xfId="2" applyFont="1"/>
    <xf numFmtId="0" fontId="83" fillId="2" borderId="0" xfId="0" applyFont="1" applyFill="1"/>
    <xf numFmtId="0" fontId="43" fillId="0" borderId="0" xfId="0" applyFont="1" applyAlignment="1">
      <alignment horizontal="justify" vertical="top" wrapText="1"/>
    </xf>
    <xf numFmtId="0" fontId="4" fillId="0" borderId="0" xfId="2021" applyFont="1"/>
    <xf numFmtId="166" fontId="4" fillId="0" borderId="0" xfId="2022" applyNumberFormat="1" applyFont="1"/>
    <xf numFmtId="0" fontId="4" fillId="0" borderId="0" xfId="2021" applyFont="1" applyAlignment="1">
      <alignment horizontal="left"/>
    </xf>
    <xf numFmtId="0" fontId="4" fillId="0" borderId="14" xfId="2022" applyFont="1" applyBorder="1"/>
    <xf numFmtId="0" fontId="4" fillId="0" borderId="11" xfId="2022" applyFont="1" applyBorder="1"/>
    <xf numFmtId="166" fontId="3" fillId="0" borderId="11" xfId="2022" applyNumberFormat="1" applyFont="1" applyBorder="1"/>
    <xf numFmtId="0" fontId="3" fillId="0" borderId="11" xfId="2022" applyFont="1" applyBorder="1"/>
    <xf numFmtId="188" fontId="3" fillId="0" borderId="11" xfId="2022" applyNumberFormat="1" applyFont="1" applyBorder="1"/>
    <xf numFmtId="0" fontId="3" fillId="0" borderId="14" xfId="2022" applyFont="1" applyBorder="1" applyAlignment="1">
      <alignment horizontal="left" indent="2"/>
    </xf>
    <xf numFmtId="0" fontId="3" fillId="0" borderId="0" xfId="2022" applyFont="1" applyAlignment="1">
      <alignment horizontal="left" indent="2"/>
    </xf>
    <xf numFmtId="0" fontId="52" fillId="0" borderId="0" xfId="0" applyFont="1"/>
    <xf numFmtId="188" fontId="4" fillId="0" borderId="11" xfId="2022" applyNumberFormat="1" applyFont="1" applyBorder="1"/>
    <xf numFmtId="0" fontId="3" fillId="0" borderId="14" xfId="2022" applyFont="1" applyBorder="1"/>
    <xf numFmtId="0" fontId="4" fillId="0" borderId="11" xfId="2022" applyFont="1" applyBorder="1" applyAlignment="1">
      <alignment horizontal="left"/>
    </xf>
    <xf numFmtId="0" fontId="4" fillId="0" borderId="14" xfId="2022" applyFont="1" applyBorder="1" applyAlignment="1">
      <alignment horizontal="left"/>
    </xf>
    <xf numFmtId="4" fontId="43" fillId="0" borderId="0" xfId="0" applyNumberFormat="1" applyFont="1"/>
    <xf numFmtId="0" fontId="4" fillId="0" borderId="14" xfId="2022" quotePrefix="1" applyFont="1" applyBorder="1" applyAlignment="1">
      <alignment horizontal="left"/>
    </xf>
    <xf numFmtId="0" fontId="4" fillId="0" borderId="11" xfId="2022" quotePrefix="1" applyFont="1" applyBorder="1" applyAlignment="1">
      <alignment horizontal="left"/>
    </xf>
    <xf numFmtId="0" fontId="3" fillId="0" borderId="11" xfId="2022" quotePrefix="1" applyFont="1" applyBorder="1" applyAlignment="1">
      <alignment horizontal="left"/>
    </xf>
    <xf numFmtId="0" fontId="3" fillId="0" borderId="14" xfId="2022" quotePrefix="1" applyFont="1" applyBorder="1" applyAlignment="1">
      <alignment horizontal="left"/>
    </xf>
    <xf numFmtId="188" fontId="3" fillId="0" borderId="12" xfId="2022" applyNumberFormat="1" applyFont="1" applyBorder="1"/>
    <xf numFmtId="188" fontId="4" fillId="0" borderId="65" xfId="2022" applyNumberFormat="1" applyFont="1" applyBorder="1"/>
    <xf numFmtId="0" fontId="4" fillId="0" borderId="18" xfId="2022" quotePrefix="1" applyFont="1" applyBorder="1" applyAlignment="1">
      <alignment horizontal="left"/>
    </xf>
    <xf numFmtId="0" fontId="3" fillId="0" borderId="12" xfId="2022" quotePrefix="1" applyFont="1" applyBorder="1" applyAlignment="1">
      <alignment horizontal="left"/>
    </xf>
    <xf numFmtId="0" fontId="3" fillId="0" borderId="0" xfId="2022" applyFont="1"/>
    <xf numFmtId="188" fontId="3" fillId="0" borderId="0" xfId="2022" applyNumberFormat="1" applyFont="1"/>
    <xf numFmtId="0" fontId="4" fillId="0" borderId="0" xfId="4" applyFont="1"/>
    <xf numFmtId="0" fontId="4" fillId="0" borderId="0" xfId="4" applyFont="1" applyAlignment="1">
      <alignment horizontal="left" indent="4"/>
    </xf>
    <xf numFmtId="0" fontId="3" fillId="0" borderId="0" xfId="4" applyFont="1" applyAlignment="1">
      <alignment horizontal="left" indent="4"/>
    </xf>
    <xf numFmtId="188" fontId="4" fillId="0" borderId="37" xfId="1631" applyNumberFormat="1" applyFont="1" applyFill="1" applyBorder="1" applyAlignment="1">
      <alignment vertical="top" wrapText="1"/>
    </xf>
    <xf numFmtId="170" fontId="75" fillId="2" borderId="2" xfId="2032" applyNumberFormat="1" applyFont="1" applyFill="1" applyBorder="1"/>
    <xf numFmtId="192" fontId="75" fillId="2" borderId="2" xfId="2032" applyNumberFormat="1" applyFont="1" applyFill="1" applyBorder="1"/>
    <xf numFmtId="0" fontId="85" fillId="2" borderId="0" xfId="0" applyFont="1" applyFill="1" applyAlignment="1">
      <alignment wrapText="1"/>
    </xf>
    <xf numFmtId="4" fontId="85" fillId="2" borderId="0" xfId="0" applyNumberFormat="1" applyFont="1" applyFill="1" applyAlignment="1">
      <alignment wrapText="1"/>
    </xf>
    <xf numFmtId="0" fontId="86" fillId="2" borderId="37" xfId="0" applyFont="1" applyFill="1" applyBorder="1" applyAlignment="1">
      <alignment horizontal="center" wrapText="1"/>
    </xf>
    <xf numFmtId="4" fontId="86" fillId="2" borderId="37" xfId="0" applyNumberFormat="1" applyFont="1" applyFill="1" applyBorder="1" applyAlignment="1">
      <alignment horizontal="center" wrapText="1"/>
    </xf>
    <xf numFmtId="0" fontId="87" fillId="2" borderId="37" xfId="0" applyFont="1" applyFill="1" applyBorder="1" applyAlignment="1">
      <alignment horizontal="center" wrapText="1"/>
    </xf>
    <xf numFmtId="0" fontId="87" fillId="2" borderId="37" xfId="0" applyFont="1" applyFill="1" applyBorder="1" applyAlignment="1">
      <alignment horizontal="left" wrapText="1"/>
    </xf>
    <xf numFmtId="4" fontId="87" fillId="2" borderId="37" xfId="0" applyNumberFormat="1" applyFont="1" applyFill="1" applyBorder="1" applyAlignment="1">
      <alignment horizontal="right" wrapText="1"/>
    </xf>
    <xf numFmtId="4" fontId="87" fillId="2" borderId="37" xfId="0" quotePrefix="1" applyNumberFormat="1" applyFont="1" applyFill="1" applyBorder="1" applyAlignment="1">
      <alignment horizontal="right" wrapText="1"/>
    </xf>
    <xf numFmtId="4" fontId="85" fillId="2" borderId="37" xfId="0" applyNumberFormat="1" applyFont="1" applyFill="1" applyBorder="1" applyAlignment="1">
      <alignment wrapText="1"/>
    </xf>
    <xf numFmtId="4" fontId="86" fillId="2" borderId="37" xfId="0" applyNumberFormat="1" applyFont="1" applyFill="1" applyBorder="1" applyAlignment="1">
      <alignment horizontal="right" wrapText="1"/>
    </xf>
    <xf numFmtId="0" fontId="39" fillId="2" borderId="0" xfId="0" applyFont="1" applyFill="1" applyAlignment="1">
      <alignment horizontal="right"/>
    </xf>
    <xf numFmtId="0" fontId="39" fillId="2" borderId="0" xfId="0" applyFont="1" applyFill="1" applyAlignment="1">
      <alignment horizontal="right" vertical="top"/>
    </xf>
    <xf numFmtId="0" fontId="39" fillId="2" borderId="0" xfId="0" applyFont="1" applyFill="1" applyAlignment="1">
      <alignment horizontal="justify" vertical="top"/>
    </xf>
    <xf numFmtId="0" fontId="57" fillId="2" borderId="0" xfId="0" applyFont="1" applyFill="1" applyAlignment="1">
      <alignment horizontal="justify" vertical="top"/>
    </xf>
    <xf numFmtId="0" fontId="88" fillId="2" borderId="0" xfId="0" applyFont="1" applyFill="1" applyAlignment="1">
      <alignment horizontal="justify" vertical="top"/>
    </xf>
    <xf numFmtId="0" fontId="39" fillId="2" borderId="0" xfId="0" applyFont="1" applyFill="1" applyAlignment="1">
      <alignment vertical="top"/>
    </xf>
    <xf numFmtId="0" fontId="4" fillId="0" borderId="0" xfId="2013" quotePrefix="1" applyFont="1" applyAlignment="1">
      <alignment horizontal="center" vertical="top" wrapText="1"/>
    </xf>
    <xf numFmtId="0" fontId="4" fillId="0" borderId="0" xfId="2013" quotePrefix="1" applyFont="1" applyAlignment="1">
      <alignment horizontal="justify" vertical="top" wrapText="1"/>
    </xf>
    <xf numFmtId="167" fontId="43" fillId="33" borderId="2" xfId="1" applyNumberFormat="1" applyFont="1" applyFill="1" applyBorder="1"/>
    <xf numFmtId="181" fontId="0" fillId="0" borderId="0" xfId="0" applyNumberFormat="1"/>
    <xf numFmtId="167" fontId="43" fillId="2" borderId="0" xfId="2040" applyNumberFormat="1" applyFont="1" applyFill="1"/>
    <xf numFmtId="188" fontId="3" fillId="2" borderId="0" xfId="2027" applyNumberFormat="1" applyFont="1" applyFill="1" applyAlignment="1">
      <alignment horizontal="right" vertical="top" wrapText="1"/>
    </xf>
    <xf numFmtId="188" fontId="39" fillId="2" borderId="0" xfId="1" applyNumberFormat="1" applyFont="1" applyFill="1" applyAlignment="1">
      <alignment horizontal="justify" vertical="top"/>
    </xf>
    <xf numFmtId="188" fontId="57" fillId="2" borderId="0" xfId="1" applyNumberFormat="1" applyFont="1" applyFill="1" applyAlignment="1">
      <alignment horizontal="justify" vertical="top"/>
    </xf>
    <xf numFmtId="0" fontId="88" fillId="2" borderId="0" xfId="0" applyFont="1" applyFill="1"/>
    <xf numFmtId="0" fontId="57" fillId="2" borderId="0" xfId="0" applyFont="1" applyFill="1" applyAlignment="1">
      <alignment horizontal="right" vertical="top"/>
    </xf>
    <xf numFmtId="0" fontId="4" fillId="2" borderId="0" xfId="2021" applyFont="1" applyFill="1"/>
    <xf numFmtId="0" fontId="4" fillId="2" borderId="0" xfId="2013" applyFont="1" applyFill="1"/>
    <xf numFmtId="0" fontId="4" fillId="2" borderId="0" xfId="2013" applyFont="1" applyFill="1" applyAlignment="1">
      <alignment horizontal="right"/>
    </xf>
    <xf numFmtId="0" fontId="3" fillId="2" borderId="0" xfId="2013" applyFont="1" applyFill="1" applyAlignment="1">
      <alignment horizontal="center"/>
    </xf>
    <xf numFmtId="0" fontId="3" fillId="2" borderId="0" xfId="2013" applyFont="1" applyFill="1"/>
    <xf numFmtId="0" fontId="4" fillId="2" borderId="0" xfId="2013" quotePrefix="1" applyFont="1" applyFill="1" applyAlignment="1">
      <alignment horizontal="center" vertical="top" wrapText="1"/>
    </xf>
    <xf numFmtId="0" fontId="3" fillId="2" borderId="0" xfId="2013" quotePrefix="1" applyFont="1" applyFill="1" applyAlignment="1">
      <alignment horizontal="right" vertical="top" wrapText="1"/>
    </xf>
    <xf numFmtId="0" fontId="3" fillId="2" borderId="0" xfId="2013" quotePrefix="1" applyFont="1" applyFill="1" applyAlignment="1">
      <alignment horizontal="center" vertical="top" wrapText="1"/>
    </xf>
    <xf numFmtId="0" fontId="3" fillId="2" borderId="0" xfId="2013" applyFont="1" applyFill="1" applyAlignment="1">
      <alignment vertical="top"/>
    </xf>
    <xf numFmtId="0" fontId="4" fillId="2" borderId="0" xfId="2013" quotePrefix="1" applyFont="1" applyFill="1" applyAlignment="1">
      <alignment horizontal="justify" vertical="top" wrapText="1"/>
    </xf>
    <xf numFmtId="0" fontId="3" fillId="2" borderId="0" xfId="2013" quotePrefix="1" applyFont="1" applyFill="1" applyAlignment="1">
      <alignment vertical="top" wrapText="1"/>
    </xf>
    <xf numFmtId="0" fontId="4" fillId="2" borderId="0" xfId="2013" quotePrefix="1" applyFont="1" applyFill="1" applyAlignment="1">
      <alignment horizontal="center" wrapText="1"/>
    </xf>
    <xf numFmtId="0" fontId="4" fillId="2" borderId="0" xfId="2013" applyFont="1" applyFill="1" applyAlignment="1">
      <alignment horizontal="left" wrapText="1"/>
    </xf>
    <xf numFmtId="0" fontId="3" fillId="2" borderId="0" xfId="2013" applyFont="1" applyFill="1" applyAlignment="1">
      <alignment horizontal="left" vertical="top" wrapText="1"/>
    </xf>
    <xf numFmtId="0" fontId="4" fillId="2" borderId="0" xfId="2013" quotePrefix="1" applyFont="1" applyFill="1" applyAlignment="1">
      <alignment horizontal="right" vertical="top" wrapText="1"/>
    </xf>
    <xf numFmtId="1" fontId="4" fillId="2" borderId="0" xfId="2013" applyNumberFormat="1" applyFont="1" applyFill="1" applyAlignment="1">
      <alignment horizontal="left" vertical="top" wrapText="1"/>
    </xf>
    <xf numFmtId="0" fontId="4" fillId="2" borderId="0" xfId="2024" applyFont="1" applyFill="1" applyAlignment="1">
      <alignment vertical="top"/>
    </xf>
    <xf numFmtId="0" fontId="4" fillId="2" borderId="0" xfId="2024" applyFont="1" applyFill="1" applyAlignment="1">
      <alignment vertical="center"/>
    </xf>
    <xf numFmtId="0" fontId="4" fillId="2" borderId="0" xfId="2013" quotePrefix="1" applyFont="1" applyFill="1" applyAlignment="1">
      <alignment horizontal="justify" vertical="justify" wrapText="1"/>
    </xf>
    <xf numFmtId="0" fontId="3" fillId="2" borderId="0" xfId="2013" applyFont="1" applyFill="1" applyAlignment="1">
      <alignment horizontal="justify" vertical="justify"/>
    </xf>
    <xf numFmtId="0" fontId="3" fillId="0" borderId="0" xfId="2013" quotePrefix="1" applyFont="1" applyAlignment="1">
      <alignment horizontal="justify" vertical="justify" wrapText="1"/>
    </xf>
    <xf numFmtId="0" fontId="4" fillId="0" borderId="0" xfId="2013" applyFont="1" applyAlignment="1">
      <alignment horizontal="left" vertical="top" wrapText="1"/>
    </xf>
    <xf numFmtId="0" fontId="3" fillId="0" borderId="0" xfId="2013" applyFont="1"/>
    <xf numFmtId="0" fontId="3" fillId="0" borderId="0" xfId="2013" applyFont="1" applyAlignment="1">
      <alignment vertical="top"/>
    </xf>
    <xf numFmtId="0" fontId="4" fillId="0" borderId="0" xfId="2013" applyFont="1" applyAlignment="1">
      <alignment vertical="top"/>
    </xf>
    <xf numFmtId="0" fontId="3" fillId="0" borderId="0" xfId="2013" applyFont="1" applyAlignment="1">
      <alignment horizontal="center"/>
    </xf>
    <xf numFmtId="0" fontId="4" fillId="0" borderId="0" xfId="2013" applyFont="1"/>
    <xf numFmtId="0" fontId="4" fillId="0" borderId="0" xfId="2025" applyFont="1" applyAlignment="1">
      <alignment horizontal="left"/>
    </xf>
    <xf numFmtId="0" fontId="3" fillId="0" borderId="0" xfId="2025" applyFont="1"/>
    <xf numFmtId="0" fontId="3" fillId="0" borderId="0" xfId="2025" applyFont="1" applyAlignment="1">
      <alignment horizontal="right"/>
    </xf>
    <xf numFmtId="0" fontId="4" fillId="0" borderId="0" xfId="2025" applyFont="1" applyAlignment="1">
      <alignment horizontal="center"/>
    </xf>
    <xf numFmtId="0" fontId="4" fillId="0" borderId="0" xfId="2025" quotePrefix="1" applyFont="1" applyAlignment="1">
      <alignment horizontal="left"/>
    </xf>
    <xf numFmtId="0" fontId="4" fillId="0" borderId="0" xfId="2025" applyFont="1" applyAlignment="1">
      <alignment horizontal="center" vertical="top"/>
    </xf>
    <xf numFmtId="0" fontId="3" fillId="0" borderId="0" xfId="2025" applyFont="1" applyAlignment="1">
      <alignment horizontal="center" vertical="top"/>
    </xf>
    <xf numFmtId="0" fontId="3" fillId="0" borderId="0" xfId="2025" applyFont="1" applyAlignment="1">
      <alignment horizontal="center"/>
    </xf>
    <xf numFmtId="0" fontId="3" fillId="0" borderId="0" xfId="2025" applyFont="1" applyAlignment="1">
      <alignment horizontal="left"/>
    </xf>
    <xf numFmtId="0" fontId="5" fillId="0" borderId="0" xfId="0" applyFont="1"/>
    <xf numFmtId="14" fontId="3" fillId="0" borderId="0" xfId="2025" applyNumberFormat="1" applyFont="1"/>
    <xf numFmtId="0" fontId="4" fillId="0" borderId="0" xfId="2025" applyFont="1"/>
    <xf numFmtId="14" fontId="4" fillId="0" borderId="0" xfId="2025" applyNumberFormat="1" applyFont="1"/>
    <xf numFmtId="0" fontId="4" fillId="0" borderId="4" xfId="4" applyFont="1" applyBorder="1" applyAlignment="1">
      <alignment horizontal="left" vertical="center"/>
    </xf>
    <xf numFmtId="0" fontId="4" fillId="0" borderId="82" xfId="2025" applyFont="1" applyBorder="1" applyAlignment="1">
      <alignment horizontal="center" vertical="center" wrapText="1"/>
    </xf>
    <xf numFmtId="0" fontId="4" fillId="0" borderId="4" xfId="2025" applyFont="1" applyBorder="1" applyAlignment="1">
      <alignment horizontal="center" vertical="center" wrapText="1"/>
    </xf>
    <xf numFmtId="0" fontId="4" fillId="0" borderId="2" xfId="4" applyFont="1" applyBorder="1" applyAlignment="1">
      <alignment horizontal="left"/>
    </xf>
    <xf numFmtId="188" fontId="3" fillId="0" borderId="11" xfId="1" applyNumberFormat="1" applyFont="1" applyFill="1" applyBorder="1" applyAlignment="1">
      <alignment horizontal="center" vertical="center" wrapText="1"/>
    </xf>
    <xf numFmtId="0" fontId="3" fillId="0" borderId="2" xfId="4" applyFont="1" applyBorder="1" applyAlignment="1">
      <alignment horizontal="left"/>
    </xf>
    <xf numFmtId="188" fontId="3" fillId="0" borderId="2" xfId="1" quotePrefix="1" applyNumberFormat="1" applyFont="1" applyFill="1" applyBorder="1" applyAlignment="1">
      <alignment horizontal="center" vertical="top"/>
    </xf>
    <xf numFmtId="43" fontId="3" fillId="0" borderId="0" xfId="2025" applyNumberFormat="1" applyFont="1"/>
    <xf numFmtId="1" fontId="3" fillId="0" borderId="0" xfId="2025" applyNumberFormat="1" applyFont="1"/>
    <xf numFmtId="37" fontId="3" fillId="0" borderId="0" xfId="2025" applyNumberFormat="1" applyFont="1"/>
    <xf numFmtId="0" fontId="4" fillId="0" borderId="2" xfId="4" applyFont="1" applyBorder="1" applyAlignment="1">
      <alignment horizontal="left" wrapText="1"/>
    </xf>
    <xf numFmtId="0" fontId="3" fillId="0" borderId="8" xfId="4" applyFont="1" applyBorder="1" applyAlignment="1">
      <alignment horizontal="left"/>
    </xf>
    <xf numFmtId="188" fontId="3" fillId="0" borderId="8" xfId="1" applyNumberFormat="1" applyFont="1" applyFill="1" applyBorder="1" applyAlignment="1">
      <alignment horizontal="center" vertical="center" wrapText="1"/>
    </xf>
    <xf numFmtId="188" fontId="3" fillId="0" borderId="12" xfId="1" applyNumberFormat="1" applyFont="1" applyFill="1" applyBorder="1" applyAlignment="1">
      <alignment horizontal="center" vertical="center" wrapText="1"/>
    </xf>
    <xf numFmtId="188" fontId="3" fillId="0" borderId="8" xfId="1" quotePrefix="1" applyNumberFormat="1" applyFont="1" applyFill="1" applyBorder="1" applyAlignment="1">
      <alignment horizontal="center" vertical="top"/>
    </xf>
    <xf numFmtId="188" fontId="3" fillId="0" borderId="0" xfId="1" quotePrefix="1" applyNumberFormat="1" applyFont="1" applyFill="1" applyBorder="1" applyAlignment="1">
      <alignment horizontal="center" vertical="top"/>
    </xf>
    <xf numFmtId="188" fontId="3" fillId="0" borderId="0" xfId="1" applyNumberFormat="1" applyFont="1" applyFill="1" applyBorder="1" applyAlignment="1">
      <alignment horizontal="center" vertical="top"/>
    </xf>
    <xf numFmtId="188" fontId="3" fillId="0" borderId="0" xfId="1" applyNumberFormat="1" applyFont="1" applyFill="1" applyAlignment="1">
      <alignment horizontal="center" vertical="top"/>
    </xf>
    <xf numFmtId="188" fontId="4" fillId="0" borderId="82" xfId="1" applyNumberFormat="1" applyFont="1" applyFill="1" applyBorder="1" applyAlignment="1">
      <alignment horizontal="center" vertical="top" wrapText="1"/>
    </xf>
    <xf numFmtId="188" fontId="4" fillId="0" borderId="4" xfId="1" applyNumberFormat="1" applyFont="1" applyFill="1" applyBorder="1" applyAlignment="1">
      <alignment horizontal="center" vertical="top" wrapText="1"/>
    </xf>
    <xf numFmtId="0" fontId="3" fillId="0" borderId="14" xfId="4" applyFont="1" applyBorder="1" applyAlignment="1">
      <alignment horizontal="left"/>
    </xf>
    <xf numFmtId="188" fontId="3" fillId="0" borderId="2" xfId="1" applyNumberFormat="1" applyFont="1" applyFill="1" applyBorder="1" applyAlignment="1">
      <alignment horizontal="center" vertical="center" wrapText="1"/>
    </xf>
    <xf numFmtId="0" fontId="4" fillId="0" borderId="14" xfId="4" applyFont="1" applyBorder="1" applyAlignment="1">
      <alignment horizontal="left"/>
    </xf>
    <xf numFmtId="0" fontId="3" fillId="0" borderId="2" xfId="4" applyFont="1" applyBorder="1" applyAlignment="1">
      <alignment horizontal="left" wrapText="1"/>
    </xf>
    <xf numFmtId="0" fontId="3" fillId="0" borderId="0" xfId="2025" applyFont="1" applyAlignment="1">
      <alignment horizontal="right" vertical="top"/>
    </xf>
    <xf numFmtId="0" fontId="4" fillId="2" borderId="0" xfId="2013" applyFont="1" applyFill="1" applyAlignment="1">
      <alignment horizontal="justify" vertical="justify"/>
    </xf>
    <xf numFmtId="0" fontId="3" fillId="2" borderId="0" xfId="2013" quotePrefix="1" applyFont="1" applyFill="1" applyAlignment="1">
      <alignment horizontal="justify" vertical="justify" wrapText="1"/>
    </xf>
    <xf numFmtId="0" fontId="3" fillId="0" borderId="0" xfId="2013" quotePrefix="1" applyFont="1" applyAlignment="1">
      <alignment horizontal="justify" vertical="top" wrapText="1"/>
    </xf>
    <xf numFmtId="0" fontId="3" fillId="0" borderId="0" xfId="2013" applyFont="1" applyAlignment="1">
      <alignment horizontal="justify" vertical="justify" wrapText="1"/>
    </xf>
    <xf numFmtId="0" fontId="3" fillId="0" borderId="0" xfId="2013" quotePrefix="1" applyFont="1" applyAlignment="1">
      <alignment horizontal="left" vertical="top" wrapText="1"/>
    </xf>
    <xf numFmtId="0" fontId="3" fillId="2" borderId="0" xfId="2013" quotePrefix="1" applyFont="1" applyFill="1" applyAlignment="1">
      <alignment horizontal="justify" vertical="top" wrapText="1"/>
    </xf>
    <xf numFmtId="0" fontId="4" fillId="2" borderId="0" xfId="2013" quotePrefix="1" applyFont="1" applyFill="1" applyAlignment="1">
      <alignment horizontal="left" vertical="top" wrapText="1"/>
    </xf>
    <xf numFmtId="0" fontId="3" fillId="2" borderId="0" xfId="2013" quotePrefix="1" applyFont="1" applyFill="1" applyAlignment="1">
      <alignment horizontal="left" vertical="top" wrapText="1"/>
    </xf>
    <xf numFmtId="0" fontId="4" fillId="2" borderId="0" xfId="2013" applyFont="1" applyFill="1" applyAlignment="1">
      <alignment horizontal="left" vertical="top" wrapText="1"/>
    </xf>
    <xf numFmtId="0" fontId="4" fillId="0" borderId="2" xfId="2021" applyFont="1" applyBorder="1" applyProtection="1">
      <protection locked="0"/>
    </xf>
    <xf numFmtId="0" fontId="3" fillId="0" borderId="0" xfId="2025" applyFont="1" applyBorder="1"/>
    <xf numFmtId="0" fontId="3" fillId="0" borderId="0" xfId="2025" applyFont="1" applyBorder="1" applyAlignment="1">
      <alignment horizontal="right" vertical="top"/>
    </xf>
    <xf numFmtId="0" fontId="3" fillId="0" borderId="0" xfId="2025" applyFont="1" applyBorder="1" applyAlignment="1">
      <alignment horizontal="center" vertical="top"/>
    </xf>
    <xf numFmtId="0" fontId="4" fillId="0" borderId="18" xfId="2025" applyFont="1" applyBorder="1"/>
    <xf numFmtId="0" fontId="3" fillId="0" borderId="20" xfId="2025" applyFont="1" applyBorder="1" applyAlignment="1">
      <alignment horizontal="right" vertical="top"/>
    </xf>
    <xf numFmtId="0" fontId="3" fillId="0" borderId="12" xfId="2025" applyFont="1" applyBorder="1" applyAlignment="1">
      <alignment horizontal="right" vertical="top"/>
    </xf>
    <xf numFmtId="0" fontId="3" fillId="0" borderId="83" xfId="4" applyFont="1" applyBorder="1" applyAlignment="1">
      <alignment horizontal="left"/>
    </xf>
    <xf numFmtId="188" fontId="3" fillId="0" borderId="83" xfId="1" quotePrefix="1" applyNumberFormat="1" applyFont="1" applyFill="1" applyBorder="1" applyAlignment="1">
      <alignment horizontal="center" vertical="top"/>
    </xf>
    <xf numFmtId="0" fontId="4" fillId="0" borderId="18" xfId="2021" applyFont="1" applyBorder="1" applyProtection="1">
      <protection locked="0"/>
    </xf>
    <xf numFmtId="0" fontId="4" fillId="0" borderId="111" xfId="4" applyFont="1" applyBorder="1" applyAlignment="1">
      <alignment horizontal="left"/>
    </xf>
    <xf numFmtId="167" fontId="3" fillId="0" borderId="110" xfId="2040" applyNumberFormat="1" applyFont="1" applyFill="1" applyBorder="1" applyAlignment="1">
      <alignment horizontal="right" vertical="top"/>
    </xf>
    <xf numFmtId="167" fontId="3" fillId="0" borderId="85" xfId="2040" applyNumberFormat="1" applyFont="1" applyFill="1" applyBorder="1" applyAlignment="1">
      <alignment horizontal="right" vertical="top"/>
    </xf>
    <xf numFmtId="188" fontId="3" fillId="0" borderId="2" xfId="3" applyNumberFormat="1" applyFont="1" applyFill="1" applyBorder="1" applyAlignment="1">
      <alignment vertical="top"/>
    </xf>
    <xf numFmtId="0" fontId="4" fillId="0" borderId="0" xfId="2013" quotePrefix="1" applyFont="1" applyAlignment="1">
      <alignment horizontal="left" vertical="top"/>
    </xf>
    <xf numFmtId="0" fontId="3" fillId="0" borderId="2" xfId="0" applyFont="1" applyBorder="1" applyAlignment="1">
      <alignment horizontal="left" wrapText="1"/>
    </xf>
    <xf numFmtId="0" fontId="4" fillId="0" borderId="58" xfId="2022" applyFont="1" applyBorder="1" applyAlignment="1">
      <alignment horizontal="center" vertical="center"/>
    </xf>
    <xf numFmtId="0" fontId="4" fillId="0" borderId="60" xfId="2022" applyFont="1" applyBorder="1" applyAlignment="1">
      <alignment horizontal="center" vertical="center"/>
    </xf>
    <xf numFmtId="0" fontId="4" fillId="0" borderId="18" xfId="2022" applyFont="1" applyBorder="1" applyAlignment="1">
      <alignment horizontal="center" vertical="center"/>
    </xf>
    <xf numFmtId="0" fontId="4" fillId="0" borderId="12" xfId="2022" applyFont="1" applyBorder="1" applyAlignment="1">
      <alignment horizontal="center" vertical="center"/>
    </xf>
    <xf numFmtId="0" fontId="4" fillId="2" borderId="74" xfId="0" applyFont="1" applyFill="1" applyBorder="1" applyAlignment="1">
      <alignment horizontal="center" vertical="center" wrapText="1"/>
    </xf>
    <xf numFmtId="0" fontId="4" fillId="2" borderId="75" xfId="0" applyFont="1" applyFill="1" applyBorder="1" applyAlignment="1">
      <alignment horizontal="center" vertical="center" wrapText="1"/>
    </xf>
    <xf numFmtId="0" fontId="3" fillId="2" borderId="0" xfId="0" applyFont="1" applyFill="1" applyAlignment="1">
      <alignment horizontal="left" vertical="top" wrapText="1"/>
    </xf>
    <xf numFmtId="0" fontId="4" fillId="2" borderId="7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83" xfId="0" applyFont="1" applyFill="1" applyBorder="1" applyAlignment="1">
      <alignment horizontal="left" vertical="center"/>
    </xf>
    <xf numFmtId="0" fontId="4" fillId="2" borderId="8" xfId="0" applyFont="1" applyFill="1" applyBorder="1" applyAlignment="1">
      <alignment horizontal="left" vertical="center"/>
    </xf>
    <xf numFmtId="188" fontId="4" fillId="2" borderId="74" xfId="0" applyNumberFormat="1" applyFont="1" applyFill="1" applyBorder="1" applyAlignment="1">
      <alignment horizontal="center" vertical="center" wrapText="1"/>
    </xf>
    <xf numFmtId="188" fontId="4" fillId="2" borderId="73" xfId="0" applyNumberFormat="1" applyFont="1" applyFill="1" applyBorder="1" applyAlignment="1">
      <alignment horizontal="center" vertical="center" wrapText="1"/>
    </xf>
    <xf numFmtId="188" fontId="4" fillId="2" borderId="75" xfId="0" applyNumberFormat="1" applyFont="1" applyFill="1" applyBorder="1" applyAlignment="1">
      <alignment horizontal="center" vertical="center" wrapText="1"/>
    </xf>
    <xf numFmtId="188" fontId="4" fillId="2" borderId="69" xfId="0" applyNumberFormat="1" applyFont="1" applyFill="1" applyBorder="1" applyAlignment="1">
      <alignment horizontal="center" vertical="center" wrapText="1"/>
    </xf>
    <xf numFmtId="188" fontId="4" fillId="2" borderId="12" xfId="0" applyNumberFormat="1" applyFont="1" applyFill="1" applyBorder="1" applyAlignment="1">
      <alignment horizontal="center" vertical="center" wrapText="1"/>
    </xf>
    <xf numFmtId="0" fontId="67" fillId="2" borderId="74" xfId="0" applyFont="1" applyFill="1" applyBorder="1" applyAlignment="1">
      <alignment horizontal="center" vertical="center" wrapText="1"/>
    </xf>
    <xf numFmtId="0" fontId="67" fillId="2" borderId="75" xfId="0" applyFont="1" applyFill="1" applyBorder="1" applyAlignment="1">
      <alignment horizontal="center" vertical="center" wrapText="1"/>
    </xf>
    <xf numFmtId="0" fontId="4" fillId="2" borderId="70" xfId="0" applyFont="1" applyFill="1" applyBorder="1" applyAlignment="1">
      <alignment horizontal="left" vertical="center"/>
    </xf>
    <xf numFmtId="0" fontId="3" fillId="2" borderId="0" xfId="0" applyFont="1" applyFill="1" applyAlignment="1">
      <alignment horizontal="left" vertical="center"/>
    </xf>
    <xf numFmtId="0" fontId="3" fillId="2" borderId="0" xfId="0" applyFont="1" applyFill="1" applyAlignment="1">
      <alignment horizontal="left" vertical="center" wrapText="1"/>
    </xf>
    <xf numFmtId="0" fontId="3" fillId="0" borderId="0" xfId="2013" applyFont="1" applyAlignment="1">
      <alignment horizontal="justify" vertical="top" wrapText="1"/>
    </xf>
    <xf numFmtId="0" fontId="4" fillId="2" borderId="0" xfId="2013" applyFont="1" applyFill="1" applyAlignment="1">
      <alignment horizontal="justify" vertical="justify"/>
    </xf>
    <xf numFmtId="0" fontId="3" fillId="2" borderId="0" xfId="2013" quotePrefix="1" applyFont="1" applyFill="1" applyAlignment="1">
      <alignment horizontal="justify" vertical="justify" wrapText="1"/>
    </xf>
    <xf numFmtId="0" fontId="3" fillId="0" borderId="0" xfId="2013" quotePrefix="1" applyFont="1" applyAlignment="1">
      <alignment horizontal="justify" vertical="top" wrapText="1"/>
    </xf>
    <xf numFmtId="0" fontId="4" fillId="0" borderId="0" xfId="2013" quotePrefix="1" applyFont="1" applyAlignment="1">
      <alignment horizontal="left" vertical="top" wrapText="1"/>
    </xf>
    <xf numFmtId="0" fontId="4" fillId="0" borderId="0" xfId="2024" applyFont="1" applyAlignment="1">
      <alignment horizontal="left"/>
    </xf>
    <xf numFmtId="0" fontId="4" fillId="0" borderId="0" xfId="2024" applyFont="1" applyAlignment="1">
      <alignment horizontal="left" vertical="top"/>
    </xf>
    <xf numFmtId="0" fontId="3" fillId="0" borderId="0" xfId="2013" applyFont="1" applyAlignment="1">
      <alignment horizontal="justify" vertical="justify" wrapText="1"/>
    </xf>
    <xf numFmtId="0" fontId="43" fillId="0" borderId="0" xfId="0" applyFont="1" applyAlignment="1">
      <alignment horizontal="justify" vertical="justify" wrapText="1"/>
    </xf>
    <xf numFmtId="0" fontId="3" fillId="0" borderId="0" xfId="2013" quotePrefix="1" applyFont="1" applyAlignment="1">
      <alignment horizontal="left" vertical="top" wrapText="1"/>
    </xf>
    <xf numFmtId="0" fontId="4" fillId="0" borderId="0" xfId="2024" applyFont="1" applyAlignment="1">
      <alignment horizontal="left" vertical="center"/>
    </xf>
    <xf numFmtId="0" fontId="3" fillId="2" borderId="0" xfId="2013" quotePrefix="1" applyFont="1" applyFill="1" applyAlignment="1">
      <alignment horizontal="justify" vertical="top" wrapText="1"/>
    </xf>
    <xf numFmtId="0" fontId="4" fillId="2" borderId="0" xfId="2013" quotePrefix="1" applyFont="1" applyFill="1" applyAlignment="1">
      <alignment horizontal="left" vertical="top" wrapText="1"/>
    </xf>
    <xf numFmtId="0" fontId="3" fillId="2" borderId="0" xfId="2013" quotePrefix="1" applyFont="1" applyFill="1" applyAlignment="1">
      <alignment horizontal="left" vertical="top" wrapText="1"/>
    </xf>
    <xf numFmtId="0" fontId="4" fillId="2" borderId="0" xfId="2024" applyFont="1" applyFill="1" applyAlignment="1">
      <alignment horizontal="left" vertical="center"/>
    </xf>
    <xf numFmtId="0" fontId="3" fillId="2" borderId="0" xfId="2024" applyFont="1" applyFill="1" applyAlignment="1">
      <alignment horizontal="left" vertical="center"/>
    </xf>
    <xf numFmtId="0" fontId="38" fillId="2" borderId="0" xfId="2013" quotePrefix="1" applyFont="1" applyFill="1" applyAlignment="1">
      <alignment horizontal="left" vertical="top" wrapText="1"/>
    </xf>
    <xf numFmtId="0" fontId="3" fillId="2" borderId="0" xfId="2013" applyFont="1" applyFill="1" applyAlignment="1">
      <alignment horizontal="justify" vertical="top" wrapText="1"/>
    </xf>
    <xf numFmtId="0" fontId="3" fillId="2" borderId="0" xfId="2013" quotePrefix="1" applyFont="1" applyFill="1" applyAlignment="1">
      <alignment horizontal="justify" vertical="center" wrapText="1"/>
    </xf>
    <xf numFmtId="0" fontId="4" fillId="2" borderId="0" xfId="2013" applyFont="1" applyFill="1" applyAlignment="1">
      <alignment horizontal="left" vertical="top" wrapText="1"/>
    </xf>
    <xf numFmtId="0" fontId="3" fillId="2" borderId="0" xfId="2013" applyFont="1" applyFill="1" applyAlignment="1">
      <alignment horizontal="left" vertical="top"/>
    </xf>
    <xf numFmtId="188" fontId="4" fillId="2" borderId="105" xfId="1" applyNumberFormat="1" applyFont="1" applyFill="1" applyBorder="1" applyAlignment="1">
      <alignment horizontal="center"/>
    </xf>
    <xf numFmtId="188" fontId="4" fillId="2" borderId="104" xfId="1" applyNumberFormat="1" applyFont="1" applyFill="1" applyBorder="1" applyAlignment="1">
      <alignment horizontal="center"/>
    </xf>
    <xf numFmtId="188" fontId="4" fillId="2" borderId="85" xfId="1" applyNumberFormat="1" applyFont="1" applyFill="1" applyBorder="1" applyAlignment="1">
      <alignment horizontal="center"/>
    </xf>
    <xf numFmtId="168" fontId="4" fillId="2" borderId="105" xfId="6" applyNumberFormat="1" applyFont="1" applyFill="1" applyBorder="1" applyAlignment="1">
      <alignment horizontal="center"/>
    </xf>
    <xf numFmtId="168" fontId="4" fillId="2" borderId="104" xfId="6" applyNumberFormat="1" applyFont="1" applyFill="1" applyBorder="1" applyAlignment="1">
      <alignment horizontal="center"/>
    </xf>
    <xf numFmtId="168" fontId="4" fillId="2" borderId="85" xfId="6" applyNumberFormat="1" applyFont="1" applyFill="1" applyBorder="1" applyAlignment="1">
      <alignment horizontal="center"/>
    </xf>
    <xf numFmtId="188" fontId="4" fillId="2" borderId="105" xfId="6" applyNumberFormat="1" applyFont="1" applyFill="1" applyBorder="1" applyAlignment="1">
      <alignment horizontal="center"/>
    </xf>
    <xf numFmtId="188" fontId="4" fillId="2" borderId="104" xfId="6" applyNumberFormat="1" applyFont="1" applyFill="1" applyBorder="1" applyAlignment="1">
      <alignment horizontal="center"/>
    </xf>
    <xf numFmtId="188" fontId="4" fillId="2" borderId="85" xfId="6" applyNumberFormat="1" applyFont="1" applyFill="1" applyBorder="1" applyAlignment="1">
      <alignment horizontal="center"/>
    </xf>
    <xf numFmtId="188" fontId="4" fillId="2" borderId="13" xfId="6" applyNumberFormat="1" applyFont="1" applyFill="1" applyBorder="1" applyAlignment="1">
      <alignment horizontal="center"/>
    </xf>
    <xf numFmtId="188" fontId="4" fillId="2" borderId="19" xfId="6" applyNumberFormat="1" applyFont="1" applyFill="1" applyBorder="1" applyAlignment="1">
      <alignment horizontal="center"/>
    </xf>
    <xf numFmtId="188" fontId="4" fillId="2" borderId="17" xfId="6" applyNumberFormat="1" applyFont="1" applyFill="1" applyBorder="1" applyAlignment="1">
      <alignment horizontal="center"/>
    </xf>
    <xf numFmtId="188" fontId="4" fillId="2" borderId="13" xfId="1" applyNumberFormat="1" applyFont="1" applyFill="1" applyBorder="1" applyAlignment="1">
      <alignment horizontal="center"/>
    </xf>
    <xf numFmtId="188" fontId="4" fillId="2" borderId="19" xfId="1" applyNumberFormat="1" applyFont="1" applyFill="1" applyBorder="1" applyAlignment="1">
      <alignment horizontal="center"/>
    </xf>
    <xf numFmtId="188" fontId="4" fillId="2" borderId="17" xfId="1" applyNumberFormat="1" applyFont="1" applyFill="1" applyBorder="1" applyAlignment="1">
      <alignment horizontal="center"/>
    </xf>
    <xf numFmtId="168" fontId="4" fillId="2" borderId="13" xfId="6" applyNumberFormat="1" applyFont="1" applyFill="1" applyBorder="1" applyAlignment="1">
      <alignment horizontal="center"/>
    </xf>
    <xf numFmtId="168" fontId="4" fillId="2" borderId="19" xfId="6" applyNumberFormat="1" applyFont="1" applyFill="1" applyBorder="1" applyAlignment="1">
      <alignment horizontal="center"/>
    </xf>
    <xf numFmtId="168" fontId="4" fillId="2" borderId="17" xfId="6" applyNumberFormat="1" applyFont="1" applyFill="1" applyBorder="1" applyAlignment="1">
      <alignment horizontal="center"/>
    </xf>
    <xf numFmtId="0" fontId="36" fillId="0" borderId="20" xfId="2" applyFont="1" applyBorder="1" applyAlignment="1">
      <alignment horizontal="justify" vertical="justify" wrapText="1"/>
    </xf>
    <xf numFmtId="0" fontId="36" fillId="0" borderId="0" xfId="2" applyFont="1" applyAlignment="1">
      <alignment horizontal="justify" vertical="justify" wrapText="1"/>
    </xf>
    <xf numFmtId="0" fontId="3" fillId="0" borderId="0" xfId="0" applyFont="1" applyAlignment="1">
      <alignment horizontal="justify" vertical="justify" wrapText="1"/>
    </xf>
    <xf numFmtId="0" fontId="3" fillId="0" borderId="0" xfId="2" applyFont="1" applyAlignment="1">
      <alignment horizontal="justify" vertical="justify" wrapText="1"/>
    </xf>
    <xf numFmtId="0" fontId="36" fillId="0" borderId="0" xfId="2" applyFont="1" applyAlignment="1">
      <alignment horizontal="justify" vertical="top" wrapText="1"/>
    </xf>
    <xf numFmtId="0" fontId="43" fillId="0" borderId="0" xfId="0" applyFont="1" applyAlignment="1">
      <alignment horizontal="justify" vertical="top" wrapText="1"/>
    </xf>
    <xf numFmtId="0" fontId="36" fillId="0" borderId="0" xfId="2" applyFont="1" applyAlignment="1">
      <alignment horizontal="justify" vertical="center" wrapText="1"/>
    </xf>
    <xf numFmtId="0" fontId="43" fillId="0" borderId="0" xfId="0" applyFont="1" applyAlignment="1">
      <alignment horizontal="justify" vertical="center" wrapText="1"/>
    </xf>
    <xf numFmtId="0" fontId="3" fillId="0" borderId="0" xfId="0" applyFont="1" applyAlignment="1">
      <alignment horizontal="justify" vertical="top" wrapText="1"/>
    </xf>
    <xf numFmtId="0" fontId="3" fillId="0" borderId="0" xfId="2" applyFont="1" applyAlignment="1">
      <alignment horizontal="justify" vertical="top" wrapText="1"/>
    </xf>
    <xf numFmtId="0" fontId="3" fillId="0" borderId="53" xfId="2" applyFont="1" applyBorder="1" applyAlignment="1">
      <alignment horizontal="justify" vertical="top" wrapText="1"/>
    </xf>
    <xf numFmtId="0" fontId="3" fillId="0" borderId="104" xfId="2" applyFont="1" applyBorder="1" applyAlignment="1">
      <alignment horizontal="justify" vertical="top" wrapText="1"/>
    </xf>
    <xf numFmtId="0" fontId="3" fillId="0" borderId="37" xfId="0" applyFont="1" applyBorder="1" applyAlignment="1">
      <alignment horizontal="justify" vertical="top" wrapText="1"/>
    </xf>
    <xf numFmtId="10" fontId="3" fillId="0" borderId="83" xfId="20" applyNumberFormat="1" applyFont="1" applyFill="1" applyBorder="1" applyAlignment="1">
      <alignment horizontal="center" vertical="center"/>
    </xf>
    <xf numFmtId="10" fontId="3" fillId="0" borderId="2" xfId="20" applyNumberFormat="1" applyFont="1" applyFill="1" applyBorder="1" applyAlignment="1">
      <alignment horizontal="center" vertical="center"/>
    </xf>
    <xf numFmtId="10" fontId="3" fillId="0" borderId="8" xfId="20" applyNumberFormat="1" applyFont="1" applyFill="1" applyBorder="1" applyAlignment="1">
      <alignment horizontal="center" vertical="center"/>
    </xf>
    <xf numFmtId="167" fontId="3" fillId="0" borderId="83" xfId="0" applyNumberFormat="1" applyFont="1" applyBorder="1" applyAlignment="1">
      <alignment horizontal="center" vertical="center"/>
    </xf>
    <xf numFmtId="167" fontId="3" fillId="0" borderId="2" xfId="0" applyNumberFormat="1" applyFont="1" applyBorder="1" applyAlignment="1">
      <alignment horizontal="center" vertical="center"/>
    </xf>
    <xf numFmtId="167" fontId="3" fillId="0" borderId="8" xfId="0" applyNumberFormat="1" applyFont="1" applyBorder="1" applyAlignment="1">
      <alignment horizontal="center" vertical="center"/>
    </xf>
    <xf numFmtId="0" fontId="3" fillId="2" borderId="0" xfId="2027" applyFont="1" applyFill="1" applyAlignment="1">
      <alignment horizontal="justify" vertical="center" wrapText="1"/>
    </xf>
    <xf numFmtId="0" fontId="3" fillId="2" borderId="0" xfId="2030" applyFont="1" applyFill="1" applyAlignment="1">
      <alignment horizontal="justify" vertical="justify" wrapText="1"/>
    </xf>
    <xf numFmtId="0" fontId="3" fillId="2" borderId="0" xfId="2027" applyFont="1" applyFill="1" applyAlignment="1">
      <alignment horizontal="left" vertical="top" wrapText="1"/>
    </xf>
    <xf numFmtId="0" fontId="40" fillId="2" borderId="0" xfId="2027" applyFont="1" applyFill="1" applyAlignment="1">
      <alignment horizontal="justify" vertical="center" wrapText="1"/>
    </xf>
    <xf numFmtId="0" fontId="4" fillId="2" borderId="0" xfId="2027" applyFont="1" applyFill="1" applyAlignment="1">
      <alignment vertical="top" wrapText="1"/>
    </xf>
    <xf numFmtId="0" fontId="3" fillId="2" borderId="0" xfId="2027" applyFont="1" applyFill="1" applyAlignment="1">
      <alignment horizontal="justify" vertical="justify" wrapText="1"/>
    </xf>
    <xf numFmtId="0" fontId="80" fillId="2" borderId="68" xfId="2027" applyFont="1" applyFill="1" applyBorder="1" applyAlignment="1">
      <alignment horizontal="right" wrapText="1"/>
    </xf>
    <xf numFmtId="0" fontId="4" fillId="2" borderId="68" xfId="2027" applyFont="1" applyFill="1" applyBorder="1" applyAlignment="1">
      <alignment horizontal="right" wrapText="1"/>
    </xf>
    <xf numFmtId="0" fontId="4" fillId="2" borderId="0" xfId="2027" applyFont="1" applyFill="1" applyAlignment="1">
      <alignment horizontal="justify" vertical="justify" wrapText="1"/>
    </xf>
    <xf numFmtId="0" fontId="3" fillId="2" borderId="0" xfId="2027" applyFont="1" applyFill="1" applyAlignment="1">
      <alignment horizontal="justify" vertical="top" wrapText="1"/>
    </xf>
    <xf numFmtId="0" fontId="3" fillId="2" borderId="0" xfId="2027" applyFont="1" applyFill="1" applyAlignment="1">
      <alignment vertical="top" wrapText="1"/>
    </xf>
    <xf numFmtId="0" fontId="4" fillId="2" borderId="20" xfId="2027" applyFont="1" applyFill="1" applyBorder="1" applyAlignment="1">
      <alignment horizontal="center" vertical="top" wrapText="1"/>
    </xf>
    <xf numFmtId="0" fontId="3" fillId="0" borderId="0" xfId="2027" applyFont="1" applyAlignment="1">
      <alignment vertical="top" wrapText="1"/>
    </xf>
    <xf numFmtId="0" fontId="4" fillId="2" borderId="0" xfId="2027" applyFont="1" applyFill="1" applyAlignment="1">
      <alignment horizontal="left" vertical="top" wrapText="1"/>
    </xf>
    <xf numFmtId="0" fontId="3" fillId="2" borderId="0" xfId="2027" applyFont="1" applyFill="1" applyAlignment="1">
      <alignment horizontal="left" vertical="center" wrapText="1"/>
    </xf>
    <xf numFmtId="0" fontId="3" fillId="2" borderId="0" xfId="2027" applyFont="1" applyFill="1" applyAlignment="1">
      <alignment horizontal="left" vertical="center"/>
    </xf>
    <xf numFmtId="0" fontId="4" fillId="2" borderId="0" xfId="2027" applyFont="1" applyFill="1" applyAlignment="1">
      <alignment horizontal="justify" vertical="top"/>
    </xf>
    <xf numFmtId="0" fontId="3" fillId="2" borderId="0" xfId="2027" applyFont="1" applyFill="1" applyAlignment="1">
      <alignment horizontal="justify" vertical="top"/>
    </xf>
    <xf numFmtId="0" fontId="3" fillId="2" borderId="0" xfId="2027" applyFont="1" applyFill="1" applyAlignment="1">
      <alignment horizontal="justify" wrapText="1"/>
    </xf>
    <xf numFmtId="0" fontId="4" fillId="0" borderId="0" xfId="2027" applyFont="1" applyAlignment="1">
      <alignment horizontal="justify" vertical="top"/>
    </xf>
    <xf numFmtId="0" fontId="4" fillId="0" borderId="0" xfId="2025" applyFont="1"/>
    <xf numFmtId="0" fontId="3" fillId="0" borderId="0" xfId="2027" applyFont="1" applyAlignment="1">
      <alignment horizontal="justify" vertical="top"/>
    </xf>
    <xf numFmtId="0" fontId="4" fillId="0" borderId="0" xfId="2025" applyFont="1" applyAlignment="1">
      <alignment horizontal="left"/>
    </xf>
    <xf numFmtId="0" fontId="3" fillId="2" borderId="0" xfId="2013" applyFont="1" applyFill="1" applyAlignment="1">
      <alignment horizontal="center" vertical="top" wrapText="1"/>
    </xf>
    <xf numFmtId="15" fontId="4" fillId="2" borderId="44" xfId="2013" applyNumberFormat="1" applyFont="1" applyFill="1" applyBorder="1" applyAlignment="1">
      <alignment horizontal="center" vertical="center"/>
    </xf>
    <xf numFmtId="15" fontId="4" fillId="2" borderId="45" xfId="2013" applyNumberFormat="1" applyFont="1" applyFill="1" applyBorder="1" applyAlignment="1">
      <alignment horizontal="center" vertical="center"/>
    </xf>
    <xf numFmtId="15" fontId="4" fillId="2" borderId="43" xfId="2013" applyNumberFormat="1" applyFont="1" applyFill="1" applyBorder="1" applyAlignment="1">
      <alignment horizontal="center" vertical="center"/>
    </xf>
    <xf numFmtId="0" fontId="4" fillId="2" borderId="42" xfId="2016" applyFont="1" applyFill="1" applyBorder="1" applyAlignment="1">
      <alignment horizontal="center" vertical="center" wrapText="1"/>
    </xf>
    <xf numFmtId="0" fontId="4" fillId="2" borderId="8" xfId="2016" applyFont="1" applyFill="1" applyBorder="1" applyAlignment="1">
      <alignment horizontal="center" vertical="center" wrapText="1"/>
    </xf>
    <xf numFmtId="15" fontId="4" fillId="2" borderId="44" xfId="2016" applyNumberFormat="1" applyFont="1" applyFill="1" applyBorder="1" applyAlignment="1">
      <alignment horizontal="center" vertical="top"/>
    </xf>
    <xf numFmtId="15" fontId="4" fillId="2" borderId="45" xfId="2016" applyNumberFormat="1" applyFont="1" applyFill="1" applyBorder="1" applyAlignment="1">
      <alignment horizontal="center" vertical="top"/>
    </xf>
    <xf numFmtId="15" fontId="4" fillId="2" borderId="44" xfId="2016" applyNumberFormat="1" applyFont="1" applyFill="1" applyBorder="1" applyAlignment="1">
      <alignment horizontal="center" vertical="center"/>
    </xf>
    <xf numFmtId="15" fontId="4" fillId="2" borderId="52" xfId="2016" applyNumberFormat="1" applyFont="1" applyFill="1" applyBorder="1" applyAlignment="1">
      <alignment horizontal="center" vertical="center"/>
    </xf>
    <xf numFmtId="15" fontId="4" fillId="2" borderId="50" xfId="2016" applyNumberFormat="1" applyFont="1" applyFill="1" applyBorder="1" applyAlignment="1">
      <alignment horizontal="center" vertical="center"/>
    </xf>
    <xf numFmtId="15" fontId="4" fillId="2" borderId="2" xfId="2016" applyNumberFormat="1" applyFont="1" applyFill="1" applyBorder="1" applyAlignment="1">
      <alignment horizontal="center" vertical="top"/>
    </xf>
    <xf numFmtId="15" fontId="4" fillId="2" borderId="14" xfId="2016" applyNumberFormat="1" applyFont="1" applyFill="1" applyBorder="1" applyAlignment="1">
      <alignment horizontal="center" vertical="top"/>
    </xf>
    <xf numFmtId="0" fontId="3" fillId="2" borderId="0" xfId="2016" applyFont="1" applyFill="1" applyAlignment="1">
      <alignment horizontal="justify" vertical="center" wrapText="1"/>
    </xf>
    <xf numFmtId="0" fontId="3" fillId="2" borderId="0" xfId="2016" applyFont="1" applyFill="1" applyAlignment="1">
      <alignment horizontal="left" vertical="top" wrapText="1"/>
    </xf>
    <xf numFmtId="0" fontId="43" fillId="2" borderId="0" xfId="0" applyFont="1" applyFill="1" applyAlignment="1">
      <alignment horizontal="justify" vertical="center" wrapText="1"/>
    </xf>
    <xf numFmtId="0" fontId="36" fillId="2" borderId="0" xfId="2013" applyFont="1" applyFill="1" applyAlignment="1">
      <alignment horizontal="justify" vertical="center" wrapText="1"/>
    </xf>
    <xf numFmtId="0" fontId="4" fillId="2" borderId="49" xfId="2016" applyFont="1" applyFill="1" applyBorder="1" applyAlignment="1">
      <alignment horizontal="center" vertical="center" wrapText="1"/>
    </xf>
    <xf numFmtId="0" fontId="4" fillId="2" borderId="37" xfId="2013" applyFont="1" applyFill="1" applyBorder="1" applyAlignment="1">
      <alignment horizontal="center" vertical="center" wrapText="1"/>
    </xf>
    <xf numFmtId="0" fontId="3" fillId="2" borderId="0" xfId="2016" applyFont="1" applyFill="1" applyAlignment="1">
      <alignment horizontal="justify" vertical="top" wrapText="1"/>
    </xf>
    <xf numFmtId="0" fontId="3" fillId="2" borderId="14" xfId="2016" applyFont="1" applyFill="1" applyBorder="1" applyAlignment="1">
      <alignment vertical="top" wrapText="1"/>
    </xf>
    <xf numFmtId="0" fontId="3" fillId="2" borderId="0" xfId="2016" applyFont="1" applyFill="1" applyAlignment="1">
      <alignment vertical="top" wrapText="1"/>
    </xf>
    <xf numFmtId="0" fontId="3" fillId="2" borderId="11" xfId="2016" applyFont="1" applyFill="1" applyBorder="1" applyAlignment="1">
      <alignment vertical="top" wrapText="1"/>
    </xf>
    <xf numFmtId="0" fontId="3" fillId="2" borderId="14" xfId="2016" applyFont="1" applyFill="1" applyBorder="1" applyAlignment="1">
      <alignment horizontal="justify" vertical="top" wrapText="1"/>
    </xf>
    <xf numFmtId="0" fontId="3" fillId="2" borderId="11" xfId="2016" applyFont="1" applyFill="1" applyBorder="1" applyAlignment="1">
      <alignment horizontal="justify" vertical="top" wrapText="1"/>
    </xf>
    <xf numFmtId="0" fontId="4" fillId="2" borderId="14" xfId="2016" applyFont="1" applyFill="1" applyBorder="1" applyAlignment="1">
      <alignment vertical="top" wrapText="1"/>
    </xf>
    <xf numFmtId="0" fontId="4" fillId="2" borderId="0" xfId="2016" applyFont="1" applyFill="1" applyAlignment="1">
      <alignment vertical="top" wrapText="1"/>
    </xf>
    <xf numFmtId="0" fontId="4" fillId="2" borderId="11" xfId="2016" applyFont="1" applyFill="1" applyBorder="1" applyAlignment="1">
      <alignment vertical="top" wrapText="1"/>
    </xf>
    <xf numFmtId="0" fontId="3" fillId="2" borderId="61" xfId="2016" applyFont="1" applyFill="1" applyBorder="1" applyAlignment="1">
      <alignment horizontal="justify" vertical="top" wrapText="1"/>
    </xf>
    <xf numFmtId="0" fontId="3" fillId="2" borderId="62" xfId="2016" applyFont="1" applyFill="1" applyBorder="1" applyAlignment="1">
      <alignment horizontal="justify" vertical="top" wrapText="1"/>
    </xf>
    <xf numFmtId="0" fontId="3" fillId="2" borderId="63" xfId="2016" applyFont="1" applyFill="1" applyBorder="1" applyAlignment="1">
      <alignment horizontal="justify" vertical="top" wrapText="1"/>
    </xf>
    <xf numFmtId="0" fontId="3" fillId="2" borderId="4" xfId="2016" applyFont="1" applyFill="1" applyBorder="1" applyAlignment="1">
      <alignment horizontal="left" vertical="top" wrapText="1"/>
    </xf>
    <xf numFmtId="0" fontId="3" fillId="2" borderId="14" xfId="2016" applyFont="1" applyFill="1" applyBorder="1" applyAlignment="1">
      <alignment horizontal="justify" vertical="center" wrapText="1"/>
    </xf>
    <xf numFmtId="0" fontId="3" fillId="2" borderId="11" xfId="2016" applyFont="1" applyFill="1" applyBorder="1" applyAlignment="1">
      <alignment horizontal="justify" vertical="center" wrapText="1"/>
    </xf>
    <xf numFmtId="0" fontId="4" fillId="2" borderId="14" xfId="2016" applyFont="1" applyFill="1" applyBorder="1" applyAlignment="1">
      <alignment vertical="top"/>
    </xf>
    <xf numFmtId="0" fontId="4" fillId="2" borderId="0" xfId="2016" applyFont="1" applyFill="1" applyAlignment="1">
      <alignment vertical="top"/>
    </xf>
    <xf numFmtId="0" fontId="4" fillId="2" borderId="11" xfId="2016" applyFont="1" applyFill="1" applyBorder="1" applyAlignment="1">
      <alignment vertical="top"/>
    </xf>
    <xf numFmtId="0" fontId="3" fillId="2" borderId="18" xfId="2016" applyFont="1" applyFill="1" applyBorder="1" applyAlignment="1">
      <alignment vertical="top" wrapText="1"/>
    </xf>
    <xf numFmtId="0" fontId="3" fillId="2" borderId="20" xfId="2016" applyFont="1" applyFill="1" applyBorder="1" applyAlignment="1">
      <alignment vertical="top" wrapText="1"/>
    </xf>
    <xf numFmtId="0" fontId="3" fillId="2" borderId="12" xfId="2016" applyFont="1" applyFill="1" applyBorder="1" applyAlignment="1">
      <alignment vertical="top" wrapText="1"/>
    </xf>
    <xf numFmtId="0" fontId="3" fillId="2" borderId="47" xfId="2016" applyFont="1" applyFill="1" applyBorder="1" applyAlignment="1">
      <alignment horizontal="justify" vertical="top" wrapText="1"/>
    </xf>
    <xf numFmtId="0" fontId="43" fillId="2" borderId="47" xfId="2016" applyFont="1" applyFill="1" applyBorder="1" applyAlignment="1">
      <alignment horizontal="justify" vertical="top" wrapText="1"/>
    </xf>
    <xf numFmtId="0" fontId="43" fillId="2" borderId="48" xfId="2016" applyFont="1" applyFill="1" applyBorder="1" applyAlignment="1">
      <alignment horizontal="justify" vertical="top" wrapText="1"/>
    </xf>
    <xf numFmtId="0" fontId="4" fillId="2" borderId="47" xfId="2016" applyFont="1" applyFill="1" applyBorder="1" applyAlignment="1">
      <alignment horizontal="left" vertical="top" wrapText="1"/>
    </xf>
    <xf numFmtId="0" fontId="3" fillId="2" borderId="47" xfId="2016" applyFont="1" applyFill="1" applyBorder="1" applyAlignment="1">
      <alignment horizontal="left" vertical="top" wrapText="1"/>
    </xf>
    <xf numFmtId="0" fontId="3" fillId="2" borderId="20" xfId="2016" applyFont="1" applyFill="1" applyBorder="1" applyAlignment="1">
      <alignment horizontal="left" vertical="top" wrapText="1"/>
    </xf>
    <xf numFmtId="0" fontId="3" fillId="2" borderId="0" xfId="0" applyFont="1" applyFill="1" applyAlignment="1">
      <alignment horizontal="justify" vertical="top" wrapText="1"/>
    </xf>
    <xf numFmtId="0" fontId="4" fillId="2" borderId="0" xfId="5" quotePrefix="1" applyFont="1" applyFill="1" applyAlignment="1">
      <alignment horizontal="left" vertical="top" wrapText="1"/>
    </xf>
    <xf numFmtId="0" fontId="3" fillId="2" borderId="0" xfId="0" applyFont="1" applyFill="1" applyAlignment="1">
      <alignment horizontal="justify" vertical="center" wrapText="1"/>
    </xf>
    <xf numFmtId="0" fontId="35" fillId="2" borderId="0" xfId="0" applyFont="1" applyFill="1" applyAlignment="1">
      <alignment horizontal="left" vertical="justify" wrapText="1"/>
    </xf>
    <xf numFmtId="0" fontId="39" fillId="2" borderId="0" xfId="0" applyFont="1" applyFill="1" applyAlignment="1">
      <alignment horizontal="justify" vertical="top" wrapText="1"/>
    </xf>
    <xf numFmtId="0" fontId="39" fillId="2" borderId="20" xfId="0" applyFont="1" applyFill="1" applyBorder="1" applyAlignment="1">
      <alignment horizontal="justify" vertical="top" wrapText="1"/>
    </xf>
    <xf numFmtId="0" fontId="39" fillId="2" borderId="0" xfId="0" applyFont="1" applyFill="1" applyAlignment="1">
      <alignment horizontal="justify" vertical="top"/>
    </xf>
    <xf numFmtId="167" fontId="4" fillId="2" borderId="98" xfId="1" applyNumberFormat="1" applyFont="1" applyFill="1" applyBorder="1" applyAlignment="1">
      <alignment horizontal="center" vertical="top" wrapText="1"/>
    </xf>
    <xf numFmtId="167" fontId="4" fillId="2" borderId="99" xfId="1" applyNumberFormat="1" applyFont="1" applyFill="1" applyBorder="1" applyAlignment="1">
      <alignment horizontal="center" vertical="top" wrapText="1"/>
    </xf>
    <xf numFmtId="167" fontId="4" fillId="2" borderId="100" xfId="1" applyNumberFormat="1" applyFont="1" applyFill="1" applyBorder="1" applyAlignment="1">
      <alignment horizontal="center" vertical="top" wrapText="1"/>
    </xf>
    <xf numFmtId="167" fontId="4" fillId="2" borderId="101" xfId="1" applyNumberFormat="1" applyFont="1" applyFill="1" applyBorder="1" applyAlignment="1">
      <alignment horizontal="center" vertical="top" wrapText="1"/>
    </xf>
    <xf numFmtId="167" fontId="4" fillId="2" borderId="102" xfId="1" applyNumberFormat="1" applyFont="1" applyFill="1" applyBorder="1" applyAlignment="1">
      <alignment horizontal="center" vertical="top" wrapText="1"/>
    </xf>
    <xf numFmtId="49" fontId="71" fillId="0" borderId="14" xfId="0" applyNumberFormat="1" applyFont="1" applyBorder="1" applyAlignment="1">
      <alignment horizontal="center" vertical="top" wrapText="1"/>
    </xf>
    <xf numFmtId="49" fontId="71" fillId="0" borderId="0" xfId="0" applyNumberFormat="1" applyFont="1" applyAlignment="1">
      <alignment horizontal="center" vertical="top" wrapText="1"/>
    </xf>
    <xf numFmtId="49" fontId="72" fillId="0" borderId="14" xfId="0" applyNumberFormat="1" applyFont="1" applyBorder="1" applyAlignment="1">
      <alignment horizontal="center" vertical="top" wrapText="1"/>
    </xf>
    <xf numFmtId="49" fontId="72" fillId="0" borderId="0" xfId="0" applyNumberFormat="1" applyFont="1" applyAlignment="1">
      <alignment horizontal="center" vertical="top" wrapText="1"/>
    </xf>
    <xf numFmtId="49" fontId="70" fillId="0" borderId="111" xfId="0" applyNumberFormat="1" applyFont="1" applyBorder="1" applyAlignment="1">
      <alignment horizontal="center" vertical="top"/>
    </xf>
    <xf numFmtId="49" fontId="70" fillId="0" borderId="110" xfId="0" applyNumberFormat="1" applyFont="1" applyBorder="1" applyAlignment="1">
      <alignment horizontal="center" vertical="top"/>
    </xf>
    <xf numFmtId="49" fontId="73" fillId="0" borderId="111" xfId="0" applyNumberFormat="1" applyFont="1" applyBorder="1" applyAlignment="1">
      <alignment horizontal="center" vertical="top" wrapText="1"/>
    </xf>
    <xf numFmtId="49" fontId="73" fillId="0" borderId="110" xfId="0" applyNumberFormat="1" applyFont="1" applyBorder="1" applyAlignment="1">
      <alignment horizontal="center" vertical="top" wrapText="1"/>
    </xf>
    <xf numFmtId="49" fontId="69" fillId="0" borderId="0" xfId="0" applyNumberFormat="1" applyFont="1" applyAlignment="1">
      <alignment vertical="top"/>
    </xf>
    <xf numFmtId="49" fontId="8" fillId="0" borderId="0" xfId="0" applyNumberFormat="1" applyFont="1" applyAlignment="1">
      <alignment vertical="top"/>
    </xf>
    <xf numFmtId="49" fontId="70" fillId="0" borderId="111" xfId="0" applyNumberFormat="1" applyFont="1" applyBorder="1" applyAlignment="1">
      <alignment horizontal="center" vertical="top" wrapText="1"/>
    </xf>
    <xf numFmtId="49" fontId="70" fillId="0" borderId="110" xfId="0" applyNumberFormat="1" applyFont="1" applyBorder="1" applyAlignment="1">
      <alignment horizontal="center" vertical="top" wrapText="1"/>
    </xf>
    <xf numFmtId="0" fontId="54" fillId="2" borderId="15" xfId="15" applyFont="1" applyFill="1" applyBorder="1" applyAlignment="1">
      <alignment horizontal="left"/>
    </xf>
    <xf numFmtId="0" fontId="54" fillId="2" borderId="21" xfId="15" applyFont="1" applyFill="1" applyBorder="1" applyAlignment="1">
      <alignment horizontal="left"/>
    </xf>
    <xf numFmtId="0" fontId="54" fillId="2" borderId="16" xfId="15" applyFont="1" applyFill="1" applyBorder="1" applyAlignment="1">
      <alignment horizontal="left"/>
    </xf>
    <xf numFmtId="0" fontId="4" fillId="2" borderId="0" xfId="0" applyFont="1" applyFill="1" applyAlignment="1">
      <alignment horizontal="center"/>
    </xf>
    <xf numFmtId="0" fontId="86" fillId="2" borderId="37" xfId="0" applyFont="1" applyFill="1" applyBorder="1" applyAlignment="1">
      <alignment horizontal="center" wrapText="1"/>
    </xf>
    <xf numFmtId="0" fontId="84" fillId="2" borderId="0" xfId="0" applyFont="1" applyFill="1" applyAlignment="1">
      <alignment horizontal="center" wrapText="1"/>
    </xf>
    <xf numFmtId="4" fontId="86" fillId="2" borderId="37" xfId="0" applyNumberFormat="1" applyFont="1" applyFill="1" applyBorder="1" applyAlignment="1">
      <alignment horizontal="center" wrapText="1"/>
    </xf>
    <xf numFmtId="0" fontId="47" fillId="2" borderId="37" xfId="0" applyFont="1" applyFill="1" applyBorder="1" applyAlignment="1">
      <alignment horizontal="center" wrapText="1"/>
    </xf>
    <xf numFmtId="0" fontId="49" fillId="2" borderId="0" xfId="0" applyFont="1" applyFill="1" applyAlignment="1">
      <alignment horizontal="center" wrapText="1"/>
    </xf>
    <xf numFmtId="4" fontId="47" fillId="2" borderId="37" xfId="0" applyNumberFormat="1" applyFont="1" applyFill="1" applyBorder="1" applyAlignment="1">
      <alignment horizontal="center" wrapText="1"/>
    </xf>
    <xf numFmtId="0" fontId="47" fillId="2" borderId="0" xfId="0" applyFont="1" applyFill="1" applyAlignment="1">
      <alignment horizontal="center" wrapText="1"/>
    </xf>
    <xf numFmtId="0" fontId="48" fillId="2" borderId="0" xfId="0" applyFont="1" applyFill="1" applyAlignment="1">
      <alignment horizontal="center" wrapText="1"/>
    </xf>
    <xf numFmtId="0" fontId="50" fillId="2" borderId="78" xfId="0" applyFont="1" applyFill="1" applyBorder="1" applyAlignment="1">
      <alignment horizontal="center" wrapText="1"/>
    </xf>
    <xf numFmtId="3" fontId="89" fillId="0" borderId="0" xfId="0" applyNumberFormat="1" applyFont="1"/>
  </cellXfs>
  <cellStyles count="2683">
    <cellStyle name="_Budget Format 2009.10" xfId="21"/>
    <cellStyle name="_Budget Presentation format final-Mumbai" xfId="22"/>
    <cellStyle name="_CTC -Salary Cost-Budget 2009.10" xfId="23"/>
    <cellStyle name="_Inorganic  International exps-Upto Dec 08" xfId="24"/>
    <cellStyle name="_Mumbai group  Reveue Aug 09" xfId="25"/>
    <cellStyle name="_Mumbai Monthly MIS August 09-format" xfId="26"/>
    <cellStyle name="_Mumbai Monthly MIS July 09-format" xfId="27"/>
    <cellStyle name="_Mumbai Reveue Jul 09 Final" xfId="28"/>
    <cellStyle name="_Mumbai Sep09 ageing- New" xfId="29"/>
    <cellStyle name="_Mumbai-Budget-2008.09-Final-revised on 19.11.2008" xfId="30"/>
    <cellStyle name="_Presentation Qtr II RV LAB" xfId="31"/>
    <cellStyle name="_Presentation Qtr II TRIPOLI" xfId="32"/>
    <cellStyle name="_Presentation-Half yearly 08 Mumbai" xfId="33"/>
    <cellStyle name="_Presentation-Half yearly0809-Lister" xfId="34"/>
    <cellStyle name="_Profit &amp; Loss account -May 09" xfId="35"/>
    <cellStyle name="_Profit &amp; Loss Account -Upto August-09" xfId="36"/>
    <cellStyle name="_Profit &amp; Loss Account -Upto July 091" xfId="37"/>
    <cellStyle name="_Profit &amp; Loss account -Upto June 09" xfId="38"/>
    <cellStyle name="_Receivables" xfId="39"/>
    <cellStyle name="_rent details" xfId="40"/>
    <cellStyle name="_Reveue 09-10 Final 4" xfId="41"/>
    <cellStyle name="_Reveue Jun 09" xfId="42"/>
    <cellStyle name="_Reveue May 2009" xfId="43"/>
    <cellStyle name="20% - Accent1 10" xfId="334"/>
    <cellStyle name="20% - Accent1 11" xfId="377"/>
    <cellStyle name="20% - Accent1 12" xfId="420"/>
    <cellStyle name="20% - Accent1 13" xfId="462"/>
    <cellStyle name="20% - Accent1 14" xfId="504"/>
    <cellStyle name="20% - Accent1 15" xfId="547"/>
    <cellStyle name="20% - Accent1 16" xfId="590"/>
    <cellStyle name="20% - Accent1 17" xfId="633"/>
    <cellStyle name="20% - Accent1 18" xfId="676"/>
    <cellStyle name="20% - Accent1 19" xfId="719"/>
    <cellStyle name="20% - Accent1 2" xfId="44"/>
    <cellStyle name="20% - Accent1 20" xfId="762"/>
    <cellStyle name="20% - Accent1 21" xfId="805"/>
    <cellStyle name="20% - Accent1 22" xfId="848"/>
    <cellStyle name="20% - Accent1 23" xfId="891"/>
    <cellStyle name="20% - Accent1 24" xfId="934"/>
    <cellStyle name="20% - Accent1 25" xfId="977"/>
    <cellStyle name="20% - Accent1 26" xfId="1020"/>
    <cellStyle name="20% - Accent1 27" xfId="1063"/>
    <cellStyle name="20% - Accent1 28" xfId="1106"/>
    <cellStyle name="20% - Accent1 29" xfId="1149"/>
    <cellStyle name="20% - Accent1 3" xfId="88"/>
    <cellStyle name="20% - Accent1 30" xfId="1192"/>
    <cellStyle name="20% - Accent1 31" xfId="1235"/>
    <cellStyle name="20% - Accent1 32" xfId="1278"/>
    <cellStyle name="20% - Accent1 33" xfId="1321"/>
    <cellStyle name="20% - Accent1 34" xfId="1364"/>
    <cellStyle name="20% - Accent1 35" xfId="1455"/>
    <cellStyle name="20% - Accent1 36" xfId="86"/>
    <cellStyle name="20% - Accent1 37" xfId="1491"/>
    <cellStyle name="20% - Accent1 38" xfId="1533"/>
    <cellStyle name="20% - Accent1 4" xfId="129"/>
    <cellStyle name="20% - Accent1 5" xfId="87"/>
    <cellStyle name="20% - Accent1 6" xfId="165"/>
    <cellStyle name="20% - Accent1 7" xfId="206"/>
    <cellStyle name="20% - Accent1 8" xfId="248"/>
    <cellStyle name="20% - Accent1 9" xfId="291"/>
    <cellStyle name="20% - Accent2 10" xfId="384"/>
    <cellStyle name="20% - Accent2 11" xfId="426"/>
    <cellStyle name="20% - Accent2 12" xfId="468"/>
    <cellStyle name="20% - Accent2 13" xfId="511"/>
    <cellStyle name="20% - Accent2 14" xfId="554"/>
    <cellStyle name="20% - Accent2 15" xfId="597"/>
    <cellStyle name="20% - Accent2 16" xfId="640"/>
    <cellStyle name="20% - Accent2 17" xfId="683"/>
    <cellStyle name="20% - Accent2 18" xfId="726"/>
    <cellStyle name="20% - Accent2 19" xfId="769"/>
    <cellStyle name="20% - Accent2 2" xfId="45"/>
    <cellStyle name="20% - Accent2 20" xfId="812"/>
    <cellStyle name="20% - Accent2 21" xfId="855"/>
    <cellStyle name="20% - Accent2 22" xfId="898"/>
    <cellStyle name="20% - Accent2 23" xfId="941"/>
    <cellStyle name="20% - Accent2 24" xfId="984"/>
    <cellStyle name="20% - Accent2 25" xfId="1027"/>
    <cellStyle name="20% - Accent2 26" xfId="1070"/>
    <cellStyle name="20% - Accent2 27" xfId="1113"/>
    <cellStyle name="20% - Accent2 28" xfId="1156"/>
    <cellStyle name="20% - Accent2 29" xfId="1199"/>
    <cellStyle name="20% - Accent2 3" xfId="89"/>
    <cellStyle name="20% - Accent2 30" xfId="1242"/>
    <cellStyle name="20% - Accent2 31" xfId="1285"/>
    <cellStyle name="20% - Accent2 32" xfId="1328"/>
    <cellStyle name="20% - Accent2 33" xfId="1371"/>
    <cellStyle name="20% - Accent2 34" xfId="1413"/>
    <cellStyle name="20% - Accent2 35" xfId="1456"/>
    <cellStyle name="20% - Accent2 36" xfId="1498"/>
    <cellStyle name="20% - Accent2 37" xfId="1539"/>
    <cellStyle name="20% - Accent2 38" xfId="1580"/>
    <cellStyle name="20% - Accent2 4" xfId="130"/>
    <cellStyle name="20% - Accent2 5" xfId="171"/>
    <cellStyle name="20% - Accent2 6" xfId="212"/>
    <cellStyle name="20% - Accent2 7" xfId="255"/>
    <cellStyle name="20% - Accent2 8" xfId="298"/>
    <cellStyle name="20% - Accent2 9" xfId="341"/>
    <cellStyle name="20% - Accent3 10" xfId="385"/>
    <cellStyle name="20% - Accent3 11" xfId="427"/>
    <cellStyle name="20% - Accent3 12" xfId="469"/>
    <cellStyle name="20% - Accent3 13" xfId="512"/>
    <cellStyle name="20% - Accent3 14" xfId="555"/>
    <cellStyle name="20% - Accent3 15" xfId="598"/>
    <cellStyle name="20% - Accent3 16" xfId="641"/>
    <cellStyle name="20% - Accent3 17" xfId="684"/>
    <cellStyle name="20% - Accent3 18" xfId="727"/>
    <cellStyle name="20% - Accent3 19" xfId="770"/>
    <cellStyle name="20% - Accent3 2" xfId="46"/>
    <cellStyle name="20% - Accent3 20" xfId="813"/>
    <cellStyle name="20% - Accent3 21" xfId="856"/>
    <cellStyle name="20% - Accent3 22" xfId="899"/>
    <cellStyle name="20% - Accent3 23" xfId="942"/>
    <cellStyle name="20% - Accent3 24" xfId="985"/>
    <cellStyle name="20% - Accent3 25" xfId="1028"/>
    <cellStyle name="20% - Accent3 26" xfId="1071"/>
    <cellStyle name="20% - Accent3 27" xfId="1114"/>
    <cellStyle name="20% - Accent3 28" xfId="1157"/>
    <cellStyle name="20% - Accent3 29" xfId="1200"/>
    <cellStyle name="20% - Accent3 3" xfId="90"/>
    <cellStyle name="20% - Accent3 30" xfId="1243"/>
    <cellStyle name="20% - Accent3 31" xfId="1286"/>
    <cellStyle name="20% - Accent3 32" xfId="1329"/>
    <cellStyle name="20% - Accent3 33" xfId="1372"/>
    <cellStyle name="20% - Accent3 34" xfId="1414"/>
    <cellStyle name="20% - Accent3 35" xfId="1457"/>
    <cellStyle name="20% - Accent3 36" xfId="1499"/>
    <cellStyle name="20% - Accent3 37" xfId="1540"/>
    <cellStyle name="20% - Accent3 38" xfId="1581"/>
    <cellStyle name="20% - Accent3 4" xfId="131"/>
    <cellStyle name="20% - Accent3 5" xfId="172"/>
    <cellStyle name="20% - Accent3 6" xfId="213"/>
    <cellStyle name="20% - Accent3 7" xfId="256"/>
    <cellStyle name="20% - Accent3 8" xfId="299"/>
    <cellStyle name="20% - Accent3 9" xfId="342"/>
    <cellStyle name="20% - Accent4 10" xfId="386"/>
    <cellStyle name="20% - Accent4 11" xfId="428"/>
    <cellStyle name="20% - Accent4 12" xfId="470"/>
    <cellStyle name="20% - Accent4 13" xfId="513"/>
    <cellStyle name="20% - Accent4 14" xfId="556"/>
    <cellStyle name="20% - Accent4 15" xfId="599"/>
    <cellStyle name="20% - Accent4 16" xfId="642"/>
    <cellStyle name="20% - Accent4 17" xfId="685"/>
    <cellStyle name="20% - Accent4 18" xfId="728"/>
    <cellStyle name="20% - Accent4 19" xfId="771"/>
    <cellStyle name="20% - Accent4 2" xfId="47"/>
    <cellStyle name="20% - Accent4 20" xfId="814"/>
    <cellStyle name="20% - Accent4 21" xfId="857"/>
    <cellStyle name="20% - Accent4 22" xfId="900"/>
    <cellStyle name="20% - Accent4 23" xfId="943"/>
    <cellStyle name="20% - Accent4 24" xfId="986"/>
    <cellStyle name="20% - Accent4 25" xfId="1029"/>
    <cellStyle name="20% - Accent4 26" xfId="1072"/>
    <cellStyle name="20% - Accent4 27" xfId="1115"/>
    <cellStyle name="20% - Accent4 28" xfId="1158"/>
    <cellStyle name="20% - Accent4 29" xfId="1201"/>
    <cellStyle name="20% - Accent4 3" xfId="91"/>
    <cellStyle name="20% - Accent4 30" xfId="1244"/>
    <cellStyle name="20% - Accent4 31" xfId="1287"/>
    <cellStyle name="20% - Accent4 32" xfId="1330"/>
    <cellStyle name="20% - Accent4 33" xfId="1373"/>
    <cellStyle name="20% - Accent4 34" xfId="1415"/>
    <cellStyle name="20% - Accent4 35" xfId="1458"/>
    <cellStyle name="20% - Accent4 36" xfId="1500"/>
    <cellStyle name="20% - Accent4 37" xfId="1541"/>
    <cellStyle name="20% - Accent4 38" xfId="1582"/>
    <cellStyle name="20% - Accent4 4" xfId="132"/>
    <cellStyle name="20% - Accent4 5" xfId="173"/>
    <cellStyle name="20% - Accent4 6" xfId="214"/>
    <cellStyle name="20% - Accent4 7" xfId="257"/>
    <cellStyle name="20% - Accent4 8" xfId="300"/>
    <cellStyle name="20% - Accent4 9" xfId="343"/>
    <cellStyle name="20% - Accent5 10" xfId="387"/>
    <cellStyle name="20% - Accent5 11" xfId="429"/>
    <cellStyle name="20% - Accent5 12" xfId="471"/>
    <cellStyle name="20% - Accent5 13" xfId="514"/>
    <cellStyle name="20% - Accent5 14" xfId="557"/>
    <cellStyle name="20% - Accent5 15" xfId="600"/>
    <cellStyle name="20% - Accent5 16" xfId="643"/>
    <cellStyle name="20% - Accent5 17" xfId="686"/>
    <cellStyle name="20% - Accent5 18" xfId="729"/>
    <cellStyle name="20% - Accent5 19" xfId="772"/>
    <cellStyle name="20% - Accent5 2" xfId="48"/>
    <cellStyle name="20% - Accent5 20" xfId="815"/>
    <cellStyle name="20% - Accent5 21" xfId="858"/>
    <cellStyle name="20% - Accent5 22" xfId="901"/>
    <cellStyle name="20% - Accent5 23" xfId="944"/>
    <cellStyle name="20% - Accent5 24" xfId="987"/>
    <cellStyle name="20% - Accent5 25" xfId="1030"/>
    <cellStyle name="20% - Accent5 26" xfId="1073"/>
    <cellStyle name="20% - Accent5 27" xfId="1116"/>
    <cellStyle name="20% - Accent5 28" xfId="1159"/>
    <cellStyle name="20% - Accent5 29" xfId="1202"/>
    <cellStyle name="20% - Accent5 3" xfId="92"/>
    <cellStyle name="20% - Accent5 30" xfId="1245"/>
    <cellStyle name="20% - Accent5 31" xfId="1288"/>
    <cellStyle name="20% - Accent5 32" xfId="1331"/>
    <cellStyle name="20% - Accent5 33" xfId="1374"/>
    <cellStyle name="20% - Accent5 34" xfId="1416"/>
    <cellStyle name="20% - Accent5 35" xfId="1459"/>
    <cellStyle name="20% - Accent5 36" xfId="1501"/>
    <cellStyle name="20% - Accent5 37" xfId="1542"/>
    <cellStyle name="20% - Accent5 38" xfId="1583"/>
    <cellStyle name="20% - Accent5 4" xfId="133"/>
    <cellStyle name="20% - Accent5 5" xfId="174"/>
    <cellStyle name="20% - Accent5 6" xfId="215"/>
    <cellStyle name="20% - Accent5 7" xfId="258"/>
    <cellStyle name="20% - Accent5 8" xfId="301"/>
    <cellStyle name="20% - Accent5 9" xfId="344"/>
    <cellStyle name="20% - Accent6 10" xfId="388"/>
    <cellStyle name="20% - Accent6 11" xfId="430"/>
    <cellStyle name="20% - Accent6 12" xfId="472"/>
    <cellStyle name="20% - Accent6 13" xfId="515"/>
    <cellStyle name="20% - Accent6 14" xfId="558"/>
    <cellStyle name="20% - Accent6 15" xfId="601"/>
    <cellStyle name="20% - Accent6 16" xfId="644"/>
    <cellStyle name="20% - Accent6 17" xfId="687"/>
    <cellStyle name="20% - Accent6 18" xfId="730"/>
    <cellStyle name="20% - Accent6 19" xfId="773"/>
    <cellStyle name="20% - Accent6 2" xfId="49"/>
    <cellStyle name="20% - Accent6 20" xfId="816"/>
    <cellStyle name="20% - Accent6 21" xfId="859"/>
    <cellStyle name="20% - Accent6 22" xfId="902"/>
    <cellStyle name="20% - Accent6 23" xfId="945"/>
    <cellStyle name="20% - Accent6 24" xfId="988"/>
    <cellStyle name="20% - Accent6 25" xfId="1031"/>
    <cellStyle name="20% - Accent6 26" xfId="1074"/>
    <cellStyle name="20% - Accent6 27" xfId="1117"/>
    <cellStyle name="20% - Accent6 28" xfId="1160"/>
    <cellStyle name="20% - Accent6 29" xfId="1203"/>
    <cellStyle name="20% - Accent6 3" xfId="93"/>
    <cellStyle name="20% - Accent6 30" xfId="1246"/>
    <cellStyle name="20% - Accent6 31" xfId="1289"/>
    <cellStyle name="20% - Accent6 32" xfId="1332"/>
    <cellStyle name="20% - Accent6 33" xfId="1375"/>
    <cellStyle name="20% - Accent6 34" xfId="1417"/>
    <cellStyle name="20% - Accent6 35" xfId="1460"/>
    <cellStyle name="20% - Accent6 36" xfId="1502"/>
    <cellStyle name="20% - Accent6 37" xfId="1543"/>
    <cellStyle name="20% - Accent6 38" xfId="1584"/>
    <cellStyle name="20% - Accent6 4" xfId="134"/>
    <cellStyle name="20% - Accent6 5" xfId="175"/>
    <cellStyle name="20% - Accent6 6" xfId="216"/>
    <cellStyle name="20% - Accent6 7" xfId="259"/>
    <cellStyle name="20% - Accent6 8" xfId="302"/>
    <cellStyle name="20% - Accent6 9" xfId="345"/>
    <cellStyle name="40% - Accent1 10" xfId="389"/>
    <cellStyle name="40% - Accent1 11" xfId="431"/>
    <cellStyle name="40% - Accent1 12" xfId="473"/>
    <cellStyle name="40% - Accent1 13" xfId="516"/>
    <cellStyle name="40% - Accent1 14" xfId="559"/>
    <cellStyle name="40% - Accent1 15" xfId="602"/>
    <cellStyle name="40% - Accent1 16" xfId="645"/>
    <cellStyle name="40% - Accent1 17" xfId="688"/>
    <cellStyle name="40% - Accent1 18" xfId="731"/>
    <cellStyle name="40% - Accent1 19" xfId="774"/>
    <cellStyle name="40% - Accent1 2" xfId="50"/>
    <cellStyle name="40% - Accent1 20" xfId="817"/>
    <cellStyle name="40% - Accent1 21" xfId="860"/>
    <cellStyle name="40% - Accent1 22" xfId="903"/>
    <cellStyle name="40% - Accent1 23" xfId="946"/>
    <cellStyle name="40% - Accent1 24" xfId="989"/>
    <cellStyle name="40% - Accent1 25" xfId="1032"/>
    <cellStyle name="40% - Accent1 26" xfId="1075"/>
    <cellStyle name="40% - Accent1 27" xfId="1118"/>
    <cellStyle name="40% - Accent1 28" xfId="1161"/>
    <cellStyle name="40% - Accent1 29" xfId="1204"/>
    <cellStyle name="40% - Accent1 3" xfId="94"/>
    <cellStyle name="40% - Accent1 30" xfId="1247"/>
    <cellStyle name="40% - Accent1 31" xfId="1290"/>
    <cellStyle name="40% - Accent1 32" xfId="1333"/>
    <cellStyle name="40% - Accent1 33" xfId="1376"/>
    <cellStyle name="40% - Accent1 34" xfId="1418"/>
    <cellStyle name="40% - Accent1 35" xfId="1461"/>
    <cellStyle name="40% - Accent1 36" xfId="1503"/>
    <cellStyle name="40% - Accent1 37" xfId="1544"/>
    <cellStyle name="40% - Accent1 38" xfId="1585"/>
    <cellStyle name="40% - Accent1 4" xfId="135"/>
    <cellStyle name="40% - Accent1 5" xfId="176"/>
    <cellStyle name="40% - Accent1 6" xfId="217"/>
    <cellStyle name="40% - Accent1 7" xfId="260"/>
    <cellStyle name="40% - Accent1 8" xfId="303"/>
    <cellStyle name="40% - Accent1 9" xfId="346"/>
    <cellStyle name="40% - Accent2 10" xfId="390"/>
    <cellStyle name="40% - Accent2 11" xfId="432"/>
    <cellStyle name="40% - Accent2 12" xfId="474"/>
    <cellStyle name="40% - Accent2 13" xfId="517"/>
    <cellStyle name="40% - Accent2 14" xfId="560"/>
    <cellStyle name="40% - Accent2 15" xfId="603"/>
    <cellStyle name="40% - Accent2 16" xfId="646"/>
    <cellStyle name="40% - Accent2 17" xfId="689"/>
    <cellStyle name="40% - Accent2 18" xfId="732"/>
    <cellStyle name="40% - Accent2 19" xfId="775"/>
    <cellStyle name="40% - Accent2 2" xfId="51"/>
    <cellStyle name="40% - Accent2 20" xfId="818"/>
    <cellStyle name="40% - Accent2 21" xfId="861"/>
    <cellStyle name="40% - Accent2 22" xfId="904"/>
    <cellStyle name="40% - Accent2 23" xfId="947"/>
    <cellStyle name="40% - Accent2 24" xfId="990"/>
    <cellStyle name="40% - Accent2 25" xfId="1033"/>
    <cellStyle name="40% - Accent2 26" xfId="1076"/>
    <cellStyle name="40% - Accent2 27" xfId="1119"/>
    <cellStyle name="40% - Accent2 28" xfId="1162"/>
    <cellStyle name="40% - Accent2 29" xfId="1205"/>
    <cellStyle name="40% - Accent2 3" xfId="95"/>
    <cellStyle name="40% - Accent2 30" xfId="1248"/>
    <cellStyle name="40% - Accent2 31" xfId="1291"/>
    <cellStyle name="40% - Accent2 32" xfId="1334"/>
    <cellStyle name="40% - Accent2 33" xfId="1377"/>
    <cellStyle name="40% - Accent2 34" xfId="1419"/>
    <cellStyle name="40% - Accent2 35" xfId="1462"/>
    <cellStyle name="40% - Accent2 36" xfId="1504"/>
    <cellStyle name="40% - Accent2 37" xfId="1545"/>
    <cellStyle name="40% - Accent2 38" xfId="1586"/>
    <cellStyle name="40% - Accent2 4" xfId="136"/>
    <cellStyle name="40% - Accent2 5" xfId="177"/>
    <cellStyle name="40% - Accent2 6" xfId="218"/>
    <cellStyle name="40% - Accent2 7" xfId="261"/>
    <cellStyle name="40% - Accent2 8" xfId="304"/>
    <cellStyle name="40% - Accent2 9" xfId="347"/>
    <cellStyle name="40% - Accent3 10" xfId="391"/>
    <cellStyle name="40% - Accent3 11" xfId="433"/>
    <cellStyle name="40% - Accent3 12" xfId="475"/>
    <cellStyle name="40% - Accent3 13" xfId="518"/>
    <cellStyle name="40% - Accent3 14" xfId="561"/>
    <cellStyle name="40% - Accent3 15" xfId="604"/>
    <cellStyle name="40% - Accent3 16" xfId="647"/>
    <cellStyle name="40% - Accent3 17" xfId="690"/>
    <cellStyle name="40% - Accent3 18" xfId="733"/>
    <cellStyle name="40% - Accent3 19" xfId="776"/>
    <cellStyle name="40% - Accent3 2" xfId="52"/>
    <cellStyle name="40% - Accent3 20" xfId="819"/>
    <cellStyle name="40% - Accent3 21" xfId="862"/>
    <cellStyle name="40% - Accent3 22" xfId="905"/>
    <cellStyle name="40% - Accent3 23" xfId="948"/>
    <cellStyle name="40% - Accent3 24" xfId="991"/>
    <cellStyle name="40% - Accent3 25" xfId="1034"/>
    <cellStyle name="40% - Accent3 26" xfId="1077"/>
    <cellStyle name="40% - Accent3 27" xfId="1120"/>
    <cellStyle name="40% - Accent3 28" xfId="1163"/>
    <cellStyle name="40% - Accent3 29" xfId="1206"/>
    <cellStyle name="40% - Accent3 3" xfId="96"/>
    <cellStyle name="40% - Accent3 30" xfId="1249"/>
    <cellStyle name="40% - Accent3 31" xfId="1292"/>
    <cellStyle name="40% - Accent3 32" xfId="1335"/>
    <cellStyle name="40% - Accent3 33" xfId="1378"/>
    <cellStyle name="40% - Accent3 34" xfId="1420"/>
    <cellStyle name="40% - Accent3 35" xfId="1463"/>
    <cellStyle name="40% - Accent3 36" xfId="1505"/>
    <cellStyle name="40% - Accent3 37" xfId="1546"/>
    <cellStyle name="40% - Accent3 38" xfId="1587"/>
    <cellStyle name="40% - Accent3 4" xfId="137"/>
    <cellStyle name="40% - Accent3 5" xfId="178"/>
    <cellStyle name="40% - Accent3 6" xfId="219"/>
    <cellStyle name="40% - Accent3 7" xfId="262"/>
    <cellStyle name="40% - Accent3 8" xfId="305"/>
    <cellStyle name="40% - Accent3 9" xfId="348"/>
    <cellStyle name="40% - Accent4 10" xfId="392"/>
    <cellStyle name="40% - Accent4 11" xfId="434"/>
    <cellStyle name="40% - Accent4 12" xfId="476"/>
    <cellStyle name="40% - Accent4 13" xfId="519"/>
    <cellStyle name="40% - Accent4 14" xfId="562"/>
    <cellStyle name="40% - Accent4 15" xfId="605"/>
    <cellStyle name="40% - Accent4 16" xfId="648"/>
    <cellStyle name="40% - Accent4 17" xfId="691"/>
    <cellStyle name="40% - Accent4 18" xfId="734"/>
    <cellStyle name="40% - Accent4 19" xfId="777"/>
    <cellStyle name="40% - Accent4 2" xfId="53"/>
    <cellStyle name="40% - Accent4 20" xfId="820"/>
    <cellStyle name="40% - Accent4 21" xfId="863"/>
    <cellStyle name="40% - Accent4 22" xfId="906"/>
    <cellStyle name="40% - Accent4 23" xfId="949"/>
    <cellStyle name="40% - Accent4 24" xfId="992"/>
    <cellStyle name="40% - Accent4 25" xfId="1035"/>
    <cellStyle name="40% - Accent4 26" xfId="1078"/>
    <cellStyle name="40% - Accent4 27" xfId="1121"/>
    <cellStyle name="40% - Accent4 28" xfId="1164"/>
    <cellStyle name="40% - Accent4 29" xfId="1207"/>
    <cellStyle name="40% - Accent4 3" xfId="97"/>
    <cellStyle name="40% - Accent4 30" xfId="1250"/>
    <cellStyle name="40% - Accent4 31" xfId="1293"/>
    <cellStyle name="40% - Accent4 32" xfId="1336"/>
    <cellStyle name="40% - Accent4 33" xfId="1379"/>
    <cellStyle name="40% - Accent4 34" xfId="1421"/>
    <cellStyle name="40% - Accent4 35" xfId="1464"/>
    <cellStyle name="40% - Accent4 36" xfId="1506"/>
    <cellStyle name="40% - Accent4 37" xfId="1547"/>
    <cellStyle name="40% - Accent4 38" xfId="1588"/>
    <cellStyle name="40% - Accent4 4" xfId="138"/>
    <cellStyle name="40% - Accent4 5" xfId="179"/>
    <cellStyle name="40% - Accent4 6" xfId="220"/>
    <cellStyle name="40% - Accent4 7" xfId="263"/>
    <cellStyle name="40% - Accent4 8" xfId="306"/>
    <cellStyle name="40% - Accent4 9" xfId="349"/>
    <cellStyle name="40% - Accent5 10" xfId="393"/>
    <cellStyle name="40% - Accent5 11" xfId="435"/>
    <cellStyle name="40% - Accent5 12" xfId="477"/>
    <cellStyle name="40% - Accent5 13" xfId="520"/>
    <cellStyle name="40% - Accent5 14" xfId="563"/>
    <cellStyle name="40% - Accent5 15" xfId="606"/>
    <cellStyle name="40% - Accent5 16" xfId="649"/>
    <cellStyle name="40% - Accent5 17" xfId="692"/>
    <cellStyle name="40% - Accent5 18" xfId="735"/>
    <cellStyle name="40% - Accent5 19" xfId="778"/>
    <cellStyle name="40% - Accent5 2" xfId="54"/>
    <cellStyle name="40% - Accent5 20" xfId="821"/>
    <cellStyle name="40% - Accent5 21" xfId="864"/>
    <cellStyle name="40% - Accent5 22" xfId="907"/>
    <cellStyle name="40% - Accent5 23" xfId="950"/>
    <cellStyle name="40% - Accent5 24" xfId="993"/>
    <cellStyle name="40% - Accent5 25" xfId="1036"/>
    <cellStyle name="40% - Accent5 26" xfId="1079"/>
    <cellStyle name="40% - Accent5 27" xfId="1122"/>
    <cellStyle name="40% - Accent5 28" xfId="1165"/>
    <cellStyle name="40% - Accent5 29" xfId="1208"/>
    <cellStyle name="40% - Accent5 3" xfId="98"/>
    <cellStyle name="40% - Accent5 30" xfId="1251"/>
    <cellStyle name="40% - Accent5 31" xfId="1294"/>
    <cellStyle name="40% - Accent5 32" xfId="1337"/>
    <cellStyle name="40% - Accent5 33" xfId="1380"/>
    <cellStyle name="40% - Accent5 34" xfId="1422"/>
    <cellStyle name="40% - Accent5 35" xfId="1465"/>
    <cellStyle name="40% - Accent5 36" xfId="1507"/>
    <cellStyle name="40% - Accent5 37" xfId="1548"/>
    <cellStyle name="40% - Accent5 38" xfId="1589"/>
    <cellStyle name="40% - Accent5 4" xfId="139"/>
    <cellStyle name="40% - Accent5 5" xfId="180"/>
    <cellStyle name="40% - Accent5 6" xfId="221"/>
    <cellStyle name="40% - Accent5 7" xfId="264"/>
    <cellStyle name="40% - Accent5 8" xfId="307"/>
    <cellStyle name="40% - Accent5 9" xfId="350"/>
    <cellStyle name="40% - Accent6 10" xfId="394"/>
    <cellStyle name="40% - Accent6 11" xfId="436"/>
    <cellStyle name="40% - Accent6 12" xfId="478"/>
    <cellStyle name="40% - Accent6 13" xfId="521"/>
    <cellStyle name="40% - Accent6 14" xfId="564"/>
    <cellStyle name="40% - Accent6 15" xfId="607"/>
    <cellStyle name="40% - Accent6 16" xfId="650"/>
    <cellStyle name="40% - Accent6 17" xfId="693"/>
    <cellStyle name="40% - Accent6 18" xfId="736"/>
    <cellStyle name="40% - Accent6 19" xfId="779"/>
    <cellStyle name="40% - Accent6 2" xfId="55"/>
    <cellStyle name="40% - Accent6 20" xfId="822"/>
    <cellStyle name="40% - Accent6 21" xfId="865"/>
    <cellStyle name="40% - Accent6 22" xfId="908"/>
    <cellStyle name="40% - Accent6 23" xfId="951"/>
    <cellStyle name="40% - Accent6 24" xfId="994"/>
    <cellStyle name="40% - Accent6 25" xfId="1037"/>
    <cellStyle name="40% - Accent6 26" xfId="1080"/>
    <cellStyle name="40% - Accent6 27" xfId="1123"/>
    <cellStyle name="40% - Accent6 28" xfId="1166"/>
    <cellStyle name="40% - Accent6 29" xfId="1209"/>
    <cellStyle name="40% - Accent6 3" xfId="99"/>
    <cellStyle name="40% - Accent6 30" xfId="1252"/>
    <cellStyle name="40% - Accent6 31" xfId="1295"/>
    <cellStyle name="40% - Accent6 32" xfId="1338"/>
    <cellStyle name="40% - Accent6 33" xfId="1381"/>
    <cellStyle name="40% - Accent6 34" xfId="1423"/>
    <cellStyle name="40% - Accent6 35" xfId="1466"/>
    <cellStyle name="40% - Accent6 36" xfId="1508"/>
    <cellStyle name="40% - Accent6 37" xfId="1549"/>
    <cellStyle name="40% - Accent6 38" xfId="1590"/>
    <cellStyle name="40% - Accent6 4" xfId="140"/>
    <cellStyle name="40% - Accent6 5" xfId="181"/>
    <cellStyle name="40% - Accent6 6" xfId="222"/>
    <cellStyle name="40% - Accent6 7" xfId="265"/>
    <cellStyle name="40% - Accent6 8" xfId="308"/>
    <cellStyle name="40% - Accent6 9" xfId="351"/>
    <cellStyle name="60% - Accent1 10" xfId="395"/>
    <cellStyle name="60% - Accent1 11" xfId="437"/>
    <cellStyle name="60% - Accent1 12" xfId="479"/>
    <cellStyle name="60% - Accent1 13" xfId="522"/>
    <cellStyle name="60% - Accent1 14" xfId="565"/>
    <cellStyle name="60% - Accent1 15" xfId="608"/>
    <cellStyle name="60% - Accent1 16" xfId="651"/>
    <cellStyle name="60% - Accent1 17" xfId="694"/>
    <cellStyle name="60% - Accent1 18" xfId="737"/>
    <cellStyle name="60% - Accent1 19" xfId="780"/>
    <cellStyle name="60% - Accent1 2" xfId="56"/>
    <cellStyle name="60% - Accent1 20" xfId="823"/>
    <cellStyle name="60% - Accent1 21" xfId="866"/>
    <cellStyle name="60% - Accent1 22" xfId="909"/>
    <cellStyle name="60% - Accent1 23" xfId="952"/>
    <cellStyle name="60% - Accent1 24" xfId="995"/>
    <cellStyle name="60% - Accent1 25" xfId="1038"/>
    <cellStyle name="60% - Accent1 26" xfId="1081"/>
    <cellStyle name="60% - Accent1 27" xfId="1124"/>
    <cellStyle name="60% - Accent1 28" xfId="1167"/>
    <cellStyle name="60% - Accent1 29" xfId="1210"/>
    <cellStyle name="60% - Accent1 3" xfId="100"/>
    <cellStyle name="60% - Accent1 30" xfId="1253"/>
    <cellStyle name="60% - Accent1 31" xfId="1296"/>
    <cellStyle name="60% - Accent1 32" xfId="1339"/>
    <cellStyle name="60% - Accent1 33" xfId="1382"/>
    <cellStyle name="60% - Accent1 34" xfId="1424"/>
    <cellStyle name="60% - Accent1 35" xfId="1467"/>
    <cellStyle name="60% - Accent1 36" xfId="1509"/>
    <cellStyle name="60% - Accent1 37" xfId="1550"/>
    <cellStyle name="60% - Accent1 38" xfId="1591"/>
    <cellStyle name="60% - Accent1 4" xfId="141"/>
    <cellStyle name="60% - Accent1 5" xfId="182"/>
    <cellStyle name="60% - Accent1 6" xfId="223"/>
    <cellStyle name="60% - Accent1 7" xfId="266"/>
    <cellStyle name="60% - Accent1 8" xfId="309"/>
    <cellStyle name="60% - Accent1 9" xfId="352"/>
    <cellStyle name="60% - Accent2 10" xfId="396"/>
    <cellStyle name="60% - Accent2 11" xfId="438"/>
    <cellStyle name="60% - Accent2 12" xfId="480"/>
    <cellStyle name="60% - Accent2 13" xfId="523"/>
    <cellStyle name="60% - Accent2 14" xfId="566"/>
    <cellStyle name="60% - Accent2 15" xfId="609"/>
    <cellStyle name="60% - Accent2 16" xfId="652"/>
    <cellStyle name="60% - Accent2 17" xfId="695"/>
    <cellStyle name="60% - Accent2 18" xfId="738"/>
    <cellStyle name="60% - Accent2 19" xfId="781"/>
    <cellStyle name="60% - Accent2 2" xfId="57"/>
    <cellStyle name="60% - Accent2 20" xfId="824"/>
    <cellStyle name="60% - Accent2 21" xfId="867"/>
    <cellStyle name="60% - Accent2 22" xfId="910"/>
    <cellStyle name="60% - Accent2 23" xfId="953"/>
    <cellStyle name="60% - Accent2 24" xfId="996"/>
    <cellStyle name="60% - Accent2 25" xfId="1039"/>
    <cellStyle name="60% - Accent2 26" xfId="1082"/>
    <cellStyle name="60% - Accent2 27" xfId="1125"/>
    <cellStyle name="60% - Accent2 28" xfId="1168"/>
    <cellStyle name="60% - Accent2 29" xfId="1211"/>
    <cellStyle name="60% - Accent2 3" xfId="101"/>
    <cellStyle name="60% - Accent2 30" xfId="1254"/>
    <cellStyle name="60% - Accent2 31" xfId="1297"/>
    <cellStyle name="60% - Accent2 32" xfId="1340"/>
    <cellStyle name="60% - Accent2 33" xfId="1383"/>
    <cellStyle name="60% - Accent2 34" xfId="1425"/>
    <cellStyle name="60% - Accent2 35" xfId="1468"/>
    <cellStyle name="60% - Accent2 36" xfId="1510"/>
    <cellStyle name="60% - Accent2 37" xfId="1551"/>
    <cellStyle name="60% - Accent2 38" xfId="1592"/>
    <cellStyle name="60% - Accent2 4" xfId="142"/>
    <cellStyle name="60% - Accent2 5" xfId="183"/>
    <cellStyle name="60% - Accent2 6" xfId="224"/>
    <cellStyle name="60% - Accent2 7" xfId="267"/>
    <cellStyle name="60% - Accent2 8" xfId="310"/>
    <cellStyle name="60% - Accent2 9" xfId="353"/>
    <cellStyle name="60% - Accent3 10" xfId="397"/>
    <cellStyle name="60% - Accent3 11" xfId="439"/>
    <cellStyle name="60% - Accent3 12" xfId="481"/>
    <cellStyle name="60% - Accent3 13" xfId="524"/>
    <cellStyle name="60% - Accent3 14" xfId="567"/>
    <cellStyle name="60% - Accent3 15" xfId="610"/>
    <cellStyle name="60% - Accent3 16" xfId="653"/>
    <cellStyle name="60% - Accent3 17" xfId="696"/>
    <cellStyle name="60% - Accent3 18" xfId="739"/>
    <cellStyle name="60% - Accent3 19" xfId="782"/>
    <cellStyle name="60% - Accent3 2" xfId="58"/>
    <cellStyle name="60% - Accent3 20" xfId="825"/>
    <cellStyle name="60% - Accent3 21" xfId="868"/>
    <cellStyle name="60% - Accent3 22" xfId="911"/>
    <cellStyle name="60% - Accent3 23" xfId="954"/>
    <cellStyle name="60% - Accent3 24" xfId="997"/>
    <cellStyle name="60% - Accent3 25" xfId="1040"/>
    <cellStyle name="60% - Accent3 26" xfId="1083"/>
    <cellStyle name="60% - Accent3 27" xfId="1126"/>
    <cellStyle name="60% - Accent3 28" xfId="1169"/>
    <cellStyle name="60% - Accent3 29" xfId="1212"/>
    <cellStyle name="60% - Accent3 3" xfId="102"/>
    <cellStyle name="60% - Accent3 30" xfId="1255"/>
    <cellStyle name="60% - Accent3 31" xfId="1298"/>
    <cellStyle name="60% - Accent3 32" xfId="1341"/>
    <cellStyle name="60% - Accent3 33" xfId="1384"/>
    <cellStyle name="60% - Accent3 34" xfId="1426"/>
    <cellStyle name="60% - Accent3 35" xfId="1469"/>
    <cellStyle name="60% - Accent3 36" xfId="1511"/>
    <cellStyle name="60% - Accent3 37" xfId="1552"/>
    <cellStyle name="60% - Accent3 38" xfId="1593"/>
    <cellStyle name="60% - Accent3 4" xfId="143"/>
    <cellStyle name="60% - Accent3 5" xfId="184"/>
    <cellStyle name="60% - Accent3 6" xfId="225"/>
    <cellStyle name="60% - Accent3 7" xfId="268"/>
    <cellStyle name="60% - Accent3 8" xfId="311"/>
    <cellStyle name="60% - Accent3 9" xfId="354"/>
    <cellStyle name="60% - Accent4 10" xfId="398"/>
    <cellStyle name="60% - Accent4 11" xfId="440"/>
    <cellStyle name="60% - Accent4 12" xfId="482"/>
    <cellStyle name="60% - Accent4 13" xfId="525"/>
    <cellStyle name="60% - Accent4 14" xfId="568"/>
    <cellStyle name="60% - Accent4 15" xfId="611"/>
    <cellStyle name="60% - Accent4 16" xfId="654"/>
    <cellStyle name="60% - Accent4 17" xfId="697"/>
    <cellStyle name="60% - Accent4 18" xfId="740"/>
    <cellStyle name="60% - Accent4 19" xfId="783"/>
    <cellStyle name="60% - Accent4 2" xfId="59"/>
    <cellStyle name="60% - Accent4 20" xfId="826"/>
    <cellStyle name="60% - Accent4 21" xfId="869"/>
    <cellStyle name="60% - Accent4 22" xfId="912"/>
    <cellStyle name="60% - Accent4 23" xfId="955"/>
    <cellStyle name="60% - Accent4 24" xfId="998"/>
    <cellStyle name="60% - Accent4 25" xfId="1041"/>
    <cellStyle name="60% - Accent4 26" xfId="1084"/>
    <cellStyle name="60% - Accent4 27" xfId="1127"/>
    <cellStyle name="60% - Accent4 28" xfId="1170"/>
    <cellStyle name="60% - Accent4 29" xfId="1213"/>
    <cellStyle name="60% - Accent4 3" xfId="103"/>
    <cellStyle name="60% - Accent4 30" xfId="1256"/>
    <cellStyle name="60% - Accent4 31" xfId="1299"/>
    <cellStyle name="60% - Accent4 32" xfId="1342"/>
    <cellStyle name="60% - Accent4 33" xfId="1385"/>
    <cellStyle name="60% - Accent4 34" xfId="1427"/>
    <cellStyle name="60% - Accent4 35" xfId="1470"/>
    <cellStyle name="60% - Accent4 36" xfId="1512"/>
    <cellStyle name="60% - Accent4 37" xfId="1553"/>
    <cellStyle name="60% - Accent4 38" xfId="1594"/>
    <cellStyle name="60% - Accent4 4" xfId="144"/>
    <cellStyle name="60% - Accent4 5" xfId="185"/>
    <cellStyle name="60% - Accent4 6" xfId="226"/>
    <cellStyle name="60% - Accent4 7" xfId="269"/>
    <cellStyle name="60% - Accent4 8" xfId="312"/>
    <cellStyle name="60% - Accent4 9" xfId="355"/>
    <cellStyle name="60% - Accent5 10" xfId="399"/>
    <cellStyle name="60% - Accent5 11" xfId="441"/>
    <cellStyle name="60% - Accent5 12" xfId="483"/>
    <cellStyle name="60% - Accent5 13" xfId="526"/>
    <cellStyle name="60% - Accent5 14" xfId="569"/>
    <cellStyle name="60% - Accent5 15" xfId="612"/>
    <cellStyle name="60% - Accent5 16" xfId="655"/>
    <cellStyle name="60% - Accent5 17" xfId="698"/>
    <cellStyle name="60% - Accent5 18" xfId="741"/>
    <cellStyle name="60% - Accent5 19" xfId="784"/>
    <cellStyle name="60% - Accent5 2" xfId="60"/>
    <cellStyle name="60% - Accent5 20" xfId="827"/>
    <cellStyle name="60% - Accent5 21" xfId="870"/>
    <cellStyle name="60% - Accent5 22" xfId="913"/>
    <cellStyle name="60% - Accent5 23" xfId="956"/>
    <cellStyle name="60% - Accent5 24" xfId="999"/>
    <cellStyle name="60% - Accent5 25" xfId="1042"/>
    <cellStyle name="60% - Accent5 26" xfId="1085"/>
    <cellStyle name="60% - Accent5 27" xfId="1128"/>
    <cellStyle name="60% - Accent5 28" xfId="1171"/>
    <cellStyle name="60% - Accent5 29" xfId="1214"/>
    <cellStyle name="60% - Accent5 3" xfId="104"/>
    <cellStyle name="60% - Accent5 30" xfId="1257"/>
    <cellStyle name="60% - Accent5 31" xfId="1300"/>
    <cellStyle name="60% - Accent5 32" xfId="1343"/>
    <cellStyle name="60% - Accent5 33" xfId="1386"/>
    <cellStyle name="60% - Accent5 34" xfId="1428"/>
    <cellStyle name="60% - Accent5 35" xfId="1471"/>
    <cellStyle name="60% - Accent5 36" xfId="1513"/>
    <cellStyle name="60% - Accent5 37" xfId="1554"/>
    <cellStyle name="60% - Accent5 38" xfId="1595"/>
    <cellStyle name="60% - Accent5 4" xfId="145"/>
    <cellStyle name="60% - Accent5 5" xfId="186"/>
    <cellStyle name="60% - Accent5 6" xfId="227"/>
    <cellStyle name="60% - Accent5 7" xfId="270"/>
    <cellStyle name="60% - Accent5 8" xfId="313"/>
    <cellStyle name="60% - Accent5 9" xfId="356"/>
    <cellStyle name="60% - Accent6 10" xfId="400"/>
    <cellStyle name="60% - Accent6 11" xfId="442"/>
    <cellStyle name="60% - Accent6 12" xfId="484"/>
    <cellStyle name="60% - Accent6 13" xfId="527"/>
    <cellStyle name="60% - Accent6 14" xfId="570"/>
    <cellStyle name="60% - Accent6 15" xfId="613"/>
    <cellStyle name="60% - Accent6 16" xfId="656"/>
    <cellStyle name="60% - Accent6 17" xfId="699"/>
    <cellStyle name="60% - Accent6 18" xfId="742"/>
    <cellStyle name="60% - Accent6 19" xfId="785"/>
    <cellStyle name="60% - Accent6 2" xfId="61"/>
    <cellStyle name="60% - Accent6 20" xfId="828"/>
    <cellStyle name="60% - Accent6 21" xfId="871"/>
    <cellStyle name="60% - Accent6 22" xfId="914"/>
    <cellStyle name="60% - Accent6 23" xfId="957"/>
    <cellStyle name="60% - Accent6 24" xfId="1000"/>
    <cellStyle name="60% - Accent6 25" xfId="1043"/>
    <cellStyle name="60% - Accent6 26" xfId="1086"/>
    <cellStyle name="60% - Accent6 27" xfId="1129"/>
    <cellStyle name="60% - Accent6 28" xfId="1172"/>
    <cellStyle name="60% - Accent6 29" xfId="1215"/>
    <cellStyle name="60% - Accent6 3" xfId="105"/>
    <cellStyle name="60% - Accent6 30" xfId="1258"/>
    <cellStyle name="60% - Accent6 31" xfId="1301"/>
    <cellStyle name="60% - Accent6 32" xfId="1344"/>
    <cellStyle name="60% - Accent6 33" xfId="1387"/>
    <cellStyle name="60% - Accent6 34" xfId="1429"/>
    <cellStyle name="60% - Accent6 35" xfId="1472"/>
    <cellStyle name="60% - Accent6 36" xfId="1514"/>
    <cellStyle name="60% - Accent6 37" xfId="1555"/>
    <cellStyle name="60% - Accent6 38" xfId="1596"/>
    <cellStyle name="60% - Accent6 4" xfId="146"/>
    <cellStyle name="60% - Accent6 5" xfId="187"/>
    <cellStyle name="60% - Accent6 6" xfId="228"/>
    <cellStyle name="60% - Accent6 7" xfId="271"/>
    <cellStyle name="60% - Accent6 8" xfId="314"/>
    <cellStyle name="60% - Accent6 9" xfId="357"/>
    <cellStyle name="Accent1 10" xfId="401"/>
    <cellStyle name="Accent1 11" xfId="443"/>
    <cellStyle name="Accent1 12" xfId="485"/>
    <cellStyle name="Accent1 13" xfId="528"/>
    <cellStyle name="Accent1 14" xfId="571"/>
    <cellStyle name="Accent1 15" xfId="614"/>
    <cellStyle name="Accent1 16" xfId="657"/>
    <cellStyle name="Accent1 17" xfId="700"/>
    <cellStyle name="Accent1 18" xfId="743"/>
    <cellStyle name="Accent1 19" xfId="786"/>
    <cellStyle name="Accent1 2" xfId="62"/>
    <cellStyle name="Accent1 20" xfId="829"/>
    <cellStyle name="Accent1 21" xfId="872"/>
    <cellStyle name="Accent1 22" xfId="915"/>
    <cellStyle name="Accent1 23" xfId="958"/>
    <cellStyle name="Accent1 24" xfId="1001"/>
    <cellStyle name="Accent1 25" xfId="1044"/>
    <cellStyle name="Accent1 26" xfId="1087"/>
    <cellStyle name="Accent1 27" xfId="1130"/>
    <cellStyle name="Accent1 28" xfId="1173"/>
    <cellStyle name="Accent1 29" xfId="1216"/>
    <cellStyle name="Accent1 3" xfId="106"/>
    <cellStyle name="Accent1 30" xfId="1259"/>
    <cellStyle name="Accent1 31" xfId="1302"/>
    <cellStyle name="Accent1 32" xfId="1345"/>
    <cellStyle name="Accent1 33" xfId="1388"/>
    <cellStyle name="Accent1 34" xfId="1430"/>
    <cellStyle name="Accent1 35" xfId="1473"/>
    <cellStyle name="Accent1 36" xfId="1515"/>
    <cellStyle name="Accent1 37" xfId="1556"/>
    <cellStyle name="Accent1 38" xfId="1597"/>
    <cellStyle name="Accent1 4" xfId="147"/>
    <cellStyle name="Accent1 5" xfId="188"/>
    <cellStyle name="Accent1 6" xfId="229"/>
    <cellStyle name="Accent1 7" xfId="272"/>
    <cellStyle name="Accent1 8" xfId="315"/>
    <cellStyle name="Accent1 9" xfId="358"/>
    <cellStyle name="Accent2 10" xfId="402"/>
    <cellStyle name="Accent2 11" xfId="444"/>
    <cellStyle name="Accent2 12" xfId="486"/>
    <cellStyle name="Accent2 13" xfId="529"/>
    <cellStyle name="Accent2 14" xfId="572"/>
    <cellStyle name="Accent2 15" xfId="615"/>
    <cellStyle name="Accent2 16" xfId="658"/>
    <cellStyle name="Accent2 17" xfId="701"/>
    <cellStyle name="Accent2 18" xfId="744"/>
    <cellStyle name="Accent2 19" xfId="787"/>
    <cellStyle name="Accent2 2" xfId="63"/>
    <cellStyle name="Accent2 20" xfId="830"/>
    <cellStyle name="Accent2 21" xfId="873"/>
    <cellStyle name="Accent2 22" xfId="916"/>
    <cellStyle name="Accent2 23" xfId="959"/>
    <cellStyle name="Accent2 24" xfId="1002"/>
    <cellStyle name="Accent2 25" xfId="1045"/>
    <cellStyle name="Accent2 26" xfId="1088"/>
    <cellStyle name="Accent2 27" xfId="1131"/>
    <cellStyle name="Accent2 28" xfId="1174"/>
    <cellStyle name="Accent2 29" xfId="1217"/>
    <cellStyle name="Accent2 3" xfId="107"/>
    <cellStyle name="Accent2 30" xfId="1260"/>
    <cellStyle name="Accent2 31" xfId="1303"/>
    <cellStyle name="Accent2 32" xfId="1346"/>
    <cellStyle name="Accent2 33" xfId="1389"/>
    <cellStyle name="Accent2 34" xfId="1431"/>
    <cellStyle name="Accent2 35" xfId="1474"/>
    <cellStyle name="Accent2 36" xfId="1516"/>
    <cellStyle name="Accent2 37" xfId="1557"/>
    <cellStyle name="Accent2 38" xfId="1598"/>
    <cellStyle name="Accent2 4" xfId="148"/>
    <cellStyle name="Accent2 5" xfId="189"/>
    <cellStyle name="Accent2 6" xfId="230"/>
    <cellStyle name="Accent2 7" xfId="273"/>
    <cellStyle name="Accent2 8" xfId="316"/>
    <cellStyle name="Accent2 9" xfId="359"/>
    <cellStyle name="Accent3 10" xfId="403"/>
    <cellStyle name="Accent3 11" xfId="445"/>
    <cellStyle name="Accent3 12" xfId="487"/>
    <cellStyle name="Accent3 13" xfId="530"/>
    <cellStyle name="Accent3 14" xfId="573"/>
    <cellStyle name="Accent3 15" xfId="616"/>
    <cellStyle name="Accent3 16" xfId="659"/>
    <cellStyle name="Accent3 17" xfId="702"/>
    <cellStyle name="Accent3 18" xfId="745"/>
    <cellStyle name="Accent3 19" xfId="788"/>
    <cellStyle name="Accent3 2" xfId="64"/>
    <cellStyle name="Accent3 20" xfId="831"/>
    <cellStyle name="Accent3 21" xfId="874"/>
    <cellStyle name="Accent3 22" xfId="917"/>
    <cellStyle name="Accent3 23" xfId="960"/>
    <cellStyle name="Accent3 24" xfId="1003"/>
    <cellStyle name="Accent3 25" xfId="1046"/>
    <cellStyle name="Accent3 26" xfId="1089"/>
    <cellStyle name="Accent3 27" xfId="1132"/>
    <cellStyle name="Accent3 28" xfId="1175"/>
    <cellStyle name="Accent3 29" xfId="1218"/>
    <cellStyle name="Accent3 3" xfId="108"/>
    <cellStyle name="Accent3 30" xfId="1261"/>
    <cellStyle name="Accent3 31" xfId="1304"/>
    <cellStyle name="Accent3 32" xfId="1347"/>
    <cellStyle name="Accent3 33" xfId="1390"/>
    <cellStyle name="Accent3 34" xfId="1432"/>
    <cellStyle name="Accent3 35" xfId="1475"/>
    <cellStyle name="Accent3 36" xfId="1517"/>
    <cellStyle name="Accent3 37" xfId="1558"/>
    <cellStyle name="Accent3 38" xfId="1599"/>
    <cellStyle name="Accent3 4" xfId="149"/>
    <cellStyle name="Accent3 5" xfId="190"/>
    <cellStyle name="Accent3 6" xfId="231"/>
    <cellStyle name="Accent3 7" xfId="274"/>
    <cellStyle name="Accent3 8" xfId="317"/>
    <cellStyle name="Accent3 9" xfId="360"/>
    <cellStyle name="Accent4 10" xfId="404"/>
    <cellStyle name="Accent4 11" xfId="446"/>
    <cellStyle name="Accent4 12" xfId="488"/>
    <cellStyle name="Accent4 13" xfId="531"/>
    <cellStyle name="Accent4 14" xfId="574"/>
    <cellStyle name="Accent4 15" xfId="617"/>
    <cellStyle name="Accent4 16" xfId="660"/>
    <cellStyle name="Accent4 17" xfId="703"/>
    <cellStyle name="Accent4 18" xfId="746"/>
    <cellStyle name="Accent4 19" xfId="789"/>
    <cellStyle name="Accent4 2" xfId="65"/>
    <cellStyle name="Accent4 20" xfId="832"/>
    <cellStyle name="Accent4 21" xfId="875"/>
    <cellStyle name="Accent4 22" xfId="918"/>
    <cellStyle name="Accent4 23" xfId="961"/>
    <cellStyle name="Accent4 24" xfId="1004"/>
    <cellStyle name="Accent4 25" xfId="1047"/>
    <cellStyle name="Accent4 26" xfId="1090"/>
    <cellStyle name="Accent4 27" xfId="1133"/>
    <cellStyle name="Accent4 28" xfId="1176"/>
    <cellStyle name="Accent4 29" xfId="1219"/>
    <cellStyle name="Accent4 3" xfId="109"/>
    <cellStyle name="Accent4 30" xfId="1262"/>
    <cellStyle name="Accent4 31" xfId="1305"/>
    <cellStyle name="Accent4 32" xfId="1348"/>
    <cellStyle name="Accent4 33" xfId="1391"/>
    <cellStyle name="Accent4 34" xfId="1433"/>
    <cellStyle name="Accent4 35" xfId="1476"/>
    <cellStyle name="Accent4 36" xfId="1518"/>
    <cellStyle name="Accent4 37" xfId="1559"/>
    <cellStyle name="Accent4 38" xfId="1600"/>
    <cellStyle name="Accent4 4" xfId="150"/>
    <cellStyle name="Accent4 5" xfId="191"/>
    <cellStyle name="Accent4 6" xfId="232"/>
    <cellStyle name="Accent4 7" xfId="275"/>
    <cellStyle name="Accent4 8" xfId="318"/>
    <cellStyle name="Accent4 9" xfId="361"/>
    <cellStyle name="Accent5 10" xfId="405"/>
    <cellStyle name="Accent5 11" xfId="447"/>
    <cellStyle name="Accent5 12" xfId="489"/>
    <cellStyle name="Accent5 13" xfId="532"/>
    <cellStyle name="Accent5 14" xfId="575"/>
    <cellStyle name="Accent5 15" xfId="618"/>
    <cellStyle name="Accent5 16" xfId="661"/>
    <cellStyle name="Accent5 17" xfId="704"/>
    <cellStyle name="Accent5 18" xfId="747"/>
    <cellStyle name="Accent5 19" xfId="790"/>
    <cellStyle name="Accent5 2" xfId="66"/>
    <cellStyle name="Accent5 20" xfId="833"/>
    <cellStyle name="Accent5 21" xfId="876"/>
    <cellStyle name="Accent5 22" xfId="919"/>
    <cellStyle name="Accent5 23" xfId="962"/>
    <cellStyle name="Accent5 24" xfId="1005"/>
    <cellStyle name="Accent5 25" xfId="1048"/>
    <cellStyle name="Accent5 26" xfId="1091"/>
    <cellStyle name="Accent5 27" xfId="1134"/>
    <cellStyle name="Accent5 28" xfId="1177"/>
    <cellStyle name="Accent5 29" xfId="1220"/>
    <cellStyle name="Accent5 3" xfId="110"/>
    <cellStyle name="Accent5 30" xfId="1263"/>
    <cellStyle name="Accent5 31" xfId="1306"/>
    <cellStyle name="Accent5 32" xfId="1349"/>
    <cellStyle name="Accent5 33" xfId="1392"/>
    <cellStyle name="Accent5 34" xfId="1434"/>
    <cellStyle name="Accent5 35" xfId="1477"/>
    <cellStyle name="Accent5 36" xfId="1519"/>
    <cellStyle name="Accent5 37" xfId="1560"/>
    <cellStyle name="Accent5 38" xfId="1601"/>
    <cellStyle name="Accent5 4" xfId="151"/>
    <cellStyle name="Accent5 5" xfId="192"/>
    <cellStyle name="Accent5 6" xfId="233"/>
    <cellStyle name="Accent5 7" xfId="276"/>
    <cellStyle name="Accent5 8" xfId="319"/>
    <cellStyle name="Accent5 9" xfId="362"/>
    <cellStyle name="Accent6 10" xfId="406"/>
    <cellStyle name="Accent6 11" xfId="448"/>
    <cellStyle name="Accent6 12" xfId="490"/>
    <cellStyle name="Accent6 13" xfId="533"/>
    <cellStyle name="Accent6 14" xfId="576"/>
    <cellStyle name="Accent6 15" xfId="619"/>
    <cellStyle name="Accent6 16" xfId="662"/>
    <cellStyle name="Accent6 17" xfId="705"/>
    <cellStyle name="Accent6 18" xfId="748"/>
    <cellStyle name="Accent6 19" xfId="791"/>
    <cellStyle name="Accent6 2" xfId="67"/>
    <cellStyle name="Accent6 20" xfId="834"/>
    <cellStyle name="Accent6 21" xfId="877"/>
    <cellStyle name="Accent6 22" xfId="920"/>
    <cellStyle name="Accent6 23" xfId="963"/>
    <cellStyle name="Accent6 24" xfId="1006"/>
    <cellStyle name="Accent6 25" xfId="1049"/>
    <cellStyle name="Accent6 26" xfId="1092"/>
    <cellStyle name="Accent6 27" xfId="1135"/>
    <cellStyle name="Accent6 28" xfId="1178"/>
    <cellStyle name="Accent6 29" xfId="1221"/>
    <cellStyle name="Accent6 3" xfId="111"/>
    <cellStyle name="Accent6 30" xfId="1264"/>
    <cellStyle name="Accent6 31" xfId="1307"/>
    <cellStyle name="Accent6 32" xfId="1350"/>
    <cellStyle name="Accent6 33" xfId="1393"/>
    <cellStyle name="Accent6 34" xfId="1435"/>
    <cellStyle name="Accent6 35" xfId="1478"/>
    <cellStyle name="Accent6 36" xfId="1520"/>
    <cellStyle name="Accent6 37" xfId="1561"/>
    <cellStyle name="Accent6 38" xfId="1602"/>
    <cellStyle name="Accent6 4" xfId="152"/>
    <cellStyle name="Accent6 5" xfId="193"/>
    <cellStyle name="Accent6 6" xfId="234"/>
    <cellStyle name="Accent6 7" xfId="277"/>
    <cellStyle name="Accent6 8" xfId="320"/>
    <cellStyle name="Accent6 9" xfId="363"/>
    <cellStyle name="Bad 10" xfId="407"/>
    <cellStyle name="Bad 11" xfId="449"/>
    <cellStyle name="Bad 12" xfId="491"/>
    <cellStyle name="Bad 13" xfId="534"/>
    <cellStyle name="Bad 14" xfId="577"/>
    <cellStyle name="Bad 15" xfId="620"/>
    <cellStyle name="Bad 16" xfId="663"/>
    <cellStyle name="Bad 17" xfId="706"/>
    <cellStyle name="Bad 18" xfId="749"/>
    <cellStyle name="Bad 19" xfId="792"/>
    <cellStyle name="Bad 2" xfId="68"/>
    <cellStyle name="Bad 20" xfId="835"/>
    <cellStyle name="Bad 21" xfId="878"/>
    <cellStyle name="Bad 22" xfId="921"/>
    <cellStyle name="Bad 23" xfId="964"/>
    <cellStyle name="Bad 24" xfId="1007"/>
    <cellStyle name="Bad 25" xfId="1050"/>
    <cellStyle name="Bad 26" xfId="1093"/>
    <cellStyle name="Bad 27" xfId="1136"/>
    <cellStyle name="Bad 28" xfId="1179"/>
    <cellStyle name="Bad 29" xfId="1222"/>
    <cellStyle name="Bad 3" xfId="112"/>
    <cellStyle name="Bad 30" xfId="1265"/>
    <cellStyle name="Bad 31" xfId="1308"/>
    <cellStyle name="Bad 32" xfId="1351"/>
    <cellStyle name="Bad 33" xfId="1394"/>
    <cellStyle name="Bad 34" xfId="1436"/>
    <cellStyle name="Bad 35" xfId="1479"/>
    <cellStyle name="Bad 36" xfId="1521"/>
    <cellStyle name="Bad 37" xfId="1562"/>
    <cellStyle name="Bad 38" xfId="1603"/>
    <cellStyle name="Bad 4" xfId="153"/>
    <cellStyle name="Bad 5" xfId="194"/>
    <cellStyle name="Bad 6" xfId="235"/>
    <cellStyle name="Bad 7" xfId="278"/>
    <cellStyle name="Bad 8" xfId="321"/>
    <cellStyle name="Bad 9" xfId="364"/>
    <cellStyle name="Calculation 10" xfId="408"/>
    <cellStyle name="Calculation 10 2" xfId="1722"/>
    <cellStyle name="Calculation 10 2 2" xfId="2338"/>
    <cellStyle name="Calculation 10 3" xfId="1677"/>
    <cellStyle name="Calculation 10 3 2" xfId="2293"/>
    <cellStyle name="Calculation 10 4" xfId="2085"/>
    <cellStyle name="Calculation 11" xfId="450"/>
    <cellStyle name="Calculation 11 2" xfId="1731"/>
    <cellStyle name="Calculation 11 2 2" xfId="2347"/>
    <cellStyle name="Calculation 11 3" xfId="1942"/>
    <cellStyle name="Calculation 11 3 2" xfId="2558"/>
    <cellStyle name="Calculation 11 4" xfId="2091"/>
    <cellStyle name="Calculation 12" xfId="492"/>
    <cellStyle name="Calculation 12 2" xfId="1741"/>
    <cellStyle name="Calculation 12 2 2" xfId="2357"/>
    <cellStyle name="Calculation 12 3" xfId="1906"/>
    <cellStyle name="Calculation 12 3 2" xfId="2522"/>
    <cellStyle name="Calculation 12 4" xfId="2097"/>
    <cellStyle name="Calculation 13" xfId="535"/>
    <cellStyle name="Calculation 13 2" xfId="1749"/>
    <cellStyle name="Calculation 13 2 2" xfId="2365"/>
    <cellStyle name="Calculation 13 3" xfId="1849"/>
    <cellStyle name="Calculation 13 3 2" xfId="2465"/>
    <cellStyle name="Calculation 13 4" xfId="2103"/>
    <cellStyle name="Calculation 14" xfId="578"/>
    <cellStyle name="Calculation 14 2" xfId="1759"/>
    <cellStyle name="Calculation 14 2 2" xfId="2375"/>
    <cellStyle name="Calculation 14 3" xfId="1796"/>
    <cellStyle name="Calculation 14 3 2" xfId="2412"/>
    <cellStyle name="Calculation 14 4" xfId="2109"/>
    <cellStyle name="Calculation 15" xfId="621"/>
    <cellStyle name="Calculation 15 2" xfId="1768"/>
    <cellStyle name="Calculation 15 2 2" xfId="2384"/>
    <cellStyle name="Calculation 15 3" xfId="1740"/>
    <cellStyle name="Calculation 15 3 2" xfId="2356"/>
    <cellStyle name="Calculation 15 4" xfId="2115"/>
    <cellStyle name="Calculation 16" xfId="664"/>
    <cellStyle name="Calculation 16 2" xfId="1777"/>
    <cellStyle name="Calculation 16 2 2" xfId="2393"/>
    <cellStyle name="Calculation 16 3" xfId="1685"/>
    <cellStyle name="Calculation 16 3 2" xfId="2301"/>
    <cellStyle name="Calculation 16 4" xfId="2121"/>
    <cellStyle name="Calculation 17" xfId="707"/>
    <cellStyle name="Calculation 17 2" xfId="1786"/>
    <cellStyle name="Calculation 17 2 2" xfId="2402"/>
    <cellStyle name="Calculation 17 3" xfId="1960"/>
    <cellStyle name="Calculation 17 3 2" xfId="2576"/>
    <cellStyle name="Calculation 17 4" xfId="2127"/>
    <cellStyle name="Calculation 18" xfId="750"/>
    <cellStyle name="Calculation 18 2" xfId="1797"/>
    <cellStyle name="Calculation 18 2 2" xfId="2413"/>
    <cellStyle name="Calculation 18 3" xfId="1657"/>
    <cellStyle name="Calculation 18 3 2" xfId="2273"/>
    <cellStyle name="Calculation 18 4" xfId="2133"/>
    <cellStyle name="Calculation 19" xfId="793"/>
    <cellStyle name="Calculation 19 2" xfId="1807"/>
    <cellStyle name="Calculation 19 2 2" xfId="2423"/>
    <cellStyle name="Calculation 19 3" xfId="1858"/>
    <cellStyle name="Calculation 19 3 2" xfId="2474"/>
    <cellStyle name="Calculation 19 4" xfId="2139"/>
    <cellStyle name="Calculation 2" xfId="69"/>
    <cellStyle name="Calculation 2 2" xfId="1650"/>
    <cellStyle name="Calculation 2 2 2" xfId="2266"/>
    <cellStyle name="Calculation 2 3" xfId="1937"/>
    <cellStyle name="Calculation 2 3 2" xfId="2553"/>
    <cellStyle name="Calculation 2 4" xfId="2041"/>
    <cellStyle name="Calculation 20" xfId="836"/>
    <cellStyle name="Calculation 20 2" xfId="1817"/>
    <cellStyle name="Calculation 20 2 2" xfId="2433"/>
    <cellStyle name="Calculation 20 3" xfId="1806"/>
    <cellStyle name="Calculation 20 3 2" xfId="2422"/>
    <cellStyle name="Calculation 20 4" xfId="2145"/>
    <cellStyle name="Calculation 21" xfId="879"/>
    <cellStyle name="Calculation 21 2" xfId="1826"/>
    <cellStyle name="Calculation 21 2 2" xfId="2442"/>
    <cellStyle name="Calculation 21 3" xfId="1748"/>
    <cellStyle name="Calculation 21 3 2" xfId="2364"/>
    <cellStyle name="Calculation 21 4" xfId="2151"/>
    <cellStyle name="Calculation 22" xfId="922"/>
    <cellStyle name="Calculation 22 2" xfId="1839"/>
    <cellStyle name="Calculation 22 2 2" xfId="2455"/>
    <cellStyle name="Calculation 22 3" xfId="1693"/>
    <cellStyle name="Calculation 22 3 2" xfId="2309"/>
    <cellStyle name="Calculation 22 4" xfId="2157"/>
    <cellStyle name="Calculation 23" xfId="965"/>
    <cellStyle name="Calculation 23 2" xfId="1850"/>
    <cellStyle name="Calculation 23 2 2" xfId="2466"/>
    <cellStyle name="Calculation 23 3" xfId="1968"/>
    <cellStyle name="Calculation 23 3 2" xfId="2584"/>
    <cellStyle name="Calculation 23 4" xfId="2163"/>
    <cellStyle name="Calculation 24" xfId="1008"/>
    <cellStyle name="Calculation 24 2" xfId="1859"/>
    <cellStyle name="Calculation 24 2 2" xfId="2475"/>
    <cellStyle name="Calculation 24 3" xfId="1913"/>
    <cellStyle name="Calculation 24 3 2" xfId="2529"/>
    <cellStyle name="Calculation 24 4" xfId="2169"/>
    <cellStyle name="Calculation 25" xfId="1051"/>
    <cellStyle name="Calculation 25 2" xfId="1869"/>
    <cellStyle name="Calculation 25 2 2" xfId="2485"/>
    <cellStyle name="Calculation 25 3" xfId="1867"/>
    <cellStyle name="Calculation 25 3 2" xfId="2483"/>
    <cellStyle name="Calculation 25 4" xfId="2175"/>
    <cellStyle name="Calculation 26" xfId="1094"/>
    <cellStyle name="Calculation 26 2" xfId="1878"/>
    <cellStyle name="Calculation 26 2 2" xfId="2494"/>
    <cellStyle name="Calculation 26 3" xfId="1648"/>
    <cellStyle name="Calculation 26 3 2" xfId="2264"/>
    <cellStyle name="Calculation 26 4" xfId="2181"/>
    <cellStyle name="Calculation 27" xfId="1137"/>
    <cellStyle name="Calculation 27 2" xfId="1886"/>
    <cellStyle name="Calculation 27 2 2" xfId="2502"/>
    <cellStyle name="Calculation 27 3" xfId="1757"/>
    <cellStyle name="Calculation 27 3 2" xfId="2373"/>
    <cellStyle name="Calculation 27 4" xfId="2187"/>
    <cellStyle name="Calculation 28" xfId="1180"/>
    <cellStyle name="Calculation 28 2" xfId="1896"/>
    <cellStyle name="Calculation 28 2 2" xfId="2512"/>
    <cellStyle name="Calculation 28 3" xfId="1702"/>
    <cellStyle name="Calculation 28 3 2" xfId="2318"/>
    <cellStyle name="Calculation 28 4" xfId="2193"/>
    <cellStyle name="Calculation 29" xfId="1223"/>
    <cellStyle name="Calculation 29 2" xfId="1905"/>
    <cellStyle name="Calculation 29 2 2" xfId="2521"/>
    <cellStyle name="Calculation 29 3" xfId="1976"/>
    <cellStyle name="Calculation 29 3 2" xfId="2592"/>
    <cellStyle name="Calculation 29 4" xfId="2199"/>
    <cellStyle name="Calculation 3" xfId="113"/>
    <cellStyle name="Calculation 3 2" xfId="1658"/>
    <cellStyle name="Calculation 3 2 2" xfId="2274"/>
    <cellStyle name="Calculation 3 3" xfId="1936"/>
    <cellStyle name="Calculation 3 3 2" xfId="2552"/>
    <cellStyle name="Calculation 3 4" xfId="2046"/>
    <cellStyle name="Calculation 30" xfId="1266"/>
    <cellStyle name="Calculation 30 2" xfId="1915"/>
    <cellStyle name="Calculation 30 2 2" xfId="2531"/>
    <cellStyle name="Calculation 30 3" xfId="1920"/>
    <cellStyle name="Calculation 30 3 2" xfId="2536"/>
    <cellStyle name="Calculation 30 4" xfId="2205"/>
    <cellStyle name="Calculation 31" xfId="1309"/>
    <cellStyle name="Calculation 31 2" xfId="1922"/>
    <cellStyle name="Calculation 31 2 2" xfId="2538"/>
    <cellStyle name="Calculation 31 3" xfId="1876"/>
    <cellStyle name="Calculation 31 3 2" xfId="2492"/>
    <cellStyle name="Calculation 31 4" xfId="2211"/>
    <cellStyle name="Calculation 32" xfId="1352"/>
    <cellStyle name="Calculation 32 2" xfId="1930"/>
    <cellStyle name="Calculation 32 2 2" xfId="2546"/>
    <cellStyle name="Calculation 32 3" xfId="1815"/>
    <cellStyle name="Calculation 32 3 2" xfId="2431"/>
    <cellStyle name="Calculation 32 4" xfId="2217"/>
    <cellStyle name="Calculation 33" xfId="1395"/>
    <cellStyle name="Calculation 33 2" xfId="1941"/>
    <cellStyle name="Calculation 33 2 2" xfId="2557"/>
    <cellStyle name="Calculation 33 3" xfId="1765"/>
    <cellStyle name="Calculation 33 3 2" xfId="2381"/>
    <cellStyle name="Calculation 33 4" xfId="2223"/>
    <cellStyle name="Calculation 34" xfId="1437"/>
    <cellStyle name="Calculation 34 2" xfId="1952"/>
    <cellStyle name="Calculation 34 2 2" xfId="2568"/>
    <cellStyle name="Calculation 34 3" xfId="1707"/>
    <cellStyle name="Calculation 34 3 2" xfId="2323"/>
    <cellStyle name="Calculation 34 4" xfId="2229"/>
    <cellStyle name="Calculation 35" xfId="1480"/>
    <cellStyle name="Calculation 35 2" xfId="1961"/>
    <cellStyle name="Calculation 35 2 2" xfId="2577"/>
    <cellStyle name="Calculation 35 3" xfId="1993"/>
    <cellStyle name="Calculation 35 3 2" xfId="2609"/>
    <cellStyle name="Calculation 35 4" xfId="2235"/>
    <cellStyle name="Calculation 36" xfId="1522"/>
    <cellStyle name="Calculation 36 2" xfId="1970"/>
    <cellStyle name="Calculation 36 2 2" xfId="2586"/>
    <cellStyle name="Calculation 36 3" xfId="1998"/>
    <cellStyle name="Calculation 36 3 2" xfId="2614"/>
    <cellStyle name="Calculation 36 4" xfId="2240"/>
    <cellStyle name="Calculation 37" xfId="1563"/>
    <cellStyle name="Calculation 37 2" xfId="1978"/>
    <cellStyle name="Calculation 37 2 2" xfId="2594"/>
    <cellStyle name="Calculation 37 3" xfId="2003"/>
    <cellStyle name="Calculation 37 3 2" xfId="2619"/>
    <cellStyle name="Calculation 37 4" xfId="2245"/>
    <cellStyle name="Calculation 38" xfId="1604"/>
    <cellStyle name="Calculation 38 2" xfId="1987"/>
    <cellStyle name="Calculation 38 2 2" xfId="2603"/>
    <cellStyle name="Calculation 38 3" xfId="2008"/>
    <cellStyle name="Calculation 38 3 2" xfId="2624"/>
    <cellStyle name="Calculation 38 4" xfId="2251"/>
    <cellStyle name="Calculation 4" xfId="154"/>
    <cellStyle name="Calculation 4 2" xfId="1667"/>
    <cellStyle name="Calculation 4 2 2" xfId="2283"/>
    <cellStyle name="Calculation 4 3" xfId="1945"/>
    <cellStyle name="Calculation 4 3 2" xfId="2561"/>
    <cellStyle name="Calculation 4 4" xfId="2051"/>
    <cellStyle name="Calculation 5" xfId="195"/>
    <cellStyle name="Calculation 5 2" xfId="1676"/>
    <cellStyle name="Calculation 5 2 2" xfId="2292"/>
    <cellStyle name="Calculation 5 3" xfId="1908"/>
    <cellStyle name="Calculation 5 3 2" xfId="2524"/>
    <cellStyle name="Calculation 5 4" xfId="2056"/>
    <cellStyle name="Calculation 6" xfId="236"/>
    <cellStyle name="Calculation 6 2" xfId="1686"/>
    <cellStyle name="Calculation 6 2 2" xfId="2302"/>
    <cellStyle name="Calculation 6 3" xfId="1888"/>
    <cellStyle name="Calculation 6 3 2" xfId="2504"/>
    <cellStyle name="Calculation 6 4" xfId="2061"/>
    <cellStyle name="Calculation 7" xfId="279"/>
    <cellStyle name="Calculation 7 2" xfId="1695"/>
    <cellStyle name="Calculation 7 2 2" xfId="2311"/>
    <cellStyle name="Calculation 7 3" xfId="1828"/>
    <cellStyle name="Calculation 7 3 2" xfId="2444"/>
    <cellStyle name="Calculation 7 4" xfId="2067"/>
    <cellStyle name="Calculation 8" xfId="322"/>
    <cellStyle name="Calculation 8 2" xfId="1704"/>
    <cellStyle name="Calculation 8 2 2" xfId="2320"/>
    <cellStyle name="Calculation 8 3" xfId="1779"/>
    <cellStyle name="Calculation 8 3 2" xfId="2395"/>
    <cellStyle name="Calculation 8 4" xfId="2073"/>
    <cellStyle name="Calculation 9" xfId="365"/>
    <cellStyle name="Calculation 9 2" xfId="1713"/>
    <cellStyle name="Calculation 9 2 2" xfId="2329"/>
    <cellStyle name="Calculation 9 3" xfId="1723"/>
    <cellStyle name="Calculation 9 3 2" xfId="2339"/>
    <cellStyle name="Calculation 9 4" xfId="2079"/>
    <cellStyle name="Check Cell 10" xfId="409"/>
    <cellStyle name="Check Cell 11" xfId="451"/>
    <cellStyle name="Check Cell 12" xfId="493"/>
    <cellStyle name="Check Cell 13" xfId="536"/>
    <cellStyle name="Check Cell 14" xfId="579"/>
    <cellStyle name="Check Cell 15" xfId="622"/>
    <cellStyle name="Check Cell 16" xfId="665"/>
    <cellStyle name="Check Cell 17" xfId="708"/>
    <cellStyle name="Check Cell 18" xfId="751"/>
    <cellStyle name="Check Cell 19" xfId="794"/>
    <cellStyle name="Check Cell 2" xfId="70"/>
    <cellStyle name="Check Cell 20" xfId="837"/>
    <cellStyle name="Check Cell 21" xfId="880"/>
    <cellStyle name="Check Cell 22" xfId="923"/>
    <cellStyle name="Check Cell 23" xfId="966"/>
    <cellStyle name="Check Cell 24" xfId="1009"/>
    <cellStyle name="Check Cell 25" xfId="1052"/>
    <cellStyle name="Check Cell 26" xfId="1095"/>
    <cellStyle name="Check Cell 27" xfId="1138"/>
    <cellStyle name="Check Cell 28" xfId="1181"/>
    <cellStyle name="Check Cell 29" xfId="1224"/>
    <cellStyle name="Check Cell 3" xfId="114"/>
    <cellStyle name="Check Cell 30" xfId="1267"/>
    <cellStyle name="Check Cell 31" xfId="1310"/>
    <cellStyle name="Check Cell 32" xfId="1353"/>
    <cellStyle name="Check Cell 33" xfId="1396"/>
    <cellStyle name="Check Cell 34" xfId="1438"/>
    <cellStyle name="Check Cell 35" xfId="1481"/>
    <cellStyle name="Check Cell 36" xfId="1523"/>
    <cellStyle name="Check Cell 37" xfId="1564"/>
    <cellStyle name="Check Cell 38" xfId="1605"/>
    <cellStyle name="Check Cell 4" xfId="155"/>
    <cellStyle name="Check Cell 5" xfId="196"/>
    <cellStyle name="Check Cell 6" xfId="237"/>
    <cellStyle name="Check Cell 7" xfId="280"/>
    <cellStyle name="Check Cell 8" xfId="323"/>
    <cellStyle name="Check Cell 9" xfId="366"/>
    <cellStyle name="Comma" xfId="1" builtinId="3"/>
    <cellStyle name="Comma 10" xfId="410"/>
    <cellStyle name="Comma 10 10" xfId="2020"/>
    <cellStyle name="Comma 10 10 2" xfId="2630"/>
    <cellStyle name="Comma 10 10 2 2" xfId="2678"/>
    <cellStyle name="Comma 10 2" xfId="2031"/>
    <cellStyle name="Comma 10 3" xfId="2023"/>
    <cellStyle name="Comma 10 3 2" xfId="2631"/>
    <cellStyle name="Comma 10 3 2 2" xfId="2679"/>
    <cellStyle name="Comma 10 4" xfId="2086"/>
    <cellStyle name="Comma 10 4 2" xfId="2648"/>
    <cellStyle name="Comma 11" xfId="452"/>
    <cellStyle name="Comma 11 2" xfId="2092"/>
    <cellStyle name="Comma 11 2 2" xfId="2649"/>
    <cellStyle name="Comma 12" xfId="494"/>
    <cellStyle name="Comma 12 2" xfId="2098"/>
    <cellStyle name="Comma 12 2 2" xfId="2650"/>
    <cellStyle name="Comma 13" xfId="537"/>
    <cellStyle name="Comma 13 2" xfId="2104"/>
    <cellStyle name="Comma 13 2 2" xfId="2651"/>
    <cellStyle name="Comma 14" xfId="580"/>
    <cellStyle name="Comma 14 2" xfId="2110"/>
    <cellStyle name="Comma 14 2 2" xfId="2652"/>
    <cellStyle name="Comma 15" xfId="623"/>
    <cellStyle name="Comma 15 2" xfId="2116"/>
    <cellStyle name="Comma 15 2 2" xfId="2653"/>
    <cellStyle name="Comma 16" xfId="666"/>
    <cellStyle name="Comma 16 2" xfId="2122"/>
    <cellStyle name="Comma 16 2 2" xfId="2654"/>
    <cellStyle name="Comma 17" xfId="19"/>
    <cellStyle name="Comma 17 2" xfId="709"/>
    <cellStyle name="Comma 17 2 2" xfId="2128"/>
    <cellStyle name="Comma 17 2 2 2" xfId="2655"/>
    <cellStyle name="Comma 17 3" xfId="2040"/>
    <cellStyle name="Comma 17 3 2" xfId="2643"/>
    <cellStyle name="Comma 18" xfId="752"/>
    <cellStyle name="Comma 18 2" xfId="2134"/>
    <cellStyle name="Comma 18 2 2" xfId="2656"/>
    <cellStyle name="Comma 19" xfId="795"/>
    <cellStyle name="Comma 19 2" xfId="2140"/>
    <cellStyle name="Comma 19 2 2" xfId="2657"/>
    <cellStyle name="Comma 2" xfId="3"/>
    <cellStyle name="Comma 2 2" xfId="10"/>
    <cellStyle name="Comma 2 2 2" xfId="2038"/>
    <cellStyle name="Comma 2 2 2 2" xfId="2641"/>
    <cellStyle name="Comma 2 2 3" xfId="2032"/>
    <cellStyle name="Comma 2 3" xfId="8"/>
    <cellStyle name="Comma 2 4" xfId="1636"/>
    <cellStyle name="Comma 2 4 2" xfId="2258"/>
    <cellStyle name="Comma 2 4 2 2" xfId="2676"/>
    <cellStyle name="Comma 2 4 3" xfId="2636"/>
    <cellStyle name="Comma 2 5" xfId="2033"/>
    <cellStyle name="Comma 2 5 2" xfId="2632"/>
    <cellStyle name="Comma 2 5 2 2" xfId="2680"/>
    <cellStyle name="Comma 2 6" xfId="2036"/>
    <cellStyle name="Comma 2 6 2" xfId="2639"/>
    <cellStyle name="Comma 20" xfId="838"/>
    <cellStyle name="Comma 20 2" xfId="2146"/>
    <cellStyle name="Comma 20 2 2" xfId="2658"/>
    <cellStyle name="Comma 21" xfId="881"/>
    <cellStyle name="Comma 21 2" xfId="2152"/>
    <cellStyle name="Comma 21 2 2" xfId="2659"/>
    <cellStyle name="Comma 22" xfId="924"/>
    <cellStyle name="Comma 22 2" xfId="2158"/>
    <cellStyle name="Comma 22 2 2" xfId="2660"/>
    <cellStyle name="Comma 23" xfId="967"/>
    <cellStyle name="Comma 23 2" xfId="2164"/>
    <cellStyle name="Comma 23 2 2" xfId="2661"/>
    <cellStyle name="Comma 24" xfId="1010"/>
    <cellStyle name="Comma 24 2" xfId="2170"/>
    <cellStyle name="Comma 24 2 2" xfId="2662"/>
    <cellStyle name="Comma 25" xfId="1053"/>
    <cellStyle name="Comma 25 2" xfId="2176"/>
    <cellStyle name="Comma 25 2 2" xfId="2663"/>
    <cellStyle name="Comma 26" xfId="1096"/>
    <cellStyle name="Comma 26 2" xfId="2182"/>
    <cellStyle name="Comma 26 2 2" xfId="2664"/>
    <cellStyle name="Comma 27" xfId="1139"/>
    <cellStyle name="Comma 27 2" xfId="2188"/>
    <cellStyle name="Comma 27 2 2" xfId="2665"/>
    <cellStyle name="Comma 28" xfId="1182"/>
    <cellStyle name="Comma 28 2" xfId="2194"/>
    <cellStyle name="Comma 28 2 2" xfId="2666"/>
    <cellStyle name="Comma 29" xfId="1225"/>
    <cellStyle name="Comma 29 2" xfId="2200"/>
    <cellStyle name="Comma 29 2 2" xfId="2667"/>
    <cellStyle name="Comma 3" xfId="1637"/>
    <cellStyle name="Comma 3 12" xfId="2026"/>
    <cellStyle name="Comma 3 12 2" xfId="2034"/>
    <cellStyle name="Comma 3 12 2 2" xfId="2633"/>
    <cellStyle name="Comma 3 12 2 2 2" xfId="2681"/>
    <cellStyle name="Comma 3 12 2 3" xfId="2637"/>
    <cellStyle name="Comma 30" xfId="1268"/>
    <cellStyle name="Comma 30 2" xfId="2206"/>
    <cellStyle name="Comma 30 2 2" xfId="2668"/>
    <cellStyle name="Comma 31" xfId="1311"/>
    <cellStyle name="Comma 31 2" xfId="2212"/>
    <cellStyle name="Comma 31 2 2" xfId="2669"/>
    <cellStyle name="Comma 32" xfId="1354"/>
    <cellStyle name="Comma 32 2" xfId="2218"/>
    <cellStyle name="Comma 32 2 2" xfId="2670"/>
    <cellStyle name="Comma 33" xfId="1397"/>
    <cellStyle name="Comma 33 2" xfId="2224"/>
    <cellStyle name="Comma 33 2 2" xfId="2671"/>
    <cellStyle name="Comma 34" xfId="1439"/>
    <cellStyle name="Comma 34 2" xfId="2230"/>
    <cellStyle name="Comma 34 2 2" xfId="2672"/>
    <cellStyle name="Comma 35" xfId="2014"/>
    <cellStyle name="Comma 35 2" xfId="2629"/>
    <cellStyle name="Comma 35 2 2" xfId="2677"/>
    <cellStyle name="Comma 36" xfId="2035"/>
    <cellStyle name="Comma 36 2" xfId="2638"/>
    <cellStyle name="Comma 37" xfId="1565"/>
    <cellStyle name="Comma 37 2" xfId="2246"/>
    <cellStyle name="Comma 37 2 2" xfId="2673"/>
    <cellStyle name="Comma 38" xfId="1606"/>
    <cellStyle name="Comma 38 2" xfId="2252"/>
    <cellStyle name="Comma 38 2 2" xfId="2674"/>
    <cellStyle name="Comma 39" xfId="2635"/>
    <cellStyle name="Comma 39 2" xfId="2682"/>
    <cellStyle name="Comma 4" xfId="2028"/>
    <cellStyle name="Comma 4 2" xfId="11"/>
    <cellStyle name="Comma 41" xfId="16"/>
    <cellStyle name="Comma 41 2" xfId="2039"/>
    <cellStyle name="Comma 41 2 2" xfId="2642"/>
    <cellStyle name="Comma 5" xfId="1631"/>
    <cellStyle name="Comma 5 2" xfId="1635"/>
    <cellStyle name="Comma 5 3" xfId="2257"/>
    <cellStyle name="Comma 5 3 2" xfId="2675"/>
    <cellStyle name="Comma 6" xfId="238"/>
    <cellStyle name="Comma 6 2" xfId="2062"/>
    <cellStyle name="Comma 6 2 2" xfId="2644"/>
    <cellStyle name="Comma 7" xfId="281"/>
    <cellStyle name="Comma 7 2" xfId="2068"/>
    <cellStyle name="Comma 7 2 2" xfId="2645"/>
    <cellStyle name="Comma 8" xfId="7"/>
    <cellStyle name="Comma 8 2" xfId="324"/>
    <cellStyle name="Comma 8 2 2" xfId="2074"/>
    <cellStyle name="Comma 8 2 2 2" xfId="2646"/>
    <cellStyle name="Comma 8 3" xfId="2037"/>
    <cellStyle name="Comma 8 3 2" xfId="2640"/>
    <cellStyle name="Comma 9" xfId="367"/>
    <cellStyle name="Comma 9 2" xfId="2080"/>
    <cellStyle name="Comma 9 2 2" xfId="2647"/>
    <cellStyle name="Comma_SCHDE0708 3" xfId="9"/>
    <cellStyle name="Currency" xfId="14" builtinId="4"/>
    <cellStyle name="Excel Built-in Normal 1" xfId="1638"/>
    <cellStyle name="Explanatory Text 10" xfId="411"/>
    <cellStyle name="Explanatory Text 11" xfId="453"/>
    <cellStyle name="Explanatory Text 12" xfId="495"/>
    <cellStyle name="Explanatory Text 13" xfId="538"/>
    <cellStyle name="Explanatory Text 14" xfId="581"/>
    <cellStyle name="Explanatory Text 15" xfId="624"/>
    <cellStyle name="Explanatory Text 16" xfId="667"/>
    <cellStyle name="Explanatory Text 17" xfId="710"/>
    <cellStyle name="Explanatory Text 18" xfId="753"/>
    <cellStyle name="Explanatory Text 19" xfId="796"/>
    <cellStyle name="Explanatory Text 2" xfId="71"/>
    <cellStyle name="Explanatory Text 20" xfId="839"/>
    <cellStyle name="Explanatory Text 21" xfId="882"/>
    <cellStyle name="Explanatory Text 22" xfId="925"/>
    <cellStyle name="Explanatory Text 23" xfId="968"/>
    <cellStyle name="Explanatory Text 24" xfId="1011"/>
    <cellStyle name="Explanatory Text 25" xfId="1054"/>
    <cellStyle name="Explanatory Text 26" xfId="1097"/>
    <cellStyle name="Explanatory Text 27" xfId="1140"/>
    <cellStyle name="Explanatory Text 28" xfId="1183"/>
    <cellStyle name="Explanatory Text 29" xfId="1226"/>
    <cellStyle name="Explanatory Text 3" xfId="115"/>
    <cellStyle name="Explanatory Text 30" xfId="1269"/>
    <cellStyle name="Explanatory Text 31" xfId="1312"/>
    <cellStyle name="Explanatory Text 32" xfId="1355"/>
    <cellStyle name="Explanatory Text 33" xfId="1398"/>
    <cellStyle name="Explanatory Text 34" xfId="1440"/>
    <cellStyle name="Explanatory Text 35" xfId="1482"/>
    <cellStyle name="Explanatory Text 36" xfId="1524"/>
    <cellStyle name="Explanatory Text 37" xfId="1566"/>
    <cellStyle name="Explanatory Text 38" xfId="1607"/>
    <cellStyle name="Explanatory Text 4" xfId="156"/>
    <cellStyle name="Explanatory Text 5" xfId="197"/>
    <cellStyle name="Explanatory Text 6" xfId="239"/>
    <cellStyle name="Explanatory Text 7" xfId="282"/>
    <cellStyle name="Explanatory Text 8" xfId="325"/>
    <cellStyle name="Explanatory Text 9" xfId="368"/>
    <cellStyle name="Good 10" xfId="412"/>
    <cellStyle name="Good 11" xfId="454"/>
    <cellStyle name="Good 12" xfId="496"/>
    <cellStyle name="Good 13" xfId="539"/>
    <cellStyle name="Good 14" xfId="582"/>
    <cellStyle name="Good 15" xfId="625"/>
    <cellStyle name="Good 16" xfId="668"/>
    <cellStyle name="Good 17" xfId="711"/>
    <cellStyle name="Good 18" xfId="754"/>
    <cellStyle name="Good 19" xfId="797"/>
    <cellStyle name="Good 2" xfId="72"/>
    <cellStyle name="Good 20" xfId="840"/>
    <cellStyle name="Good 21" xfId="883"/>
    <cellStyle name="Good 22" xfId="926"/>
    <cellStyle name="Good 23" xfId="969"/>
    <cellStyle name="Good 24" xfId="1012"/>
    <cellStyle name="Good 25" xfId="1055"/>
    <cellStyle name="Good 26" xfId="1098"/>
    <cellStyle name="Good 27" xfId="1141"/>
    <cellStyle name="Good 28" xfId="1184"/>
    <cellStyle name="Good 29" xfId="1227"/>
    <cellStyle name="Good 3" xfId="116"/>
    <cellStyle name="Good 30" xfId="1270"/>
    <cellStyle name="Good 31" xfId="1313"/>
    <cellStyle name="Good 32" xfId="1356"/>
    <cellStyle name="Good 33" xfId="1399"/>
    <cellStyle name="Good 34" xfId="1441"/>
    <cellStyle name="Good 35" xfId="1483"/>
    <cellStyle name="Good 36" xfId="1525"/>
    <cellStyle name="Good 37" xfId="1567"/>
    <cellStyle name="Good 38" xfId="1608"/>
    <cellStyle name="Good 4" xfId="157"/>
    <cellStyle name="Good 5" xfId="198"/>
    <cellStyle name="Good 6" xfId="240"/>
    <cellStyle name="Good 7" xfId="283"/>
    <cellStyle name="Good 8" xfId="326"/>
    <cellStyle name="Good 9" xfId="369"/>
    <cellStyle name="Heading" xfId="1625"/>
    <cellStyle name="Heading 1 10" xfId="413"/>
    <cellStyle name="Heading 1 11" xfId="455"/>
    <cellStyle name="Heading 1 12" xfId="497"/>
    <cellStyle name="Heading 1 13" xfId="540"/>
    <cellStyle name="Heading 1 14" xfId="583"/>
    <cellStyle name="Heading 1 15" xfId="626"/>
    <cellStyle name="Heading 1 16" xfId="669"/>
    <cellStyle name="Heading 1 17" xfId="712"/>
    <cellStyle name="Heading 1 18" xfId="755"/>
    <cellStyle name="Heading 1 19" xfId="798"/>
    <cellStyle name="Heading 1 2" xfId="73"/>
    <cellStyle name="Heading 1 20" xfId="841"/>
    <cellStyle name="Heading 1 21" xfId="884"/>
    <cellStyle name="Heading 1 22" xfId="927"/>
    <cellStyle name="Heading 1 23" xfId="970"/>
    <cellStyle name="Heading 1 24" xfId="1013"/>
    <cellStyle name="Heading 1 25" xfId="1056"/>
    <cellStyle name="Heading 1 26" xfId="1099"/>
    <cellStyle name="Heading 1 27" xfId="1142"/>
    <cellStyle name="Heading 1 28" xfId="1185"/>
    <cellStyle name="Heading 1 29" xfId="1228"/>
    <cellStyle name="Heading 1 3" xfId="117"/>
    <cellStyle name="Heading 1 30" xfId="1271"/>
    <cellStyle name="Heading 1 31" xfId="1314"/>
    <cellStyle name="Heading 1 32" xfId="1357"/>
    <cellStyle name="Heading 1 33" xfId="1400"/>
    <cellStyle name="Heading 1 34" xfId="1442"/>
    <cellStyle name="Heading 1 35" xfId="1484"/>
    <cellStyle name="Heading 1 36" xfId="1526"/>
    <cellStyle name="Heading 1 37" xfId="1568"/>
    <cellStyle name="Heading 1 38" xfId="1609"/>
    <cellStyle name="Heading 1 4" xfId="158"/>
    <cellStyle name="Heading 1 5" xfId="199"/>
    <cellStyle name="Heading 1 6" xfId="241"/>
    <cellStyle name="Heading 1 7" xfId="284"/>
    <cellStyle name="Heading 1 8" xfId="327"/>
    <cellStyle name="Heading 1 9" xfId="370"/>
    <cellStyle name="Heading 2 10" xfId="414"/>
    <cellStyle name="Heading 2 11" xfId="456"/>
    <cellStyle name="Heading 2 12" xfId="498"/>
    <cellStyle name="Heading 2 13" xfId="541"/>
    <cellStyle name="Heading 2 14" xfId="584"/>
    <cellStyle name="Heading 2 15" xfId="627"/>
    <cellStyle name="Heading 2 16" xfId="670"/>
    <cellStyle name="Heading 2 17" xfId="713"/>
    <cellStyle name="Heading 2 18" xfId="756"/>
    <cellStyle name="Heading 2 19" xfId="799"/>
    <cellStyle name="Heading 2 2" xfId="74"/>
    <cellStyle name="Heading 2 20" xfId="842"/>
    <cellStyle name="Heading 2 21" xfId="885"/>
    <cellStyle name="Heading 2 22" xfId="928"/>
    <cellStyle name="Heading 2 23" xfId="971"/>
    <cellStyle name="Heading 2 24" xfId="1014"/>
    <cellStyle name="Heading 2 25" xfId="1057"/>
    <cellStyle name="Heading 2 26" xfId="1100"/>
    <cellStyle name="Heading 2 27" xfId="1143"/>
    <cellStyle name="Heading 2 28" xfId="1186"/>
    <cellStyle name="Heading 2 29" xfId="1229"/>
    <cellStyle name="Heading 2 3" xfId="118"/>
    <cellStyle name="Heading 2 30" xfId="1272"/>
    <cellStyle name="Heading 2 31" xfId="1315"/>
    <cellStyle name="Heading 2 32" xfId="1358"/>
    <cellStyle name="Heading 2 33" xfId="1401"/>
    <cellStyle name="Heading 2 34" xfId="1443"/>
    <cellStyle name="Heading 2 35" xfId="1485"/>
    <cellStyle name="Heading 2 36" xfId="1527"/>
    <cellStyle name="Heading 2 37" xfId="1569"/>
    <cellStyle name="Heading 2 38" xfId="1610"/>
    <cellStyle name="Heading 2 4" xfId="159"/>
    <cellStyle name="Heading 2 5" xfId="200"/>
    <cellStyle name="Heading 2 6" xfId="242"/>
    <cellStyle name="Heading 2 7" xfId="285"/>
    <cellStyle name="Heading 2 8" xfId="328"/>
    <cellStyle name="Heading 2 9" xfId="371"/>
    <cellStyle name="Heading 3 10" xfId="415"/>
    <cellStyle name="Heading 3 11" xfId="457"/>
    <cellStyle name="Heading 3 12" xfId="499"/>
    <cellStyle name="Heading 3 13" xfId="542"/>
    <cellStyle name="Heading 3 14" xfId="585"/>
    <cellStyle name="Heading 3 15" xfId="628"/>
    <cellStyle name="Heading 3 16" xfId="671"/>
    <cellStyle name="Heading 3 17" xfId="714"/>
    <cellStyle name="Heading 3 18" xfId="757"/>
    <cellStyle name="Heading 3 19" xfId="800"/>
    <cellStyle name="Heading 3 2" xfId="75"/>
    <cellStyle name="Heading 3 20" xfId="843"/>
    <cellStyle name="Heading 3 21" xfId="886"/>
    <cellStyle name="Heading 3 22" xfId="929"/>
    <cellStyle name="Heading 3 23" xfId="972"/>
    <cellStyle name="Heading 3 24" xfId="1015"/>
    <cellStyle name="Heading 3 25" xfId="1058"/>
    <cellStyle name="Heading 3 26" xfId="1101"/>
    <cellStyle name="Heading 3 27" xfId="1144"/>
    <cellStyle name="Heading 3 28" xfId="1187"/>
    <cellStyle name="Heading 3 29" xfId="1230"/>
    <cellStyle name="Heading 3 3" xfId="119"/>
    <cellStyle name="Heading 3 30" xfId="1273"/>
    <cellStyle name="Heading 3 31" xfId="1316"/>
    <cellStyle name="Heading 3 32" xfId="1359"/>
    <cellStyle name="Heading 3 33" xfId="1402"/>
    <cellStyle name="Heading 3 34" xfId="1444"/>
    <cellStyle name="Heading 3 35" xfId="1486"/>
    <cellStyle name="Heading 3 36" xfId="1528"/>
    <cellStyle name="Heading 3 37" xfId="1570"/>
    <cellStyle name="Heading 3 38" xfId="1611"/>
    <cellStyle name="Heading 3 4" xfId="160"/>
    <cellStyle name="Heading 3 5" xfId="201"/>
    <cellStyle name="Heading 3 6" xfId="243"/>
    <cellStyle name="Heading 3 7" xfId="286"/>
    <cellStyle name="Heading 3 8" xfId="329"/>
    <cellStyle name="Heading 3 9" xfId="372"/>
    <cellStyle name="Heading 4 10" xfId="416"/>
    <cellStyle name="Heading 4 11" xfId="458"/>
    <cellStyle name="Heading 4 12" xfId="500"/>
    <cellStyle name="Heading 4 13" xfId="543"/>
    <cellStyle name="Heading 4 14" xfId="586"/>
    <cellStyle name="Heading 4 15" xfId="629"/>
    <cellStyle name="Heading 4 16" xfId="672"/>
    <cellStyle name="Heading 4 17" xfId="715"/>
    <cellStyle name="Heading 4 18" xfId="758"/>
    <cellStyle name="Heading 4 19" xfId="801"/>
    <cellStyle name="Heading 4 2" xfId="76"/>
    <cellStyle name="Heading 4 20" xfId="844"/>
    <cellStyle name="Heading 4 21" xfId="887"/>
    <cellStyle name="Heading 4 22" xfId="930"/>
    <cellStyle name="Heading 4 23" xfId="973"/>
    <cellStyle name="Heading 4 24" xfId="1016"/>
    <cellStyle name="Heading 4 25" xfId="1059"/>
    <cellStyle name="Heading 4 26" xfId="1102"/>
    <cellStyle name="Heading 4 27" xfId="1145"/>
    <cellStyle name="Heading 4 28" xfId="1188"/>
    <cellStyle name="Heading 4 29" xfId="1231"/>
    <cellStyle name="Heading 4 3" xfId="120"/>
    <cellStyle name="Heading 4 30" xfId="1274"/>
    <cellStyle name="Heading 4 31" xfId="1317"/>
    <cellStyle name="Heading 4 32" xfId="1360"/>
    <cellStyle name="Heading 4 33" xfId="1403"/>
    <cellStyle name="Heading 4 34" xfId="1445"/>
    <cellStyle name="Heading 4 35" xfId="1487"/>
    <cellStyle name="Heading 4 36" xfId="1529"/>
    <cellStyle name="Heading 4 37" xfId="1571"/>
    <cellStyle name="Heading 4 38" xfId="1612"/>
    <cellStyle name="Heading 4 4" xfId="161"/>
    <cellStyle name="Heading 4 5" xfId="202"/>
    <cellStyle name="Heading 4 6" xfId="244"/>
    <cellStyle name="Heading 4 7" xfId="287"/>
    <cellStyle name="Heading 4 8" xfId="330"/>
    <cellStyle name="Heading 4 9" xfId="373"/>
    <cellStyle name="Heading1" xfId="1626"/>
    <cellStyle name="Heading1 1" xfId="1639"/>
    <cellStyle name="Hyperlink" xfId="2634" builtinId="8"/>
    <cellStyle name="Hyperlink 2" xfId="2018"/>
    <cellStyle name="Input 10" xfId="417"/>
    <cellStyle name="Input 10 2" xfId="1724"/>
    <cellStyle name="Input 10 2 2" xfId="2340"/>
    <cellStyle name="Input 10 3" xfId="1923"/>
    <cellStyle name="Input 10 3 2" xfId="2539"/>
    <cellStyle name="Input 10 4" xfId="2087"/>
    <cellStyle name="Input 11" xfId="459"/>
    <cellStyle name="Input 11 2" xfId="1733"/>
    <cellStyle name="Input 11 2 2" xfId="2349"/>
    <cellStyle name="Input 11 3" xfId="1870"/>
    <cellStyle name="Input 11 3 2" xfId="2486"/>
    <cellStyle name="Input 11 4" xfId="2093"/>
    <cellStyle name="Input 12" xfId="501"/>
    <cellStyle name="Input 12 2" xfId="1742"/>
    <cellStyle name="Input 12 2 2" xfId="2358"/>
    <cellStyle name="Input 12 3" xfId="1818"/>
    <cellStyle name="Input 12 3 2" xfId="2434"/>
    <cellStyle name="Input 12 4" xfId="2099"/>
    <cellStyle name="Input 13" xfId="544"/>
    <cellStyle name="Input 13 2" xfId="1752"/>
    <cellStyle name="Input 13 2 2" xfId="2368"/>
    <cellStyle name="Input 13 3" xfId="1767"/>
    <cellStyle name="Input 13 3 2" xfId="2383"/>
    <cellStyle name="Input 13 4" xfId="2105"/>
    <cellStyle name="Input 14" xfId="587"/>
    <cellStyle name="Input 14 2" xfId="1761"/>
    <cellStyle name="Input 14 2 2" xfId="2377"/>
    <cellStyle name="Input 14 3" xfId="1712"/>
    <cellStyle name="Input 14 3 2" xfId="2328"/>
    <cellStyle name="Input 14 4" xfId="2111"/>
    <cellStyle name="Input 15" xfId="630"/>
    <cellStyle name="Input 15 2" xfId="1770"/>
    <cellStyle name="Input 15 2 2" xfId="2386"/>
    <cellStyle name="Input 15 3" xfId="1986"/>
    <cellStyle name="Input 15 3 2" xfId="2602"/>
    <cellStyle name="Input 15 4" xfId="2117"/>
    <cellStyle name="Input 16" xfId="673"/>
    <cellStyle name="Input 16 2" xfId="1780"/>
    <cellStyle name="Input 16 2 2" xfId="2396"/>
    <cellStyle name="Input 16 3" xfId="1929"/>
    <cellStyle name="Input 16 3 2" xfId="2545"/>
    <cellStyle name="Input 16 4" xfId="2123"/>
    <cellStyle name="Input 17" xfId="716"/>
    <cellStyle name="Input 17 2" xfId="1788"/>
    <cellStyle name="Input 17 2 2" xfId="2404"/>
    <cellStyle name="Input 17 3" xfId="1885"/>
    <cellStyle name="Input 17 3 2" xfId="2501"/>
    <cellStyle name="Input 17 4" xfId="2129"/>
    <cellStyle name="Input 18" xfId="759"/>
    <cellStyle name="Input 18 2" xfId="1799"/>
    <cellStyle name="Input 18 2 2" xfId="2415"/>
    <cellStyle name="Input 18 3" xfId="1825"/>
    <cellStyle name="Input 18 3 2" xfId="2441"/>
    <cellStyle name="Input 18 4" xfId="2135"/>
    <cellStyle name="Input 19" xfId="802"/>
    <cellStyle name="Input 19 2" xfId="1809"/>
    <cellStyle name="Input 19 2 2" xfId="2425"/>
    <cellStyle name="Input 19 3" xfId="1776"/>
    <cellStyle name="Input 19 3 2" xfId="2392"/>
    <cellStyle name="Input 19 4" xfId="2141"/>
    <cellStyle name="Input 2" xfId="77"/>
    <cellStyle name="Input 2 2" xfId="1651"/>
    <cellStyle name="Input 2 2 2" xfId="2267"/>
    <cellStyle name="Input 2 3" xfId="1874"/>
    <cellStyle name="Input 2 3 2" xfId="2490"/>
    <cellStyle name="Input 2 4" xfId="2042"/>
    <cellStyle name="Input 20" xfId="845"/>
    <cellStyle name="Input 20 2" xfId="1820"/>
    <cellStyle name="Input 20 2 2" xfId="2436"/>
    <cellStyle name="Input 20 3" xfId="1720"/>
    <cellStyle name="Input 20 3 2" xfId="2336"/>
    <cellStyle name="Input 20 4" xfId="2147"/>
    <cellStyle name="Input 21" xfId="888"/>
    <cellStyle name="Input 21 2" xfId="1829"/>
    <cellStyle name="Input 21 2 2" xfId="2445"/>
    <cellStyle name="Input 21 3" xfId="1665"/>
    <cellStyle name="Input 21 3 2" xfId="2281"/>
    <cellStyle name="Input 21 4" xfId="2153"/>
    <cellStyle name="Input 22" xfId="931"/>
    <cellStyle name="Input 22 2" xfId="1840"/>
    <cellStyle name="Input 22 2 2" xfId="2456"/>
    <cellStyle name="Input 22 3" xfId="1939"/>
    <cellStyle name="Input 22 3 2" xfId="2555"/>
    <cellStyle name="Input 22 4" xfId="2159"/>
    <cellStyle name="Input 23" xfId="974"/>
    <cellStyle name="Input 23 2" xfId="1851"/>
    <cellStyle name="Input 23 2 2" xfId="2467"/>
    <cellStyle name="Input 23 3" xfId="1894"/>
    <cellStyle name="Input 23 3 2" xfId="2510"/>
    <cellStyle name="Input 23 4" xfId="2165"/>
    <cellStyle name="Input 24" xfId="1017"/>
    <cellStyle name="Input 24 2" xfId="1861"/>
    <cellStyle name="Input 24 2 2" xfId="2477"/>
    <cellStyle name="Input 24 3" xfId="1837"/>
    <cellStyle name="Input 24 3 2" xfId="2453"/>
    <cellStyle name="Input 24 4" xfId="2171"/>
    <cellStyle name="Input 25" xfId="1060"/>
    <cellStyle name="Input 25 2" xfId="1871"/>
    <cellStyle name="Input 25 2 2" xfId="2487"/>
    <cellStyle name="Input 25 3" xfId="1784"/>
    <cellStyle name="Input 25 3 2" xfId="2400"/>
    <cellStyle name="Input 25 4" xfId="2177"/>
    <cellStyle name="Input 26" xfId="1103"/>
    <cellStyle name="Input 26 2" xfId="1879"/>
    <cellStyle name="Input 26 2 2" xfId="2495"/>
    <cellStyle name="Input 26 3" xfId="1728"/>
    <cellStyle name="Input 26 3 2" xfId="2344"/>
    <cellStyle name="Input 26 4" xfId="2183"/>
    <cellStyle name="Input 27" xfId="1146"/>
    <cellStyle name="Input 27 2" xfId="1889"/>
    <cellStyle name="Input 27 2 2" xfId="2505"/>
    <cellStyle name="Input 27 3" xfId="1673"/>
    <cellStyle name="Input 27 3 2" xfId="2289"/>
    <cellStyle name="Input 27 4" xfId="2189"/>
    <cellStyle name="Input 28" xfId="1189"/>
    <cellStyle name="Input 28 2" xfId="1898"/>
    <cellStyle name="Input 28 2 2" xfId="2514"/>
    <cellStyle name="Input 28 3" xfId="1949"/>
    <cellStyle name="Input 28 3 2" xfId="2565"/>
    <cellStyle name="Input 28 4" xfId="2195"/>
    <cellStyle name="Input 29" xfId="1232"/>
    <cellStyle name="Input 29 2" xfId="1907"/>
    <cellStyle name="Input 29 2 2" xfId="2523"/>
    <cellStyle name="Input 29 3" xfId="1902"/>
    <cellStyle name="Input 29 3 2" xfId="2518"/>
    <cellStyle name="Input 29 4" xfId="2201"/>
    <cellStyle name="Input 3" xfId="121"/>
    <cellStyle name="Input 3 2" xfId="1660"/>
    <cellStyle name="Input 3 2 2" xfId="2276"/>
    <cellStyle name="Input 3 3" xfId="1892"/>
    <cellStyle name="Input 3 3 2" xfId="2508"/>
    <cellStyle name="Input 3 4" xfId="2047"/>
    <cellStyle name="Input 30" xfId="1275"/>
    <cellStyle name="Input 30 2" xfId="1916"/>
    <cellStyle name="Input 30 2 2" xfId="2532"/>
    <cellStyle name="Input 30 3" xfId="1846"/>
    <cellStyle name="Input 30 3 2" xfId="2462"/>
    <cellStyle name="Input 30 4" xfId="2207"/>
    <cellStyle name="Input 31" xfId="1318"/>
    <cellStyle name="Input 31 2" xfId="1924"/>
    <cellStyle name="Input 31 2 2" xfId="2540"/>
    <cellStyle name="Input 31 3" xfId="1793"/>
    <cellStyle name="Input 31 3 2" xfId="2409"/>
    <cellStyle name="Input 31 4" xfId="2213"/>
    <cellStyle name="Input 32" xfId="1361"/>
    <cellStyle name="Input 32 2" xfId="1932"/>
    <cellStyle name="Input 32 2 2" xfId="2548"/>
    <cellStyle name="Input 32 3" xfId="1737"/>
    <cellStyle name="Input 32 3 2" xfId="2353"/>
    <cellStyle name="Input 32 4" xfId="2219"/>
    <cellStyle name="Input 33" xfId="1404"/>
    <cellStyle name="Input 33 2" xfId="1944"/>
    <cellStyle name="Input 33 2 2" xfId="2560"/>
    <cellStyle name="Input 33 3" xfId="1669"/>
    <cellStyle name="Input 33 3 2" xfId="2285"/>
    <cellStyle name="Input 33 4" xfId="2225"/>
    <cellStyle name="Input 34" xfId="1446"/>
    <cellStyle name="Input 34 2" xfId="1954"/>
    <cellStyle name="Input 34 2 2" xfId="2570"/>
    <cellStyle name="Input 34 3" xfId="1646"/>
    <cellStyle name="Input 34 3 2" xfId="2262"/>
    <cellStyle name="Input 34 4" xfId="2231"/>
    <cellStyle name="Input 35" xfId="1488"/>
    <cellStyle name="Input 35 2" xfId="1962"/>
    <cellStyle name="Input 35 2 2" xfId="2578"/>
    <cellStyle name="Input 35 3" xfId="1994"/>
    <cellStyle name="Input 35 3 2" xfId="2610"/>
    <cellStyle name="Input 35 4" xfId="2236"/>
    <cellStyle name="Input 36" xfId="1530"/>
    <cellStyle name="Input 36 2" xfId="1971"/>
    <cellStyle name="Input 36 2 2" xfId="2587"/>
    <cellStyle name="Input 36 3" xfId="1999"/>
    <cellStyle name="Input 36 3 2" xfId="2615"/>
    <cellStyle name="Input 36 4" xfId="2241"/>
    <cellStyle name="Input 37" xfId="1572"/>
    <cellStyle name="Input 37 2" xfId="1981"/>
    <cellStyle name="Input 37 2 2" xfId="2597"/>
    <cellStyle name="Input 37 3" xfId="2004"/>
    <cellStyle name="Input 37 3 2" xfId="2620"/>
    <cellStyle name="Input 37 4" xfId="2247"/>
    <cellStyle name="Input 38" xfId="1613"/>
    <cellStyle name="Input 38 2" xfId="1989"/>
    <cellStyle name="Input 38 2 2" xfId="2605"/>
    <cellStyle name="Input 38 3" xfId="2009"/>
    <cellStyle name="Input 38 3 2" xfId="2625"/>
    <cellStyle name="Input 38 4" xfId="2253"/>
    <cellStyle name="Input 4" xfId="162"/>
    <cellStyle name="Input 4 2" xfId="1668"/>
    <cellStyle name="Input 4 2 2" xfId="2284"/>
    <cellStyle name="Input 4 3" xfId="1880"/>
    <cellStyle name="Input 4 3 2" xfId="2496"/>
    <cellStyle name="Input 4 4" xfId="2052"/>
    <cellStyle name="Input 5" xfId="203"/>
    <cellStyle name="Input 5 2" xfId="1679"/>
    <cellStyle name="Input 5 2 2" xfId="2295"/>
    <cellStyle name="Input 5 3" xfId="1830"/>
    <cellStyle name="Input 5 3 2" xfId="2446"/>
    <cellStyle name="Input 5 4" xfId="2057"/>
    <cellStyle name="Input 6" xfId="245"/>
    <cellStyle name="Input 6 2" xfId="1687"/>
    <cellStyle name="Input 6 2 2" xfId="2303"/>
    <cellStyle name="Input 6 3" xfId="1808"/>
    <cellStyle name="Input 6 3 2" xfId="2424"/>
    <cellStyle name="Input 6 4" xfId="2063"/>
    <cellStyle name="Input 7" xfId="288"/>
    <cellStyle name="Input 7 2" xfId="1697"/>
    <cellStyle name="Input 7 2 2" xfId="2313"/>
    <cellStyle name="Input 7 3" xfId="1751"/>
    <cellStyle name="Input 7 3 2" xfId="2367"/>
    <cellStyle name="Input 7 4" xfId="2069"/>
    <cellStyle name="Input 8" xfId="331"/>
    <cellStyle name="Input 8 2" xfId="1706"/>
    <cellStyle name="Input 8 2 2" xfId="2322"/>
    <cellStyle name="Input 8 3" xfId="1696"/>
    <cellStyle name="Input 8 3 2" xfId="2312"/>
    <cellStyle name="Input 8 4" xfId="2075"/>
    <cellStyle name="Input 9" xfId="374"/>
    <cellStyle name="Input 9 2" xfId="1715"/>
    <cellStyle name="Input 9 2 2" xfId="2331"/>
    <cellStyle name="Input 9 3" xfId="1979"/>
    <cellStyle name="Input 9 3 2" xfId="2595"/>
    <cellStyle name="Input 9 4" xfId="2081"/>
    <cellStyle name="Linked Cell 10" xfId="418"/>
    <cellStyle name="Linked Cell 11" xfId="460"/>
    <cellStyle name="Linked Cell 12" xfId="502"/>
    <cellStyle name="Linked Cell 13" xfId="545"/>
    <cellStyle name="Linked Cell 14" xfId="588"/>
    <cellStyle name="Linked Cell 15" xfId="631"/>
    <cellStyle name="Linked Cell 16" xfId="674"/>
    <cellStyle name="Linked Cell 17" xfId="717"/>
    <cellStyle name="Linked Cell 18" xfId="760"/>
    <cellStyle name="Linked Cell 19" xfId="803"/>
    <cellStyle name="Linked Cell 2" xfId="78"/>
    <cellStyle name="Linked Cell 20" xfId="846"/>
    <cellStyle name="Linked Cell 21" xfId="889"/>
    <cellStyle name="Linked Cell 22" xfId="932"/>
    <cellStyle name="Linked Cell 23" xfId="975"/>
    <cellStyle name="Linked Cell 24" xfId="1018"/>
    <cellStyle name="Linked Cell 25" xfId="1061"/>
    <cellStyle name="Linked Cell 26" xfId="1104"/>
    <cellStyle name="Linked Cell 27" xfId="1147"/>
    <cellStyle name="Linked Cell 28" xfId="1190"/>
    <cellStyle name="Linked Cell 29" xfId="1233"/>
    <cellStyle name="Linked Cell 3" xfId="122"/>
    <cellStyle name="Linked Cell 30" xfId="1276"/>
    <cellStyle name="Linked Cell 31" xfId="1319"/>
    <cellStyle name="Linked Cell 32" xfId="1362"/>
    <cellStyle name="Linked Cell 33" xfId="1405"/>
    <cellStyle name="Linked Cell 34" xfId="1447"/>
    <cellStyle name="Linked Cell 35" xfId="1489"/>
    <cellStyle name="Linked Cell 36" xfId="1531"/>
    <cellStyle name="Linked Cell 37" xfId="1573"/>
    <cellStyle name="Linked Cell 38" xfId="1614"/>
    <cellStyle name="Linked Cell 4" xfId="163"/>
    <cellStyle name="Linked Cell 5" xfId="204"/>
    <cellStyle name="Linked Cell 6" xfId="246"/>
    <cellStyle name="Linked Cell 7" xfId="289"/>
    <cellStyle name="Linked Cell 8" xfId="332"/>
    <cellStyle name="Linked Cell 9" xfId="375"/>
    <cellStyle name="Neutral 10" xfId="419"/>
    <cellStyle name="Neutral 11" xfId="461"/>
    <cellStyle name="Neutral 12" xfId="503"/>
    <cellStyle name="Neutral 13" xfId="546"/>
    <cellStyle name="Neutral 14" xfId="589"/>
    <cellStyle name="Neutral 15" xfId="632"/>
    <cellStyle name="Neutral 16" xfId="675"/>
    <cellStyle name="Neutral 17" xfId="718"/>
    <cellStyle name="Neutral 18" xfId="761"/>
    <cellStyle name="Neutral 19" xfId="804"/>
    <cellStyle name="Neutral 2" xfId="79"/>
    <cellStyle name="Neutral 20" xfId="847"/>
    <cellStyle name="Neutral 21" xfId="890"/>
    <cellStyle name="Neutral 22" xfId="933"/>
    <cellStyle name="Neutral 23" xfId="976"/>
    <cellStyle name="Neutral 24" xfId="1019"/>
    <cellStyle name="Neutral 25" xfId="1062"/>
    <cellStyle name="Neutral 26" xfId="1105"/>
    <cellStyle name="Neutral 27" xfId="1148"/>
    <cellStyle name="Neutral 28" xfId="1191"/>
    <cellStyle name="Neutral 29" xfId="1234"/>
    <cellStyle name="Neutral 3" xfId="123"/>
    <cellStyle name="Neutral 30" xfId="1277"/>
    <cellStyle name="Neutral 31" xfId="1320"/>
    <cellStyle name="Neutral 32" xfId="1363"/>
    <cellStyle name="Neutral 33" xfId="1406"/>
    <cellStyle name="Neutral 34" xfId="1448"/>
    <cellStyle name="Neutral 35" xfId="1490"/>
    <cellStyle name="Neutral 36" xfId="1532"/>
    <cellStyle name="Neutral 37" xfId="1574"/>
    <cellStyle name="Neutral 38" xfId="1615"/>
    <cellStyle name="Neutral 4" xfId="164"/>
    <cellStyle name="Neutral 5" xfId="205"/>
    <cellStyle name="Neutral 6" xfId="247"/>
    <cellStyle name="Neutral 7" xfId="290"/>
    <cellStyle name="Neutral 8" xfId="333"/>
    <cellStyle name="Neutral 9" xfId="376"/>
    <cellStyle name="Normal" xfId="0" builtinId="0"/>
    <cellStyle name="Normal - Style1 4" xfId="2027"/>
    <cellStyle name="Normal 10" xfId="380"/>
    <cellStyle name="Normal 10 2" xfId="2022"/>
    <cellStyle name="Normal 11" xfId="4"/>
    <cellStyle name="Normal 12" xfId="18"/>
    <cellStyle name="Normal 125" xfId="15"/>
    <cellStyle name="Normal 13" xfId="507"/>
    <cellStyle name="Normal 14" xfId="550"/>
    <cellStyle name="Normal 15" xfId="593"/>
    <cellStyle name="Normal 16" xfId="636"/>
    <cellStyle name="Normal 17" xfId="679"/>
    <cellStyle name="Normal 18" xfId="722"/>
    <cellStyle name="Normal 19" xfId="765"/>
    <cellStyle name="Normal 2" xfId="2"/>
    <cellStyle name="Normal 2 10" xfId="2021"/>
    <cellStyle name="Normal 2 2" xfId="6"/>
    <cellStyle name="Normal 2 2 2" xfId="1630"/>
    <cellStyle name="Normal 2_Xl0000363 2" xfId="13"/>
    <cellStyle name="Normal 20" xfId="808"/>
    <cellStyle name="Normal 21" xfId="851"/>
    <cellStyle name="Normal 22" xfId="894"/>
    <cellStyle name="Normal 23" xfId="937"/>
    <cellStyle name="Normal 23 2" xfId="2013"/>
    <cellStyle name="Normal 24" xfId="980"/>
    <cellStyle name="Normal 25" xfId="1023"/>
    <cellStyle name="Normal 26" xfId="1066"/>
    <cellStyle name="Normal 27" xfId="1109"/>
    <cellStyle name="Normal 27 5" xfId="2019"/>
    <cellStyle name="Normal 28" xfId="1152"/>
    <cellStyle name="Normal 29" xfId="1195"/>
    <cellStyle name="Normal 3" xfId="1623"/>
    <cellStyle name="Normal 3 2" xfId="1629"/>
    <cellStyle name="Normal 3 3" xfId="1632"/>
    <cellStyle name="Normal 30" xfId="1238"/>
    <cellStyle name="Normal 31" xfId="1281"/>
    <cellStyle name="Normal 32" xfId="1324"/>
    <cellStyle name="Normal 33" xfId="1367"/>
    <cellStyle name="Normal 34" xfId="1409"/>
    <cellStyle name="Normal 35" xfId="1449"/>
    <cellStyle name="Normal 36" xfId="1494"/>
    <cellStyle name="Normal 37" xfId="1624"/>
    <cellStyle name="Normal 38" xfId="1640"/>
    <cellStyle name="Normal 4" xfId="1622"/>
    <cellStyle name="Normal 40" xfId="2030"/>
    <cellStyle name="Normal 5" xfId="5"/>
    <cellStyle name="Normal 50 2 2" xfId="2015"/>
    <cellStyle name="Normal 6" xfId="1621"/>
    <cellStyle name="Normal 6 2" xfId="1634"/>
    <cellStyle name="Normal 6 3" xfId="2016"/>
    <cellStyle name="Normal 7" xfId="251"/>
    <cellStyle name="Normal 8" xfId="12"/>
    <cellStyle name="Normal 8 2" xfId="294"/>
    <cellStyle name="Normal 9" xfId="337"/>
    <cellStyle name="Normal 9 2" xfId="2024"/>
    <cellStyle name="Normal 94" xfId="2025"/>
    <cellStyle name="Normal_NDPL BS 31.03.2003 AS ON 26.5.2003" xfId="17"/>
    <cellStyle name="Note 10" xfId="421"/>
    <cellStyle name="Note 10 2" xfId="1725"/>
    <cellStyle name="Note 10 2 2" xfId="2341"/>
    <cellStyle name="Note 10 3" xfId="1897"/>
    <cellStyle name="Note 10 3 2" xfId="2513"/>
    <cellStyle name="Note 10 4" xfId="2088"/>
    <cellStyle name="Note 11" xfId="463"/>
    <cellStyle name="Note 11 2" xfId="1734"/>
    <cellStyle name="Note 11 2 2" xfId="2350"/>
    <cellStyle name="Note 11 3" xfId="1827"/>
    <cellStyle name="Note 11 3 2" xfId="2443"/>
    <cellStyle name="Note 11 4" xfId="2094"/>
    <cellStyle name="Note 12" xfId="505"/>
    <cellStyle name="Note 12 2" xfId="1743"/>
    <cellStyle name="Note 12 2 2" xfId="2359"/>
    <cellStyle name="Note 12 3" xfId="1787"/>
    <cellStyle name="Note 12 3 2" xfId="2403"/>
    <cellStyle name="Note 12 4" xfId="2100"/>
    <cellStyle name="Note 13" xfId="548"/>
    <cellStyle name="Note 13 2" xfId="1753"/>
    <cellStyle name="Note 13 2 2" xfId="2369"/>
    <cellStyle name="Note 13 3" xfId="1730"/>
    <cellStyle name="Note 13 3 2" xfId="2346"/>
    <cellStyle name="Note 13 4" xfId="2106"/>
    <cellStyle name="Note 14" xfId="591"/>
    <cellStyle name="Note 14 2" xfId="1762"/>
    <cellStyle name="Note 14 2 2" xfId="2378"/>
    <cellStyle name="Note 14 3" xfId="1675"/>
    <cellStyle name="Note 14 3 2" xfId="2291"/>
    <cellStyle name="Note 14 4" xfId="2112"/>
    <cellStyle name="Note 15" xfId="634"/>
    <cellStyle name="Note 15 2" xfId="1772"/>
    <cellStyle name="Note 15 2 2" xfId="2388"/>
    <cellStyle name="Note 15 3" xfId="1951"/>
    <cellStyle name="Note 15 3 2" xfId="2567"/>
    <cellStyle name="Note 15 4" xfId="2118"/>
    <cellStyle name="Note 16" xfId="677"/>
    <cellStyle name="Note 16 2" xfId="1781"/>
    <cellStyle name="Note 16 2 2" xfId="2397"/>
    <cellStyle name="Note 16 3" xfId="1904"/>
    <cellStyle name="Note 16 3 2" xfId="2520"/>
    <cellStyle name="Note 16 4" xfId="2124"/>
    <cellStyle name="Note 17" xfId="720"/>
    <cellStyle name="Note 17 2" xfId="1790"/>
    <cellStyle name="Note 17 2 2" xfId="2406"/>
    <cellStyle name="Note 17 3" xfId="1848"/>
    <cellStyle name="Note 17 3 2" xfId="2464"/>
    <cellStyle name="Note 17 4" xfId="2130"/>
    <cellStyle name="Note 18" xfId="763"/>
    <cellStyle name="Note 18 2" xfId="1801"/>
    <cellStyle name="Note 18 2 2" xfId="2417"/>
    <cellStyle name="Note 18 3" xfId="1795"/>
    <cellStyle name="Note 18 3 2" xfId="2411"/>
    <cellStyle name="Note 18 4" xfId="2136"/>
    <cellStyle name="Note 19" xfId="806"/>
    <cellStyle name="Note 19 2" xfId="1811"/>
    <cellStyle name="Note 19 2 2" xfId="2427"/>
    <cellStyle name="Note 19 3" xfId="1739"/>
    <cellStyle name="Note 19 3 2" xfId="2355"/>
    <cellStyle name="Note 19 4" xfId="2142"/>
    <cellStyle name="Note 2" xfId="80"/>
    <cellStyle name="Note 2 2" xfId="1652"/>
    <cellStyle name="Note 2 2 2" xfId="2268"/>
    <cellStyle name="Note 2 3" xfId="1844"/>
    <cellStyle name="Note 2 3 2" xfId="2460"/>
    <cellStyle name="Note 2 4" xfId="2043"/>
    <cellStyle name="Note 20" xfId="849"/>
    <cellStyle name="Note 20 2" xfId="1821"/>
    <cellStyle name="Note 20 2 2" xfId="2437"/>
    <cellStyle name="Note 20 3" xfId="1684"/>
    <cellStyle name="Note 20 3 2" xfId="2300"/>
    <cellStyle name="Note 20 4" xfId="2148"/>
    <cellStyle name="Note 21" xfId="892"/>
    <cellStyle name="Note 21 2" xfId="1832"/>
    <cellStyle name="Note 21 2 2" xfId="2448"/>
    <cellStyle name="Note 21 3" xfId="1959"/>
    <cellStyle name="Note 21 3 2" xfId="2575"/>
    <cellStyle name="Note 21 4" xfId="2154"/>
    <cellStyle name="Note 22" xfId="935"/>
    <cellStyle name="Note 22 2" xfId="1842"/>
    <cellStyle name="Note 22 2 2" xfId="2458"/>
    <cellStyle name="Note 22 3" xfId="1656"/>
    <cellStyle name="Note 22 3 2" xfId="2272"/>
    <cellStyle name="Note 22 4" xfId="2160"/>
    <cellStyle name="Note 23" xfId="978"/>
    <cellStyle name="Note 23 2" xfId="1852"/>
    <cellStyle name="Note 23 2 2" xfId="2468"/>
    <cellStyle name="Note 23 3" xfId="1857"/>
    <cellStyle name="Note 23 3 2" xfId="2473"/>
    <cellStyle name="Note 23 4" xfId="2166"/>
    <cellStyle name="Note 24" xfId="1021"/>
    <cellStyle name="Note 24 2" xfId="1862"/>
    <cellStyle name="Note 24 2 2" xfId="2478"/>
    <cellStyle name="Note 24 3" xfId="1805"/>
    <cellStyle name="Note 24 3 2" xfId="2421"/>
    <cellStyle name="Note 24 4" xfId="2172"/>
    <cellStyle name="Note 25" xfId="1064"/>
    <cellStyle name="Note 25 2" xfId="1872"/>
    <cellStyle name="Note 25 2 2" xfId="2488"/>
    <cellStyle name="Note 25 3" xfId="1747"/>
    <cellStyle name="Note 25 3 2" xfId="2363"/>
    <cellStyle name="Note 25 4" xfId="2178"/>
    <cellStyle name="Note 26" xfId="1107"/>
    <cellStyle name="Note 26 2" xfId="1881"/>
    <cellStyle name="Note 26 2 2" xfId="2497"/>
    <cellStyle name="Note 26 3" xfId="1692"/>
    <cellStyle name="Note 26 3 2" xfId="2308"/>
    <cellStyle name="Note 26 4" xfId="2184"/>
    <cellStyle name="Note 27" xfId="1150"/>
    <cellStyle name="Note 27 2" xfId="1890"/>
    <cellStyle name="Note 27 2 2" xfId="2506"/>
    <cellStyle name="Note 27 3" xfId="1967"/>
    <cellStyle name="Note 27 3 2" xfId="2583"/>
    <cellStyle name="Note 27 4" xfId="2190"/>
    <cellStyle name="Note 28" xfId="1193"/>
    <cellStyle name="Note 28 2" xfId="1899"/>
    <cellStyle name="Note 28 2 2" xfId="2515"/>
    <cellStyle name="Note 28 3" xfId="1912"/>
    <cellStyle name="Note 28 3 2" xfId="2528"/>
    <cellStyle name="Note 28 4" xfId="2196"/>
    <cellStyle name="Note 29" xfId="1236"/>
    <cellStyle name="Note 29 2" xfId="1909"/>
    <cellStyle name="Note 29 2 2" xfId="2525"/>
    <cellStyle name="Note 29 3" xfId="1866"/>
    <cellStyle name="Note 29 3 2" xfId="2482"/>
    <cellStyle name="Note 29 4" xfId="2202"/>
    <cellStyle name="Note 3" xfId="124"/>
    <cellStyle name="Note 3 2" xfId="1661"/>
    <cellStyle name="Note 3 2 2" xfId="2277"/>
    <cellStyle name="Note 3 3" xfId="1864"/>
    <cellStyle name="Note 3 3 2" xfId="2480"/>
    <cellStyle name="Note 3 4" xfId="2048"/>
    <cellStyle name="Note 30" xfId="1279"/>
    <cellStyle name="Note 30 2" xfId="1917"/>
    <cellStyle name="Note 30 2 2" xfId="2533"/>
    <cellStyle name="Note 30 3" xfId="1647"/>
    <cellStyle name="Note 30 3 2" xfId="2263"/>
    <cellStyle name="Note 30 4" xfId="2208"/>
    <cellStyle name="Note 31" xfId="1322"/>
    <cellStyle name="Note 31 2" xfId="1925"/>
    <cellStyle name="Note 31 2 2" xfId="2541"/>
    <cellStyle name="Note 31 3" xfId="1756"/>
    <cellStyle name="Note 31 3 2" xfId="2372"/>
    <cellStyle name="Note 31 4" xfId="2214"/>
    <cellStyle name="Note 32" xfId="1365"/>
    <cellStyle name="Note 32 2" xfId="1934"/>
    <cellStyle name="Note 32 2 2" xfId="2550"/>
    <cellStyle name="Note 32 3" xfId="1701"/>
    <cellStyle name="Note 32 3 2" xfId="2317"/>
    <cellStyle name="Note 32 4" xfId="2220"/>
    <cellStyle name="Note 33" xfId="1407"/>
    <cellStyle name="Note 33 2" xfId="1946"/>
    <cellStyle name="Note 33 2 2" xfId="2562"/>
    <cellStyle name="Note 33 3" xfId="1972"/>
    <cellStyle name="Note 33 3 2" xfId="2588"/>
    <cellStyle name="Note 33 4" xfId="2226"/>
    <cellStyle name="Note 34" xfId="1450"/>
    <cellStyle name="Note 34 2" xfId="1955"/>
    <cellStyle name="Note 34 2 2" xfId="2571"/>
    <cellStyle name="Note 34 3" xfId="1645"/>
    <cellStyle name="Note 34 3 2" xfId="2261"/>
    <cellStyle name="Note 34 4" xfId="2232"/>
    <cellStyle name="Note 35" xfId="1492"/>
    <cellStyle name="Note 35 2" xfId="1964"/>
    <cellStyle name="Note 35 2 2" xfId="2580"/>
    <cellStyle name="Note 35 3" xfId="1995"/>
    <cellStyle name="Note 35 3 2" xfId="2611"/>
    <cellStyle name="Note 35 4" xfId="2237"/>
    <cellStyle name="Note 36" xfId="1534"/>
    <cellStyle name="Note 36 2" xfId="1973"/>
    <cellStyle name="Note 36 2 2" xfId="2589"/>
    <cellStyle name="Note 36 3" xfId="2000"/>
    <cellStyle name="Note 36 3 2" xfId="2616"/>
    <cellStyle name="Note 36 4" xfId="2242"/>
    <cellStyle name="Note 37" xfId="1575"/>
    <cellStyle name="Note 37 2" xfId="1982"/>
    <cellStyle name="Note 37 2 2" xfId="2598"/>
    <cellStyle name="Note 37 3" xfId="2005"/>
    <cellStyle name="Note 37 3 2" xfId="2621"/>
    <cellStyle name="Note 37 4" xfId="2248"/>
    <cellStyle name="Note 38" xfId="1616"/>
    <cellStyle name="Note 38 2" xfId="1990"/>
    <cellStyle name="Note 38 2 2" xfId="2606"/>
    <cellStyle name="Note 38 3" xfId="2010"/>
    <cellStyle name="Note 38 3 2" xfId="2626"/>
    <cellStyle name="Note 38 4" xfId="2254"/>
    <cellStyle name="Note 4" xfId="166"/>
    <cellStyle name="Note 4 2" xfId="1670"/>
    <cellStyle name="Note 4 2 2" xfId="2286"/>
    <cellStyle name="Note 4 3" xfId="1841"/>
    <cellStyle name="Note 4 3 2" xfId="2457"/>
    <cellStyle name="Note 4 4" xfId="2053"/>
    <cellStyle name="Note 5" xfId="207"/>
    <cellStyle name="Note 5 2" xfId="1680"/>
    <cellStyle name="Note 5 2 2" xfId="2296"/>
    <cellStyle name="Note 5 3" xfId="1800"/>
    <cellStyle name="Note 5 3 2" xfId="2416"/>
    <cellStyle name="Note 5 4" xfId="2058"/>
    <cellStyle name="Note 6" xfId="249"/>
    <cellStyle name="Note 6 2" xfId="1688"/>
    <cellStyle name="Note 6 2 2" xfId="2304"/>
    <cellStyle name="Note 6 3" xfId="1769"/>
    <cellStyle name="Note 6 3 2" xfId="2385"/>
    <cellStyle name="Note 6 4" xfId="2064"/>
    <cellStyle name="Note 7" xfId="292"/>
    <cellStyle name="Note 7 2" xfId="1698"/>
    <cellStyle name="Note 7 2 2" xfId="2314"/>
    <cellStyle name="Note 7 3" xfId="1714"/>
    <cellStyle name="Note 7 3 2" xfId="2330"/>
    <cellStyle name="Note 7 4" xfId="2070"/>
    <cellStyle name="Note 8" xfId="335"/>
    <cellStyle name="Note 8 2" xfId="1708"/>
    <cellStyle name="Note 8 2 2" xfId="2324"/>
    <cellStyle name="Note 8 3" xfId="1988"/>
    <cellStyle name="Note 8 3 2" xfId="2604"/>
    <cellStyle name="Note 8 4" xfId="2076"/>
    <cellStyle name="Note 9" xfId="378"/>
    <cellStyle name="Note 9 2" xfId="1716"/>
    <cellStyle name="Note 9 2 2" xfId="2332"/>
    <cellStyle name="Note 9 3" xfId="1943"/>
    <cellStyle name="Note 9 3 2" xfId="2559"/>
    <cellStyle name="Note 9 4" xfId="2082"/>
    <cellStyle name="Output 10" xfId="422"/>
    <cellStyle name="Output 10 2" xfId="1726"/>
    <cellStyle name="Output 10 2 2" xfId="2342"/>
    <cellStyle name="Output 10 3" xfId="1887"/>
    <cellStyle name="Output 10 3 2" xfId="2503"/>
    <cellStyle name="Output 10 4" xfId="2089"/>
    <cellStyle name="Output 11" xfId="464"/>
    <cellStyle name="Output 11 2" xfId="1735"/>
    <cellStyle name="Output 11 2 2" xfId="2351"/>
    <cellStyle name="Output 11 3" xfId="1819"/>
    <cellStyle name="Output 11 3 2" xfId="2435"/>
    <cellStyle name="Output 11 4" xfId="2095"/>
    <cellStyle name="Output 12" xfId="506"/>
    <cellStyle name="Output 12 2" xfId="1744"/>
    <cellStyle name="Output 12 2 2" xfId="2360"/>
    <cellStyle name="Output 12 3" xfId="1778"/>
    <cellStyle name="Output 12 3 2" xfId="2394"/>
    <cellStyle name="Output 12 4" xfId="2101"/>
    <cellStyle name="Output 13" xfId="549"/>
    <cellStyle name="Output 13 2" xfId="1754"/>
    <cellStyle name="Output 13 2 2" xfId="2370"/>
    <cellStyle name="Output 13 3" xfId="1721"/>
    <cellStyle name="Output 13 3 2" xfId="2337"/>
    <cellStyle name="Output 13 4" xfId="2107"/>
    <cellStyle name="Output 14" xfId="592"/>
    <cellStyle name="Output 14 2" xfId="1763"/>
    <cellStyle name="Output 14 2 2" xfId="2379"/>
    <cellStyle name="Output 14 3" xfId="1666"/>
    <cellStyle name="Output 14 3 2" xfId="2282"/>
    <cellStyle name="Output 14 4" xfId="2113"/>
    <cellStyle name="Output 15" xfId="635"/>
    <cellStyle name="Output 15 2" xfId="1773"/>
    <cellStyle name="Output 15 2 2" xfId="2389"/>
    <cellStyle name="Output 15 3" xfId="1940"/>
    <cellStyle name="Output 15 3 2" xfId="2556"/>
    <cellStyle name="Output 15 4" xfId="2119"/>
    <cellStyle name="Output 16" xfId="678"/>
    <cellStyle name="Output 16 2" xfId="1782"/>
    <cellStyle name="Output 16 2 2" xfId="2398"/>
    <cellStyle name="Output 16 3" xfId="1895"/>
    <cellStyle name="Output 16 3 2" xfId="2511"/>
    <cellStyle name="Output 16 4" xfId="2125"/>
    <cellStyle name="Output 17" xfId="721"/>
    <cellStyle name="Output 17 2" xfId="1791"/>
    <cellStyle name="Output 17 2 2" xfId="2407"/>
    <cellStyle name="Output 17 3" xfId="1838"/>
    <cellStyle name="Output 17 3 2" xfId="2454"/>
    <cellStyle name="Output 17 4" xfId="2131"/>
    <cellStyle name="Output 18" xfId="764"/>
    <cellStyle name="Output 18 2" xfId="1802"/>
    <cellStyle name="Output 18 2 2" xfId="2418"/>
    <cellStyle name="Output 18 3" xfId="1785"/>
    <cellStyle name="Output 18 3 2" xfId="2401"/>
    <cellStyle name="Output 18 4" xfId="2137"/>
    <cellStyle name="Output 19" xfId="807"/>
    <cellStyle name="Output 19 2" xfId="1812"/>
    <cellStyle name="Output 19 2 2" xfId="2428"/>
    <cellStyle name="Output 19 3" xfId="1729"/>
    <cellStyle name="Output 19 3 2" xfId="2345"/>
    <cellStyle name="Output 19 4" xfId="2143"/>
    <cellStyle name="Output 2" xfId="81"/>
    <cellStyle name="Output 2 2" xfId="1653"/>
    <cellStyle name="Output 2 2 2" xfId="2269"/>
    <cellStyle name="Output 2 3" xfId="1835"/>
    <cellStyle name="Output 2 3 2" xfId="2451"/>
    <cellStyle name="Output 2 4" xfId="2044"/>
    <cellStyle name="Output 20" xfId="850"/>
    <cellStyle name="Output 20 2" xfId="1822"/>
    <cellStyle name="Output 20 2 2" xfId="2438"/>
    <cellStyle name="Output 20 3" xfId="1674"/>
    <cellStyle name="Output 20 3 2" xfId="2290"/>
    <cellStyle name="Output 20 4" xfId="2149"/>
    <cellStyle name="Output 21" xfId="893"/>
    <cellStyle name="Output 21 2" xfId="1833"/>
    <cellStyle name="Output 21 2 2" xfId="2449"/>
    <cellStyle name="Output 21 3" xfId="1950"/>
    <cellStyle name="Output 21 3 2" xfId="2566"/>
    <cellStyle name="Output 21 4" xfId="2155"/>
    <cellStyle name="Output 22" xfId="936"/>
    <cellStyle name="Output 22 2" xfId="1843"/>
    <cellStyle name="Output 22 2 2" xfId="2459"/>
    <cellStyle name="Output 22 3" xfId="1903"/>
    <cellStyle name="Output 22 3 2" xfId="2519"/>
    <cellStyle name="Output 22 4" xfId="2161"/>
    <cellStyle name="Output 23" xfId="979"/>
    <cellStyle name="Output 23 2" xfId="1853"/>
    <cellStyle name="Output 23 2 2" xfId="2469"/>
    <cellStyle name="Output 23 3" xfId="1847"/>
    <cellStyle name="Output 23 3 2" xfId="2463"/>
    <cellStyle name="Output 23 4" xfId="2167"/>
    <cellStyle name="Output 24" xfId="1022"/>
    <cellStyle name="Output 24 2" xfId="1863"/>
    <cellStyle name="Output 24 2 2" xfId="2479"/>
    <cellStyle name="Output 24 3" xfId="1794"/>
    <cellStyle name="Output 24 3 2" xfId="2410"/>
    <cellStyle name="Output 24 4" xfId="2173"/>
    <cellStyle name="Output 25" xfId="1065"/>
    <cellStyle name="Output 25 2" xfId="1873"/>
    <cellStyle name="Output 25 2 2" xfId="2489"/>
    <cellStyle name="Output 25 3" xfId="1738"/>
    <cellStyle name="Output 25 3 2" xfId="2354"/>
    <cellStyle name="Output 25 4" xfId="2179"/>
    <cellStyle name="Output 26" xfId="1108"/>
    <cellStyle name="Output 26 2" xfId="1882"/>
    <cellStyle name="Output 26 2 2" xfId="2498"/>
    <cellStyle name="Output 26 3" xfId="1683"/>
    <cellStyle name="Output 26 3 2" xfId="2299"/>
    <cellStyle name="Output 26 4" xfId="2185"/>
    <cellStyle name="Output 27" xfId="1151"/>
    <cellStyle name="Output 27 2" xfId="1891"/>
    <cellStyle name="Output 27 2 2" xfId="2507"/>
    <cellStyle name="Output 27 3" xfId="1958"/>
    <cellStyle name="Output 27 3 2" xfId="2574"/>
    <cellStyle name="Output 27 4" xfId="2191"/>
    <cellStyle name="Output 28" xfId="1194"/>
    <cellStyle name="Output 28 2" xfId="1900"/>
    <cellStyle name="Output 28 2 2" xfId="2516"/>
    <cellStyle name="Output 28 3" xfId="1655"/>
    <cellStyle name="Output 28 3 2" xfId="2271"/>
    <cellStyle name="Output 28 4" xfId="2197"/>
    <cellStyle name="Output 29" xfId="1237"/>
    <cellStyle name="Output 29 2" xfId="1910"/>
    <cellStyle name="Output 29 2 2" xfId="2526"/>
    <cellStyle name="Output 29 3" xfId="1856"/>
    <cellStyle name="Output 29 3 2" xfId="2472"/>
    <cellStyle name="Output 29 4" xfId="2203"/>
    <cellStyle name="Output 3" xfId="125"/>
    <cellStyle name="Output 3 2" xfId="1662"/>
    <cellStyle name="Output 3 2 2" xfId="2278"/>
    <cellStyle name="Output 3 3" xfId="1854"/>
    <cellStyle name="Output 3 3 2" xfId="2470"/>
    <cellStyle name="Output 3 4" xfId="2049"/>
    <cellStyle name="Output 30" xfId="1280"/>
    <cellStyle name="Output 30 2" xfId="1918"/>
    <cellStyle name="Output 30 2 2" xfId="2534"/>
    <cellStyle name="Output 30 3" xfId="1804"/>
    <cellStyle name="Output 30 3 2" xfId="2420"/>
    <cellStyle name="Output 30 4" xfId="2209"/>
    <cellStyle name="Output 31" xfId="1323"/>
    <cellStyle name="Output 31 2" xfId="1926"/>
    <cellStyle name="Output 31 2 2" xfId="2542"/>
    <cellStyle name="Output 31 3" xfId="1746"/>
    <cellStyle name="Output 31 3 2" xfId="2362"/>
    <cellStyle name="Output 31 4" xfId="2215"/>
    <cellStyle name="Output 32" xfId="1366"/>
    <cellStyle name="Output 32 2" xfId="1935"/>
    <cellStyle name="Output 32 2 2" xfId="2551"/>
    <cellStyle name="Output 32 3" xfId="1691"/>
    <cellStyle name="Output 32 3 2" xfId="2307"/>
    <cellStyle name="Output 32 4" xfId="2221"/>
    <cellStyle name="Output 33" xfId="1408"/>
    <cellStyle name="Output 33 2" xfId="1947"/>
    <cellStyle name="Output 33 2 2" xfId="2563"/>
    <cellStyle name="Output 33 3" xfId="1963"/>
    <cellStyle name="Output 33 3 2" xfId="2579"/>
    <cellStyle name="Output 33 4" xfId="2227"/>
    <cellStyle name="Output 34" xfId="1451"/>
    <cellStyle name="Output 34 2" xfId="1956"/>
    <cellStyle name="Output 34 2 2" xfId="2572"/>
    <cellStyle name="Output 34 3" xfId="1644"/>
    <cellStyle name="Output 34 3 2" xfId="2260"/>
    <cellStyle name="Output 34 4" xfId="2233"/>
    <cellStyle name="Output 35" xfId="1493"/>
    <cellStyle name="Output 35 2" xfId="1965"/>
    <cellStyle name="Output 35 2 2" xfId="2581"/>
    <cellStyle name="Output 35 3" xfId="1996"/>
    <cellStyle name="Output 35 3 2" xfId="2612"/>
    <cellStyle name="Output 35 4" xfId="2238"/>
    <cellStyle name="Output 36" xfId="1535"/>
    <cellStyle name="Output 36 2" xfId="1974"/>
    <cellStyle name="Output 36 2 2" xfId="2590"/>
    <cellStyle name="Output 36 3" xfId="2001"/>
    <cellStyle name="Output 36 3 2" xfId="2617"/>
    <cellStyle name="Output 36 4" xfId="2243"/>
    <cellStyle name="Output 37" xfId="1576"/>
    <cellStyle name="Output 37 2" xfId="1983"/>
    <cellStyle name="Output 37 2 2" xfId="2599"/>
    <cellStyle name="Output 37 3" xfId="2006"/>
    <cellStyle name="Output 37 3 2" xfId="2622"/>
    <cellStyle name="Output 37 4" xfId="2249"/>
    <cellStyle name="Output 38" xfId="1617"/>
    <cellStyle name="Output 38 2" xfId="1991"/>
    <cellStyle name="Output 38 2 2" xfId="2607"/>
    <cellStyle name="Output 38 3" xfId="2011"/>
    <cellStyle name="Output 38 3 2" xfId="2627"/>
    <cellStyle name="Output 38 4" xfId="2255"/>
    <cellStyle name="Output 4" xfId="167"/>
    <cellStyle name="Output 4 2" xfId="1671"/>
    <cellStyle name="Output 4 2 2" xfId="2287"/>
    <cellStyle name="Output 4 3" xfId="1831"/>
    <cellStyle name="Output 4 3 2" xfId="2447"/>
    <cellStyle name="Output 4 4" xfId="2054"/>
    <cellStyle name="Output 5" xfId="208"/>
    <cellStyle name="Output 5 2" xfId="1681"/>
    <cellStyle name="Output 5 2 2" xfId="2297"/>
    <cellStyle name="Output 5 3" xfId="1789"/>
    <cellStyle name="Output 5 3 2" xfId="2405"/>
    <cellStyle name="Output 5 4" xfId="2059"/>
    <cellStyle name="Output 6" xfId="250"/>
    <cellStyle name="Output 6 2" xfId="1689"/>
    <cellStyle name="Output 6 2 2" xfId="2305"/>
    <cellStyle name="Output 6 3" xfId="1760"/>
    <cellStyle name="Output 6 3 2" xfId="2376"/>
    <cellStyle name="Output 6 4" xfId="2065"/>
    <cellStyle name="Output 7" xfId="293"/>
    <cellStyle name="Output 7 2" xfId="1699"/>
    <cellStyle name="Output 7 2 2" xfId="2315"/>
    <cellStyle name="Output 7 3" xfId="1705"/>
    <cellStyle name="Output 7 3 2" xfId="2321"/>
    <cellStyle name="Output 7 4" xfId="2071"/>
    <cellStyle name="Output 8" xfId="336"/>
    <cellStyle name="Output 8 2" xfId="1709"/>
    <cellStyle name="Output 8 2 2" xfId="2325"/>
    <cellStyle name="Output 8 3" xfId="1980"/>
    <cellStyle name="Output 8 3 2" xfId="2596"/>
    <cellStyle name="Output 8 4" xfId="2077"/>
    <cellStyle name="Output 9" xfId="379"/>
    <cellStyle name="Output 9 2" xfId="1717"/>
    <cellStyle name="Output 9 2 2" xfId="2333"/>
    <cellStyle name="Output 9 3" xfId="1931"/>
    <cellStyle name="Output 9 3 2" xfId="2547"/>
    <cellStyle name="Output 9 4" xfId="2083"/>
    <cellStyle name="Percent" xfId="20" builtinId="5"/>
    <cellStyle name="Percent 2" xfId="1633"/>
    <cellStyle name="Percent 3" xfId="2017"/>
    <cellStyle name="Percent 4" xfId="2029"/>
    <cellStyle name="Result" xfId="1627"/>
    <cellStyle name="Result 1" xfId="1641"/>
    <cellStyle name="Result2" xfId="1628"/>
    <cellStyle name="Result2 1" xfId="1642"/>
    <cellStyle name="Style 1" xfId="82"/>
    <cellStyle name="Title 10" xfId="423"/>
    <cellStyle name="Title 11" xfId="465"/>
    <cellStyle name="Title 12" xfId="508"/>
    <cellStyle name="Title 13" xfId="551"/>
    <cellStyle name="Title 14" xfId="594"/>
    <cellStyle name="Title 15" xfId="637"/>
    <cellStyle name="Title 16" xfId="680"/>
    <cellStyle name="Title 17" xfId="723"/>
    <cellStyle name="Title 18" xfId="766"/>
    <cellStyle name="Title 19" xfId="809"/>
    <cellStyle name="Title 2" xfId="83"/>
    <cellStyle name="Title 20" xfId="852"/>
    <cellStyle name="Title 21" xfId="895"/>
    <cellStyle name="Title 22" xfId="938"/>
    <cellStyle name="Title 23" xfId="981"/>
    <cellStyle name="Title 24" xfId="1024"/>
    <cellStyle name="Title 25" xfId="1067"/>
    <cellStyle name="Title 26" xfId="1110"/>
    <cellStyle name="Title 27" xfId="1153"/>
    <cellStyle name="Title 28" xfId="1196"/>
    <cellStyle name="Title 29" xfId="1239"/>
    <cellStyle name="Title 3" xfId="126"/>
    <cellStyle name="Title 30" xfId="1282"/>
    <cellStyle name="Title 31" xfId="1325"/>
    <cellStyle name="Title 32" xfId="1368"/>
    <cellStyle name="Title 33" xfId="1410"/>
    <cellStyle name="Title 34" xfId="1452"/>
    <cellStyle name="Title 35" xfId="1495"/>
    <cellStyle name="Title 36" xfId="1536"/>
    <cellStyle name="Title 37" xfId="1577"/>
    <cellStyle name="Title 38" xfId="1618"/>
    <cellStyle name="Title 4" xfId="168"/>
    <cellStyle name="Title 5" xfId="209"/>
    <cellStyle name="Title 6" xfId="252"/>
    <cellStyle name="Title 7" xfId="295"/>
    <cellStyle name="Title 8" xfId="338"/>
    <cellStyle name="Title 9" xfId="381"/>
    <cellStyle name="Total 10" xfId="424"/>
    <cellStyle name="Total 10 2" xfId="1727"/>
    <cellStyle name="Total 10 2 2" xfId="2343"/>
    <cellStyle name="Total 10 3" xfId="1860"/>
    <cellStyle name="Total 10 3 2" xfId="2476"/>
    <cellStyle name="Total 10 4" xfId="2090"/>
    <cellStyle name="Total 11" xfId="466"/>
    <cellStyle name="Total 11 2" xfId="1736"/>
    <cellStyle name="Total 11 2 2" xfId="2352"/>
    <cellStyle name="Total 11 3" xfId="1798"/>
    <cellStyle name="Total 11 3 2" xfId="2414"/>
    <cellStyle name="Total 11 4" xfId="2096"/>
    <cellStyle name="Total 12" xfId="509"/>
    <cellStyle name="Total 12 2" xfId="1745"/>
    <cellStyle name="Total 12 2 2" xfId="2361"/>
    <cellStyle name="Total 12 3" xfId="1750"/>
    <cellStyle name="Total 12 3 2" xfId="2366"/>
    <cellStyle name="Total 12 4" xfId="2102"/>
    <cellStyle name="Total 13" xfId="552"/>
    <cellStyle name="Total 13 2" xfId="1755"/>
    <cellStyle name="Total 13 2 2" xfId="2371"/>
    <cellStyle name="Total 13 3" xfId="1694"/>
    <cellStyle name="Total 13 3 2" xfId="2310"/>
    <cellStyle name="Total 13 4" xfId="2108"/>
    <cellStyle name="Total 14" xfId="595"/>
    <cellStyle name="Total 14 2" xfId="1764"/>
    <cellStyle name="Total 14 2 2" xfId="2380"/>
    <cellStyle name="Total 14 3" xfId="1969"/>
    <cellStyle name="Total 14 3 2" xfId="2585"/>
    <cellStyle name="Total 14 4" xfId="2114"/>
    <cellStyle name="Total 15" xfId="638"/>
    <cellStyle name="Total 15 2" xfId="1774"/>
    <cellStyle name="Total 15 2 2" xfId="2390"/>
    <cellStyle name="Total 15 3" xfId="1914"/>
    <cellStyle name="Total 15 3 2" xfId="2530"/>
    <cellStyle name="Total 15 4" xfId="2120"/>
    <cellStyle name="Total 16" xfId="681"/>
    <cellStyle name="Total 16 2" xfId="1783"/>
    <cellStyle name="Total 16 2 2" xfId="2399"/>
    <cellStyle name="Total 16 3" xfId="1868"/>
    <cellStyle name="Total 16 3 2" xfId="2484"/>
    <cellStyle name="Total 16 4" xfId="2126"/>
    <cellStyle name="Total 17" xfId="724"/>
    <cellStyle name="Total 17 2" xfId="1792"/>
    <cellStyle name="Total 17 2 2" xfId="2408"/>
    <cellStyle name="Total 17 3" xfId="1649"/>
    <cellStyle name="Total 17 3 2" xfId="2265"/>
    <cellStyle name="Total 17 4" xfId="2132"/>
    <cellStyle name="Total 18" xfId="767"/>
    <cellStyle name="Total 18 2" xfId="1803"/>
    <cellStyle name="Total 18 2 2" xfId="2419"/>
    <cellStyle name="Total 18 3" xfId="1758"/>
    <cellStyle name="Total 18 3 2" xfId="2374"/>
    <cellStyle name="Total 18 4" xfId="2138"/>
    <cellStyle name="Total 19" xfId="810"/>
    <cellStyle name="Total 19 2" xfId="1814"/>
    <cellStyle name="Total 19 2 2" xfId="2430"/>
    <cellStyle name="Total 19 3" xfId="1703"/>
    <cellStyle name="Total 19 3 2" xfId="2319"/>
    <cellStyle name="Total 19 4" xfId="2144"/>
    <cellStyle name="Total 2" xfId="84"/>
    <cellStyle name="Total 2 2" xfId="1654"/>
    <cellStyle name="Total 2 2 2" xfId="2270"/>
    <cellStyle name="Total 2 3" xfId="1813"/>
    <cellStyle name="Total 2 3 2" xfId="2429"/>
    <cellStyle name="Total 2 4" xfId="2045"/>
    <cellStyle name="Total 20" xfId="853"/>
    <cellStyle name="Total 20 2" xfId="1823"/>
    <cellStyle name="Total 20 2 2" xfId="2439"/>
    <cellStyle name="Total 20 3" xfId="1977"/>
    <cellStyle name="Total 20 3 2" xfId="2593"/>
    <cellStyle name="Total 20 4" xfId="2150"/>
    <cellStyle name="Total 21" xfId="896"/>
    <cellStyle name="Total 21 2" xfId="1836"/>
    <cellStyle name="Total 21 2 2" xfId="2452"/>
    <cellStyle name="Total 21 3" xfId="1921"/>
    <cellStyle name="Total 21 3 2" xfId="2537"/>
    <cellStyle name="Total 21 4" xfId="2156"/>
    <cellStyle name="Total 22" xfId="939"/>
    <cellStyle name="Total 22 2" xfId="1845"/>
    <cellStyle name="Total 22 2 2" xfId="2461"/>
    <cellStyle name="Total 22 3" xfId="1877"/>
    <cellStyle name="Total 22 3 2" xfId="2493"/>
    <cellStyle name="Total 22 4" xfId="2162"/>
    <cellStyle name="Total 23" xfId="982"/>
    <cellStyle name="Total 23 2" xfId="1855"/>
    <cellStyle name="Total 23 2 2" xfId="2471"/>
    <cellStyle name="Total 23 3" xfId="1816"/>
    <cellStyle name="Total 23 3 2" xfId="2432"/>
    <cellStyle name="Total 23 4" xfId="2168"/>
    <cellStyle name="Total 24" xfId="1025"/>
    <cellStyle name="Total 24 2" xfId="1865"/>
    <cellStyle name="Total 24 2 2" xfId="2481"/>
    <cellStyle name="Total 24 3" xfId="1766"/>
    <cellStyle name="Total 24 3 2" xfId="2382"/>
    <cellStyle name="Total 24 4" xfId="2174"/>
    <cellStyle name="Total 25" xfId="1068"/>
    <cellStyle name="Total 25 2" xfId="1875"/>
    <cellStyle name="Total 25 2 2" xfId="2491"/>
    <cellStyle name="Total 25 3" xfId="1711"/>
    <cellStyle name="Total 25 3 2" xfId="2327"/>
    <cellStyle name="Total 25 4" xfId="2180"/>
    <cellStyle name="Total 26" xfId="1111"/>
    <cellStyle name="Total 26 2" xfId="1883"/>
    <cellStyle name="Total 26 2 2" xfId="2499"/>
    <cellStyle name="Total 26 3" xfId="1985"/>
    <cellStyle name="Total 26 3 2" xfId="2601"/>
    <cellStyle name="Total 26 4" xfId="2186"/>
    <cellStyle name="Total 27" xfId="1154"/>
    <cellStyle name="Total 27 2" xfId="1893"/>
    <cellStyle name="Total 27 2 2" xfId="2509"/>
    <cellStyle name="Total 27 3" xfId="1928"/>
    <cellStyle name="Total 27 3 2" xfId="2544"/>
    <cellStyle name="Total 27 4" xfId="2192"/>
    <cellStyle name="Total 28" xfId="1197"/>
    <cellStyle name="Total 28 2" xfId="1901"/>
    <cellStyle name="Total 28 2 2" xfId="2517"/>
    <cellStyle name="Total 28 3" xfId="1884"/>
    <cellStyle name="Total 28 3 2" xfId="2500"/>
    <cellStyle name="Total 28 4" xfId="2198"/>
    <cellStyle name="Total 29" xfId="1240"/>
    <cellStyle name="Total 29 2" xfId="1911"/>
    <cellStyle name="Total 29 2 2" xfId="2527"/>
    <cellStyle name="Total 29 3" xfId="1824"/>
    <cellStyle name="Total 29 3 2" xfId="2440"/>
    <cellStyle name="Total 29 4" xfId="2204"/>
    <cellStyle name="Total 3" xfId="127"/>
    <cellStyle name="Total 3 2" xfId="1663"/>
    <cellStyle name="Total 3 2 2" xfId="2279"/>
    <cellStyle name="Total 3 3" xfId="1834"/>
    <cellStyle name="Total 3 3 2" xfId="2450"/>
    <cellStyle name="Total 3 4" xfId="2050"/>
    <cellStyle name="Total 30" xfId="1283"/>
    <cellStyle name="Total 30 2" xfId="1919"/>
    <cellStyle name="Total 30 2 2" xfId="2535"/>
    <cellStyle name="Total 30 3" xfId="1775"/>
    <cellStyle name="Total 30 3 2" xfId="2391"/>
    <cellStyle name="Total 30 4" xfId="2210"/>
    <cellStyle name="Total 31" xfId="1326"/>
    <cellStyle name="Total 31 2" xfId="1927"/>
    <cellStyle name="Total 31 2 2" xfId="2543"/>
    <cellStyle name="Total 31 3" xfId="1719"/>
    <cellStyle name="Total 31 3 2" xfId="2335"/>
    <cellStyle name="Total 31 4" xfId="2216"/>
    <cellStyle name="Total 32" xfId="1369"/>
    <cellStyle name="Total 32 2" xfId="1938"/>
    <cellStyle name="Total 32 2 2" xfId="2554"/>
    <cellStyle name="Total 32 3" xfId="1664"/>
    <cellStyle name="Total 32 3 2" xfId="2280"/>
    <cellStyle name="Total 32 4" xfId="2222"/>
    <cellStyle name="Total 33" xfId="1411"/>
    <cellStyle name="Total 33 2" xfId="1948"/>
    <cellStyle name="Total 33 2 2" xfId="2564"/>
    <cellStyle name="Total 33 3" xfId="1933"/>
    <cellStyle name="Total 33 3 2" xfId="2549"/>
    <cellStyle name="Total 33 4" xfId="2228"/>
    <cellStyle name="Total 34" xfId="1453"/>
    <cellStyle name="Total 34 2" xfId="1957"/>
    <cellStyle name="Total 34 2 2" xfId="2573"/>
    <cellStyle name="Total 34 3" xfId="1643"/>
    <cellStyle name="Total 34 3 2" xfId="2259"/>
    <cellStyle name="Total 34 4" xfId="2234"/>
    <cellStyle name="Total 35" xfId="1496"/>
    <cellStyle name="Total 35 2" xfId="1966"/>
    <cellStyle name="Total 35 2 2" xfId="2582"/>
    <cellStyle name="Total 35 3" xfId="1997"/>
    <cellStyle name="Total 35 3 2" xfId="2613"/>
    <cellStyle name="Total 35 4" xfId="2239"/>
    <cellStyle name="Total 36" xfId="1537"/>
    <cellStyle name="Total 36 2" xfId="1975"/>
    <cellStyle name="Total 36 2 2" xfId="2591"/>
    <cellStyle name="Total 36 3" xfId="2002"/>
    <cellStyle name="Total 36 3 2" xfId="2618"/>
    <cellStyle name="Total 36 4" xfId="2244"/>
    <cellStyle name="Total 37" xfId="1578"/>
    <cellStyle name="Total 37 2" xfId="1984"/>
    <cellStyle name="Total 37 2 2" xfId="2600"/>
    <cellStyle name="Total 37 3" xfId="2007"/>
    <cellStyle name="Total 37 3 2" xfId="2623"/>
    <cellStyle name="Total 37 4" xfId="2250"/>
    <cellStyle name="Total 38" xfId="1619"/>
    <cellStyle name="Total 38 2" xfId="1992"/>
    <cellStyle name="Total 38 2 2" xfId="2608"/>
    <cellStyle name="Total 38 3" xfId="2012"/>
    <cellStyle name="Total 38 3 2" xfId="2628"/>
    <cellStyle name="Total 38 4" xfId="2256"/>
    <cellStyle name="Total 4" xfId="169"/>
    <cellStyle name="Total 4 2" xfId="1672"/>
    <cellStyle name="Total 4 2 2" xfId="2288"/>
    <cellStyle name="Total 4 3" xfId="1810"/>
    <cellStyle name="Total 4 3 2" xfId="2426"/>
    <cellStyle name="Total 4 4" xfId="2055"/>
    <cellStyle name="Total 5" xfId="210"/>
    <cellStyle name="Total 5 2" xfId="1682"/>
    <cellStyle name="Total 5 2 2" xfId="2298"/>
    <cellStyle name="Total 5 3" xfId="1771"/>
    <cellStyle name="Total 5 3 2" xfId="2387"/>
    <cellStyle name="Total 5 4" xfId="2060"/>
    <cellStyle name="Total 6" xfId="253"/>
    <cellStyle name="Total 6 2" xfId="1690"/>
    <cellStyle name="Total 6 2 2" xfId="2306"/>
    <cellStyle name="Total 6 3" xfId="1732"/>
    <cellStyle name="Total 6 3 2" xfId="2348"/>
    <cellStyle name="Total 6 4" xfId="2066"/>
    <cellStyle name="Total 7" xfId="296"/>
    <cellStyle name="Total 7 2" xfId="1700"/>
    <cellStyle name="Total 7 2 2" xfId="2316"/>
    <cellStyle name="Total 7 3" xfId="1678"/>
    <cellStyle name="Total 7 3 2" xfId="2294"/>
    <cellStyle name="Total 7 4" xfId="2072"/>
    <cellStyle name="Total 8" xfId="339"/>
    <cellStyle name="Total 8 2" xfId="1710"/>
    <cellStyle name="Total 8 2 2" xfId="2326"/>
    <cellStyle name="Total 8 3" xfId="1953"/>
    <cellStyle name="Total 8 3 2" xfId="2569"/>
    <cellStyle name="Total 8 4" xfId="2078"/>
    <cellStyle name="Total 9" xfId="382"/>
    <cellStyle name="Total 9 2" xfId="1718"/>
    <cellStyle name="Total 9 2 2" xfId="2334"/>
    <cellStyle name="Total 9 3" xfId="1659"/>
    <cellStyle name="Total 9 3 2" xfId="2275"/>
    <cellStyle name="Total 9 4" xfId="2084"/>
    <cellStyle name="Warning Text 10" xfId="425"/>
    <cellStyle name="Warning Text 11" xfId="467"/>
    <cellStyle name="Warning Text 12" xfId="510"/>
    <cellStyle name="Warning Text 13" xfId="553"/>
    <cellStyle name="Warning Text 14" xfId="596"/>
    <cellStyle name="Warning Text 15" xfId="639"/>
    <cellStyle name="Warning Text 16" xfId="682"/>
    <cellStyle name="Warning Text 17" xfId="725"/>
    <cellStyle name="Warning Text 18" xfId="768"/>
    <cellStyle name="Warning Text 19" xfId="811"/>
    <cellStyle name="Warning Text 2" xfId="85"/>
    <cellStyle name="Warning Text 20" xfId="854"/>
    <cellStyle name="Warning Text 21" xfId="897"/>
    <cellStyle name="Warning Text 22" xfId="940"/>
    <cellStyle name="Warning Text 23" xfId="983"/>
    <cellStyle name="Warning Text 24" xfId="1026"/>
    <cellStyle name="Warning Text 25" xfId="1069"/>
    <cellStyle name="Warning Text 26" xfId="1112"/>
    <cellStyle name="Warning Text 27" xfId="1155"/>
    <cellStyle name="Warning Text 28" xfId="1198"/>
    <cellStyle name="Warning Text 29" xfId="1241"/>
    <cellStyle name="Warning Text 3" xfId="128"/>
    <cellStyle name="Warning Text 30" xfId="1284"/>
    <cellStyle name="Warning Text 31" xfId="1327"/>
    <cellStyle name="Warning Text 32" xfId="1370"/>
    <cellStyle name="Warning Text 33" xfId="1412"/>
    <cellStyle name="Warning Text 34" xfId="1454"/>
    <cellStyle name="Warning Text 35" xfId="1497"/>
    <cellStyle name="Warning Text 36" xfId="1538"/>
    <cellStyle name="Warning Text 37" xfId="1579"/>
    <cellStyle name="Warning Text 38" xfId="1620"/>
    <cellStyle name="Warning Text 4" xfId="170"/>
    <cellStyle name="Warning Text 5" xfId="211"/>
    <cellStyle name="Warning Text 6" xfId="254"/>
    <cellStyle name="Warning Text 7" xfId="297"/>
    <cellStyle name="Warning Text 8" xfId="340"/>
    <cellStyle name="Warning Text 9" xfId="383"/>
  </cellStyles>
  <dxfs count="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10"/>
      </font>
      <fill>
        <patternFill>
          <bgColor indexed="13"/>
        </patternFill>
      </fill>
    </dxf>
    <dxf>
      <font>
        <b/>
        <i val="0"/>
        <condense val="0"/>
        <extend val="0"/>
        <color indexed="9"/>
      </font>
    </dxf>
    <dxf>
      <font>
        <condense val="0"/>
        <extend val="0"/>
        <color indexed="10"/>
      </font>
      <fill>
        <patternFill>
          <bgColor indexed="1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10.xml"/><Relationship Id="rId47" Type="http://schemas.openxmlformats.org/officeDocument/2006/relationships/externalLink" Target="externalLinks/externalLink15.xml"/><Relationship Id="rId63" Type="http://schemas.openxmlformats.org/officeDocument/2006/relationships/externalLink" Target="externalLinks/externalLink31.xml"/><Relationship Id="rId68" Type="http://schemas.openxmlformats.org/officeDocument/2006/relationships/externalLink" Target="externalLinks/externalLink36.xml"/><Relationship Id="rId84" Type="http://schemas.openxmlformats.org/officeDocument/2006/relationships/externalLink" Target="externalLinks/externalLink52.xml"/><Relationship Id="rId89" Type="http://schemas.openxmlformats.org/officeDocument/2006/relationships/externalLink" Target="externalLinks/externalLink57.xml"/><Relationship Id="rId112" Type="http://schemas.openxmlformats.org/officeDocument/2006/relationships/calcChain" Target="calcChain.xml"/><Relationship Id="rId16" Type="http://schemas.openxmlformats.org/officeDocument/2006/relationships/worksheet" Target="worksheets/sheet16.xml"/><Relationship Id="rId107" Type="http://schemas.openxmlformats.org/officeDocument/2006/relationships/externalLink" Target="externalLinks/externalLink75.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externalLink" Target="externalLinks/externalLink5.xml"/><Relationship Id="rId53" Type="http://schemas.openxmlformats.org/officeDocument/2006/relationships/externalLink" Target="externalLinks/externalLink21.xml"/><Relationship Id="rId58" Type="http://schemas.openxmlformats.org/officeDocument/2006/relationships/externalLink" Target="externalLinks/externalLink26.xml"/><Relationship Id="rId74" Type="http://schemas.openxmlformats.org/officeDocument/2006/relationships/externalLink" Target="externalLinks/externalLink42.xml"/><Relationship Id="rId79" Type="http://schemas.openxmlformats.org/officeDocument/2006/relationships/externalLink" Target="externalLinks/externalLink47.xml"/><Relationship Id="rId102" Type="http://schemas.openxmlformats.org/officeDocument/2006/relationships/externalLink" Target="externalLinks/externalLink70.xml"/><Relationship Id="rId5" Type="http://schemas.openxmlformats.org/officeDocument/2006/relationships/worksheet" Target="worksheets/sheet5.xml"/><Relationship Id="rId90" Type="http://schemas.openxmlformats.org/officeDocument/2006/relationships/externalLink" Target="externalLinks/externalLink58.xml"/><Relationship Id="rId95" Type="http://schemas.openxmlformats.org/officeDocument/2006/relationships/externalLink" Target="externalLinks/externalLink63.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externalLink" Target="externalLinks/externalLink11.xml"/><Relationship Id="rId48" Type="http://schemas.openxmlformats.org/officeDocument/2006/relationships/externalLink" Target="externalLinks/externalLink16.xml"/><Relationship Id="rId64" Type="http://schemas.openxmlformats.org/officeDocument/2006/relationships/externalLink" Target="externalLinks/externalLink32.xml"/><Relationship Id="rId69" Type="http://schemas.openxmlformats.org/officeDocument/2006/relationships/externalLink" Target="externalLinks/externalLink37.xml"/><Relationship Id="rId80" Type="http://schemas.openxmlformats.org/officeDocument/2006/relationships/externalLink" Target="externalLinks/externalLink48.xml"/><Relationship Id="rId85" Type="http://schemas.openxmlformats.org/officeDocument/2006/relationships/externalLink" Target="externalLinks/externalLink53.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xml"/><Relationship Id="rId38" Type="http://schemas.openxmlformats.org/officeDocument/2006/relationships/externalLink" Target="externalLinks/externalLink6.xml"/><Relationship Id="rId59" Type="http://schemas.openxmlformats.org/officeDocument/2006/relationships/externalLink" Target="externalLinks/externalLink27.xml"/><Relationship Id="rId103" Type="http://schemas.openxmlformats.org/officeDocument/2006/relationships/externalLink" Target="externalLinks/externalLink71.xml"/><Relationship Id="rId108" Type="http://schemas.openxmlformats.org/officeDocument/2006/relationships/theme" Target="theme/theme1.xml"/><Relationship Id="rId54" Type="http://schemas.openxmlformats.org/officeDocument/2006/relationships/externalLink" Target="externalLinks/externalLink22.xml"/><Relationship Id="rId70" Type="http://schemas.openxmlformats.org/officeDocument/2006/relationships/externalLink" Target="externalLinks/externalLink38.xml"/><Relationship Id="rId75" Type="http://schemas.openxmlformats.org/officeDocument/2006/relationships/externalLink" Target="externalLinks/externalLink43.xml"/><Relationship Id="rId91" Type="http://schemas.openxmlformats.org/officeDocument/2006/relationships/externalLink" Target="externalLinks/externalLink59.xml"/><Relationship Id="rId96" Type="http://schemas.openxmlformats.org/officeDocument/2006/relationships/externalLink" Target="externalLinks/externalLink6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49" Type="http://schemas.openxmlformats.org/officeDocument/2006/relationships/externalLink" Target="externalLinks/externalLink17.xml"/><Relationship Id="rId57" Type="http://schemas.openxmlformats.org/officeDocument/2006/relationships/externalLink" Target="externalLinks/externalLink25.xml"/><Relationship Id="rId106" Type="http://schemas.openxmlformats.org/officeDocument/2006/relationships/externalLink" Target="externalLinks/externalLink74.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12.xml"/><Relationship Id="rId52" Type="http://schemas.openxmlformats.org/officeDocument/2006/relationships/externalLink" Target="externalLinks/externalLink20.xml"/><Relationship Id="rId60" Type="http://schemas.openxmlformats.org/officeDocument/2006/relationships/externalLink" Target="externalLinks/externalLink28.xml"/><Relationship Id="rId65" Type="http://schemas.openxmlformats.org/officeDocument/2006/relationships/externalLink" Target="externalLinks/externalLink33.xml"/><Relationship Id="rId73" Type="http://schemas.openxmlformats.org/officeDocument/2006/relationships/externalLink" Target="externalLinks/externalLink41.xml"/><Relationship Id="rId78" Type="http://schemas.openxmlformats.org/officeDocument/2006/relationships/externalLink" Target="externalLinks/externalLink46.xml"/><Relationship Id="rId81" Type="http://schemas.openxmlformats.org/officeDocument/2006/relationships/externalLink" Target="externalLinks/externalLink49.xml"/><Relationship Id="rId86" Type="http://schemas.openxmlformats.org/officeDocument/2006/relationships/externalLink" Target="externalLinks/externalLink54.xml"/><Relationship Id="rId94" Type="http://schemas.openxmlformats.org/officeDocument/2006/relationships/externalLink" Target="externalLinks/externalLink62.xml"/><Relationship Id="rId99" Type="http://schemas.openxmlformats.org/officeDocument/2006/relationships/externalLink" Target="externalLinks/externalLink67.xml"/><Relationship Id="rId101" Type="http://schemas.openxmlformats.org/officeDocument/2006/relationships/externalLink" Target="externalLinks/externalLink6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7.xml"/><Relationship Id="rId109" Type="http://schemas.openxmlformats.org/officeDocument/2006/relationships/styles" Target="styles.xml"/><Relationship Id="rId34" Type="http://schemas.openxmlformats.org/officeDocument/2006/relationships/externalLink" Target="externalLinks/externalLink2.xml"/><Relationship Id="rId50" Type="http://schemas.openxmlformats.org/officeDocument/2006/relationships/externalLink" Target="externalLinks/externalLink18.xml"/><Relationship Id="rId55" Type="http://schemas.openxmlformats.org/officeDocument/2006/relationships/externalLink" Target="externalLinks/externalLink23.xml"/><Relationship Id="rId76" Type="http://schemas.openxmlformats.org/officeDocument/2006/relationships/externalLink" Target="externalLinks/externalLink44.xml"/><Relationship Id="rId97" Type="http://schemas.openxmlformats.org/officeDocument/2006/relationships/externalLink" Target="externalLinks/externalLink65.xml"/><Relationship Id="rId104" Type="http://schemas.openxmlformats.org/officeDocument/2006/relationships/externalLink" Target="externalLinks/externalLink72.xml"/><Relationship Id="rId7" Type="http://schemas.openxmlformats.org/officeDocument/2006/relationships/worksheet" Target="worksheets/sheet7.xml"/><Relationship Id="rId71" Type="http://schemas.openxmlformats.org/officeDocument/2006/relationships/externalLink" Target="externalLinks/externalLink39.xml"/><Relationship Id="rId92" Type="http://schemas.openxmlformats.org/officeDocument/2006/relationships/externalLink" Target="externalLinks/externalLink60.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externalLink" Target="externalLinks/externalLink8.xml"/><Relationship Id="rId45" Type="http://schemas.openxmlformats.org/officeDocument/2006/relationships/externalLink" Target="externalLinks/externalLink13.xml"/><Relationship Id="rId66" Type="http://schemas.openxmlformats.org/officeDocument/2006/relationships/externalLink" Target="externalLinks/externalLink34.xml"/><Relationship Id="rId87" Type="http://schemas.openxmlformats.org/officeDocument/2006/relationships/externalLink" Target="externalLinks/externalLink55.xml"/><Relationship Id="rId110" Type="http://schemas.openxmlformats.org/officeDocument/2006/relationships/sharedStrings" Target="sharedStrings.xml"/><Relationship Id="rId61" Type="http://schemas.openxmlformats.org/officeDocument/2006/relationships/externalLink" Target="externalLinks/externalLink29.xml"/><Relationship Id="rId82" Type="http://schemas.openxmlformats.org/officeDocument/2006/relationships/externalLink" Target="externalLinks/externalLink50.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externalLink" Target="externalLinks/externalLink3.xml"/><Relationship Id="rId56" Type="http://schemas.openxmlformats.org/officeDocument/2006/relationships/externalLink" Target="externalLinks/externalLink24.xml"/><Relationship Id="rId77" Type="http://schemas.openxmlformats.org/officeDocument/2006/relationships/externalLink" Target="externalLinks/externalLink45.xml"/><Relationship Id="rId100" Type="http://schemas.openxmlformats.org/officeDocument/2006/relationships/externalLink" Target="externalLinks/externalLink68.xml"/><Relationship Id="rId105" Type="http://schemas.openxmlformats.org/officeDocument/2006/relationships/externalLink" Target="externalLinks/externalLink73.xml"/><Relationship Id="rId8" Type="http://schemas.openxmlformats.org/officeDocument/2006/relationships/worksheet" Target="worksheets/sheet8.xml"/><Relationship Id="rId51" Type="http://schemas.openxmlformats.org/officeDocument/2006/relationships/externalLink" Target="externalLinks/externalLink19.xml"/><Relationship Id="rId72" Type="http://schemas.openxmlformats.org/officeDocument/2006/relationships/externalLink" Target="externalLinks/externalLink40.xml"/><Relationship Id="rId93" Type="http://schemas.openxmlformats.org/officeDocument/2006/relationships/externalLink" Target="externalLinks/externalLink61.xml"/><Relationship Id="rId98" Type="http://schemas.openxmlformats.org/officeDocument/2006/relationships/externalLink" Target="externalLinks/externalLink66.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externalLink" Target="externalLinks/externalLink14.xml"/><Relationship Id="rId67" Type="http://schemas.openxmlformats.org/officeDocument/2006/relationships/externalLink" Target="externalLinks/externalLink35.xml"/><Relationship Id="rId20" Type="http://schemas.openxmlformats.org/officeDocument/2006/relationships/worksheet" Target="worksheets/sheet20.xml"/><Relationship Id="rId41" Type="http://schemas.openxmlformats.org/officeDocument/2006/relationships/externalLink" Target="externalLinks/externalLink9.xml"/><Relationship Id="rId62" Type="http://schemas.openxmlformats.org/officeDocument/2006/relationships/externalLink" Target="externalLinks/externalLink30.xml"/><Relationship Id="rId83" Type="http://schemas.openxmlformats.org/officeDocument/2006/relationships/externalLink" Target="externalLinks/externalLink51.xml"/><Relationship Id="rId88" Type="http://schemas.openxmlformats.org/officeDocument/2006/relationships/externalLink" Target="externalLinks/externalLink56.xml"/><Relationship Id="rId111" Type="http://schemas.openxmlformats.org/officeDocument/2006/relationships/sheetMetadata" Target="metadata.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vita_pc\c\My%20Documents\june2001\PANDLT06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gcw\e\MY%20DOCUMENT\Jessa%20Ram%20Khushi%20Ram\JRKR%20%20CMA.%20DATA%2024-11-2003.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STAFF/OWENS/AUDIT/MARCH98/PLANNING/PBCL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vs08fls02\Finance\Revenue\AR%20Aging\Q2%202007\03.31.07Bad_Debt_Repor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kamlesh.vishwakarma/Local%20Settings/Temp/A%204%20wtb%2020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29three\d\Documents%20and%20Settings\Praveen\Desktop\FINANCIALS%20-%20APR02-MAR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29three\Auditors%20Query%202010-2011\Auditors%20Query%202010-2011\d\Documents%20and%20Settings\Praveen\Desktop\FINANCIALS%20-%20APR02-MAR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9three\Auditors%20Query%202010-2011\Auditors%20Query%202010-2011\Documents%20and%20Settings\Praveen\Desktop\FINANCIALS%20-%20APR02-MAR0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pm/Audit%202014-15/Mar-15/Financials-%201.0%20(Mar-15)%20791.1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ANUJ~1.GUP/AppData/Local/Temp/7zO6A2D.tmp/Financials-%201.0%20(Mar-15)%20791.1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29three\Auditors%20Query%202010-2011\Auditors%20Query%202010-2011\Acct_shailesh\Application%20Data\Microsoft\Excel\Common%20BS\Documents%20and%20Settings\Praveen\Desktop\FINANCIALS%20-%20APR02-MAR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My%20Documents\GINI.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72.16.31.211\hyperion\EY%20Clients\UOB%20IL%20&amp;%20FS%20India%20Opportunities%20Fund%20Limited\2007\FS%20EY\UOB%20IL%20&amp;%20FS%20India%20Opportunities%20Fund%20Limited%20200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esktop/BLVL/2015-16/31-Mar-16/workpapers/Financials%20and%20Issue/BLVL%20Financials%20March%20-16.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Manoj\IN_MAILS\KGT\YR98-99\BHANDUP.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vs01fs02\home\Finance\R-Data\Invoices\Current%20Working%20Folder\MIS\Invoice\2006-07\December%2006\Invoice%20File%20for%20Dec%200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Lulu\c\Empresas%20Grupo%20Lux\Dioptra,%20S.A.%20de%20C.V\2000\PAPELES%20PARA%20AJUSTE%20Y%20DECLARACION%20ANUAL\Ajuste%20(Balanc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WINDOWS\Desktop\GFL-B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72.16.30.247\yashpal%20(d)\services\Final\HX\HX%201year%20Rev%20Projection_ver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AppData/Local/Microsoft/Windows/Temporary%20Internet%20Files/Content.Outlook/LOMUMZLU/June%2010/P%20&amp;%20L%20Flash%20June%202010/P%20%20L%20Flash%20-%20Consolidated.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Lulu\c\Mis%20documentos\Empresas%20Grupo%20Lux\Inmobiliaria%20Mex%20Ind,%20S.A.%20de%20C.V\2000\REEXPRESION.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Aroy/Local%20Settings/Temporary%20Internet%20Files/Content.IE5/09U7O1IN/Documents%20and%20Settings/Mark%20Witman/Local%20Settings/Temporary%20Internet%20Files/OLK6/0110%20IS%20by%20BU%2011050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Index\my%20documents\Documents%20and%20Settings\Admin\My%20Documents\Shrikaanth\KMA%20Auto%20Components%20Pvt%20Ltd\Balance%20Shee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My%20Documents/Book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Depreciation%20For%20Odoo/Final%20Depreciation_NEW.xlsb"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arthak\c\3cd%20new\PP_Master%20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172.16.30.247\yashpal%20(d)\Documents%20and%20Settings\nikhil.kumar\Local%20Settings\Temp\Documents%20and%20Settings\sanjay.dave\Local%20Settings\Temporary%20Internet%20Files\OLK53\AS-9%20Monthwise%20Schedul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Sandeep1\e\Sandeep\Nov'02\BS%20APR%20-%20NOV%2002\BS_Apr'02-%20Nov'0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proview\My%20Documents\Audit%20Files\Aashish\Lit-tech\Final%20for%20Prints%20Outs\Stat\Draft%20report\drft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s://192.168.2.18/WINDOWS/TEMP/WINDOWS/TEMP/q1%202004%20forecast%20ii.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Documents%20and%20Settings/purnendu.parui/Local%20Settings/Temp/Project%20Budget-Teesta%20LDPIV-R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Lulu\c\Papeles%20de%20Trabajo%20Empresas%20de%20Grupo\DESPACHO%20JOSE%20ALFREDO%20ROJAS,%20SC\1999\Estados%20Financieros\Analisis\I.S.P.T.%20Y%20CONTROL%20NOMIN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NANCIALS-1314/WORKING%20FILES-1314/DRS_ALL%20LOCATION/GL_3300_3301_SUNDRY%20DRS_MARCH'14(SF).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sunil%20backup/c%20drive/eudora/attach/CY02_Forecast_10250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172.16.30.247\yashpal%20(d)\Documents%20and%20Settings\nikhil.kumar\Local%20Settings\Temp\BUDGET-KHEP%20latest.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nirav.zaveri/AppData/Local/Microsoft/Windows/Temporary%20Internet%20Files/Content.Outlook/SDYXRI1S/Mar-16/FA-%202015-16%20(Mar-1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DOCUME~1/yapae811/LOCALS~1/Temp/notesC4A9C8/Materaility%20template-GK/Combined%20ToD%20Template%20-%20June%20200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Nishit%201/Aster/Draft%20Financial%20Model%2020Jul06%20meeting%20in%20Hyd%20v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Documents%20and%20Settings/sjearajasingam/My%20Documents/Audit/Kreglinger/Consolidation%2007/Audit%20DMcB/PBV-1207%20Consolidation.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Ganesan\EXCEL\march2001bs\mar0001rffina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KregLinger/Monthend%202007/KWE/TrialBalanc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Accounts-sus\sudarshan\MIS\04-05\09-MIS%20Preparation%20Dec'0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Documents%20and%20Settings/kamlesh.vishwakarma/Local%20Settings/Temp/foreign%20portion%20wtb.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vs08fls02\Finance\Temp\Temporary%20Internet%20Files\OLK425\sujit%20sharma\Audit%20working%20file-2003-2004\Audit\TB%20Upload.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G:\Documents%20and%20Settings\shashank.chandak\Local%20Settings\Temporary%20Internet%20Files\OLK14C\Copy%20of%20debt%20equity%20position-30-09-10%20(2)%20(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Users/Anuj.Chaudhary/AppData/Local/Microsoft/Windows/Temporary%20Internet%20Files/Content.Outlook/G0HZWUXL/final%20%20HCC_D14_millions%20Consoildated%20Financial%20Statement%20QIP%20(2).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DOCUME~1/sanjay/LOCALS~1/Temp/Xl0000036.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Users/lnikita/Desktop/HHPL_Audit_Mar16/Financials/Latest/FA%20printable_March%202016_V2%2021%2005%2016.xlsm"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Mult2kserv\accpac\fund\Alia\Boyer%20Allan%20INDIA\Management%20accounts\30%20June%202004\BAIFI%20-%20Fin%20Stmts%2030.06.04%20-%20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Contracts\Uri2%20HEP\EIS\BUDGET%202002-2003\Purulia\revision1\KGT\YR98-99\DPR_9697\PLAN1697.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Server\Traffic\Estimates\Corporate\SIELCRAL03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29three\Microsoft\Excel\Common%20BS\DATA\Clients%20Data\Routesms%20Solutions%20Limited\Routesms%20F.Y%202010-2011\finalised%20routesms2010-2011\format%20of%20cashflowL.xls"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R:\KGT\YR98-99\DPR_9697\PLAN169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ritika.agarwal/AppData/Local/Microsoft/Windows/Temporary%20Internet%20Files/Content.Outlook/2FC4NNGH/MHIL%20opening%20balance%20sheet.xlsm"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Audit/VCO/2006/VCO%2006/Optic_DiscVCO/Accounts/Group/&#8226;Shared%20Items/PAYROLL%202005/Trish's%20MacLSL_AAS30_31%20Dec%2001%20%2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Documents%20and%20Settings\kavitar\Local%20Settings\Temporary%20Internet%20Files\Content.Outlook\RWDACOP5\L-OTHER-INCOME-0910%20lac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Annual%20Accounts%20Closing\IIIA\04-05\ENDING%2030.06.04\Encl%20%20ending-June-0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172.16.30.247\yashpal%20(d)\Documents%20and%20Settings\nikhil.kumar\Local%20Settings\Temp\FINAL-%20Project%20Budget-V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Documents%20and%20Settings/sanjay.BLVL.000/Local%20Settings/Temporary%20Internet%20Files/OLK61/TRIAL%20BALANCE/TB_TURBHE121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WINDOWS/Profiles/STEVENR/My%20Documents/Finance/0302/0302%20EDU%20TB%20Reporting%2003180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Users/pmoesbergen/AppData/Local/Microsoft/Windows/Temporary%20Internet%20Files/OLK5D6C/RBA%20-%20FX%20rate.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Accounts-sus\sudarshan\MIS\05-06\04%20Jul'05\Working-Jul'0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Documents%20and%20Settings\mhnh\My%20Documents\2001\Asia%20Pacific\Plan\5Y_v2.1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My%20Documents\ANKURCHm.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Documents%20and%20Settings/cr.jagasia.MAIL/Local%20Settings/Temporary%20Internet%20Files/OLKBE/sbi_bb_30040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Nishit%201/ITC/Models/Models/DCF%20Mode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pm/BUD%2015-16/Budget-%20PCD-T%20(2015-16)-1.xlsx"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Documents%20and%20Settings/Aroy/Local%20Settings/Temporary%20Internet%20Files/Content.IE5/09U7O1IN/SROSE/MISC/9907_pkg/9907%20PF%20Presentation.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29three\Auditors%20Query%202010-2011\Auditors%20Query%202010-2011\Acct_shailesh\Application%20Data\Microsoft\Excel\Common%20BS\2002-03%20AUDIT%20SCHE\FINANCIALS%20-%20APR02-MAR03INCL%20&amp;%20EXC.xls" TargetMode="External"/></Relationships>
</file>

<file path=xl/externalLinks/_rels/externalLink71.xml.rels><?xml version="1.0" encoding="UTF-8" standalone="yes"?>
<Relationships xmlns="http://schemas.openxmlformats.org/package/2006/relationships"><Relationship Id="rId1" Type="http://schemas.microsoft.com/office/2006/relationships/xlExternalLinkPath/xlPathMissing" Target="CSCCincSKR"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Work/RNM%20assignment/9.%20Avigo%20Captal/A.Y.%202011-12/Documents%20and%20Settings/Gan%20kok%20seng/&#12487;&#12473;&#12463;&#12488;&#12483;&#12503;/ASH%20BP/&#21454;&#30410;&#31649;&#29702;/&#20181;&#21521;&#22320;&#21029;&#21454;&#30410;/MC&#20181;&#21521;&#22320;&#21029;&#21454;&#30410;%20March-1-200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1908_V4_sep%2023.xlsx"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1908_V5_sep%2023.xlsx"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Office/1908EVPL/Financial/2022-2023/Financial/Final/230603_IndAS_1908_V8_Standalone%20in%20thousand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MBAI-PUNE (p)"/>
      <sheetName val="MUMBAI-PUNE (2)"/>
      <sheetName val="PROGRESS (3)"/>
      <sheetName val="plmarch99 (f)"/>
      <sheetName val="plmarch99"/>
      <sheetName val="PLMAR(F)"/>
      <sheetName val="AP&amp;LMAR98"/>
      <sheetName val="SHARE OF HO EXP."/>
      <sheetName val="INT ON HO FUND"/>
      <sheetName val="PLsep98 (2)"/>
      <sheetName val="JUNE98 (QTR)"/>
      <sheetName val="pldecqtr(p)"/>
      <sheetName val="pldecqtr(a)"/>
      <sheetName val="PLSUMMARY FM"/>
      <sheetName val="PLMAR99"/>
      <sheetName val="PROGRESS (2)"/>
      <sheetName val="COMP-FM (2)"/>
      <sheetName val="Sheet2"/>
      <sheetName val="TOADJF"/>
      <sheetName val="TOTAL"/>
      <sheetName val="Sheet3"/>
      <sheetName val="Sheet5"/>
      <sheetName val="DAM"/>
      <sheetName val="BRIDGES"/>
      <sheetName val="IND.STR"/>
      <sheetName val="Sheet6"/>
      <sheetName val="UND-GROUND"/>
      <sheetName val="ENNORE"/>
      <sheetName val="BARRAGE"/>
      <sheetName val="HSG.COMP."/>
      <sheetName val="TALA"/>
      <sheetName val="ENVIORNMENT"/>
      <sheetName val="Sheet7"/>
      <sheetName val="MUMBAI-PUNE"/>
      <sheetName val="PREL EFFECT"/>
      <sheetName val="TURNOVER"/>
      <sheetName val="EQUIP.CHARG."/>
      <sheetName val="Sheet1"/>
      <sheetName val="CLAINS STAT."/>
      <sheetName val="CLO-BRN"/>
      <sheetName val="MALAWI"/>
      <sheetName val="FLASH-REPORT"/>
      <sheetName val="HO-EXPENSES"/>
      <sheetName val="analysis"/>
      <sheetName val="Sheet4"/>
      <sheetName val="PLSUMMARY"/>
      <sheetName val="PROGRESS"/>
      <sheetName val="P&amp;L MALAW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AYMENT"/>
      <sheetName val="DSCR"/>
      <sheetName val="PROJECT REPORT"/>
      <sheetName val="CMA DATA"/>
      <sheetName val="#REF"/>
    </sheetNames>
    <sheetDataSet>
      <sheetData sheetId="0" refreshError="1"/>
      <sheetData sheetId="1" refreshError="1"/>
      <sheetData sheetId="2" refreshError="1"/>
      <sheetData sheetId="3"/>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BCLIST"/>
      <sheetName val="1"/>
      <sheetName val="3"/>
      <sheetName val="4"/>
      <sheetName val="5"/>
      <sheetName val="6"/>
      <sheetName val="8"/>
      <sheetName val="9"/>
      <sheetName val="10"/>
      <sheetName val="11"/>
      <sheetName val="12"/>
      <sheetName val="13"/>
      <sheetName val="14"/>
      <sheetName val="15"/>
      <sheetName val="17"/>
      <sheetName val="18"/>
      <sheetName val="20"/>
      <sheetName val="21"/>
      <sheetName val="22"/>
      <sheetName val="23"/>
      <sheetName val="24"/>
      <sheetName val="25"/>
      <sheetName val="26"/>
      <sheetName val="27"/>
      <sheetName val="28"/>
      <sheetName val="29"/>
      <sheetName val="30"/>
      <sheetName val="31"/>
      <sheetName val="List"/>
      <sheetName val="Top sheet"/>
      <sheetName val="Checks"/>
      <sheetName val="Bal Sheet"/>
      <sheetName val="Profit Loss"/>
      <sheetName val="CF"/>
      <sheetName val="3 4"/>
      <sheetName val="5 6"/>
      <sheetName val="7"/>
      <sheetName val="9 Old"/>
      <sheetName val="10 11 12"/>
      <sheetName val="13 14"/>
      <sheetName val="15 16"/>
      <sheetName val="18 19 20"/>
      <sheetName val="21 22"/>
      <sheetName val="24 25 26 27"/>
      <sheetName val="28 to 35"/>
      <sheetName val="BS"/>
      <sheetName val="PL"/>
      <sheetName val="Jan to Mar 2010"/>
      <sheetName val="Jan-Dec 2011"/>
      <sheetName val="April to Dec 2010"/>
      <sheetName val="TB"/>
      <sheetName val="AJE - IGAAP"/>
      <sheetName val="ST LT"/>
      <sheetName val="Sheet1"/>
      <sheetName val="TB M13"/>
      <sheetName val="TM M12"/>
      <sheetName val="Sheet3"/>
      <sheetName val="FROM2"/>
      <sheetName val="Interest on Loan from Director"/>
      <sheetName val="0102-obdata"/>
      <sheetName val="Pivot"/>
      <sheetName val="TOTAL"/>
      <sheetName val="Ob3-0102"/>
      <sheetName val="Expenses_2003 &amp; 2004"/>
      <sheetName val="Sales 2003 upto Oct"/>
      <sheetName val="OUTLOOK-2004-0."/>
      <sheetName val="FI320"/>
      <sheetName val="FI205"/>
      <sheetName val="Instructions"/>
      <sheetName val="HE Parameters"/>
      <sheetName val="Upload"/>
      <sheetName val="Validations"/>
      <sheetName val="FI183"/>
      <sheetName val="FI300"/>
      <sheetName val="FI100"/>
      <sheetName val="FI105"/>
      <sheetName val="FI110"/>
      <sheetName val="FI111"/>
      <sheetName val="FI135"/>
      <sheetName val="FI150"/>
      <sheetName val="FI160"/>
      <sheetName val="FI163"/>
      <sheetName val="FI166"/>
      <sheetName val="FI170"/>
      <sheetName val="FI173"/>
      <sheetName val="FI180"/>
      <sheetName val="FI190"/>
      <sheetName val="FI220"/>
      <sheetName val="FI240"/>
      <sheetName val="FI310"/>
      <sheetName val="FI350"/>
      <sheetName val="FI360"/>
      <sheetName val="FI400"/>
      <sheetName val="FI470"/>
      <sheetName val="FI480"/>
      <sheetName val="fi300 support New"/>
      <sheetName val="Analysis"/>
      <sheetName val="Grouping-New"/>
      <sheetName val="OPS"/>
      <sheetName val="Cost entries"/>
      <sheetName val="Dev-Copa"/>
      <sheetName val="olk-actuals"/>
      <sheetName val="FI300 working"/>
      <sheetName val="Core Meet"/>
      <sheetName val="SUMMARY"/>
      <sheetName val="CL STOCK"/>
      <sheetName val="VPC-PPC"/>
      <sheetName val="Freight"/>
      <sheetName val="B-SHEET"/>
      <sheetName val="P&amp;L"/>
      <sheetName val="NOTE_2 TO 21(B)"/>
      <sheetName val="GROUPINGS"/>
      <sheetName val="2"/>
      <sheetName val="Check list"/>
      <sheetName val="Controls"/>
      <sheetName val="CASH FLOW "/>
      <sheetName val="FI100-Dec-03"/>
      <sheetName val="Sec.IV Pl"/>
      <sheetName val="Ledger Drill"/>
      <sheetName val="Supplier"/>
      <sheetName val="2008-09 "/>
      <sheetName val="Data"/>
      <sheetName val="April-00"/>
      <sheetName val="A16C"/>
      <sheetName val="FSA"/>
      <sheetName val="B"/>
      <sheetName val="FF-2 (1)"/>
      <sheetName val="Top_sheet"/>
      <sheetName val="Interest_on_Loan_from_Director"/>
      <sheetName val="Data Validation"/>
      <sheetName val="Sheet2"/>
      <sheetName val="Dep"/>
      <sheetName val="jan'04"/>
      <sheetName val="SUmmary For MGMT"/>
      <sheetName val="Break up"/>
      <sheetName val="GAP"/>
      <sheetName val="proposal"/>
      <sheetName val="5M Act FC"/>
      <sheetName val="R&amp;M 7M"/>
      <sheetName val=" Tech Guidance 7M"/>
      <sheetName val="Adm 7M"/>
      <sheetName val="Sheet1 (2)"/>
      <sheetName val="RHO"/>
      <sheetName val="PBCLST"/>
      <sheetName val="üÍXg"/>
      <sheetName val="Interco account"/>
      <sheetName val="FX rates"/>
      <sheetName val="Basis"/>
      <sheetName val="2.Fixed Assets Schedule"/>
      <sheetName val="Directors"/>
      <sheetName val="Comp"/>
      <sheetName val="FA sch"/>
      <sheetName val="#REF"/>
      <sheetName val="Input"/>
      <sheetName val="TRIAL BALANCE"/>
      <sheetName val="CURRENT MONTH"/>
      <sheetName val="ASSETS"/>
      <sheetName val="UB-3-Break up"/>
      <sheetName val=""/>
      <sheetName val="PointNo.5"/>
      <sheetName val="Temp List"/>
      <sheetName val="QoQ analysis - Dept level"/>
      <sheetName val="Noten_Shift_Sp-A"/>
      <sheetName val="4010.994 accrual"/>
      <sheetName val="Mast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ow r="5">
          <cell r="G5" t="str">
            <v>111000 Equity Share Capital From TACO</v>
          </cell>
        </row>
      </sheetData>
      <sheetData sheetId="129" refreshError="1"/>
      <sheetData sheetId="130" refreshError="1"/>
      <sheetData sheetId="131" refreshError="1"/>
      <sheetData sheetId="132" refreshError="1"/>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1"/>
      <sheetName val="IND30"/>
      <sheetName val="JPN30"/>
      <sheetName val="SGP30"/>
      <sheetName val="APAC"/>
      <sheetName val="EMEA"/>
      <sheetName val="NA"/>
      <sheetName val="Summary"/>
      <sheetName val="For Excel"/>
      <sheetName val="PBC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Final"/>
      <sheetName val="PL Final"/>
      <sheetName val="NOTES Final"/>
      <sheetName val="consol bs"/>
      <sheetName val="consol pl"/>
      <sheetName val="adjustments Rs"/>
      <sheetName val="wtb euro bs"/>
      <sheetName val="wtb euro pl"/>
      <sheetName val="adjustments euro"/>
      <sheetName val="BS PBC"/>
      <sheetName val="PL PBC"/>
      <sheetName val="Exp (Rs.)"/>
      <sheetName val="Exp (euro)"/>
      <sheetName val="Samples EURO"/>
      <sheetName val="Issues"/>
      <sheetName val="Project control"/>
      <sheetName val="groupings"/>
      <sheetName val="Re class"/>
      <sheetName val="gbp rupee conversion"/>
      <sheetName val="UV"/>
      <sheetName val="ho account final"/>
      <sheetName val="appendix 2.5 final accounts"/>
      <sheetName val="do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AX"/>
      <sheetName val="mngrl remn"/>
      <sheetName val="VAR"/>
      <sheetName val="IT Depn- Dehra"/>
      <sheetName val="BS"/>
      <sheetName val="P&amp;L"/>
      <sheetName val="CF"/>
      <sheetName val="P&amp;L N"/>
      <sheetName val="IT Comp "/>
      <sheetName val="8D (2)"/>
      <sheetName val="IT depn 14-15"/>
      <sheetName val="SAP"/>
      <sheetName val="Revised FA"/>
      <sheetName val="FA 14-15"/>
      <sheetName val="BS-N"/>
      <sheetName val="31 &amp; 32"/>
      <sheetName val="33 to 37"/>
      <sheetName val="38"/>
      <sheetName val="39 to 41"/>
      <sheetName val="RPD"/>
      <sheetName val="42 to 44"/>
      <sheetName val="SR 45"/>
      <sheetName val="46 to 49"/>
      <sheetName val="RPD (2)"/>
      <sheetName val="GRP"/>
      <sheetName val="TB ERP 15"/>
      <sheetName val="TB PCDC 15link"/>
      <sheetName val="pcd-cdec (fact erp)"/>
      <sheetName val="TB PCDN 15 link"/>
      <sheetName val="TB ERP 14"/>
      <sheetName val="TB PCDC 14"/>
      <sheetName val="TB PCDN 14"/>
      <sheetName val="pcd-ndec (fact erp)"/>
      <sheetName val="Sheet1"/>
      <sheetName val="tb-b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
          <cell r="D1" t="str">
            <v>BALMER LAWRIE VAN LEER LTD.</v>
          </cell>
        </row>
      </sheetData>
      <sheetData sheetId="25">
        <row r="3">
          <cell r="C3">
            <v>0</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10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6"/>
      <sheetData sheetId="27"/>
      <sheetData sheetId="28"/>
      <sheetData sheetId="29">
        <row r="3">
          <cell r="S3" t="str">
            <v>TURBHE AS ON 31/03/14</v>
          </cell>
        </row>
      </sheetData>
      <sheetData sheetId="30"/>
      <sheetData sheetId="31"/>
      <sheetData sheetId="32"/>
      <sheetData sheetId="33"/>
      <sheetData sheetId="3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AX"/>
      <sheetName val="mngrl remn"/>
      <sheetName val="VAR"/>
      <sheetName val="IT Depn- Dehra"/>
      <sheetName val="BS"/>
      <sheetName val="BS-N"/>
      <sheetName val="P&amp;L"/>
      <sheetName val="CF"/>
      <sheetName val="P&amp;L N"/>
      <sheetName val="IT Comp "/>
      <sheetName val="8D (2)"/>
      <sheetName val="IT depn 14-15"/>
      <sheetName val="SAP"/>
      <sheetName val="Revised FA"/>
      <sheetName val="FA 14-15"/>
      <sheetName val="31 &amp; 32"/>
      <sheetName val="33 to 37"/>
      <sheetName val="38"/>
      <sheetName val="39 to 41"/>
      <sheetName val="RPD"/>
      <sheetName val="42 to 44"/>
      <sheetName val="SR 45"/>
      <sheetName val="46 to 49"/>
      <sheetName val="GRP"/>
      <sheetName val="TB ERP 15"/>
      <sheetName val="TB PCDC 15link"/>
      <sheetName val="pcd-cdec (fact erp)"/>
      <sheetName val="TB PCDN 15 link"/>
      <sheetName val="TB ERP 14"/>
      <sheetName val="TB PCDC 14"/>
      <sheetName val="TB PCDN 14"/>
      <sheetName val="pcd-ndec (fact erp)"/>
      <sheetName val="Sheet1"/>
      <sheetName val="RPD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3">
          <cell r="C3">
            <v>-225000</v>
          </cell>
        </row>
      </sheetData>
      <sheetData sheetId="24">
        <row r="3">
          <cell r="C3">
            <v>-225000</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5">
        <row r="3">
          <cell r="C3">
            <v>-225000</v>
          </cell>
        </row>
      </sheetData>
      <sheetData sheetId="26"/>
      <sheetData sheetId="27"/>
      <sheetData sheetId="28"/>
      <sheetData sheetId="29"/>
      <sheetData sheetId="30"/>
      <sheetData sheetId="31"/>
      <sheetData sheetId="32"/>
      <sheetData sheetId="3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3cd"/>
      <sheetName val="sta"/>
      <sheetName val="STI"/>
      <sheetName val="Saral"/>
      <sheetName val="SHAREDETL"/>
    </sheetNames>
    <sheetDataSet>
      <sheetData sheetId="0"/>
      <sheetData sheetId="1" refreshError="1">
        <row r="70">
          <cell r="B70" t="str">
            <v>Audit Fee</v>
          </cell>
          <cell r="I70">
            <v>3150</v>
          </cell>
        </row>
        <row r="71">
          <cell r="B71" t="str">
            <v>Electric Expenses</v>
          </cell>
          <cell r="I71">
            <v>320</v>
          </cell>
        </row>
        <row r="72">
          <cell r="B72" t="str">
            <v>Telephone Expenses</v>
          </cell>
          <cell r="I72">
            <v>3318</v>
          </cell>
        </row>
      </sheetData>
      <sheetData sheetId="2"/>
      <sheetData sheetId="3"/>
      <sheetData sheetId="4"/>
      <sheetData sheetId="5"/>
      <sheetData sheetId="6"/>
      <sheetData sheetId="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Corp Info"/>
      <sheetName val="Dir Com"/>
      <sheetName val="Sec rep"/>
      <sheetName val="BS IS 8&amp;9"/>
      <sheetName val="Equity"/>
      <sheetName val="cash flow"/>
      <sheetName val="Investments 07"/>
      <sheetName val="Investments 06"/>
      <sheetName val="Notes 1"/>
      <sheetName val="Notes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grl remn"/>
      <sheetName val="VAR"/>
      <sheetName val="DTAX"/>
      <sheetName val="IT depn"/>
      <sheetName val="IT Comp "/>
      <sheetName val="IT Depn- Dehra"/>
      <sheetName val="BS"/>
      <sheetName val="P&amp;L"/>
      <sheetName val="CF"/>
      <sheetName val="SAP"/>
      <sheetName val="BS-N"/>
      <sheetName val="P&amp;L N"/>
      <sheetName val="8D (2)"/>
      <sheetName val="GRP"/>
      <sheetName val="FA"/>
      <sheetName val="FA Schedule"/>
      <sheetName val="31 &amp; 32"/>
      <sheetName val="33 to 37"/>
      <sheetName val="38"/>
      <sheetName val="39 to 41"/>
      <sheetName val="RPT"/>
      <sheetName val="42 to 44"/>
      <sheetName val="SR 45"/>
      <sheetName val="46 to 49"/>
      <sheetName val="TB ERP 15"/>
      <sheetName val="TB PCDC 15link"/>
      <sheetName val="TB PCDN 15 link"/>
      <sheetName val="TB ERP-16"/>
      <sheetName val="TB PCDC-16"/>
      <sheetName val="TB PCDN-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1">
          <cell r="G1" t="str">
            <v>BS</v>
          </cell>
          <cell r="H1" t="str">
            <v>BALMER LAWRIE VAN LEER LTD.</v>
          </cell>
          <cell r="I1">
            <v>0</v>
          </cell>
          <cell r="L1" t="str">
            <v>Grp Tot</v>
          </cell>
          <cell r="Q1">
            <v>-4552078</v>
          </cell>
          <cell r="R1">
            <v>3</v>
          </cell>
          <cell r="U1">
            <v>3081714686</v>
          </cell>
          <cell r="V1">
            <v>2991620886</v>
          </cell>
          <cell r="W1">
            <v>0</v>
          </cell>
          <cell r="X1" t="e">
            <v>#REF!</v>
          </cell>
          <cell r="Y1">
            <v>-3081714690</v>
          </cell>
          <cell r="Z1">
            <v>-2991620883</v>
          </cell>
          <cell r="AA1">
            <v>0</v>
          </cell>
          <cell r="AB1" t="e">
            <v>#REF!</v>
          </cell>
          <cell r="AC1">
            <v>0</v>
          </cell>
          <cell r="AD1">
            <v>0</v>
          </cell>
          <cell r="AE1">
            <v>0</v>
          </cell>
          <cell r="AF1" t="e">
            <v>#REF!</v>
          </cell>
          <cell r="AG1">
            <v>-1</v>
          </cell>
          <cell r="AH1">
            <v>0</v>
          </cell>
        </row>
        <row r="2">
          <cell r="G2" t="str">
            <v>PBT</v>
          </cell>
          <cell r="I2">
            <v>1472.98333</v>
          </cell>
          <cell r="U2">
            <v>-4</v>
          </cell>
          <cell r="V2">
            <v>3</v>
          </cell>
          <cell r="Y2">
            <v>-14</v>
          </cell>
        </row>
        <row r="3">
          <cell r="G3" t="str">
            <v>HO</v>
          </cell>
          <cell r="I3">
            <v>0</v>
          </cell>
          <cell r="U3">
            <v>0</v>
          </cell>
          <cell r="Y3">
            <v>0</v>
          </cell>
          <cell r="AC3">
            <v>0</v>
          </cell>
          <cell r="AG3">
            <v>0</v>
          </cell>
        </row>
        <row r="4">
          <cell r="G4" t="str">
            <v>GROUPING OF ACCOUNTS FOR THE PERIOD ENDED MARCH 31, 2016.</v>
          </cell>
          <cell r="Q4">
            <v>1100.9408100000001</v>
          </cell>
          <cell r="R4">
            <v>523.81692999999996</v>
          </cell>
          <cell r="U4">
            <v>220.67201</v>
          </cell>
          <cell r="V4">
            <v>169.37906000000001</v>
          </cell>
          <cell r="Y4">
            <v>849.00489000000005</v>
          </cell>
          <cell r="Z4">
            <v>398.70078000000001</v>
          </cell>
          <cell r="AB4">
            <v>0</v>
          </cell>
          <cell r="AC4">
            <v>-110.47177000000001</v>
          </cell>
          <cell r="AD4">
            <v>-152.16721999999999</v>
          </cell>
          <cell r="AF4">
            <v>0</v>
          </cell>
          <cell r="AG4">
            <v>141.73568</v>
          </cell>
          <cell r="AH4">
            <v>107.90431</v>
          </cell>
        </row>
        <row r="5">
          <cell r="G5">
            <v>1</v>
          </cell>
          <cell r="H5">
            <v>2</v>
          </cell>
          <cell r="I5">
            <v>3</v>
          </cell>
          <cell r="J5">
            <v>4</v>
          </cell>
          <cell r="K5">
            <v>5</v>
          </cell>
          <cell r="L5">
            <v>6</v>
          </cell>
          <cell r="M5">
            <v>7</v>
          </cell>
          <cell r="N5">
            <v>8</v>
          </cell>
          <cell r="O5">
            <v>9</v>
          </cell>
          <cell r="P5">
            <v>10</v>
          </cell>
          <cell r="R5">
            <v>11</v>
          </cell>
          <cell r="W5" t="e">
            <v>#REF!</v>
          </cell>
          <cell r="AA5" t="e">
            <v>#REF!</v>
          </cell>
          <cell r="AE5" t="e">
            <v>#REF!</v>
          </cell>
        </row>
        <row r="6">
          <cell r="G6" t="str">
            <v>A/C CODE</v>
          </cell>
          <cell r="J6" t="str">
            <v>ACCOUNT HEAD</v>
          </cell>
          <cell r="O6" t="str">
            <v/>
          </cell>
          <cell r="P6" t="str">
            <v>BLVL (  )</v>
          </cell>
          <cell r="T6" t="str">
            <v>STEEL DRUM CLOSURE DIVISION-TURBHE (SDC-T)</v>
          </cell>
          <cell r="X6" t="str">
            <v>PLASTIC CONTAINER DIVISION- TURBHE (PCD-T)</v>
          </cell>
          <cell r="AB6" t="str">
            <v>PLASTIC CONTAINER DIVISION- CHENNAI (PCD-C)</v>
          </cell>
          <cell r="AF6" t="str">
            <v>PLASTIC CONTAINER DIVISION- NORTH (PCD-N)</v>
          </cell>
        </row>
        <row r="7">
          <cell r="G7" t="str">
            <v>ERP</v>
          </cell>
          <cell r="H7" t="str">
            <v>COMMON CODE</v>
          </cell>
          <cell r="I7" t="str">
            <v>FACT</v>
          </cell>
          <cell r="L7">
            <v>0</v>
          </cell>
          <cell r="O7" t="str">
            <v/>
          </cell>
          <cell r="Q7" t="str">
            <v>March 31, 2016</v>
          </cell>
          <cell r="R7" t="str">
            <v>YEAR 14-15</v>
          </cell>
          <cell r="U7" t="str">
            <v>March 31, 2016</v>
          </cell>
          <cell r="V7" t="str">
            <v>YEAR 14-15</v>
          </cell>
          <cell r="Y7" t="str">
            <v>March 31, 2016</v>
          </cell>
          <cell r="Z7" t="str">
            <v>YEAR 14-15</v>
          </cell>
          <cell r="AC7" t="str">
            <v>March 31, 2016</v>
          </cell>
          <cell r="AD7" t="str">
            <v>YEAR 14-15</v>
          </cell>
          <cell r="AG7" t="str">
            <v>March 31, 2016</v>
          </cell>
          <cell r="AH7" t="str">
            <v>YEAR 14-15</v>
          </cell>
        </row>
        <row r="8">
          <cell r="J8" t="str">
            <v>REVENUE</v>
          </cell>
          <cell r="O8" t="str">
            <v/>
          </cell>
        </row>
        <row r="9">
          <cell r="J9" t="str">
            <v>Revenue from Operations</v>
          </cell>
          <cell r="O9" t="str">
            <v>I</v>
          </cell>
          <cell r="AD9">
            <v>52890</v>
          </cell>
          <cell r="AH9">
            <v>-2848</v>
          </cell>
        </row>
        <row r="10">
          <cell r="H10">
            <v>100000</v>
          </cell>
          <cell r="K10" t="str">
            <v>Sale of Products</v>
          </cell>
          <cell r="O10" t="str">
            <v>I</v>
          </cell>
        </row>
        <row r="11">
          <cell r="G11">
            <v>11025</v>
          </cell>
          <cell r="H11">
            <v>101000</v>
          </cell>
          <cell r="I11" t="str">
            <v>5010</v>
          </cell>
          <cell r="L11" t="str">
            <v>Product Sales</v>
          </cell>
          <cell r="M11" t="str">
            <v>PRODUCT SALES (5010)</v>
          </cell>
          <cell r="N11" t="e">
            <v>#REF!</v>
          </cell>
          <cell r="O11" t="str">
            <v>I</v>
          </cell>
          <cell r="Q11">
            <v>2635090906</v>
          </cell>
          <cell r="R11">
            <v>2682825199</v>
          </cell>
          <cell r="U11">
            <v>566195685</v>
          </cell>
          <cell r="V11">
            <v>635117425</v>
          </cell>
          <cell r="Y11">
            <v>1403586759</v>
          </cell>
          <cell r="Z11">
            <v>1451454004</v>
          </cell>
          <cell r="AC11">
            <v>323530570</v>
          </cell>
          <cell r="AD11">
            <v>317813194</v>
          </cell>
          <cell r="AG11">
            <v>341777892</v>
          </cell>
          <cell r="AH11">
            <v>278440576</v>
          </cell>
        </row>
        <row r="12">
          <cell r="G12">
            <v>11030</v>
          </cell>
          <cell r="H12">
            <v>102000</v>
          </cell>
          <cell r="I12" t="str">
            <v>5000</v>
          </cell>
          <cell r="L12" t="str">
            <v>Sales Control A/C</v>
          </cell>
          <cell r="M12" t="str">
            <v>PRODUCT SALES ACCOUNT (5000) (OTHHER THAN FG [SO-POSTING])</v>
          </cell>
          <cell r="N12" t="e">
            <v>#REF!</v>
          </cell>
          <cell r="O12" t="str">
            <v>I</v>
          </cell>
          <cell r="Q12">
            <v>3479093</v>
          </cell>
          <cell r="R12">
            <v>5911008</v>
          </cell>
          <cell r="U12">
            <v>0</v>
          </cell>
          <cell r="V12">
            <v>-486045</v>
          </cell>
          <cell r="Y12">
            <v>3454072</v>
          </cell>
          <cell r="Z12">
            <v>6362489</v>
          </cell>
          <cell r="AC12">
            <v>28000</v>
          </cell>
          <cell r="AD12">
            <v>11052</v>
          </cell>
          <cell r="AG12">
            <v>-2979</v>
          </cell>
          <cell r="AH12">
            <v>23512</v>
          </cell>
        </row>
        <row r="13">
          <cell r="G13">
            <v>11031</v>
          </cell>
          <cell r="H13">
            <v>103000</v>
          </cell>
          <cell r="I13" t="str">
            <v>5015</v>
          </cell>
          <cell r="L13" t="str">
            <v>Product Sales-Cochin</v>
          </cell>
          <cell r="M13" t="str">
            <v>PRODUCT SALES (PRICE VARIATION/ADJUSTMENT)</v>
          </cell>
          <cell r="N13" t="e">
            <v>#REF!</v>
          </cell>
          <cell r="O13" t="str">
            <v>I</v>
          </cell>
          <cell r="Q13">
            <v>-5747968</v>
          </cell>
          <cell r="R13">
            <v>2561197</v>
          </cell>
          <cell r="U13">
            <v>-4529068</v>
          </cell>
          <cell r="V13">
            <v>-118968</v>
          </cell>
          <cell r="Y13">
            <v>-8551231</v>
          </cell>
          <cell r="Z13">
            <v>-2034071</v>
          </cell>
          <cell r="AC13">
            <v>7332331</v>
          </cell>
          <cell r="AD13">
            <v>4714236</v>
          </cell>
          <cell r="AG13">
            <v>0</v>
          </cell>
          <cell r="AH13">
            <v>0</v>
          </cell>
        </row>
        <row r="14">
          <cell r="H14">
            <v>104000</v>
          </cell>
          <cell r="I14" t="str">
            <v>5500</v>
          </cell>
          <cell r="L14" t="str">
            <v>Sales Retrun</v>
          </cell>
          <cell r="M14" t="e">
            <v>#N/A</v>
          </cell>
          <cell r="N14" t="e">
            <v>#REF!</v>
          </cell>
          <cell r="O14" t="str">
            <v>I</v>
          </cell>
          <cell r="Q14">
            <v>-666946</v>
          </cell>
          <cell r="R14">
            <v>-1613713</v>
          </cell>
          <cell r="U14">
            <v>0</v>
          </cell>
          <cell r="V14">
            <v>0</v>
          </cell>
          <cell r="Y14">
            <v>0</v>
          </cell>
          <cell r="Z14">
            <v>0</v>
          </cell>
          <cell r="AC14">
            <v>-351008</v>
          </cell>
          <cell r="AD14">
            <v>-597321</v>
          </cell>
          <cell r="AG14">
            <v>-315938</v>
          </cell>
          <cell r="AH14">
            <v>-1016392</v>
          </cell>
        </row>
        <row r="15">
          <cell r="H15">
            <v>105000</v>
          </cell>
          <cell r="I15" t="str">
            <v>5505</v>
          </cell>
          <cell r="L15" t="str">
            <v>Sales Retrun- Cochin</v>
          </cell>
          <cell r="M15" t="e">
            <v>#N/A</v>
          </cell>
          <cell r="N15" t="e">
            <v>#REF!</v>
          </cell>
          <cell r="O15" t="str">
            <v>I</v>
          </cell>
          <cell r="Q15">
            <v>-7541002</v>
          </cell>
          <cell r="R15">
            <v>-5143275</v>
          </cell>
          <cell r="U15">
            <v>0</v>
          </cell>
          <cell r="V15">
            <v>0</v>
          </cell>
          <cell r="Y15">
            <v>0</v>
          </cell>
          <cell r="Z15">
            <v>0</v>
          </cell>
          <cell r="AC15">
            <v>-7541002</v>
          </cell>
          <cell r="AD15">
            <v>-5143275</v>
          </cell>
          <cell r="AG15">
            <v>0</v>
          </cell>
          <cell r="AH15">
            <v>0</v>
          </cell>
        </row>
        <row r="16">
          <cell r="G16">
            <v>12142</v>
          </cell>
          <cell r="H16">
            <v>106000</v>
          </cell>
          <cell r="L16" t="str">
            <v>Order Invoice Rounding (Sys)</v>
          </cell>
          <cell r="M16" t="str">
            <v>ORDER INVOICE ROUNDING (SYS)</v>
          </cell>
          <cell r="N16" t="e">
            <v>#REF!</v>
          </cell>
          <cell r="O16" t="str">
            <v>I</v>
          </cell>
          <cell r="Q16">
            <v>-190</v>
          </cell>
          <cell r="R16">
            <v>-70</v>
          </cell>
          <cell r="U16">
            <v>-131</v>
          </cell>
          <cell r="V16">
            <v>-112</v>
          </cell>
          <cell r="Y16">
            <v>-59</v>
          </cell>
          <cell r="Z16">
            <v>42</v>
          </cell>
          <cell r="AC16">
            <v>0</v>
          </cell>
          <cell r="AD16">
            <v>0</v>
          </cell>
          <cell r="AG16">
            <v>0</v>
          </cell>
          <cell r="AH16">
            <v>0</v>
          </cell>
        </row>
        <row r="17">
          <cell r="H17">
            <v>107000</v>
          </cell>
          <cell r="L17" t="str">
            <v>Excise Duty on Sale</v>
          </cell>
          <cell r="M17" t="e">
            <v>#N/A</v>
          </cell>
          <cell r="N17" t="e">
            <v>#REF!</v>
          </cell>
          <cell r="O17" t="str">
            <v>I</v>
          </cell>
          <cell r="Q17">
            <v>279256236</v>
          </cell>
          <cell r="R17">
            <v>273121330</v>
          </cell>
          <cell r="U17">
            <v>31049375</v>
          </cell>
          <cell r="V17">
            <v>32462077</v>
          </cell>
          <cell r="Y17">
            <v>166943274</v>
          </cell>
          <cell r="Z17">
            <v>169305064</v>
          </cell>
          <cell r="AC17">
            <v>38575026</v>
          </cell>
          <cell r="AD17">
            <v>36988625</v>
          </cell>
          <cell r="AG17">
            <v>42688561</v>
          </cell>
          <cell r="AH17">
            <v>34365564</v>
          </cell>
        </row>
        <row r="18">
          <cell r="K18" t="str">
            <v>Sale of Products</v>
          </cell>
          <cell r="M18" t="e">
            <v>#N/A</v>
          </cell>
          <cell r="N18" t="e">
            <v>#REF!</v>
          </cell>
          <cell r="O18" t="str">
            <v>I</v>
          </cell>
          <cell r="P18">
            <v>0</v>
          </cell>
          <cell r="Q18">
            <v>2903870129</v>
          </cell>
          <cell r="R18">
            <v>2957661676</v>
          </cell>
          <cell r="T18">
            <v>0</v>
          </cell>
          <cell r="U18">
            <v>592715861</v>
          </cell>
          <cell r="V18">
            <v>666974377</v>
          </cell>
          <cell r="X18">
            <v>0</v>
          </cell>
          <cell r="Y18">
            <v>1565432815</v>
          </cell>
          <cell r="Z18">
            <v>1625087528</v>
          </cell>
          <cell r="AB18">
            <v>0</v>
          </cell>
          <cell r="AC18">
            <v>361573917</v>
          </cell>
          <cell r="AD18">
            <v>353786511</v>
          </cell>
          <cell r="AF18">
            <v>0</v>
          </cell>
          <cell r="AG18">
            <v>384147536</v>
          </cell>
          <cell r="AH18">
            <v>311813260</v>
          </cell>
        </row>
        <row r="19">
          <cell r="K19" t="str">
            <v>Other Operating Revenue</v>
          </cell>
          <cell r="M19" t="e">
            <v>#N/A</v>
          </cell>
          <cell r="N19" t="e">
            <v>#REF!</v>
          </cell>
          <cell r="O19" t="str">
            <v>I</v>
          </cell>
        </row>
        <row r="20">
          <cell r="G20">
            <v>11035</v>
          </cell>
          <cell r="H20">
            <v>110000</v>
          </cell>
          <cell r="I20" t="str">
            <v>5100</v>
          </cell>
          <cell r="L20" t="str">
            <v>Scrap Sales</v>
          </cell>
          <cell r="M20" t="str">
            <v>SCRAP SALES (GENERATED OUT OF PROCESS) (5100)</v>
          </cell>
          <cell r="N20" t="e">
            <v>#REF!</v>
          </cell>
          <cell r="O20" t="str">
            <v>I</v>
          </cell>
          <cell r="P20">
            <v>0</v>
          </cell>
          <cell r="Q20">
            <v>48415632</v>
          </cell>
          <cell r="R20">
            <v>78904963</v>
          </cell>
          <cell r="T20">
            <v>0</v>
          </cell>
          <cell r="U20">
            <v>44515530</v>
          </cell>
          <cell r="V20">
            <v>75977507</v>
          </cell>
          <cell r="X20">
            <v>0</v>
          </cell>
          <cell r="Y20">
            <v>1884701</v>
          </cell>
          <cell r="Z20">
            <v>1864114</v>
          </cell>
          <cell r="AB20">
            <v>0</v>
          </cell>
          <cell r="AC20">
            <v>1397290</v>
          </cell>
          <cell r="AD20">
            <v>924642</v>
          </cell>
          <cell r="AF20">
            <v>0</v>
          </cell>
          <cell r="AG20">
            <v>618111</v>
          </cell>
          <cell r="AH20">
            <v>138700</v>
          </cell>
        </row>
        <row r="21">
          <cell r="G21">
            <v>11040</v>
          </cell>
          <cell r="H21">
            <v>111000</v>
          </cell>
          <cell r="L21" t="str">
            <v>Scrap Sales-Misc (N)</v>
          </cell>
          <cell r="M21" t="str">
            <v>SCRAP SALES - MISC (N)</v>
          </cell>
          <cell r="N21" t="e">
            <v>#REF!</v>
          </cell>
          <cell r="O21" t="str">
            <v>I</v>
          </cell>
          <cell r="Q21">
            <v>-310650</v>
          </cell>
          <cell r="R21">
            <v>-22494</v>
          </cell>
          <cell r="U21">
            <v>-310650</v>
          </cell>
          <cell r="V21">
            <v>200</v>
          </cell>
          <cell r="Y21">
            <v>0</v>
          </cell>
          <cell r="Z21">
            <v>-22694</v>
          </cell>
          <cell r="AC21">
            <v>0</v>
          </cell>
          <cell r="AG21">
            <v>0</v>
          </cell>
        </row>
        <row r="22">
          <cell r="H22">
            <v>112000</v>
          </cell>
          <cell r="L22" t="str">
            <v>Excise Duty on Sale</v>
          </cell>
          <cell r="M22" t="e">
            <v>#N/A</v>
          </cell>
          <cell r="N22" t="e">
            <v>#REF!</v>
          </cell>
          <cell r="O22" t="str">
            <v>I</v>
          </cell>
          <cell r="Q22">
            <v>5534119</v>
          </cell>
          <cell r="R22">
            <v>9362635</v>
          </cell>
          <cell r="U22">
            <v>5534119</v>
          </cell>
          <cell r="V22">
            <v>9362635</v>
          </cell>
          <cell r="Z22">
            <v>0</v>
          </cell>
          <cell r="AC22">
            <v>0</v>
          </cell>
          <cell r="AD22">
            <v>0</v>
          </cell>
          <cell r="AG22">
            <v>0</v>
          </cell>
          <cell r="AH22">
            <v>0</v>
          </cell>
        </row>
        <row r="23">
          <cell r="K23" t="str">
            <v>Other Operating Revenue</v>
          </cell>
          <cell r="M23" t="e">
            <v>#N/A</v>
          </cell>
          <cell r="N23" t="e">
            <v>#REF!</v>
          </cell>
          <cell r="O23" t="str">
            <v>I</v>
          </cell>
          <cell r="P23">
            <v>0</v>
          </cell>
          <cell r="Q23">
            <v>53639101</v>
          </cell>
          <cell r="R23">
            <v>88245104</v>
          </cell>
          <cell r="T23">
            <v>0</v>
          </cell>
          <cell r="U23">
            <v>49738999</v>
          </cell>
          <cell r="V23">
            <v>85340342</v>
          </cell>
          <cell r="X23">
            <v>0</v>
          </cell>
          <cell r="Y23">
            <v>1884701</v>
          </cell>
          <cell r="Z23">
            <v>1841420</v>
          </cell>
          <cell r="AB23">
            <v>0</v>
          </cell>
          <cell r="AC23">
            <v>1397290</v>
          </cell>
          <cell r="AD23">
            <v>924642</v>
          </cell>
          <cell r="AF23">
            <v>0</v>
          </cell>
          <cell r="AG23">
            <v>618111</v>
          </cell>
          <cell r="AH23">
            <v>138700</v>
          </cell>
        </row>
        <row r="24">
          <cell r="K24" t="str">
            <v>Income From Duty Drawback And Depb Licenses</v>
          </cell>
          <cell r="M24" t="e">
            <v>#N/A</v>
          </cell>
          <cell r="N24" t="e">
            <v>#REF!</v>
          </cell>
          <cell r="O24" t="str">
            <v>I</v>
          </cell>
        </row>
        <row r="25">
          <cell r="H25">
            <v>120000</v>
          </cell>
          <cell r="I25" t="str">
            <v>5115</v>
          </cell>
          <cell r="L25" t="str">
            <v>Depb Sale A/C</v>
          </cell>
          <cell r="M25" t="e">
            <v>#N/A</v>
          </cell>
          <cell r="N25" t="e">
            <v>#REF!</v>
          </cell>
          <cell r="O25" t="str">
            <v>I</v>
          </cell>
          <cell r="P25">
            <v>0</v>
          </cell>
          <cell r="Q25">
            <v>0</v>
          </cell>
          <cell r="R25">
            <v>0</v>
          </cell>
          <cell r="T25">
            <v>0</v>
          </cell>
          <cell r="U25">
            <v>0</v>
          </cell>
          <cell r="V25">
            <v>0</v>
          </cell>
          <cell r="X25">
            <v>0</v>
          </cell>
          <cell r="Y25">
            <v>0</v>
          </cell>
          <cell r="Z25">
            <v>0</v>
          </cell>
          <cell r="AB25">
            <v>0</v>
          </cell>
          <cell r="AC25">
            <v>0</v>
          </cell>
          <cell r="AD25">
            <v>0</v>
          </cell>
          <cell r="AF25">
            <v>0</v>
          </cell>
          <cell r="AG25">
            <v>0</v>
          </cell>
          <cell r="AH25">
            <v>0</v>
          </cell>
        </row>
        <row r="26">
          <cell r="G26">
            <v>11205</v>
          </cell>
          <cell r="H26">
            <v>121000</v>
          </cell>
          <cell r="I26" t="str">
            <v>5225</v>
          </cell>
          <cell r="L26" t="str">
            <v>Depb Benifit A/C (Income From Depb Lic )</v>
          </cell>
          <cell r="M26" t="str">
            <v>DEPB BENIFIT A/C (INCOME FROM DEPB)</v>
          </cell>
          <cell r="N26" t="e">
            <v>#REF!</v>
          </cell>
          <cell r="O26" t="str">
            <v>I</v>
          </cell>
          <cell r="P26">
            <v>0</v>
          </cell>
          <cell r="Q26">
            <v>13571612</v>
          </cell>
          <cell r="R26">
            <v>6439315</v>
          </cell>
          <cell r="T26">
            <v>0</v>
          </cell>
          <cell r="U26">
            <v>13198080</v>
          </cell>
          <cell r="V26">
            <v>6439315</v>
          </cell>
          <cell r="X26">
            <v>0</v>
          </cell>
          <cell r="Y26">
            <v>373532</v>
          </cell>
          <cell r="Z26">
            <v>0</v>
          </cell>
          <cell r="AB26">
            <v>0</v>
          </cell>
          <cell r="AC26">
            <v>0</v>
          </cell>
          <cell r="AD26">
            <v>0</v>
          </cell>
          <cell r="AF26">
            <v>0</v>
          </cell>
          <cell r="AG26">
            <v>0</v>
          </cell>
          <cell r="AH26">
            <v>0</v>
          </cell>
        </row>
        <row r="27">
          <cell r="K27" t="str">
            <v>Income From Duty Drawback And Depb Licenses</v>
          </cell>
          <cell r="M27" t="e">
            <v>#N/A</v>
          </cell>
          <cell r="N27" t="e">
            <v>#REF!</v>
          </cell>
          <cell r="O27" t="str">
            <v>I</v>
          </cell>
          <cell r="P27">
            <v>0</v>
          </cell>
          <cell r="Q27">
            <v>13571612</v>
          </cell>
          <cell r="R27">
            <v>6439315</v>
          </cell>
          <cell r="T27">
            <v>0</v>
          </cell>
          <cell r="U27">
            <v>13198080</v>
          </cell>
          <cell r="V27">
            <v>6439315</v>
          </cell>
          <cell r="X27">
            <v>0</v>
          </cell>
          <cell r="Y27">
            <v>373532</v>
          </cell>
          <cell r="Z27">
            <v>0</v>
          </cell>
          <cell r="AB27">
            <v>0</v>
          </cell>
          <cell r="AC27">
            <v>0</v>
          </cell>
          <cell r="AD27">
            <v>0</v>
          </cell>
          <cell r="AF27">
            <v>0</v>
          </cell>
          <cell r="AG27">
            <v>0</v>
          </cell>
          <cell r="AH27">
            <v>0</v>
          </cell>
        </row>
        <row r="28">
          <cell r="J28" t="str">
            <v>Revenue from Operations (Gross)</v>
          </cell>
          <cell r="M28" t="e">
            <v>#N/A</v>
          </cell>
          <cell r="N28" t="e">
            <v>#REF!</v>
          </cell>
          <cell r="O28" t="str">
            <v>I</v>
          </cell>
          <cell r="P28">
            <v>0</v>
          </cell>
          <cell r="Q28">
            <v>2971080842</v>
          </cell>
          <cell r="R28">
            <v>3052346095</v>
          </cell>
          <cell r="T28">
            <v>0</v>
          </cell>
          <cell r="U28">
            <v>655652940</v>
          </cell>
          <cell r="V28">
            <v>758754034</v>
          </cell>
          <cell r="X28">
            <v>0</v>
          </cell>
          <cell r="Y28">
            <v>1567691048</v>
          </cell>
          <cell r="Z28">
            <v>1626928948</v>
          </cell>
          <cell r="AB28">
            <v>0</v>
          </cell>
          <cell r="AC28">
            <v>362971207</v>
          </cell>
          <cell r="AD28">
            <v>354711153</v>
          </cell>
          <cell r="AF28">
            <v>0</v>
          </cell>
          <cell r="AG28">
            <v>384765647</v>
          </cell>
          <cell r="AH28">
            <v>311951960</v>
          </cell>
        </row>
        <row r="29">
          <cell r="K29" t="str">
            <v>Less: Excise Duty</v>
          </cell>
          <cell r="M29" t="e">
            <v>#N/A</v>
          </cell>
          <cell r="N29" t="e">
            <v>#REF!</v>
          </cell>
          <cell r="O29" t="str">
            <v>I</v>
          </cell>
          <cell r="P29">
            <v>0</v>
          </cell>
          <cell r="Q29">
            <v>-284790355</v>
          </cell>
          <cell r="R29">
            <v>-282483965</v>
          </cell>
          <cell r="T29">
            <v>0</v>
          </cell>
          <cell r="U29">
            <v>-36583494</v>
          </cell>
          <cell r="V29">
            <v>-41824712</v>
          </cell>
          <cell r="X29">
            <v>0</v>
          </cell>
          <cell r="Y29">
            <v>-166943274</v>
          </cell>
          <cell r="Z29">
            <v>-169305064</v>
          </cell>
          <cell r="AB29">
            <v>0</v>
          </cell>
          <cell r="AC29">
            <v>-38575026</v>
          </cell>
          <cell r="AD29">
            <v>-36988625</v>
          </cell>
          <cell r="AF29">
            <v>0</v>
          </cell>
          <cell r="AG29">
            <v>-42688561</v>
          </cell>
          <cell r="AH29">
            <v>-34365564</v>
          </cell>
        </row>
        <row r="30">
          <cell r="J30" t="str">
            <v>Revenue from Operations (Net)</v>
          </cell>
          <cell r="O30" t="str">
            <v>I</v>
          </cell>
          <cell r="Q30">
            <v>2686290487</v>
          </cell>
          <cell r="R30">
            <v>2769862130</v>
          </cell>
          <cell r="T30">
            <v>0</v>
          </cell>
          <cell r="U30">
            <v>619069446</v>
          </cell>
          <cell r="V30">
            <v>716929322</v>
          </cell>
          <cell r="X30">
            <v>0</v>
          </cell>
          <cell r="Y30">
            <v>1400747774</v>
          </cell>
          <cell r="Z30">
            <v>1457623884</v>
          </cell>
          <cell r="AB30">
            <v>0</v>
          </cell>
          <cell r="AC30">
            <v>324396181</v>
          </cell>
          <cell r="AD30">
            <v>317722528</v>
          </cell>
          <cell r="AF30">
            <v>0</v>
          </cell>
          <cell r="AG30">
            <v>342077086</v>
          </cell>
          <cell r="AH30">
            <v>277586396</v>
          </cell>
        </row>
        <row r="31">
          <cell r="M31" t="e">
            <v>#N/A</v>
          </cell>
          <cell r="N31" t="e">
            <v>#REF!</v>
          </cell>
          <cell r="O31" t="str">
            <v>I</v>
          </cell>
        </row>
        <row r="32">
          <cell r="J32" t="str">
            <v>OTHER INCOME</v>
          </cell>
          <cell r="M32" t="e">
            <v>#N/A</v>
          </cell>
          <cell r="N32" t="e">
            <v>#REF!</v>
          </cell>
          <cell r="O32" t="str">
            <v>I</v>
          </cell>
        </row>
        <row r="33">
          <cell r="K33" t="str">
            <v>Interest Income On</v>
          </cell>
          <cell r="M33" t="e">
            <v>#N/A</v>
          </cell>
          <cell r="N33" t="e">
            <v>#REF!</v>
          </cell>
          <cell r="O33" t="str">
            <v>I</v>
          </cell>
        </row>
        <row r="34">
          <cell r="H34">
            <v>151000</v>
          </cell>
          <cell r="I34" t="str">
            <v>5150</v>
          </cell>
          <cell r="L34" t="str">
            <v>Fixed Deposit with Banks</v>
          </cell>
          <cell r="M34" t="e">
            <v>#N/A</v>
          </cell>
          <cell r="N34" t="e">
            <v>#REF!</v>
          </cell>
          <cell r="O34" t="str">
            <v>I</v>
          </cell>
          <cell r="Q34">
            <v>0</v>
          </cell>
          <cell r="R34">
            <v>0</v>
          </cell>
          <cell r="U34">
            <v>0</v>
          </cell>
          <cell r="V34">
            <v>0</v>
          </cell>
        </row>
        <row r="35">
          <cell r="G35">
            <v>11215</v>
          </cell>
          <cell r="H35">
            <v>152000</v>
          </cell>
          <cell r="I35" t="str">
            <v>5150</v>
          </cell>
          <cell r="L35" t="str">
            <v>Others</v>
          </cell>
          <cell r="M35" t="str">
            <v>INTEREST RECEIVED (5150)</v>
          </cell>
          <cell r="N35" t="e">
            <v>#REF!</v>
          </cell>
          <cell r="O35" t="str">
            <v>I</v>
          </cell>
          <cell r="Q35">
            <v>4660324</v>
          </cell>
          <cell r="R35">
            <v>2600586</v>
          </cell>
          <cell r="U35">
            <v>2849162</v>
          </cell>
          <cell r="V35">
            <v>1081041</v>
          </cell>
          <cell r="Y35">
            <v>778480</v>
          </cell>
          <cell r="Z35">
            <v>1340058</v>
          </cell>
          <cell r="AC35">
            <v>868025</v>
          </cell>
          <cell r="AD35">
            <v>0</v>
          </cell>
          <cell r="AG35">
            <v>164657</v>
          </cell>
          <cell r="AH35">
            <v>179487</v>
          </cell>
        </row>
        <row r="36">
          <cell r="K36" t="str">
            <v>Interest Income On</v>
          </cell>
          <cell r="M36" t="e">
            <v>#N/A</v>
          </cell>
          <cell r="N36" t="e">
            <v>#REF!</v>
          </cell>
          <cell r="O36" t="str">
            <v>I</v>
          </cell>
          <cell r="P36">
            <v>0</v>
          </cell>
          <cell r="Q36">
            <v>4660324</v>
          </cell>
          <cell r="R36">
            <v>2600586</v>
          </cell>
          <cell r="T36">
            <v>0</v>
          </cell>
          <cell r="U36">
            <v>2849162</v>
          </cell>
          <cell r="V36">
            <v>1081041</v>
          </cell>
          <cell r="X36">
            <v>0</v>
          </cell>
          <cell r="Y36">
            <v>778480</v>
          </cell>
          <cell r="Z36">
            <v>1340058</v>
          </cell>
          <cell r="AB36">
            <v>0</v>
          </cell>
          <cell r="AC36">
            <v>868025</v>
          </cell>
          <cell r="AD36">
            <v>0</v>
          </cell>
          <cell r="AF36">
            <v>0</v>
          </cell>
          <cell r="AG36">
            <v>164657</v>
          </cell>
          <cell r="AH36">
            <v>179487</v>
          </cell>
        </row>
        <row r="37">
          <cell r="K37" t="str">
            <v>Dividend Income On</v>
          </cell>
          <cell r="M37" t="e">
            <v>#N/A</v>
          </cell>
          <cell r="N37" t="e">
            <v>#REF!</v>
          </cell>
          <cell r="O37" t="str">
            <v>I</v>
          </cell>
        </row>
        <row r="38">
          <cell r="G38">
            <v>11245</v>
          </cell>
          <cell r="H38">
            <v>155000</v>
          </cell>
          <cell r="I38" t="str">
            <v>5240</v>
          </cell>
          <cell r="L38" t="str">
            <v>Dividend Income -Proseal</v>
          </cell>
          <cell r="M38" t="str">
            <v>DIVIDEND INCOME (5240)</v>
          </cell>
          <cell r="N38" t="e">
            <v>#REF!</v>
          </cell>
          <cell r="O38" t="str">
            <v>I</v>
          </cell>
          <cell r="Q38">
            <v>38500000</v>
          </cell>
          <cell r="R38">
            <v>0</v>
          </cell>
          <cell r="U38">
            <v>38500000</v>
          </cell>
          <cell r="V38">
            <v>0</v>
          </cell>
          <cell r="Y38">
            <v>0</v>
          </cell>
          <cell r="Z38">
            <v>0</v>
          </cell>
          <cell r="AC38">
            <v>0</v>
          </cell>
          <cell r="AD38">
            <v>0</v>
          </cell>
          <cell r="AG38">
            <v>0</v>
          </cell>
          <cell r="AH38">
            <v>0</v>
          </cell>
        </row>
        <row r="39">
          <cell r="M39" t="e">
            <v>#N/A</v>
          </cell>
          <cell r="N39" t="e">
            <v>#REF!</v>
          </cell>
          <cell r="O39" t="str">
            <v>I</v>
          </cell>
          <cell r="Q39">
            <v>0</v>
          </cell>
          <cell r="R39">
            <v>0</v>
          </cell>
          <cell r="AC39">
            <v>0</v>
          </cell>
          <cell r="AD39">
            <v>0</v>
          </cell>
          <cell r="AG39">
            <v>0</v>
          </cell>
          <cell r="AH39">
            <v>0</v>
          </cell>
        </row>
        <row r="40">
          <cell r="K40" t="str">
            <v>Interest Income On</v>
          </cell>
          <cell r="M40" t="e">
            <v>#N/A</v>
          </cell>
          <cell r="N40" t="e">
            <v>#REF!</v>
          </cell>
          <cell r="O40" t="str">
            <v>I</v>
          </cell>
          <cell r="P40">
            <v>0</v>
          </cell>
          <cell r="Q40">
            <v>38500000</v>
          </cell>
          <cell r="R40">
            <v>0</v>
          </cell>
          <cell r="T40">
            <v>0</v>
          </cell>
          <cell r="U40">
            <v>38500000</v>
          </cell>
          <cell r="V40">
            <v>0</v>
          </cell>
          <cell r="X40">
            <v>0</v>
          </cell>
          <cell r="Y40">
            <v>0</v>
          </cell>
          <cell r="Z40">
            <v>0</v>
          </cell>
          <cell r="AB40">
            <v>0</v>
          </cell>
          <cell r="AC40">
            <v>0</v>
          </cell>
          <cell r="AD40">
            <v>0</v>
          </cell>
          <cell r="AF40">
            <v>0</v>
          </cell>
          <cell r="AG40">
            <v>0</v>
          </cell>
          <cell r="AH40">
            <v>0</v>
          </cell>
        </row>
        <row r="41">
          <cell r="G41">
            <v>11210</v>
          </cell>
          <cell r="H41">
            <v>160000</v>
          </cell>
          <cell r="I41" t="str">
            <v>5210</v>
          </cell>
          <cell r="K41" t="str">
            <v>Management And Marketing Fees From Subsidiary</v>
          </cell>
          <cell r="M41" t="str">
            <v>MARKETING &amp; MANAGEMENT FEES (INCOME) (5210)</v>
          </cell>
          <cell r="N41" t="e">
            <v>#REF!</v>
          </cell>
          <cell r="O41" t="str">
            <v>I</v>
          </cell>
          <cell r="Q41">
            <v>998000</v>
          </cell>
          <cell r="R41">
            <v>9877701</v>
          </cell>
          <cell r="U41">
            <v>998000</v>
          </cell>
          <cell r="V41">
            <v>9877701</v>
          </cell>
          <cell r="Y41">
            <v>0</v>
          </cell>
          <cell r="Z41">
            <v>0</v>
          </cell>
          <cell r="AC41">
            <v>0</v>
          </cell>
          <cell r="AD41">
            <v>0</v>
          </cell>
          <cell r="AG41">
            <v>0</v>
          </cell>
          <cell r="AH41">
            <v>0</v>
          </cell>
        </row>
        <row r="42">
          <cell r="L42">
            <v>0</v>
          </cell>
          <cell r="M42" t="e">
            <v>#N/A</v>
          </cell>
          <cell r="N42" t="e">
            <v>#REF!</v>
          </cell>
          <cell r="O42" t="str">
            <v>I</v>
          </cell>
          <cell r="Q42">
            <v>0</v>
          </cell>
          <cell r="R42">
            <v>0</v>
          </cell>
        </row>
        <row r="43">
          <cell r="K43" t="str">
            <v>Management And Marketing Fees From Subsidiary</v>
          </cell>
          <cell r="M43" t="e">
            <v>#N/A</v>
          </cell>
          <cell r="N43" t="e">
            <v>#REF!</v>
          </cell>
          <cell r="O43" t="str">
            <v>I</v>
          </cell>
          <cell r="P43">
            <v>0</v>
          </cell>
          <cell r="Q43">
            <v>998000</v>
          </cell>
          <cell r="R43">
            <v>9877701</v>
          </cell>
          <cell r="T43">
            <v>0</v>
          </cell>
          <cell r="U43">
            <v>998000</v>
          </cell>
          <cell r="V43">
            <v>9877701</v>
          </cell>
          <cell r="X43">
            <v>0</v>
          </cell>
          <cell r="Y43">
            <v>0</v>
          </cell>
          <cell r="Z43">
            <v>0</v>
          </cell>
          <cell r="AB43">
            <v>0</v>
          </cell>
          <cell r="AC43">
            <v>0</v>
          </cell>
          <cell r="AD43">
            <v>0</v>
          </cell>
          <cell r="AF43">
            <v>0</v>
          </cell>
          <cell r="AG43">
            <v>0</v>
          </cell>
          <cell r="AH43">
            <v>0</v>
          </cell>
        </row>
        <row r="44">
          <cell r="K44" t="str">
            <v>Profit On Sale Of Fixed Assets (Net)</v>
          </cell>
          <cell r="M44" t="e">
            <v>#N/A</v>
          </cell>
          <cell r="N44" t="e">
            <v>#REF!</v>
          </cell>
          <cell r="O44" t="str">
            <v>I</v>
          </cell>
        </row>
        <row r="45">
          <cell r="G45">
            <v>11240</v>
          </cell>
          <cell r="H45">
            <v>165000</v>
          </cell>
          <cell r="I45" t="str">
            <v>5170</v>
          </cell>
          <cell r="L45" t="str">
            <v>Profit on Sale of Assets</v>
          </cell>
          <cell r="O45" t="str">
            <v>I</v>
          </cell>
          <cell r="Q45">
            <v>1123487</v>
          </cell>
          <cell r="R45">
            <v>2071</v>
          </cell>
          <cell r="U45">
            <v>215114</v>
          </cell>
          <cell r="V45">
            <v>2071</v>
          </cell>
          <cell r="Y45">
            <v>388173</v>
          </cell>
          <cell r="Z45">
            <v>0</v>
          </cell>
          <cell r="AC45">
            <v>520200</v>
          </cell>
          <cell r="AD45">
            <v>0</v>
          </cell>
          <cell r="AG45">
            <v>0</v>
          </cell>
          <cell r="AH45">
            <v>0</v>
          </cell>
        </row>
        <row r="46">
          <cell r="G46">
            <v>13672</v>
          </cell>
          <cell r="H46">
            <v>166000</v>
          </cell>
          <cell r="I46" t="str">
            <v>7450</v>
          </cell>
          <cell r="L46" t="str">
            <v>Loss On Sale Of Assets</v>
          </cell>
          <cell r="M46" t="str">
            <v>LOSS ON SALE OF ASSETS (7450)</v>
          </cell>
          <cell r="N46" t="e">
            <v>#REF!</v>
          </cell>
          <cell r="O46" t="str">
            <v>I</v>
          </cell>
          <cell r="Q46">
            <v>0</v>
          </cell>
          <cell r="R46">
            <v>-2179</v>
          </cell>
          <cell r="U46">
            <v>0</v>
          </cell>
          <cell r="V46">
            <v>-2179</v>
          </cell>
          <cell r="Y46">
            <v>0</v>
          </cell>
          <cell r="Z46">
            <v>0</v>
          </cell>
          <cell r="AC46">
            <v>0</v>
          </cell>
          <cell r="AD46">
            <v>0</v>
          </cell>
          <cell r="AG46">
            <v>0</v>
          </cell>
          <cell r="AH46">
            <v>0</v>
          </cell>
        </row>
        <row r="47">
          <cell r="K47" t="str">
            <v>Profit On Sale Of Fixed Assets (Net)</v>
          </cell>
          <cell r="M47" t="e">
            <v>#N/A</v>
          </cell>
          <cell r="N47" t="e">
            <v>#REF!</v>
          </cell>
          <cell r="O47" t="str">
            <v>I</v>
          </cell>
          <cell r="P47">
            <v>0</v>
          </cell>
          <cell r="Q47">
            <v>1123487</v>
          </cell>
          <cell r="R47">
            <v>-108</v>
          </cell>
          <cell r="T47">
            <v>0</v>
          </cell>
          <cell r="U47">
            <v>215114</v>
          </cell>
          <cell r="V47">
            <v>-108</v>
          </cell>
          <cell r="X47">
            <v>0</v>
          </cell>
          <cell r="Y47">
            <v>388173</v>
          </cell>
          <cell r="Z47">
            <v>0</v>
          </cell>
          <cell r="AB47">
            <v>0</v>
          </cell>
          <cell r="AC47">
            <v>520200</v>
          </cell>
          <cell r="AD47">
            <v>0</v>
          </cell>
          <cell r="AF47">
            <v>0</v>
          </cell>
          <cell r="AG47">
            <v>0</v>
          </cell>
          <cell r="AH47">
            <v>0</v>
          </cell>
        </row>
        <row r="48">
          <cell r="K48" t="str">
            <v>Gain Foreign Exchange (Net)</v>
          </cell>
          <cell r="M48" t="e">
            <v>#N/A</v>
          </cell>
          <cell r="N48" t="e">
            <v>#REF!</v>
          </cell>
          <cell r="O48" t="str">
            <v>I</v>
          </cell>
        </row>
        <row r="49">
          <cell r="H49">
            <v>167000</v>
          </cell>
          <cell r="L49">
            <v>0</v>
          </cell>
          <cell r="M49" t="e">
            <v>#N/A</v>
          </cell>
          <cell r="N49" t="e">
            <v>#REF!</v>
          </cell>
          <cell r="O49" t="str">
            <v>I</v>
          </cell>
        </row>
        <row r="50">
          <cell r="H50">
            <v>168000</v>
          </cell>
          <cell r="L50">
            <v>0</v>
          </cell>
          <cell r="M50" t="e">
            <v>#N/A</v>
          </cell>
          <cell r="N50" t="e">
            <v>#REF!</v>
          </cell>
          <cell r="O50" t="str">
            <v>I</v>
          </cell>
        </row>
        <row r="51">
          <cell r="K51" t="str">
            <v>Gain Foreign Exchange (Net)</v>
          </cell>
          <cell r="M51" t="e">
            <v>#N/A</v>
          </cell>
          <cell r="N51" t="e">
            <v>#REF!</v>
          </cell>
          <cell r="O51" t="str">
            <v>I</v>
          </cell>
          <cell r="P51">
            <v>0</v>
          </cell>
          <cell r="Q51">
            <v>0</v>
          </cell>
          <cell r="R51">
            <v>0</v>
          </cell>
          <cell r="T51">
            <v>0</v>
          </cell>
          <cell r="U51">
            <v>0</v>
          </cell>
          <cell r="V51">
            <v>0</v>
          </cell>
          <cell r="X51">
            <v>0</v>
          </cell>
          <cell r="Y51">
            <v>0</v>
          </cell>
          <cell r="Z51">
            <v>0</v>
          </cell>
          <cell r="AB51">
            <v>0</v>
          </cell>
          <cell r="AC51">
            <v>0</v>
          </cell>
          <cell r="AD51">
            <v>0</v>
          </cell>
          <cell r="AF51">
            <v>0</v>
          </cell>
          <cell r="AG51">
            <v>0</v>
          </cell>
          <cell r="AH51">
            <v>0</v>
          </cell>
        </row>
        <row r="52">
          <cell r="K52" t="str">
            <v>Liabilities No Longer Required Written Back</v>
          </cell>
          <cell r="M52" t="e">
            <v>#N/A</v>
          </cell>
          <cell r="N52" t="e">
            <v>#REF!</v>
          </cell>
          <cell r="O52" t="str">
            <v>I</v>
          </cell>
        </row>
        <row r="53">
          <cell r="G53">
            <v>11225</v>
          </cell>
          <cell r="H53">
            <v>169000</v>
          </cell>
          <cell r="I53" t="str">
            <v>5235</v>
          </cell>
          <cell r="L53" t="str">
            <v>Sundry Credit Balances Written Back</v>
          </cell>
          <cell r="M53" t="str">
            <v>SUNDRY CREDIT BALANCES WRITTEN BACK (5235)</v>
          </cell>
          <cell r="N53" t="e">
            <v>#REF!</v>
          </cell>
          <cell r="O53" t="str">
            <v>I</v>
          </cell>
          <cell r="Q53">
            <v>697075</v>
          </cell>
          <cell r="R53">
            <v>4264318</v>
          </cell>
          <cell r="U53">
            <v>25402</v>
          </cell>
          <cell r="V53">
            <v>2744911</v>
          </cell>
          <cell r="Y53">
            <v>25141</v>
          </cell>
          <cell r="Z53">
            <v>1482646</v>
          </cell>
          <cell r="AC53">
            <v>317570</v>
          </cell>
          <cell r="AD53">
            <v>0</v>
          </cell>
          <cell r="AG53">
            <v>328962</v>
          </cell>
          <cell r="AH53">
            <v>36761</v>
          </cell>
        </row>
        <row r="54">
          <cell r="G54">
            <v>11220</v>
          </cell>
          <cell r="H54">
            <v>170000</v>
          </cell>
          <cell r="I54" t="str">
            <v>5180</v>
          </cell>
          <cell r="L54" t="str">
            <v>Provision No Longer Required W/Back</v>
          </cell>
          <cell r="M54" t="str">
            <v>PROVISION (DRS) NO LONGER REQUIRED W/BACK (5180)</v>
          </cell>
          <cell r="N54" t="e">
            <v>#REF!</v>
          </cell>
          <cell r="O54" t="str">
            <v>I</v>
          </cell>
          <cell r="Q54">
            <v>1609678</v>
          </cell>
          <cell r="R54">
            <v>1165374</v>
          </cell>
          <cell r="U54">
            <v>22141</v>
          </cell>
          <cell r="V54">
            <v>179832</v>
          </cell>
          <cell r="Y54">
            <v>78784</v>
          </cell>
          <cell r="Z54">
            <v>985542</v>
          </cell>
          <cell r="AC54">
            <v>1508753</v>
          </cell>
          <cell r="AD54">
            <v>0</v>
          </cell>
          <cell r="AG54">
            <v>0</v>
          </cell>
          <cell r="AH54">
            <v>0</v>
          </cell>
        </row>
        <row r="55">
          <cell r="G55">
            <v>11230</v>
          </cell>
          <cell r="H55">
            <v>171000</v>
          </cell>
          <cell r="L55" t="str">
            <v>Liabilities No Longer Required Written Back</v>
          </cell>
          <cell r="M55" t="str">
            <v>LIABILITIES NO LONGER REQUIRED WRITTEN BACK</v>
          </cell>
          <cell r="N55" t="e">
            <v>#REF!</v>
          </cell>
          <cell r="O55" t="str">
            <v>I</v>
          </cell>
          <cell r="Q55">
            <v>32019200</v>
          </cell>
          <cell r="R55">
            <v>0</v>
          </cell>
          <cell r="U55">
            <v>31327575</v>
          </cell>
          <cell r="V55">
            <v>0</v>
          </cell>
          <cell r="Y55">
            <v>691625</v>
          </cell>
          <cell r="Z55">
            <v>0</v>
          </cell>
          <cell r="AC55">
            <v>0</v>
          </cell>
          <cell r="AD55">
            <v>0</v>
          </cell>
          <cell r="AG55">
            <v>0</v>
          </cell>
          <cell r="AH55">
            <v>0</v>
          </cell>
        </row>
        <row r="56">
          <cell r="M56" t="e">
            <v>#N/A</v>
          </cell>
          <cell r="N56" t="e">
            <v>#REF!</v>
          </cell>
          <cell r="O56" t="str">
            <v>I</v>
          </cell>
          <cell r="Q56">
            <v>0</v>
          </cell>
          <cell r="R56">
            <v>-1812800</v>
          </cell>
          <cell r="Z56">
            <v>-1812800</v>
          </cell>
          <cell r="AC56">
            <v>0</v>
          </cell>
          <cell r="AD56">
            <v>0</v>
          </cell>
          <cell r="AG56">
            <v>0</v>
          </cell>
          <cell r="AH56">
            <v>0</v>
          </cell>
        </row>
        <row r="57">
          <cell r="K57" t="str">
            <v>Liabilities No Longer Required Written Back</v>
          </cell>
          <cell r="M57" t="e">
            <v>#N/A</v>
          </cell>
          <cell r="N57" t="e">
            <v>#REF!</v>
          </cell>
          <cell r="O57" t="str">
            <v>I</v>
          </cell>
          <cell r="P57">
            <v>0</v>
          </cell>
          <cell r="Q57">
            <v>34325953</v>
          </cell>
          <cell r="R57">
            <v>3616892</v>
          </cell>
          <cell r="T57">
            <v>0</v>
          </cell>
          <cell r="U57">
            <v>31375118</v>
          </cell>
          <cell r="V57">
            <v>2924743</v>
          </cell>
          <cell r="X57">
            <v>0</v>
          </cell>
          <cell r="Y57">
            <v>795550</v>
          </cell>
          <cell r="Z57">
            <v>655388</v>
          </cell>
          <cell r="AB57">
            <v>0</v>
          </cell>
          <cell r="AC57">
            <v>1826323</v>
          </cell>
          <cell r="AD57">
            <v>0</v>
          </cell>
          <cell r="AF57">
            <v>0</v>
          </cell>
          <cell r="AG57">
            <v>328962</v>
          </cell>
          <cell r="AH57">
            <v>36761</v>
          </cell>
        </row>
        <row r="58">
          <cell r="K58" t="str">
            <v>Miscellaneous Income</v>
          </cell>
          <cell r="M58" t="e">
            <v>#N/A</v>
          </cell>
          <cell r="N58" t="e">
            <v>#REF!</v>
          </cell>
          <cell r="O58" t="str">
            <v>I</v>
          </cell>
        </row>
        <row r="59">
          <cell r="G59" t="str">
            <v>11055</v>
          </cell>
          <cell r="H59">
            <v>181000</v>
          </cell>
          <cell r="I59" t="str">
            <v>5160</v>
          </cell>
          <cell r="L59" t="str">
            <v>Jobbing/Other Income</v>
          </cell>
          <cell r="M59" t="e">
            <v>#N/A</v>
          </cell>
          <cell r="N59" t="e">
            <v>#REF!</v>
          </cell>
          <cell r="O59" t="str">
            <v>I</v>
          </cell>
          <cell r="Q59">
            <v>0</v>
          </cell>
          <cell r="R59">
            <v>0</v>
          </cell>
          <cell r="U59">
            <v>0</v>
          </cell>
          <cell r="V59">
            <v>0</v>
          </cell>
          <cell r="Y59">
            <v>0</v>
          </cell>
          <cell r="Z59">
            <v>0</v>
          </cell>
          <cell r="AC59">
            <v>0</v>
          </cell>
          <cell r="AD59">
            <v>0</v>
          </cell>
          <cell r="AG59">
            <v>0</v>
          </cell>
          <cell r="AH59">
            <v>0</v>
          </cell>
        </row>
        <row r="60">
          <cell r="G60">
            <v>11255</v>
          </cell>
          <cell r="I60" t="str">
            <v>5001</v>
          </cell>
          <cell r="L60" t="str">
            <v>Jobbing/Other Income</v>
          </cell>
          <cell r="O60" t="str">
            <v>I</v>
          </cell>
          <cell r="Q60">
            <v>0</v>
          </cell>
          <cell r="R60">
            <v>0</v>
          </cell>
          <cell r="U60">
            <v>0</v>
          </cell>
          <cell r="V60">
            <v>0</v>
          </cell>
          <cell r="Y60">
            <v>-3827415</v>
          </cell>
          <cell r="Z60">
            <v>-1408540</v>
          </cell>
          <cell r="AC60">
            <v>0</v>
          </cell>
          <cell r="AD60">
            <v>0</v>
          </cell>
          <cell r="AG60">
            <v>3827415</v>
          </cell>
          <cell r="AH60">
            <v>1408540</v>
          </cell>
        </row>
        <row r="61">
          <cell r="H61">
            <v>182000</v>
          </cell>
          <cell r="I61" t="str">
            <v>5190</v>
          </cell>
          <cell r="L61" t="str">
            <v>Lease Rent ( Income )</v>
          </cell>
          <cell r="M61" t="e">
            <v>#N/A</v>
          </cell>
          <cell r="N61" t="e">
            <v>#REF!</v>
          </cell>
          <cell r="O61" t="str">
            <v>I</v>
          </cell>
          <cell r="Q61">
            <v>0</v>
          </cell>
          <cell r="R61">
            <v>0</v>
          </cell>
          <cell r="U61">
            <v>0</v>
          </cell>
          <cell r="V61">
            <v>0</v>
          </cell>
          <cell r="Y61">
            <v>0</v>
          </cell>
          <cell r="Z61">
            <v>0</v>
          </cell>
          <cell r="AC61">
            <v>0</v>
          </cell>
          <cell r="AD61">
            <v>0</v>
          </cell>
          <cell r="AG61">
            <v>0</v>
          </cell>
          <cell r="AH61">
            <v>0</v>
          </cell>
        </row>
        <row r="62">
          <cell r="G62">
            <v>11265</v>
          </cell>
          <cell r="H62">
            <v>190000</v>
          </cell>
          <cell r="I62" t="str">
            <v>5230</v>
          </cell>
          <cell r="L62" t="str">
            <v>Sundry Income</v>
          </cell>
          <cell r="M62" t="e">
            <v>#N/A</v>
          </cell>
          <cell r="N62" t="e">
            <v>#REF!</v>
          </cell>
          <cell r="O62" t="str">
            <v>I</v>
          </cell>
          <cell r="Q62">
            <v>148577</v>
          </cell>
          <cell r="R62">
            <v>0</v>
          </cell>
          <cell r="U62">
            <v>37718</v>
          </cell>
          <cell r="V62">
            <v>0</v>
          </cell>
          <cell r="Y62">
            <v>0</v>
          </cell>
          <cell r="Z62">
            <v>0</v>
          </cell>
          <cell r="AC62">
            <v>110859</v>
          </cell>
          <cell r="AD62">
            <v>0</v>
          </cell>
          <cell r="AG62">
            <v>0</v>
          </cell>
          <cell r="AH62">
            <v>0</v>
          </cell>
        </row>
        <row r="63">
          <cell r="K63" t="str">
            <v>Miscellaneous Income</v>
          </cell>
          <cell r="M63" t="e">
            <v>#N/A</v>
          </cell>
          <cell r="N63" t="e">
            <v>#REF!</v>
          </cell>
          <cell r="O63" t="str">
            <v>I</v>
          </cell>
          <cell r="P63">
            <v>0</v>
          </cell>
          <cell r="Q63">
            <v>148577</v>
          </cell>
          <cell r="R63">
            <v>0</v>
          </cell>
          <cell r="T63">
            <v>0</v>
          </cell>
          <cell r="U63">
            <v>37718</v>
          </cell>
          <cell r="V63">
            <v>0</v>
          </cell>
          <cell r="X63">
            <v>0</v>
          </cell>
          <cell r="Y63">
            <v>-3827415</v>
          </cell>
          <cell r="Z63">
            <v>-1408540</v>
          </cell>
          <cell r="AB63">
            <v>0</v>
          </cell>
          <cell r="AC63">
            <v>110859</v>
          </cell>
          <cell r="AD63">
            <v>0</v>
          </cell>
          <cell r="AF63">
            <v>0</v>
          </cell>
          <cell r="AG63">
            <v>3827415</v>
          </cell>
          <cell r="AH63">
            <v>1408540</v>
          </cell>
        </row>
        <row r="64">
          <cell r="J64" t="str">
            <v>OTHER INCOME</v>
          </cell>
          <cell r="M64" t="e">
            <v>#N/A</v>
          </cell>
          <cell r="N64" t="e">
            <v>#REF!</v>
          </cell>
          <cell r="O64" t="str">
            <v>I</v>
          </cell>
          <cell r="P64">
            <v>0</v>
          </cell>
          <cell r="Q64">
            <v>79756341</v>
          </cell>
          <cell r="R64">
            <v>16095071</v>
          </cell>
          <cell r="T64">
            <v>0</v>
          </cell>
          <cell r="U64">
            <v>73975112</v>
          </cell>
          <cell r="V64">
            <v>13883377</v>
          </cell>
          <cell r="X64">
            <v>0</v>
          </cell>
          <cell r="Y64">
            <v>-1865212</v>
          </cell>
          <cell r="Z64">
            <v>586906</v>
          </cell>
          <cell r="AB64">
            <v>0</v>
          </cell>
          <cell r="AC64">
            <v>3325407</v>
          </cell>
          <cell r="AD64">
            <v>0</v>
          </cell>
          <cell r="AF64">
            <v>0</v>
          </cell>
          <cell r="AG64">
            <v>4321034</v>
          </cell>
          <cell r="AH64">
            <v>1624788</v>
          </cell>
        </row>
        <row r="65">
          <cell r="O65" t="str">
            <v>I</v>
          </cell>
        </row>
        <row r="66">
          <cell r="J66" t="str">
            <v>REVENUE TOTAL</v>
          </cell>
          <cell r="M66" t="e">
            <v>#N/A</v>
          </cell>
          <cell r="N66" t="e">
            <v>#REF!</v>
          </cell>
          <cell r="O66" t="str">
            <v>I</v>
          </cell>
          <cell r="P66">
            <v>0</v>
          </cell>
          <cell r="Q66">
            <v>2766046828</v>
          </cell>
          <cell r="R66">
            <v>2785957201</v>
          </cell>
          <cell r="T66">
            <v>0</v>
          </cell>
          <cell r="U66">
            <v>693044558</v>
          </cell>
          <cell r="V66">
            <v>730812699</v>
          </cell>
          <cell r="X66">
            <v>0</v>
          </cell>
          <cell r="Y66">
            <v>1398882562</v>
          </cell>
          <cell r="Z66">
            <v>1458210790</v>
          </cell>
          <cell r="AB66">
            <v>0</v>
          </cell>
          <cell r="AC66">
            <v>327721588</v>
          </cell>
          <cell r="AD66">
            <v>317722528</v>
          </cell>
          <cell r="AF66">
            <v>0</v>
          </cell>
          <cell r="AG66">
            <v>346398120</v>
          </cell>
          <cell r="AH66">
            <v>279211184</v>
          </cell>
        </row>
        <row r="67">
          <cell r="Q67">
            <v>0</v>
          </cell>
          <cell r="R67">
            <v>0</v>
          </cell>
        </row>
        <row r="69">
          <cell r="J69" t="str">
            <v>EXPENDITURE</v>
          </cell>
          <cell r="M69" t="e">
            <v>#N/A</v>
          </cell>
          <cell r="N69" t="e">
            <v>#REF!</v>
          </cell>
          <cell r="O69" t="str">
            <v>E</v>
          </cell>
        </row>
        <row r="70">
          <cell r="J70" t="str">
            <v>COST OF MATERIAL CONSUMED</v>
          </cell>
          <cell r="M70" t="e">
            <v>#N/A</v>
          </cell>
          <cell r="N70" t="e">
            <v>#REF!</v>
          </cell>
          <cell r="O70" t="str">
            <v>E</v>
          </cell>
        </row>
        <row r="71">
          <cell r="K71" t="str">
            <v xml:space="preserve"> Raw Materials Consumed</v>
          </cell>
          <cell r="M71" t="e">
            <v>#N/A</v>
          </cell>
          <cell r="N71" t="e">
            <v>#REF!</v>
          </cell>
          <cell r="O71" t="str">
            <v>E</v>
          </cell>
        </row>
        <row r="72">
          <cell r="K72" t="str">
            <v>Opening Inventory</v>
          </cell>
          <cell r="M72" t="e">
            <v>#N/A</v>
          </cell>
          <cell r="N72" t="e">
            <v>#REF!</v>
          </cell>
          <cell r="O72" t="str">
            <v>E</v>
          </cell>
          <cell r="Q72">
            <v>0</v>
          </cell>
          <cell r="U72">
            <v>0</v>
          </cell>
          <cell r="Y72">
            <v>0</v>
          </cell>
          <cell r="AC72">
            <v>0</v>
          </cell>
          <cell r="AG72">
            <v>0</v>
          </cell>
        </row>
        <row r="73">
          <cell r="G73">
            <v>12146</v>
          </cell>
          <cell r="H73">
            <v>201000</v>
          </cell>
          <cell r="I73" t="str">
            <v>8971</v>
          </cell>
          <cell r="L73" t="str">
            <v>Op. Sto Raw Matl - P &amp; L</v>
          </cell>
          <cell r="M73" t="str">
            <v>OPENING STOCK OF RAW MATERIALS</v>
          </cell>
          <cell r="N73" t="e">
            <v>#REF!</v>
          </cell>
          <cell r="O73" t="str">
            <v>E</v>
          </cell>
          <cell r="P73">
            <v>0</v>
          </cell>
          <cell r="Q73">
            <v>141013228</v>
          </cell>
          <cell r="R73">
            <v>91058392</v>
          </cell>
          <cell r="T73">
            <v>0</v>
          </cell>
          <cell r="U73">
            <v>30804595</v>
          </cell>
          <cell r="V73">
            <v>14572118</v>
          </cell>
          <cell r="X73">
            <v>0</v>
          </cell>
          <cell r="Y73">
            <v>61749013</v>
          </cell>
          <cell r="Z73">
            <v>24540906</v>
          </cell>
          <cell r="AB73">
            <v>0</v>
          </cell>
          <cell r="AC73">
            <v>36087751</v>
          </cell>
          <cell r="AD73">
            <v>38856418</v>
          </cell>
          <cell r="AF73">
            <v>0</v>
          </cell>
          <cell r="AG73">
            <v>12371869</v>
          </cell>
          <cell r="AH73">
            <v>13088950</v>
          </cell>
        </row>
        <row r="74">
          <cell r="L74">
            <v>0</v>
          </cell>
          <cell r="M74" t="e">
            <v>#N/A</v>
          </cell>
          <cell r="N74" t="e">
            <v>#REF!</v>
          </cell>
          <cell r="O74" t="str">
            <v>E</v>
          </cell>
          <cell r="AC74">
            <v>0</v>
          </cell>
          <cell r="AD74">
            <v>0</v>
          </cell>
          <cell r="AG74">
            <v>0</v>
          </cell>
          <cell r="AH74">
            <v>0</v>
          </cell>
        </row>
        <row r="75">
          <cell r="K75" t="str">
            <v>Opening Inventory</v>
          </cell>
          <cell r="M75" t="e">
            <v>#N/A</v>
          </cell>
          <cell r="N75" t="e">
            <v>#REF!</v>
          </cell>
          <cell r="O75" t="str">
            <v>E</v>
          </cell>
          <cell r="P75">
            <v>0</v>
          </cell>
          <cell r="Q75">
            <v>141013228</v>
          </cell>
          <cell r="R75">
            <v>91058392</v>
          </cell>
          <cell r="T75">
            <v>0</v>
          </cell>
          <cell r="U75">
            <v>30804595</v>
          </cell>
          <cell r="V75">
            <v>14572118</v>
          </cell>
          <cell r="X75">
            <v>0</v>
          </cell>
          <cell r="Y75">
            <v>61749013</v>
          </cell>
          <cell r="Z75">
            <v>24540906</v>
          </cell>
          <cell r="AB75">
            <v>0</v>
          </cell>
          <cell r="AC75">
            <v>36087751</v>
          </cell>
          <cell r="AD75">
            <v>38856418</v>
          </cell>
          <cell r="AF75">
            <v>0</v>
          </cell>
          <cell r="AG75">
            <v>12371869</v>
          </cell>
          <cell r="AH75">
            <v>13088950</v>
          </cell>
        </row>
        <row r="76">
          <cell r="K76" t="str">
            <v>Add: Purchases</v>
          </cell>
          <cell r="M76" t="e">
            <v>#N/A</v>
          </cell>
          <cell r="N76" t="e">
            <v>#REF!</v>
          </cell>
          <cell r="O76" t="str">
            <v>E</v>
          </cell>
        </row>
        <row r="77">
          <cell r="G77">
            <v>15075</v>
          </cell>
          <cell r="H77">
            <v>202000</v>
          </cell>
          <cell r="I77" t="str">
            <v>6000</v>
          </cell>
          <cell r="L77" t="str">
            <v>PURCHASE A/C - RAW MATERIALS</v>
          </cell>
          <cell r="M77" t="str">
            <v>PURCHASE A/C - RAW MATERIALS</v>
          </cell>
          <cell r="N77" t="e">
            <v>#REF!</v>
          </cell>
          <cell r="O77" t="str">
            <v>E</v>
          </cell>
          <cell r="P77">
            <v>0</v>
          </cell>
          <cell r="Q77">
            <v>7019299</v>
          </cell>
          <cell r="R77">
            <v>10820</v>
          </cell>
          <cell r="T77">
            <v>0</v>
          </cell>
          <cell r="U77">
            <v>7017349</v>
          </cell>
          <cell r="V77">
            <v>0</v>
          </cell>
          <cell r="X77">
            <v>0</v>
          </cell>
          <cell r="Y77">
            <v>0</v>
          </cell>
          <cell r="Z77">
            <v>0</v>
          </cell>
          <cell r="AB77">
            <v>0</v>
          </cell>
          <cell r="AC77">
            <v>0</v>
          </cell>
          <cell r="AD77">
            <v>0</v>
          </cell>
          <cell r="AF77">
            <v>0</v>
          </cell>
          <cell r="AG77">
            <v>1950</v>
          </cell>
          <cell r="AH77">
            <v>10820</v>
          </cell>
        </row>
        <row r="78">
          <cell r="G78" t="str">
            <v>15075-1</v>
          </cell>
          <cell r="H78">
            <v>203000</v>
          </cell>
          <cell r="I78" t="str">
            <v>6010</v>
          </cell>
          <cell r="L78" t="str">
            <v>Purchase A/C -  Rm - Steel / Hmhdpe - Local</v>
          </cell>
          <cell r="M78" t="str">
            <v>PURCHASE A/C - RM (STEEL / HDPE )</v>
          </cell>
          <cell r="N78" t="e">
            <v>#REF!</v>
          </cell>
          <cell r="O78" t="str">
            <v>E</v>
          </cell>
          <cell r="P78">
            <v>0</v>
          </cell>
          <cell r="Q78">
            <v>1055033934</v>
          </cell>
          <cell r="R78">
            <v>1280182307</v>
          </cell>
          <cell r="T78">
            <v>0</v>
          </cell>
          <cell r="U78">
            <v>192982400</v>
          </cell>
          <cell r="V78">
            <v>307567064</v>
          </cell>
          <cell r="X78">
            <v>0</v>
          </cell>
          <cell r="Y78">
            <v>863799971</v>
          </cell>
          <cell r="Z78">
            <v>972072716</v>
          </cell>
          <cell r="AB78">
            <v>0</v>
          </cell>
          <cell r="AC78">
            <v>-2838437</v>
          </cell>
          <cell r="AD78">
            <v>-407473</v>
          </cell>
          <cell r="AF78">
            <v>0</v>
          </cell>
          <cell r="AG78">
            <v>1090000</v>
          </cell>
          <cell r="AH78">
            <v>950000</v>
          </cell>
        </row>
        <row r="79">
          <cell r="G79" t="str">
            <v>15075-7</v>
          </cell>
          <cell r="H79">
            <v>204000</v>
          </cell>
          <cell r="L79" t="str">
            <v>Purchase A/C -  Rm - Steel / Hmhdpe - Local</v>
          </cell>
          <cell r="M79" t="str">
            <v>PURCHASE A/C - RM (PURCHASE+PROCESS)</v>
          </cell>
          <cell r="N79" t="e">
            <v>#REF!</v>
          </cell>
          <cell r="O79" t="str">
            <v>E</v>
          </cell>
          <cell r="P79">
            <v>0</v>
          </cell>
          <cell r="Q79">
            <v>51260443</v>
          </cell>
          <cell r="R79">
            <v>63236949</v>
          </cell>
          <cell r="T79">
            <v>0</v>
          </cell>
          <cell r="U79">
            <v>47882762</v>
          </cell>
          <cell r="V79">
            <v>59828847</v>
          </cell>
          <cell r="X79">
            <v>0</v>
          </cell>
          <cell r="Y79">
            <v>3377681</v>
          </cell>
          <cell r="Z79">
            <v>3408102</v>
          </cell>
          <cell r="AB79">
            <v>0</v>
          </cell>
          <cell r="AC79">
            <v>0</v>
          </cell>
          <cell r="AD79">
            <v>0</v>
          </cell>
          <cell r="AF79">
            <v>0</v>
          </cell>
          <cell r="AG79">
            <v>0</v>
          </cell>
          <cell r="AH79">
            <v>0</v>
          </cell>
        </row>
        <row r="80">
          <cell r="H80">
            <v>205000</v>
          </cell>
          <cell r="I80" t="str">
            <v>6011</v>
          </cell>
          <cell r="L80" t="str">
            <v>Purchase A/C -  Rm - Zinc+Local</v>
          </cell>
          <cell r="M80" t="e">
            <v>#N/A</v>
          </cell>
          <cell r="N80" t="e">
            <v>#REF!</v>
          </cell>
          <cell r="O80" t="str">
            <v>E</v>
          </cell>
          <cell r="P80">
            <v>0</v>
          </cell>
          <cell r="Q80">
            <v>2254084</v>
          </cell>
          <cell r="R80">
            <v>2019583</v>
          </cell>
          <cell r="T80">
            <v>0</v>
          </cell>
          <cell r="U80">
            <v>0</v>
          </cell>
          <cell r="V80">
            <v>0</v>
          </cell>
          <cell r="X80">
            <v>0</v>
          </cell>
          <cell r="Y80">
            <v>0</v>
          </cell>
          <cell r="Z80">
            <v>0</v>
          </cell>
          <cell r="AB80">
            <v>0</v>
          </cell>
          <cell r="AC80">
            <v>2254084</v>
          </cell>
          <cell r="AD80">
            <v>2019583</v>
          </cell>
          <cell r="AF80">
            <v>0</v>
          </cell>
          <cell r="AG80">
            <v>0</v>
          </cell>
          <cell r="AH80">
            <v>0</v>
          </cell>
        </row>
        <row r="81">
          <cell r="G81" t="str">
            <v>15075-2</v>
          </cell>
          <cell r="H81">
            <v>206000</v>
          </cell>
          <cell r="I81" t="str">
            <v>6012</v>
          </cell>
          <cell r="L81" t="str">
            <v>Purchase A/C - Rm  -Gaskets/        - Local</v>
          </cell>
          <cell r="M81" t="str">
            <v>PURCHASE A/C - RM (GASKET TUBE / MASTER BATCH)</v>
          </cell>
          <cell r="N81" t="e">
            <v>#REF!</v>
          </cell>
          <cell r="O81" t="str">
            <v>E</v>
          </cell>
          <cell r="P81">
            <v>0</v>
          </cell>
          <cell r="Q81">
            <v>12204779</v>
          </cell>
          <cell r="R81">
            <v>11366660</v>
          </cell>
          <cell r="T81">
            <v>0</v>
          </cell>
          <cell r="U81">
            <v>0</v>
          </cell>
          <cell r="V81">
            <v>-82898</v>
          </cell>
          <cell r="X81">
            <v>0</v>
          </cell>
          <cell r="Y81">
            <v>12204779</v>
          </cell>
          <cell r="Z81">
            <v>11449558</v>
          </cell>
          <cell r="AB81">
            <v>0</v>
          </cell>
          <cell r="AC81">
            <v>0</v>
          </cell>
          <cell r="AD81">
            <v>0</v>
          </cell>
          <cell r="AF81">
            <v>0</v>
          </cell>
          <cell r="AG81">
            <v>0</v>
          </cell>
          <cell r="AH81">
            <v>0</v>
          </cell>
        </row>
        <row r="82">
          <cell r="G82" t="str">
            <v>15075-3</v>
          </cell>
          <cell r="H82">
            <v>207000</v>
          </cell>
          <cell r="I82" t="str">
            <v>6013</v>
          </cell>
          <cell r="L82" t="str">
            <v>Purchase A/C - Tfs/Tinplates  - Local</v>
          </cell>
          <cell r="M82" t="str">
            <v>PURCHASE A/C - RM (TIN PLATE / CO-PP)</v>
          </cell>
          <cell r="N82" t="e">
            <v>#REF!</v>
          </cell>
          <cell r="O82" t="str">
            <v>E</v>
          </cell>
          <cell r="P82">
            <v>0</v>
          </cell>
          <cell r="Q82">
            <v>41008786</v>
          </cell>
          <cell r="R82">
            <v>51837778</v>
          </cell>
          <cell r="T82">
            <v>0</v>
          </cell>
          <cell r="U82">
            <v>6738693</v>
          </cell>
          <cell r="V82">
            <v>11481913</v>
          </cell>
          <cell r="X82">
            <v>0</v>
          </cell>
          <cell r="Y82">
            <v>34270093</v>
          </cell>
          <cell r="Z82">
            <v>40377230</v>
          </cell>
          <cell r="AB82">
            <v>0</v>
          </cell>
          <cell r="AC82">
            <v>0</v>
          </cell>
          <cell r="AD82">
            <v>-21365</v>
          </cell>
          <cell r="AF82">
            <v>0</v>
          </cell>
          <cell r="AG82">
            <v>0</v>
          </cell>
          <cell r="AH82">
            <v>0</v>
          </cell>
        </row>
        <row r="83">
          <cell r="G83" t="str">
            <v>15075-4</v>
          </cell>
          <cell r="H83">
            <v>208000</v>
          </cell>
          <cell r="I83" t="str">
            <v>6014</v>
          </cell>
          <cell r="L83" t="str">
            <v>Purchase A/C - Rm - Ptfs/Inks</v>
          </cell>
          <cell r="M83" t="str">
            <v>PURCHASE A/C - RM (INKS)</v>
          </cell>
          <cell r="N83" t="e">
            <v>#REF!</v>
          </cell>
          <cell r="O83" t="str">
            <v>E</v>
          </cell>
          <cell r="P83">
            <v>0</v>
          </cell>
          <cell r="Q83">
            <v>10213457</v>
          </cell>
          <cell r="R83">
            <v>8965894</v>
          </cell>
          <cell r="T83">
            <v>0</v>
          </cell>
          <cell r="U83">
            <v>1470359</v>
          </cell>
          <cell r="V83">
            <v>1402591</v>
          </cell>
          <cell r="X83">
            <v>0</v>
          </cell>
          <cell r="Y83">
            <v>8743098</v>
          </cell>
          <cell r="Z83">
            <v>7563303</v>
          </cell>
          <cell r="AB83">
            <v>0</v>
          </cell>
          <cell r="AC83">
            <v>0</v>
          </cell>
          <cell r="AD83">
            <v>0</v>
          </cell>
          <cell r="AF83">
            <v>0</v>
          </cell>
          <cell r="AG83">
            <v>0</v>
          </cell>
          <cell r="AH83">
            <v>0</v>
          </cell>
        </row>
        <row r="84">
          <cell r="G84" t="str">
            <v>15075-5</v>
          </cell>
          <cell r="H84">
            <v>209000</v>
          </cell>
          <cell r="I84" t="str">
            <v>6015</v>
          </cell>
          <cell r="L84" t="str">
            <v>Purchase A/C - Rm -Steel / Hmhdpe - Imported</v>
          </cell>
          <cell r="M84" t="str">
            <v>PURCHASE A/C - RM (CHEMICALS / ACCESSORIES)</v>
          </cell>
          <cell r="N84" t="e">
            <v>#REF!</v>
          </cell>
          <cell r="O84" t="str">
            <v>E</v>
          </cell>
          <cell r="P84">
            <v>0</v>
          </cell>
          <cell r="Q84">
            <v>470086926</v>
          </cell>
          <cell r="R84">
            <v>405720393</v>
          </cell>
          <cell r="T84">
            <v>0</v>
          </cell>
          <cell r="U84">
            <v>32633524</v>
          </cell>
          <cell r="V84">
            <v>37074897</v>
          </cell>
          <cell r="X84">
            <v>0</v>
          </cell>
          <cell r="Y84">
            <v>16718704</v>
          </cell>
          <cell r="Z84">
            <v>19239764</v>
          </cell>
          <cell r="AB84">
            <v>0</v>
          </cell>
          <cell r="AC84">
            <v>184643018</v>
          </cell>
          <cell r="AD84">
            <v>161915405</v>
          </cell>
          <cell r="AF84">
            <v>0</v>
          </cell>
          <cell r="AG84">
            <v>236091680</v>
          </cell>
          <cell r="AH84">
            <v>187490327</v>
          </cell>
        </row>
        <row r="85">
          <cell r="H85">
            <v>209000</v>
          </cell>
          <cell r="I85" t="str">
            <v>6017</v>
          </cell>
          <cell r="L85" t="str">
            <v>Purchase A/c RM - Others - Imported</v>
          </cell>
          <cell r="M85" t="e">
            <v>#N/A</v>
          </cell>
          <cell r="N85" t="e">
            <v>#REF!</v>
          </cell>
          <cell r="O85" t="str">
            <v>E</v>
          </cell>
          <cell r="P85">
            <v>0</v>
          </cell>
          <cell r="Q85">
            <v>9536</v>
          </cell>
          <cell r="R85">
            <v>0</v>
          </cell>
          <cell r="T85">
            <v>0</v>
          </cell>
          <cell r="U85">
            <v>0</v>
          </cell>
          <cell r="V85">
            <v>0</v>
          </cell>
          <cell r="X85">
            <v>0</v>
          </cell>
          <cell r="Y85">
            <v>0</v>
          </cell>
          <cell r="Z85">
            <v>0</v>
          </cell>
          <cell r="AB85">
            <v>0</v>
          </cell>
          <cell r="AC85">
            <v>9536</v>
          </cell>
          <cell r="AD85">
            <v>0</v>
          </cell>
          <cell r="AF85">
            <v>0</v>
          </cell>
          <cell r="AG85">
            <v>0</v>
          </cell>
          <cell r="AH85">
            <v>0</v>
          </cell>
        </row>
        <row r="86">
          <cell r="G86" t="str">
            <v>15075-6</v>
          </cell>
          <cell r="H86">
            <v>210000</v>
          </cell>
          <cell r="I86" t="str">
            <v>6020</v>
          </cell>
          <cell r="L86" t="str">
            <v>Purchase A/C -  Rm - Others</v>
          </cell>
          <cell r="M86" t="str">
            <v>PURCHASE A/C - RM (OTHERS)</v>
          </cell>
          <cell r="N86" t="e">
            <v>#REF!</v>
          </cell>
          <cell r="O86" t="str">
            <v>E</v>
          </cell>
          <cell r="P86">
            <v>0</v>
          </cell>
          <cell r="Q86">
            <v>91323984</v>
          </cell>
          <cell r="R86">
            <v>112735729</v>
          </cell>
          <cell r="T86">
            <v>0</v>
          </cell>
          <cell r="U86">
            <v>13748839</v>
          </cell>
          <cell r="V86">
            <v>3788495</v>
          </cell>
          <cell r="X86">
            <v>0</v>
          </cell>
          <cell r="Y86">
            <v>0</v>
          </cell>
          <cell r="Z86">
            <v>0</v>
          </cell>
          <cell r="AB86">
            <v>0</v>
          </cell>
          <cell r="AC86">
            <v>54636023</v>
          </cell>
          <cell r="AD86">
            <v>92597585</v>
          </cell>
          <cell r="AF86">
            <v>0</v>
          </cell>
          <cell r="AG86">
            <v>22939122</v>
          </cell>
          <cell r="AH86">
            <v>16349649</v>
          </cell>
        </row>
        <row r="87">
          <cell r="G87">
            <v>12160</v>
          </cell>
          <cell r="H87">
            <v>211000</v>
          </cell>
          <cell r="I87" t="str">
            <v>6021</v>
          </cell>
          <cell r="L87" t="str">
            <v>Nmmc Cess A/C Others</v>
          </cell>
          <cell r="M87" t="str">
            <v>NMMC EXPENSE ACCOUNT</v>
          </cell>
          <cell r="N87" t="e">
            <v>#REF!</v>
          </cell>
          <cell r="O87" t="str">
            <v>E</v>
          </cell>
          <cell r="P87">
            <v>0</v>
          </cell>
          <cell r="Q87">
            <v>24225969</v>
          </cell>
          <cell r="R87">
            <v>29208830</v>
          </cell>
          <cell r="T87">
            <v>0</v>
          </cell>
          <cell r="U87">
            <v>7529988</v>
          </cell>
          <cell r="V87">
            <v>9338268</v>
          </cell>
          <cell r="X87">
            <v>0</v>
          </cell>
          <cell r="Y87">
            <v>16695981</v>
          </cell>
          <cell r="Z87">
            <v>19870562</v>
          </cell>
          <cell r="AB87">
            <v>0</v>
          </cell>
          <cell r="AC87">
            <v>0</v>
          </cell>
          <cell r="AD87">
            <v>0</v>
          </cell>
          <cell r="AF87">
            <v>0</v>
          </cell>
          <cell r="AG87">
            <v>0</v>
          </cell>
          <cell r="AH87">
            <v>0</v>
          </cell>
        </row>
        <row r="88">
          <cell r="G88">
            <v>12175</v>
          </cell>
          <cell r="H88">
            <v>212000</v>
          </cell>
          <cell r="I88" t="str">
            <v>6031</v>
          </cell>
          <cell r="L88" t="str">
            <v>Purchase-Excise Dutyon Fg Stock</v>
          </cell>
          <cell r="M88" t="str">
            <v>Excise duty on FG Stock (Purchase/Consumption)</v>
          </cell>
          <cell r="N88" t="e">
            <v>#REF!</v>
          </cell>
          <cell r="O88" t="str">
            <v>E</v>
          </cell>
          <cell r="P88">
            <v>0</v>
          </cell>
          <cell r="Q88">
            <v>24433</v>
          </cell>
          <cell r="R88">
            <v>657382</v>
          </cell>
          <cell r="T88">
            <v>0</v>
          </cell>
          <cell r="U88">
            <v>-450545</v>
          </cell>
          <cell r="V88">
            <v>296720</v>
          </cell>
          <cell r="X88">
            <v>0</v>
          </cell>
          <cell r="Y88">
            <v>349820</v>
          </cell>
          <cell r="Z88">
            <v>-229230</v>
          </cell>
          <cell r="AB88">
            <v>0</v>
          </cell>
          <cell r="AC88">
            <v>-53792</v>
          </cell>
          <cell r="AD88">
            <v>-251227</v>
          </cell>
          <cell r="AF88">
            <v>0</v>
          </cell>
          <cell r="AG88">
            <v>178950</v>
          </cell>
          <cell r="AH88">
            <v>841119</v>
          </cell>
        </row>
        <row r="89">
          <cell r="G89">
            <v>12165</v>
          </cell>
          <cell r="H89">
            <v>213000</v>
          </cell>
          <cell r="L89" t="str">
            <v>Purchase A/C - Octroi</v>
          </cell>
          <cell r="M89" t="str">
            <v>OCTROI ON PURCHASE</v>
          </cell>
          <cell r="N89" t="e">
            <v>#REF!</v>
          </cell>
          <cell r="O89" t="str">
            <v>E</v>
          </cell>
          <cell r="P89">
            <v>0</v>
          </cell>
          <cell r="Q89">
            <v>66524</v>
          </cell>
          <cell r="R89">
            <v>135345</v>
          </cell>
          <cell r="T89">
            <v>0</v>
          </cell>
          <cell r="U89">
            <v>0</v>
          </cell>
          <cell r="V89">
            <v>5632</v>
          </cell>
          <cell r="X89">
            <v>0</v>
          </cell>
          <cell r="Y89">
            <v>66524</v>
          </cell>
          <cell r="Z89">
            <v>129713</v>
          </cell>
          <cell r="AB89">
            <v>0</v>
          </cell>
          <cell r="AC89">
            <v>0</v>
          </cell>
          <cell r="AD89">
            <v>0</v>
          </cell>
          <cell r="AF89">
            <v>0</v>
          </cell>
          <cell r="AG89">
            <v>0</v>
          </cell>
          <cell r="AH89">
            <v>0</v>
          </cell>
        </row>
        <row r="90">
          <cell r="G90">
            <v>12152</v>
          </cell>
          <cell r="H90">
            <v>214000</v>
          </cell>
          <cell r="I90" t="str">
            <v>6102</v>
          </cell>
          <cell r="L90" t="str">
            <v>Transport Account Purchase (6102)</v>
          </cell>
          <cell r="M90" t="str">
            <v>TRANSPORT ACCOUNT PURCHASE (6102)</v>
          </cell>
          <cell r="N90" t="e">
            <v>#REF!</v>
          </cell>
          <cell r="O90" t="str">
            <v>E</v>
          </cell>
          <cell r="P90">
            <v>0</v>
          </cell>
          <cell r="Q90">
            <v>19909021</v>
          </cell>
          <cell r="R90">
            <v>13443960</v>
          </cell>
          <cell r="T90">
            <v>0</v>
          </cell>
          <cell r="U90">
            <v>-142575</v>
          </cell>
          <cell r="V90">
            <v>814134</v>
          </cell>
          <cell r="X90">
            <v>0</v>
          </cell>
          <cell r="Y90">
            <v>6288586</v>
          </cell>
          <cell r="Z90">
            <v>3916519</v>
          </cell>
          <cell r="AB90">
            <v>0</v>
          </cell>
          <cell r="AC90">
            <v>3305782</v>
          </cell>
          <cell r="AD90">
            <v>4041047</v>
          </cell>
          <cell r="AF90">
            <v>0</v>
          </cell>
          <cell r="AG90">
            <v>10457228</v>
          </cell>
          <cell r="AH90">
            <v>4672260</v>
          </cell>
        </row>
        <row r="91">
          <cell r="G91">
            <v>12170</v>
          </cell>
          <cell r="H91">
            <v>215000</v>
          </cell>
          <cell r="I91" t="str">
            <v>6104</v>
          </cell>
          <cell r="L91" t="str">
            <v>C.S.T A/C. - Purchase</v>
          </cell>
          <cell r="M91" t="str">
            <v>CST EXPENSES ACCOUNT</v>
          </cell>
          <cell r="N91" t="e">
            <v>#REF!</v>
          </cell>
          <cell r="O91" t="str">
            <v>E</v>
          </cell>
          <cell r="P91">
            <v>0</v>
          </cell>
          <cell r="Q91">
            <v>826979</v>
          </cell>
          <cell r="R91">
            <v>1578324</v>
          </cell>
          <cell r="T91">
            <v>0</v>
          </cell>
          <cell r="U91">
            <v>193124</v>
          </cell>
          <cell r="V91">
            <v>481928</v>
          </cell>
          <cell r="X91">
            <v>0</v>
          </cell>
          <cell r="Y91">
            <v>335912</v>
          </cell>
          <cell r="Z91">
            <v>586676</v>
          </cell>
          <cell r="AB91">
            <v>0</v>
          </cell>
          <cell r="AC91">
            <v>297943</v>
          </cell>
          <cell r="AD91">
            <v>509720</v>
          </cell>
          <cell r="AF91">
            <v>0</v>
          </cell>
          <cell r="AG91">
            <v>0</v>
          </cell>
          <cell r="AH91">
            <v>0</v>
          </cell>
        </row>
        <row r="92">
          <cell r="H92">
            <v>216000</v>
          </cell>
          <cell r="I92" t="str">
            <v>6106</v>
          </cell>
          <cell r="L92" t="str">
            <v>Clearing Charges/ Jobbing Exp</v>
          </cell>
          <cell r="M92" t="e">
            <v>#N/A</v>
          </cell>
          <cell r="N92" t="e">
            <v>#REF!</v>
          </cell>
          <cell r="O92" t="str">
            <v>E</v>
          </cell>
          <cell r="P92">
            <v>0</v>
          </cell>
          <cell r="Q92">
            <v>316694</v>
          </cell>
          <cell r="R92">
            <v>32359</v>
          </cell>
          <cell r="T92">
            <v>0</v>
          </cell>
          <cell r="U92">
            <v>0</v>
          </cell>
          <cell r="V92">
            <v>0</v>
          </cell>
          <cell r="X92">
            <v>0</v>
          </cell>
          <cell r="Y92">
            <v>0</v>
          </cell>
          <cell r="Z92">
            <v>0</v>
          </cell>
          <cell r="AB92">
            <v>0</v>
          </cell>
          <cell r="AC92">
            <v>316694</v>
          </cell>
          <cell r="AD92">
            <v>32359</v>
          </cell>
          <cell r="AF92">
            <v>0</v>
          </cell>
          <cell r="AG92">
            <v>0</v>
          </cell>
          <cell r="AH92">
            <v>0</v>
          </cell>
        </row>
        <row r="93">
          <cell r="G93">
            <v>12161</v>
          </cell>
          <cell r="I93" t="str">
            <v>6110</v>
          </cell>
          <cell r="L93" t="str">
            <v>Swachh Bharat Cess - Purchase</v>
          </cell>
          <cell r="Q93">
            <v>338585</v>
          </cell>
          <cell r="R93">
            <v>0</v>
          </cell>
          <cell r="T93">
            <v>0</v>
          </cell>
          <cell r="U93">
            <v>140819</v>
          </cell>
          <cell r="V93">
            <v>0</v>
          </cell>
          <cell r="X93">
            <v>0</v>
          </cell>
          <cell r="Y93">
            <v>135104</v>
          </cell>
          <cell r="Z93">
            <v>0</v>
          </cell>
          <cell r="AB93">
            <v>0</v>
          </cell>
          <cell r="AC93">
            <v>22022</v>
          </cell>
          <cell r="AD93">
            <v>0</v>
          </cell>
          <cell r="AF93">
            <v>0</v>
          </cell>
          <cell r="AG93">
            <v>40640</v>
          </cell>
          <cell r="AH93">
            <v>0</v>
          </cell>
        </row>
        <row r="94">
          <cell r="H94">
            <v>217000</v>
          </cell>
          <cell r="I94" t="str">
            <v>6114</v>
          </cell>
          <cell r="L94" t="str">
            <v>Vat (Cst) -Purchase/Expense</v>
          </cell>
          <cell r="M94" t="e">
            <v>#N/A</v>
          </cell>
          <cell r="N94" t="e">
            <v>#REF!</v>
          </cell>
          <cell r="O94" t="str">
            <v>E</v>
          </cell>
          <cell r="P94">
            <v>0</v>
          </cell>
          <cell r="Q94">
            <v>221457</v>
          </cell>
          <cell r="R94">
            <v>129544</v>
          </cell>
          <cell r="T94">
            <v>0</v>
          </cell>
          <cell r="U94">
            <v>0</v>
          </cell>
          <cell r="V94">
            <v>0</v>
          </cell>
          <cell r="X94">
            <v>0</v>
          </cell>
          <cell r="Y94">
            <v>0</v>
          </cell>
          <cell r="Z94">
            <v>0</v>
          </cell>
          <cell r="AB94">
            <v>0</v>
          </cell>
          <cell r="AC94">
            <v>0</v>
          </cell>
          <cell r="AD94">
            <v>0</v>
          </cell>
          <cell r="AF94">
            <v>0</v>
          </cell>
          <cell r="AG94">
            <v>221457</v>
          </cell>
          <cell r="AH94">
            <v>129544</v>
          </cell>
        </row>
        <row r="95">
          <cell r="G95">
            <v>12151</v>
          </cell>
          <cell r="H95">
            <v>218000</v>
          </cell>
          <cell r="L95" t="str">
            <v>Import Booking Diff If Misc Chg. (Charged Off)</v>
          </cell>
          <cell r="M95" t="str">
            <v>IMPORT BOOKING DIFF IF MISC CHG. (CHARGED OFF)</v>
          </cell>
          <cell r="N95" t="e">
            <v>#REF!</v>
          </cell>
          <cell r="O95" t="str">
            <v>E</v>
          </cell>
          <cell r="Q95">
            <v>5964585</v>
          </cell>
          <cell r="R95">
            <v>2034251</v>
          </cell>
          <cell r="U95">
            <v>-161803</v>
          </cell>
          <cell r="V95">
            <v>8923</v>
          </cell>
          <cell r="Y95">
            <v>6126388</v>
          </cell>
          <cell r="Z95">
            <v>2025328</v>
          </cell>
          <cell r="AC95">
            <v>0</v>
          </cell>
          <cell r="AD95">
            <v>0</v>
          </cell>
          <cell r="AG95">
            <v>0</v>
          </cell>
          <cell r="AH95">
            <v>0</v>
          </cell>
        </row>
        <row r="96">
          <cell r="G96">
            <v>13408</v>
          </cell>
          <cell r="H96">
            <v>219000</v>
          </cell>
          <cell r="I96" t="str">
            <v>7180</v>
          </cell>
          <cell r="L96" t="str">
            <v>Cash Discount</v>
          </cell>
          <cell r="M96" t="str">
            <v>DISCOUNT ALLOWED (7180)</v>
          </cell>
          <cell r="N96" t="e">
            <v>#REF!</v>
          </cell>
          <cell r="O96" t="str">
            <v>E</v>
          </cell>
          <cell r="Q96">
            <v>2554602</v>
          </cell>
          <cell r="R96">
            <v>1077207</v>
          </cell>
          <cell r="U96">
            <v>32722</v>
          </cell>
          <cell r="V96">
            <v>206797</v>
          </cell>
          <cell r="Y96">
            <v>811708</v>
          </cell>
          <cell r="Z96">
            <v>867390</v>
          </cell>
          <cell r="AC96">
            <v>1710172</v>
          </cell>
          <cell r="AD96">
            <v>0</v>
          </cell>
          <cell r="AG96">
            <v>0</v>
          </cell>
          <cell r="AH96">
            <v>3020</v>
          </cell>
        </row>
        <row r="97">
          <cell r="H97">
            <v>219000</v>
          </cell>
          <cell r="I97" t="str">
            <v>5499</v>
          </cell>
          <cell r="L97" t="str">
            <v>Cash Discount</v>
          </cell>
          <cell r="M97" t="e">
            <v>#N/A</v>
          </cell>
          <cell r="N97" t="e">
            <v>#REF!</v>
          </cell>
          <cell r="O97" t="str">
            <v>E</v>
          </cell>
          <cell r="Q97">
            <v>199819</v>
          </cell>
          <cell r="R97">
            <v>0</v>
          </cell>
          <cell r="U97">
            <v>0</v>
          </cell>
          <cell r="V97">
            <v>0</v>
          </cell>
          <cell r="Y97">
            <v>0</v>
          </cell>
          <cell r="Z97">
            <v>0</v>
          </cell>
          <cell r="AC97">
            <v>199819</v>
          </cell>
          <cell r="AD97">
            <v>0</v>
          </cell>
          <cell r="AG97">
            <v>0</v>
          </cell>
          <cell r="AH97">
            <v>0</v>
          </cell>
        </row>
        <row r="98">
          <cell r="G98">
            <v>12145</v>
          </cell>
          <cell r="H98">
            <v>220000</v>
          </cell>
          <cell r="I98" t="str">
            <v>5231</v>
          </cell>
          <cell r="L98" t="str">
            <v>Cash Discount Received</v>
          </cell>
          <cell r="M98" t="str">
            <v>DISCOUNT RECEIVED</v>
          </cell>
          <cell r="N98" t="e">
            <v>#REF!</v>
          </cell>
          <cell r="O98" t="str">
            <v>E</v>
          </cell>
          <cell r="Q98">
            <v>-734026</v>
          </cell>
          <cell r="R98">
            <v>-567632</v>
          </cell>
          <cell r="U98">
            <v>-64715</v>
          </cell>
          <cell r="V98">
            <v>-29365</v>
          </cell>
          <cell r="Y98">
            <v>-29550</v>
          </cell>
          <cell r="Z98">
            <v>-39251</v>
          </cell>
          <cell r="AC98">
            <v>-150849</v>
          </cell>
          <cell r="AD98">
            <v>-366275</v>
          </cell>
          <cell r="AG98">
            <v>-488912</v>
          </cell>
          <cell r="AH98">
            <v>-132741</v>
          </cell>
        </row>
        <row r="99">
          <cell r="H99">
            <v>221000</v>
          </cell>
          <cell r="L99" t="str">
            <v>GIT- Goods In Transist</v>
          </cell>
          <cell r="M99" t="e">
            <v>#N/A</v>
          </cell>
          <cell r="N99" t="e">
            <v>#REF!</v>
          </cell>
          <cell r="O99" t="str">
            <v>E</v>
          </cell>
          <cell r="Q99">
            <v>0</v>
          </cell>
          <cell r="R99">
            <v>0</v>
          </cell>
          <cell r="U99">
            <v>0</v>
          </cell>
          <cell r="V99">
            <v>0</v>
          </cell>
          <cell r="Y99">
            <v>0</v>
          </cell>
          <cell r="Z99">
            <v>0</v>
          </cell>
          <cell r="AC99">
            <v>0</v>
          </cell>
          <cell r="AD99">
            <v>0</v>
          </cell>
          <cell r="AG99">
            <v>0</v>
          </cell>
          <cell r="AH99">
            <v>0</v>
          </cell>
        </row>
        <row r="100">
          <cell r="H100">
            <v>222000</v>
          </cell>
          <cell r="L100" t="str">
            <v>Regrouping From Packing Materials</v>
          </cell>
          <cell r="O100" t="str">
            <v>E</v>
          </cell>
          <cell r="Q100">
            <v>0</v>
          </cell>
          <cell r="R100">
            <v>-1324781</v>
          </cell>
          <cell r="U100">
            <v>0</v>
          </cell>
          <cell r="V100">
            <v>0</v>
          </cell>
          <cell r="Y100">
            <v>0</v>
          </cell>
          <cell r="Z100">
            <v>0</v>
          </cell>
          <cell r="AB100">
            <v>0</v>
          </cell>
          <cell r="AC100">
            <v>0</v>
          </cell>
          <cell r="AD100">
            <v>-1324781</v>
          </cell>
          <cell r="AF100">
            <v>0</v>
          </cell>
          <cell r="AG100">
            <v>0</v>
          </cell>
          <cell r="AH100">
            <v>0</v>
          </cell>
        </row>
        <row r="101">
          <cell r="H101">
            <v>223000</v>
          </cell>
          <cell r="L101" t="str">
            <v>Provision taken in Purchase A/c</v>
          </cell>
          <cell r="M101" t="e">
            <v>#N/A</v>
          </cell>
          <cell r="N101" t="e">
            <v>#REF!</v>
          </cell>
          <cell r="O101" t="str">
            <v>E</v>
          </cell>
          <cell r="Q101">
            <v>677682</v>
          </cell>
          <cell r="R101">
            <v>2057672</v>
          </cell>
          <cell r="U101">
            <v>1655284</v>
          </cell>
          <cell r="V101">
            <v>1761448</v>
          </cell>
          <cell r="Y101">
            <v>-977602</v>
          </cell>
          <cell r="Z101">
            <v>296224</v>
          </cell>
          <cell r="AC101">
            <v>0</v>
          </cell>
          <cell r="AG101">
            <v>0</v>
          </cell>
        </row>
        <row r="102">
          <cell r="K102" t="str">
            <v>Add: Purchases</v>
          </cell>
          <cell r="M102" t="e">
            <v>#N/A</v>
          </cell>
          <cell r="N102" t="e">
            <v>#REF!</v>
          </cell>
          <cell r="O102" t="str">
            <v>E</v>
          </cell>
          <cell r="P102">
            <v>0</v>
          </cell>
          <cell r="Q102">
            <v>1795007552</v>
          </cell>
          <cell r="R102">
            <v>1984538574</v>
          </cell>
          <cell r="T102">
            <v>0</v>
          </cell>
          <cell r="U102">
            <v>311206225</v>
          </cell>
          <cell r="V102">
            <v>433945394</v>
          </cell>
          <cell r="X102">
            <v>0</v>
          </cell>
          <cell r="Y102">
            <v>968917197</v>
          </cell>
          <cell r="Z102">
            <v>1081534604</v>
          </cell>
          <cell r="AB102">
            <v>0</v>
          </cell>
          <cell r="AC102">
            <v>244352015</v>
          </cell>
          <cell r="AD102">
            <v>258744578</v>
          </cell>
          <cell r="AF102">
            <v>0</v>
          </cell>
          <cell r="AG102">
            <v>270532115</v>
          </cell>
          <cell r="AH102">
            <v>210313998</v>
          </cell>
        </row>
        <row r="103">
          <cell r="H103">
            <v>224000</v>
          </cell>
          <cell r="K103" t="str">
            <v>Less: Closing Inventory</v>
          </cell>
          <cell r="M103" t="e">
            <v>#N/A</v>
          </cell>
          <cell r="N103" t="e">
            <v>#REF!</v>
          </cell>
          <cell r="O103" t="str">
            <v>E</v>
          </cell>
          <cell r="Q103">
            <v>-3729861</v>
          </cell>
          <cell r="R103">
            <v>0</v>
          </cell>
          <cell r="U103">
            <v>0</v>
          </cell>
          <cell r="V103">
            <v>0</v>
          </cell>
          <cell r="Y103">
            <v>0</v>
          </cell>
          <cell r="Z103">
            <v>0</v>
          </cell>
          <cell r="AC103">
            <v>-3729861</v>
          </cell>
          <cell r="AD103">
            <v>0</v>
          </cell>
          <cell r="AG103">
            <v>0</v>
          </cell>
          <cell r="AH103">
            <v>0</v>
          </cell>
        </row>
        <row r="104">
          <cell r="G104">
            <v>12209</v>
          </cell>
          <cell r="H104">
            <v>225000</v>
          </cell>
          <cell r="I104" t="str">
            <v>8981</v>
          </cell>
          <cell r="L104" t="str">
            <v>Cl.St. - Raw Matl.-P&amp;L</v>
          </cell>
          <cell r="M104" t="str">
            <v>CLOSING STOCK OF RAW MATL (P&amp;L)</v>
          </cell>
          <cell r="N104" t="e">
            <v>#REF!</v>
          </cell>
          <cell r="O104" t="str">
            <v>I</v>
          </cell>
          <cell r="P104">
            <v>0</v>
          </cell>
          <cell r="Q104">
            <v>170527612</v>
          </cell>
          <cell r="R104">
            <v>151712454</v>
          </cell>
          <cell r="T104">
            <v>0</v>
          </cell>
          <cell r="U104">
            <v>28821504</v>
          </cell>
          <cell r="V104">
            <v>30804595</v>
          </cell>
          <cell r="X104">
            <v>0</v>
          </cell>
          <cell r="Y104">
            <v>87064837</v>
          </cell>
          <cell r="Z104">
            <v>72448239</v>
          </cell>
          <cell r="AB104">
            <v>0</v>
          </cell>
          <cell r="AC104">
            <v>24649437</v>
          </cell>
          <cell r="AD104">
            <v>36087751</v>
          </cell>
          <cell r="AF104">
            <v>0</v>
          </cell>
          <cell r="AG104">
            <v>29991834</v>
          </cell>
          <cell r="AH104">
            <v>12371869</v>
          </cell>
        </row>
        <row r="105">
          <cell r="H105">
            <v>226000</v>
          </cell>
          <cell r="L105" t="str">
            <v>Goods In Transist</v>
          </cell>
          <cell r="M105" t="e">
            <v>#N/A</v>
          </cell>
          <cell r="N105" t="e">
            <v>#REF!</v>
          </cell>
          <cell r="O105" t="str">
            <v>I</v>
          </cell>
          <cell r="P105">
            <v>0</v>
          </cell>
          <cell r="Q105">
            <v>0</v>
          </cell>
          <cell r="R105">
            <v>-10699226</v>
          </cell>
          <cell r="T105">
            <v>0</v>
          </cell>
          <cell r="U105">
            <v>0</v>
          </cell>
          <cell r="V105">
            <v>0</v>
          </cell>
          <cell r="X105">
            <v>0</v>
          </cell>
          <cell r="Y105">
            <v>0</v>
          </cell>
          <cell r="Z105">
            <v>-10699226</v>
          </cell>
          <cell r="AB105">
            <v>0</v>
          </cell>
          <cell r="AC105">
            <v>0</v>
          </cell>
          <cell r="AD105">
            <v>0</v>
          </cell>
          <cell r="AF105">
            <v>0</v>
          </cell>
          <cell r="AG105">
            <v>0</v>
          </cell>
          <cell r="AH105">
            <v>0</v>
          </cell>
        </row>
        <row r="106">
          <cell r="K106" t="str">
            <v>Less: Closing Inventory</v>
          </cell>
          <cell r="M106" t="e">
            <v>#N/A</v>
          </cell>
          <cell r="N106" t="e">
            <v>#REF!</v>
          </cell>
          <cell r="O106" t="str">
            <v>E</v>
          </cell>
          <cell r="P106">
            <v>0</v>
          </cell>
          <cell r="Q106">
            <v>170527612</v>
          </cell>
          <cell r="R106">
            <v>141013228</v>
          </cell>
          <cell r="T106">
            <v>0</v>
          </cell>
          <cell r="U106">
            <v>28821504</v>
          </cell>
          <cell r="V106">
            <v>30804595</v>
          </cell>
          <cell r="X106">
            <v>0</v>
          </cell>
          <cell r="Y106">
            <v>87064837</v>
          </cell>
          <cell r="Z106">
            <v>61749013</v>
          </cell>
          <cell r="AB106">
            <v>0</v>
          </cell>
          <cell r="AC106">
            <v>24649437</v>
          </cell>
          <cell r="AD106">
            <v>36087751</v>
          </cell>
          <cell r="AF106">
            <v>0</v>
          </cell>
          <cell r="AG106">
            <v>29991834</v>
          </cell>
          <cell r="AH106">
            <v>12371869</v>
          </cell>
        </row>
        <row r="107">
          <cell r="K107" t="str">
            <v xml:space="preserve"> Raw Materials Consumed</v>
          </cell>
          <cell r="M107" t="e">
            <v>#N/A</v>
          </cell>
          <cell r="N107" t="e">
            <v>#REF!</v>
          </cell>
          <cell r="O107" t="str">
            <v>E</v>
          </cell>
          <cell r="P107">
            <v>0</v>
          </cell>
          <cell r="Q107">
            <v>1765493168</v>
          </cell>
          <cell r="R107">
            <v>1934583738</v>
          </cell>
          <cell r="T107">
            <v>0</v>
          </cell>
          <cell r="U107">
            <v>313189316</v>
          </cell>
          <cell r="V107">
            <v>417712917</v>
          </cell>
          <cell r="X107">
            <v>0</v>
          </cell>
          <cell r="Y107">
            <v>943601373</v>
          </cell>
          <cell r="Z107">
            <v>1044326497</v>
          </cell>
          <cell r="AB107">
            <v>0</v>
          </cell>
          <cell r="AC107">
            <v>255790329</v>
          </cell>
          <cell r="AD107">
            <v>261513245</v>
          </cell>
          <cell r="AF107">
            <v>0</v>
          </cell>
          <cell r="AG107">
            <v>252912150</v>
          </cell>
          <cell r="AH107">
            <v>211031079</v>
          </cell>
        </row>
        <row r="108">
          <cell r="O108" t="str">
            <v>E</v>
          </cell>
        </row>
        <row r="109">
          <cell r="K109" t="str">
            <v>Packing Materials Consumed</v>
          </cell>
          <cell r="M109" t="e">
            <v>#N/A</v>
          </cell>
          <cell r="N109" t="e">
            <v>#REF!</v>
          </cell>
          <cell r="O109" t="str">
            <v>E</v>
          </cell>
        </row>
        <row r="110">
          <cell r="H110">
            <v>230000</v>
          </cell>
          <cell r="K110" t="str">
            <v>Opening Inventory</v>
          </cell>
          <cell r="M110" t="e">
            <v>#N/A</v>
          </cell>
          <cell r="N110" t="e">
            <v>#REF!</v>
          </cell>
          <cell r="O110" t="str">
            <v>E</v>
          </cell>
          <cell r="Q110">
            <v>0</v>
          </cell>
          <cell r="U110">
            <v>0</v>
          </cell>
          <cell r="Y110">
            <v>0</v>
          </cell>
        </row>
        <row r="111">
          <cell r="G111">
            <v>12221</v>
          </cell>
          <cell r="H111">
            <v>231000</v>
          </cell>
          <cell r="I111" t="str">
            <v>8972</v>
          </cell>
          <cell r="L111" t="str">
            <v>Op St. Of Pack. Matl.</v>
          </cell>
          <cell r="M111" t="str">
            <v>OPENING STOCK OF PACKING MATERIALS</v>
          </cell>
          <cell r="N111" t="e">
            <v>#REF!</v>
          </cell>
          <cell r="O111" t="str">
            <v>E</v>
          </cell>
          <cell r="P111">
            <v>0</v>
          </cell>
          <cell r="Q111">
            <v>2715774</v>
          </cell>
          <cell r="R111">
            <v>891629</v>
          </cell>
          <cell r="T111">
            <v>0</v>
          </cell>
          <cell r="U111">
            <v>1261152</v>
          </cell>
          <cell r="V111">
            <v>891629</v>
          </cell>
          <cell r="X111">
            <v>0</v>
          </cell>
          <cell r="Y111">
            <v>1244363</v>
          </cell>
          <cell r="Z111">
            <v>0</v>
          </cell>
          <cell r="AB111">
            <v>0</v>
          </cell>
          <cell r="AC111">
            <v>210259</v>
          </cell>
          <cell r="AD111">
            <v>0</v>
          </cell>
          <cell r="AF111">
            <v>0</v>
          </cell>
          <cell r="AG111">
            <v>0</v>
          </cell>
          <cell r="AH111">
            <v>0</v>
          </cell>
        </row>
        <row r="112">
          <cell r="L112">
            <v>0</v>
          </cell>
          <cell r="M112" t="e">
            <v>#N/A</v>
          </cell>
          <cell r="N112" t="e">
            <v>#REF!</v>
          </cell>
          <cell r="O112" t="str">
            <v>E</v>
          </cell>
        </row>
        <row r="113">
          <cell r="K113" t="str">
            <v>Opening Inventory</v>
          </cell>
          <cell r="M113" t="e">
            <v>#N/A</v>
          </cell>
          <cell r="N113" t="e">
            <v>#REF!</v>
          </cell>
          <cell r="O113" t="str">
            <v>E</v>
          </cell>
          <cell r="P113">
            <v>0</v>
          </cell>
          <cell r="Q113">
            <v>2715774</v>
          </cell>
          <cell r="R113">
            <v>891629</v>
          </cell>
          <cell r="T113">
            <v>0</v>
          </cell>
          <cell r="U113">
            <v>1261152</v>
          </cell>
          <cell r="V113">
            <v>891629</v>
          </cell>
          <cell r="X113">
            <v>0</v>
          </cell>
          <cell r="Y113">
            <v>1244363</v>
          </cell>
          <cell r="Z113">
            <v>0</v>
          </cell>
          <cell r="AB113">
            <v>0</v>
          </cell>
          <cell r="AC113">
            <v>210259</v>
          </cell>
          <cell r="AD113">
            <v>0</v>
          </cell>
          <cell r="AF113">
            <v>0</v>
          </cell>
          <cell r="AG113">
            <v>0</v>
          </cell>
          <cell r="AH113">
            <v>0</v>
          </cell>
        </row>
        <row r="114">
          <cell r="H114">
            <v>232000</v>
          </cell>
          <cell r="K114" t="str">
            <v>Add: Purchases</v>
          </cell>
          <cell r="M114" t="e">
            <v>#N/A</v>
          </cell>
          <cell r="N114" t="e">
            <v>#REF!</v>
          </cell>
          <cell r="O114" t="str">
            <v>E</v>
          </cell>
        </row>
        <row r="115">
          <cell r="H115">
            <v>233000</v>
          </cell>
          <cell r="I115" t="str">
            <v>6040</v>
          </cell>
          <cell r="L115" t="str">
            <v>Purchase A/C -  Packing Materials</v>
          </cell>
          <cell r="M115" t="e">
            <v>#N/A</v>
          </cell>
          <cell r="N115" t="e">
            <v>#REF!</v>
          </cell>
          <cell r="O115" t="str">
            <v>E</v>
          </cell>
          <cell r="Q115">
            <v>30604</v>
          </cell>
          <cell r="R115">
            <v>47310</v>
          </cell>
          <cell r="U115">
            <v>0</v>
          </cell>
          <cell r="V115">
            <v>0</v>
          </cell>
          <cell r="Y115">
            <v>0</v>
          </cell>
          <cell r="Z115">
            <v>0</v>
          </cell>
          <cell r="AC115">
            <v>20514</v>
          </cell>
          <cell r="AD115">
            <v>36670</v>
          </cell>
          <cell r="AG115">
            <v>10090</v>
          </cell>
          <cell r="AH115">
            <v>10640</v>
          </cell>
        </row>
        <row r="116">
          <cell r="G116">
            <v>15099</v>
          </cell>
          <cell r="H116">
            <v>234000</v>
          </cell>
          <cell r="L116" t="str">
            <v>Purchase A/C - Packing Materials Stock (Bs)</v>
          </cell>
          <cell r="M116" t="str">
            <v>PURCHASE A/C - PACKING MATERIALS STOCK (BS)</v>
          </cell>
          <cell r="N116" t="e">
            <v>#REF!</v>
          </cell>
          <cell r="O116" t="str">
            <v>E</v>
          </cell>
          <cell r="Q116">
            <v>21767603</v>
          </cell>
          <cell r="R116">
            <v>23400735</v>
          </cell>
          <cell r="U116">
            <v>13394821</v>
          </cell>
          <cell r="V116">
            <v>15160032</v>
          </cell>
          <cell r="Y116">
            <v>8372782</v>
          </cell>
          <cell r="Z116">
            <v>8240703</v>
          </cell>
          <cell r="AC116">
            <v>0</v>
          </cell>
          <cell r="AD116">
            <v>0</v>
          </cell>
          <cell r="AG116">
            <v>0</v>
          </cell>
          <cell r="AH116">
            <v>0</v>
          </cell>
        </row>
        <row r="117">
          <cell r="H117">
            <v>235000</v>
          </cell>
          <cell r="L117" t="str">
            <v>Regrouping To Raw Materials</v>
          </cell>
          <cell r="M117" t="e">
            <v>#N/A</v>
          </cell>
          <cell r="N117" t="e">
            <v>#REF!</v>
          </cell>
          <cell r="O117" t="str">
            <v>E</v>
          </cell>
          <cell r="Q117">
            <v>0</v>
          </cell>
          <cell r="R117">
            <v>1324781</v>
          </cell>
          <cell r="U117">
            <v>0</v>
          </cell>
          <cell r="V117">
            <v>0</v>
          </cell>
          <cell r="Y117">
            <v>0</v>
          </cell>
          <cell r="Z117">
            <v>0</v>
          </cell>
          <cell r="AC117">
            <v>0</v>
          </cell>
          <cell r="AD117">
            <v>1324781</v>
          </cell>
          <cell r="AG117">
            <v>0</v>
          </cell>
        </row>
        <row r="118">
          <cell r="K118" t="str">
            <v>Add: Purchases</v>
          </cell>
          <cell r="M118" t="e">
            <v>#N/A</v>
          </cell>
          <cell r="N118" t="e">
            <v>#REF!</v>
          </cell>
          <cell r="O118" t="str">
            <v>E</v>
          </cell>
          <cell r="P118">
            <v>0</v>
          </cell>
          <cell r="Q118">
            <v>21798207</v>
          </cell>
          <cell r="R118">
            <v>24772826</v>
          </cell>
          <cell r="T118">
            <v>0</v>
          </cell>
          <cell r="U118">
            <v>13394821</v>
          </cell>
          <cell r="V118">
            <v>15160032</v>
          </cell>
          <cell r="X118">
            <v>0</v>
          </cell>
          <cell r="Y118">
            <v>8372782</v>
          </cell>
          <cell r="Z118">
            <v>8240703</v>
          </cell>
          <cell r="AB118">
            <v>0</v>
          </cell>
          <cell r="AC118">
            <v>20514</v>
          </cell>
          <cell r="AD118">
            <v>1361451</v>
          </cell>
          <cell r="AF118">
            <v>0</v>
          </cell>
          <cell r="AG118">
            <v>10090</v>
          </cell>
          <cell r="AH118">
            <v>10640</v>
          </cell>
        </row>
        <row r="119">
          <cell r="H119">
            <v>236000</v>
          </cell>
          <cell r="K119" t="str">
            <v>Less: Closing Inventory</v>
          </cell>
          <cell r="M119" t="e">
            <v>#N/A</v>
          </cell>
          <cell r="N119" t="e">
            <v>#REF!</v>
          </cell>
          <cell r="O119" t="str">
            <v>E</v>
          </cell>
        </row>
        <row r="120">
          <cell r="G120">
            <v>12264</v>
          </cell>
          <cell r="H120">
            <v>237000</v>
          </cell>
          <cell r="I120" t="str">
            <v>8982</v>
          </cell>
          <cell r="L120" t="str">
            <v>Cl. St. -Pack. Matl-P&amp;L</v>
          </cell>
          <cell r="M120" t="str">
            <v>CLOSING STOCK OF PACKINGMATL (P&amp;L)</v>
          </cell>
          <cell r="N120" t="e">
            <v>#REF!</v>
          </cell>
          <cell r="O120" t="str">
            <v>I</v>
          </cell>
          <cell r="P120">
            <v>0</v>
          </cell>
          <cell r="Q120">
            <v>2613010</v>
          </cell>
          <cell r="R120">
            <v>2715774</v>
          </cell>
          <cell r="T120">
            <v>0</v>
          </cell>
          <cell r="U120">
            <v>1116747</v>
          </cell>
          <cell r="V120">
            <v>1261152</v>
          </cell>
          <cell r="X120">
            <v>0</v>
          </cell>
          <cell r="Y120">
            <v>1364131</v>
          </cell>
          <cell r="Z120">
            <v>1244363</v>
          </cell>
          <cell r="AB120">
            <v>0</v>
          </cell>
          <cell r="AC120">
            <v>132132</v>
          </cell>
          <cell r="AD120">
            <v>210259</v>
          </cell>
          <cell r="AF120">
            <v>0</v>
          </cell>
          <cell r="AG120">
            <v>0</v>
          </cell>
          <cell r="AH120">
            <v>0</v>
          </cell>
        </row>
        <row r="121">
          <cell r="H121">
            <v>238000</v>
          </cell>
          <cell r="L121">
            <v>0</v>
          </cell>
          <cell r="M121" t="e">
            <v>#N/A</v>
          </cell>
          <cell r="N121" t="e">
            <v>#REF!</v>
          </cell>
          <cell r="O121" t="str">
            <v>E</v>
          </cell>
        </row>
        <row r="122">
          <cell r="K122" t="str">
            <v>Less: Closing Inventory</v>
          </cell>
          <cell r="M122" t="e">
            <v>#N/A</v>
          </cell>
          <cell r="N122" t="e">
            <v>#REF!</v>
          </cell>
          <cell r="O122" t="str">
            <v>E</v>
          </cell>
          <cell r="P122">
            <v>0</v>
          </cell>
          <cell r="Q122">
            <v>2613010</v>
          </cell>
          <cell r="R122">
            <v>2715774</v>
          </cell>
          <cell r="T122">
            <v>0</v>
          </cell>
          <cell r="U122">
            <v>1116747</v>
          </cell>
          <cell r="V122">
            <v>1261152</v>
          </cell>
          <cell r="X122">
            <v>0</v>
          </cell>
          <cell r="Y122">
            <v>1364131</v>
          </cell>
          <cell r="Z122">
            <v>1244363</v>
          </cell>
          <cell r="AB122">
            <v>0</v>
          </cell>
          <cell r="AC122">
            <v>132132</v>
          </cell>
          <cell r="AD122">
            <v>210259</v>
          </cell>
          <cell r="AF122">
            <v>0</v>
          </cell>
          <cell r="AG122">
            <v>0</v>
          </cell>
          <cell r="AH122">
            <v>0</v>
          </cell>
        </row>
        <row r="123">
          <cell r="K123" t="str">
            <v>Packing Materials Consumed</v>
          </cell>
          <cell r="M123" t="e">
            <v>#N/A</v>
          </cell>
          <cell r="N123" t="e">
            <v>#REF!</v>
          </cell>
          <cell r="O123" t="str">
            <v>E</v>
          </cell>
          <cell r="P123">
            <v>0</v>
          </cell>
          <cell r="Q123">
            <v>21900971</v>
          </cell>
          <cell r="R123">
            <v>22948681</v>
          </cell>
          <cell r="T123">
            <v>0</v>
          </cell>
          <cell r="U123">
            <v>13539226</v>
          </cell>
          <cell r="V123">
            <v>14790509</v>
          </cell>
          <cell r="X123">
            <v>0</v>
          </cell>
          <cell r="Y123">
            <v>8253014</v>
          </cell>
          <cell r="Z123">
            <v>6996340</v>
          </cell>
          <cell r="AB123">
            <v>0</v>
          </cell>
          <cell r="AC123">
            <v>98641</v>
          </cell>
          <cell r="AD123">
            <v>1151192</v>
          </cell>
          <cell r="AF123">
            <v>0</v>
          </cell>
          <cell r="AG123">
            <v>10090</v>
          </cell>
          <cell r="AH123">
            <v>10640</v>
          </cell>
        </row>
        <row r="124">
          <cell r="O124" t="str">
            <v>E</v>
          </cell>
        </row>
        <row r="125">
          <cell r="J125" t="str">
            <v>COST OF MATERIAL CONSUMED</v>
          </cell>
          <cell r="M125" t="e">
            <v>#N/A</v>
          </cell>
          <cell r="N125" t="e">
            <v>#REF!</v>
          </cell>
          <cell r="O125" t="str">
            <v>E</v>
          </cell>
          <cell r="P125">
            <v>0</v>
          </cell>
          <cell r="Q125">
            <v>1787394139</v>
          </cell>
          <cell r="R125">
            <v>1957532419</v>
          </cell>
          <cell r="T125">
            <v>0</v>
          </cell>
          <cell r="U125">
            <v>326728542</v>
          </cell>
          <cell r="V125">
            <v>432503426</v>
          </cell>
          <cell r="X125">
            <v>0</v>
          </cell>
          <cell r="Y125">
            <v>951854387</v>
          </cell>
          <cell r="Z125">
            <v>1051322837</v>
          </cell>
          <cell r="AB125">
            <v>0</v>
          </cell>
          <cell r="AC125">
            <v>255888970</v>
          </cell>
          <cell r="AD125">
            <v>262664437</v>
          </cell>
          <cell r="AF125">
            <v>0</v>
          </cell>
          <cell r="AG125">
            <v>252922240</v>
          </cell>
          <cell r="AH125">
            <v>211041719</v>
          </cell>
        </row>
        <row r="126">
          <cell r="O126" t="str">
            <v>E</v>
          </cell>
          <cell r="Q126">
            <v>0</v>
          </cell>
          <cell r="R126">
            <v>0</v>
          </cell>
        </row>
        <row r="127">
          <cell r="J127" t="str">
            <v>CHANGES IN INVENTORIES OF FINISHED GOODS &amp;WORK-IN-PROGRESS</v>
          </cell>
          <cell r="M127" t="e">
            <v>#N/A</v>
          </cell>
          <cell r="N127" t="e">
            <v>#REF!</v>
          </cell>
          <cell r="O127" t="str">
            <v>E</v>
          </cell>
        </row>
        <row r="128">
          <cell r="K128" t="str">
            <v>(Increase)/Decrease In Stock Of F.G/Wip</v>
          </cell>
          <cell r="M128" t="e">
            <v>#N/A</v>
          </cell>
          <cell r="N128" t="e">
            <v>#REF!</v>
          </cell>
          <cell r="O128" t="str">
            <v>E</v>
          </cell>
        </row>
        <row r="129">
          <cell r="H129">
            <v>240000</v>
          </cell>
          <cell r="K129" t="str">
            <v>Closing Inventory:</v>
          </cell>
          <cell r="M129" t="e">
            <v>#N/A</v>
          </cell>
          <cell r="N129" t="e">
            <v>#REF!</v>
          </cell>
          <cell r="O129" t="str">
            <v>E</v>
          </cell>
          <cell r="Q129">
            <v>3729861</v>
          </cell>
          <cell r="R129">
            <v>0</v>
          </cell>
          <cell r="U129">
            <v>0</v>
          </cell>
          <cell r="V129">
            <v>0</v>
          </cell>
          <cell r="Y129">
            <v>0</v>
          </cell>
          <cell r="Z129">
            <v>0</v>
          </cell>
          <cell r="AC129">
            <v>3729861</v>
          </cell>
          <cell r="AD129">
            <v>0</v>
          </cell>
          <cell r="AG129">
            <v>0</v>
          </cell>
          <cell r="AH129">
            <v>0</v>
          </cell>
        </row>
        <row r="130">
          <cell r="H130">
            <v>241000</v>
          </cell>
          <cell r="I130" t="str">
            <v>8383</v>
          </cell>
          <cell r="L130" t="str">
            <v>Cl-St. Fg - P&amp;L</v>
          </cell>
          <cell r="M130" t="e">
            <v>#N/A</v>
          </cell>
          <cell r="N130" t="e">
            <v>#REF!</v>
          </cell>
          <cell r="O130" t="str">
            <v>E</v>
          </cell>
          <cell r="Q130">
            <v>-10527518</v>
          </cell>
          <cell r="R130">
            <v>-8787487</v>
          </cell>
          <cell r="U130">
            <v>0</v>
          </cell>
          <cell r="V130">
            <v>0</v>
          </cell>
          <cell r="Y130">
            <v>0</v>
          </cell>
          <cell r="Z130">
            <v>0</v>
          </cell>
          <cell r="AC130">
            <v>0</v>
          </cell>
          <cell r="AG130">
            <v>-10527518</v>
          </cell>
          <cell r="AH130">
            <v>-8787487</v>
          </cell>
        </row>
        <row r="131">
          <cell r="G131">
            <v>13756</v>
          </cell>
          <cell r="H131">
            <v>242000</v>
          </cell>
          <cell r="I131" t="str">
            <v>8983</v>
          </cell>
          <cell r="L131" t="str">
            <v>Cl-St. Fg - P&amp;L</v>
          </cell>
          <cell r="M131" t="str">
            <v>CLOSING STOCK OF FG (P&amp;L)</v>
          </cell>
          <cell r="N131" t="e">
            <v>#REF!</v>
          </cell>
          <cell r="O131" t="str">
            <v>E</v>
          </cell>
          <cell r="Q131">
            <v>-56174175</v>
          </cell>
          <cell r="R131">
            <v>-59962989</v>
          </cell>
          <cell r="U131">
            <v>-33857101</v>
          </cell>
          <cell r="V131">
            <v>-36677104</v>
          </cell>
          <cell r="Y131">
            <v>-16961544</v>
          </cell>
          <cell r="Z131">
            <v>-17830652</v>
          </cell>
          <cell r="AC131">
            <v>-5355530</v>
          </cell>
          <cell r="AD131">
            <v>-5455233</v>
          </cell>
          <cell r="AG131">
            <v>0</v>
          </cell>
          <cell r="AH131">
            <v>0</v>
          </cell>
        </row>
        <row r="132">
          <cell r="G132">
            <v>13757</v>
          </cell>
          <cell r="H132">
            <v>243000</v>
          </cell>
          <cell r="I132" t="str">
            <v>8984</v>
          </cell>
          <cell r="L132" t="str">
            <v>Cl. St. + Wip + P&amp; L</v>
          </cell>
          <cell r="M132" t="str">
            <v>CLOSING STOCK OF WIP (P&amp;L)</v>
          </cell>
          <cell r="N132" t="e">
            <v>#REF!</v>
          </cell>
          <cell r="O132" t="str">
            <v>E</v>
          </cell>
          <cell r="Q132">
            <v>-46374019</v>
          </cell>
          <cell r="R132">
            <v>-57480151</v>
          </cell>
          <cell r="U132">
            <v>-15053266</v>
          </cell>
          <cell r="V132">
            <v>-17474851</v>
          </cell>
          <cell r="Y132">
            <v>-16390687</v>
          </cell>
          <cell r="Z132">
            <v>-26766530</v>
          </cell>
          <cell r="AC132">
            <v>-11820477</v>
          </cell>
          <cell r="AD132">
            <v>-9722574</v>
          </cell>
          <cell r="AG132">
            <v>-3109589</v>
          </cell>
          <cell r="AH132">
            <v>-3516196</v>
          </cell>
        </row>
        <row r="133">
          <cell r="L133" t="str">
            <v>Total</v>
          </cell>
          <cell r="M133" t="e">
            <v>#N/A</v>
          </cell>
          <cell r="N133" t="e">
            <v>#REF!</v>
          </cell>
          <cell r="O133" t="str">
            <v>E</v>
          </cell>
          <cell r="P133" t="e">
            <v>#REF!</v>
          </cell>
          <cell r="Q133">
            <v>-113075712</v>
          </cell>
          <cell r="R133">
            <v>-126230627</v>
          </cell>
          <cell r="T133">
            <v>0</v>
          </cell>
          <cell r="U133">
            <v>-48910367</v>
          </cell>
          <cell r="V133">
            <v>-54151955</v>
          </cell>
          <cell r="X133">
            <v>0</v>
          </cell>
          <cell r="Y133">
            <v>-33352231</v>
          </cell>
          <cell r="Z133">
            <v>-44597182</v>
          </cell>
          <cell r="AB133">
            <v>0</v>
          </cell>
          <cell r="AC133">
            <v>-17176007</v>
          </cell>
          <cell r="AD133">
            <v>-15177807</v>
          </cell>
          <cell r="AF133">
            <v>0</v>
          </cell>
          <cell r="AG133">
            <v>-13637107</v>
          </cell>
          <cell r="AH133">
            <v>-12303683</v>
          </cell>
        </row>
        <row r="134">
          <cell r="H134">
            <v>244000</v>
          </cell>
          <cell r="K134" t="str">
            <v>Opening Inventory:</v>
          </cell>
          <cell r="M134" t="e">
            <v>#N/A</v>
          </cell>
          <cell r="N134" t="e">
            <v>#REF!</v>
          </cell>
          <cell r="O134" t="str">
            <v>E</v>
          </cell>
        </row>
        <row r="135">
          <cell r="G135">
            <v>13752</v>
          </cell>
          <cell r="H135">
            <v>245000</v>
          </cell>
          <cell r="I135" t="str">
            <v>8973</v>
          </cell>
          <cell r="L135" t="str">
            <v>Op.St. Of Fg - P &amp; L</v>
          </cell>
          <cell r="M135" t="str">
            <v>OPENING STOCK OF FINISHED GOODS</v>
          </cell>
          <cell r="N135" t="e">
            <v>#REF!</v>
          </cell>
          <cell r="O135" t="str">
            <v>E</v>
          </cell>
          <cell r="Q135">
            <v>68750476</v>
          </cell>
          <cell r="R135">
            <v>61655307</v>
          </cell>
          <cell r="U135">
            <v>36677104</v>
          </cell>
          <cell r="V135">
            <v>35350615</v>
          </cell>
          <cell r="Y135">
            <v>17830652</v>
          </cell>
          <cell r="Z135">
            <v>16603046</v>
          </cell>
          <cell r="AC135">
            <v>5455233</v>
          </cell>
          <cell r="AD135">
            <v>7088806</v>
          </cell>
          <cell r="AG135">
            <v>8787487</v>
          </cell>
          <cell r="AH135">
            <v>2612840</v>
          </cell>
        </row>
        <row r="136">
          <cell r="G136">
            <v>13753</v>
          </cell>
          <cell r="H136">
            <v>246000</v>
          </cell>
          <cell r="I136" t="str">
            <v>8974</v>
          </cell>
          <cell r="L136" t="str">
            <v>Op.St. Of Wip - P &amp; L</v>
          </cell>
          <cell r="M136" t="str">
            <v>OPENING STOCKS OF WIP</v>
          </cell>
          <cell r="N136" t="e">
            <v>#REF!</v>
          </cell>
          <cell r="O136" t="str">
            <v>E</v>
          </cell>
          <cell r="Q136">
            <v>57480151</v>
          </cell>
          <cell r="R136">
            <v>69318900</v>
          </cell>
          <cell r="U136">
            <v>17474851</v>
          </cell>
          <cell r="V136">
            <v>16066734</v>
          </cell>
          <cell r="Y136">
            <v>26766530</v>
          </cell>
          <cell r="Z136">
            <v>38251294</v>
          </cell>
          <cell r="AC136">
            <v>9722574</v>
          </cell>
          <cell r="AD136">
            <v>9793002</v>
          </cell>
          <cell r="AG136">
            <v>3516196</v>
          </cell>
          <cell r="AH136">
            <v>5207870</v>
          </cell>
        </row>
        <row r="137">
          <cell r="L137" t="str">
            <v>Total</v>
          </cell>
          <cell r="M137" t="e">
            <v>#N/A</v>
          </cell>
          <cell r="N137" t="e">
            <v>#REF!</v>
          </cell>
          <cell r="O137" t="str">
            <v>E</v>
          </cell>
          <cell r="P137" t="e">
            <v>#REF!</v>
          </cell>
          <cell r="Q137">
            <v>126230627</v>
          </cell>
          <cell r="R137">
            <v>130974207</v>
          </cell>
          <cell r="T137">
            <v>0</v>
          </cell>
          <cell r="U137">
            <v>54151955</v>
          </cell>
          <cell r="V137">
            <v>51417349</v>
          </cell>
          <cell r="X137">
            <v>0</v>
          </cell>
          <cell r="Y137">
            <v>44597182</v>
          </cell>
          <cell r="Z137">
            <v>54854340</v>
          </cell>
          <cell r="AB137">
            <v>0</v>
          </cell>
          <cell r="AC137">
            <v>15177807</v>
          </cell>
          <cell r="AD137">
            <v>16881808</v>
          </cell>
          <cell r="AF137">
            <v>0</v>
          </cell>
          <cell r="AG137">
            <v>12303683</v>
          </cell>
          <cell r="AH137">
            <v>7820710</v>
          </cell>
        </row>
        <row r="138">
          <cell r="J138" t="str">
            <v>CHANGES IN INVENTORIES OF FINISHED GOODS &amp;WORK-IN-PROGRESS</v>
          </cell>
          <cell r="M138" t="e">
            <v>#N/A</v>
          </cell>
          <cell r="N138" t="e">
            <v>#REF!</v>
          </cell>
          <cell r="O138" t="str">
            <v>E</v>
          </cell>
          <cell r="P138" t="e">
            <v>#REF!</v>
          </cell>
          <cell r="Q138">
            <v>13154915</v>
          </cell>
          <cell r="R138">
            <v>4743580</v>
          </cell>
          <cell r="T138">
            <v>0</v>
          </cell>
          <cell r="U138">
            <v>5241588</v>
          </cell>
          <cell r="V138">
            <v>-2734606</v>
          </cell>
          <cell r="X138">
            <v>0</v>
          </cell>
          <cell r="Y138">
            <v>11244951</v>
          </cell>
          <cell r="Z138">
            <v>10257158</v>
          </cell>
          <cell r="AB138">
            <v>0</v>
          </cell>
          <cell r="AC138">
            <v>-1998200</v>
          </cell>
          <cell r="AD138">
            <v>1704001</v>
          </cell>
          <cell r="AF138">
            <v>0</v>
          </cell>
          <cell r="AG138">
            <v>-1333424</v>
          </cell>
          <cell r="AH138">
            <v>-4482973</v>
          </cell>
        </row>
        <row r="139">
          <cell r="M139" t="e">
            <v>#N/A</v>
          </cell>
          <cell r="N139" t="e">
            <v>#REF!</v>
          </cell>
          <cell r="O139" t="str">
            <v>E</v>
          </cell>
          <cell r="U139">
            <v>0</v>
          </cell>
          <cell r="V139">
            <v>0</v>
          </cell>
          <cell r="Y139">
            <v>0</v>
          </cell>
          <cell r="Z139">
            <v>0</v>
          </cell>
        </row>
        <row r="140">
          <cell r="J140" t="str">
            <v>EMPLOYEE BENEFITS EXPENSES</v>
          </cell>
          <cell r="M140" t="e">
            <v>#N/A</v>
          </cell>
          <cell r="N140" t="e">
            <v>#REF!</v>
          </cell>
          <cell r="O140" t="str">
            <v>E</v>
          </cell>
        </row>
        <row r="141">
          <cell r="J141" t="str">
            <v>Salaries , Wages, Bonus etc.- Officers</v>
          </cell>
          <cell r="M141" t="e">
            <v>#N/A</v>
          </cell>
          <cell r="N141" t="e">
            <v>#REF!</v>
          </cell>
          <cell r="O141" t="str">
            <v>E</v>
          </cell>
        </row>
        <row r="142">
          <cell r="H142">
            <v>250000</v>
          </cell>
          <cell r="K142" t="str">
            <v>Officers</v>
          </cell>
          <cell r="M142" t="e">
            <v>#N/A</v>
          </cell>
          <cell r="N142" t="e">
            <v>#REF!</v>
          </cell>
          <cell r="O142" t="str">
            <v>E</v>
          </cell>
        </row>
        <row r="143">
          <cell r="G143">
            <v>13204</v>
          </cell>
          <cell r="H143">
            <v>251000</v>
          </cell>
          <cell r="I143" t="str">
            <v>6410</v>
          </cell>
          <cell r="L143" t="str">
            <v>Est Off-  Basic/Salary, Wages &amp; Other Benefits</v>
          </cell>
          <cell r="M143" t="str">
            <v>SALARIES, WAGES, BONUS ETC.(OFFICERS) (6410,12,15,20-2,</v>
          </cell>
          <cell r="N143" t="e">
            <v>#REF!</v>
          </cell>
          <cell r="O143" t="str">
            <v>E</v>
          </cell>
          <cell r="Q143">
            <v>72797147</v>
          </cell>
          <cell r="R143">
            <v>58912819</v>
          </cell>
          <cell r="U143">
            <v>44104010</v>
          </cell>
          <cell r="V143">
            <v>33801431</v>
          </cell>
          <cell r="Y143">
            <v>22883319</v>
          </cell>
          <cell r="Z143">
            <v>19647447</v>
          </cell>
          <cell r="AC143">
            <v>3065838</v>
          </cell>
          <cell r="AD143">
            <v>2938257</v>
          </cell>
          <cell r="AG143">
            <v>2743980</v>
          </cell>
          <cell r="AH143">
            <v>2525684</v>
          </cell>
        </row>
        <row r="144">
          <cell r="H144">
            <v>252000</v>
          </cell>
          <cell r="I144" t="str">
            <v>6412</v>
          </cell>
          <cell r="L144" t="str">
            <v>Cola - Officers</v>
          </cell>
          <cell r="M144" t="e">
            <v>#N/A</v>
          </cell>
          <cell r="N144" t="e">
            <v>#REF!</v>
          </cell>
          <cell r="O144" t="str">
            <v>E</v>
          </cell>
          <cell r="Q144">
            <v>672829</v>
          </cell>
          <cell r="R144">
            <v>565647</v>
          </cell>
          <cell r="U144">
            <v>0</v>
          </cell>
          <cell r="V144">
            <v>0</v>
          </cell>
          <cell r="Y144">
            <v>0</v>
          </cell>
          <cell r="Z144">
            <v>0</v>
          </cell>
          <cell r="AC144">
            <v>0</v>
          </cell>
          <cell r="AD144">
            <v>0</v>
          </cell>
          <cell r="AG144">
            <v>672829</v>
          </cell>
          <cell r="AH144">
            <v>565647</v>
          </cell>
        </row>
        <row r="145">
          <cell r="H145">
            <v>253000</v>
          </cell>
          <cell r="I145" t="str">
            <v>6415</v>
          </cell>
          <cell r="L145" t="str">
            <v>Est Off - House Rent Allowance</v>
          </cell>
          <cell r="M145" t="e">
            <v>#N/A</v>
          </cell>
          <cell r="N145" t="e">
            <v>#REF!</v>
          </cell>
          <cell r="O145" t="str">
            <v>E</v>
          </cell>
          <cell r="Q145">
            <v>324333</v>
          </cell>
          <cell r="R145">
            <v>0</v>
          </cell>
          <cell r="U145">
            <v>0</v>
          </cell>
          <cell r="V145">
            <v>0</v>
          </cell>
          <cell r="Y145">
            <v>0</v>
          </cell>
          <cell r="Z145">
            <v>0</v>
          </cell>
          <cell r="AC145">
            <v>0</v>
          </cell>
          <cell r="AD145">
            <v>0</v>
          </cell>
          <cell r="AG145">
            <v>324333</v>
          </cell>
          <cell r="AH145">
            <v>0</v>
          </cell>
        </row>
        <row r="146">
          <cell r="H146">
            <v>254000</v>
          </cell>
          <cell r="I146" t="str">
            <v>6420</v>
          </cell>
          <cell r="L146" t="str">
            <v>Est Off - Education Allowance</v>
          </cell>
          <cell r="M146" t="e">
            <v>#N/A</v>
          </cell>
          <cell r="N146" t="e">
            <v>#REF!</v>
          </cell>
          <cell r="O146" t="str">
            <v>E</v>
          </cell>
          <cell r="Q146">
            <v>0</v>
          </cell>
          <cell r="R146">
            <v>0</v>
          </cell>
          <cell r="U146">
            <v>0</v>
          </cell>
          <cell r="V146">
            <v>0</v>
          </cell>
          <cell r="Y146">
            <v>0</v>
          </cell>
          <cell r="Z146">
            <v>0</v>
          </cell>
          <cell r="AC146">
            <v>0</v>
          </cell>
          <cell r="AD146">
            <v>0</v>
          </cell>
          <cell r="AG146">
            <v>0</v>
          </cell>
          <cell r="AH146">
            <v>0</v>
          </cell>
        </row>
        <row r="147">
          <cell r="H147">
            <v>255000</v>
          </cell>
          <cell r="I147" t="str">
            <v>6421</v>
          </cell>
          <cell r="L147" t="str">
            <v>Est - Officers Conveyance</v>
          </cell>
          <cell r="M147" t="e">
            <v>#N/A</v>
          </cell>
          <cell r="N147" t="e">
            <v>#REF!</v>
          </cell>
          <cell r="O147" t="str">
            <v>E</v>
          </cell>
          <cell r="Q147">
            <v>488505</v>
          </cell>
          <cell r="R147">
            <v>385536</v>
          </cell>
          <cell r="U147">
            <v>0</v>
          </cell>
          <cell r="V147">
            <v>0</v>
          </cell>
          <cell r="Y147">
            <v>0</v>
          </cell>
          <cell r="Z147">
            <v>0</v>
          </cell>
          <cell r="AC147">
            <v>0</v>
          </cell>
          <cell r="AD147">
            <v>0</v>
          </cell>
          <cell r="AG147">
            <v>488505</v>
          </cell>
          <cell r="AH147">
            <v>385536</v>
          </cell>
        </row>
        <row r="148">
          <cell r="H148">
            <v>256000</v>
          </cell>
          <cell r="I148" t="str">
            <v>6422</v>
          </cell>
          <cell r="L148" t="str">
            <v>Est Off - Personnel Pay</v>
          </cell>
          <cell r="M148" t="e">
            <v>#N/A</v>
          </cell>
          <cell r="N148" t="e">
            <v>#REF!</v>
          </cell>
          <cell r="O148" t="str">
            <v>E</v>
          </cell>
          <cell r="Q148">
            <v>1289936</v>
          </cell>
          <cell r="R148">
            <v>1065907</v>
          </cell>
          <cell r="U148">
            <v>0</v>
          </cell>
          <cell r="V148">
            <v>0</v>
          </cell>
          <cell r="Y148">
            <v>0</v>
          </cell>
          <cell r="Z148">
            <v>0</v>
          </cell>
          <cell r="AC148">
            <v>0</v>
          </cell>
          <cell r="AD148">
            <v>0</v>
          </cell>
          <cell r="AG148">
            <v>1289936</v>
          </cell>
          <cell r="AH148">
            <v>1065907</v>
          </cell>
        </row>
        <row r="149">
          <cell r="H149">
            <v>257000</v>
          </cell>
          <cell r="I149" t="str">
            <v>6423</v>
          </cell>
          <cell r="L149" t="str">
            <v>Est - Officer Books &amp; Periodicals</v>
          </cell>
          <cell r="M149" t="e">
            <v>#N/A</v>
          </cell>
          <cell r="N149" t="e">
            <v>#REF!</v>
          </cell>
          <cell r="O149" t="str">
            <v>E</v>
          </cell>
          <cell r="Q149">
            <v>0</v>
          </cell>
          <cell r="R149">
            <v>0</v>
          </cell>
          <cell r="U149">
            <v>0</v>
          </cell>
          <cell r="V149">
            <v>0</v>
          </cell>
          <cell r="Y149">
            <v>0</v>
          </cell>
          <cell r="Z149">
            <v>0</v>
          </cell>
          <cell r="AC149">
            <v>0</v>
          </cell>
          <cell r="AD149">
            <v>0</v>
          </cell>
          <cell r="AG149">
            <v>0</v>
          </cell>
          <cell r="AH149">
            <v>0</v>
          </cell>
        </row>
        <row r="150">
          <cell r="H150">
            <v>258000</v>
          </cell>
          <cell r="I150" t="str">
            <v>6425</v>
          </cell>
          <cell r="L150" t="str">
            <v>Est Off - Shift Allowance</v>
          </cell>
          <cell r="M150" t="e">
            <v>#N/A</v>
          </cell>
          <cell r="N150" t="e">
            <v>#REF!</v>
          </cell>
          <cell r="O150" t="str">
            <v>E</v>
          </cell>
          <cell r="Q150">
            <v>0</v>
          </cell>
          <cell r="R150">
            <v>0</v>
          </cell>
          <cell r="U150">
            <v>0</v>
          </cell>
          <cell r="V150">
            <v>0</v>
          </cell>
          <cell r="Y150">
            <v>0</v>
          </cell>
          <cell r="Z150">
            <v>0</v>
          </cell>
          <cell r="AC150">
            <v>0</v>
          </cell>
          <cell r="AD150">
            <v>0</v>
          </cell>
          <cell r="AG150">
            <v>0</v>
          </cell>
          <cell r="AH150">
            <v>0</v>
          </cell>
        </row>
        <row r="151">
          <cell r="H151">
            <v>259000</v>
          </cell>
          <cell r="I151" t="str">
            <v>6429</v>
          </cell>
          <cell r="L151" t="str">
            <v>Est Offshifting House Hold Allowance</v>
          </cell>
          <cell r="M151" t="e">
            <v>#N/A</v>
          </cell>
          <cell r="N151" t="e">
            <v>#REF!</v>
          </cell>
          <cell r="O151" t="str">
            <v>E</v>
          </cell>
          <cell r="Q151">
            <v>0</v>
          </cell>
          <cell r="R151">
            <v>0</v>
          </cell>
          <cell r="U151">
            <v>0</v>
          </cell>
          <cell r="V151">
            <v>0</v>
          </cell>
          <cell r="Y151">
            <v>0</v>
          </cell>
          <cell r="Z151">
            <v>0</v>
          </cell>
          <cell r="AC151">
            <v>0</v>
          </cell>
          <cell r="AD151">
            <v>0</v>
          </cell>
          <cell r="AG151">
            <v>0</v>
          </cell>
          <cell r="AH151">
            <v>0</v>
          </cell>
        </row>
        <row r="152">
          <cell r="G152">
            <v>13207</v>
          </cell>
          <cell r="H152">
            <v>260000</v>
          </cell>
          <cell r="I152" t="str">
            <v>6435</v>
          </cell>
          <cell r="L152" t="str">
            <v>Est Off - Lta - 64351</v>
          </cell>
          <cell r="M152" t="str">
            <v>LEAVE TRAVEL ASSISTANCE (OFFICERS) (6435)</v>
          </cell>
          <cell r="N152" t="e">
            <v>#REF!</v>
          </cell>
          <cell r="O152" t="str">
            <v>E</v>
          </cell>
          <cell r="Q152">
            <v>2358604</v>
          </cell>
          <cell r="R152">
            <v>1937709</v>
          </cell>
          <cell r="U152">
            <v>1430950</v>
          </cell>
          <cell r="V152">
            <v>1133525</v>
          </cell>
          <cell r="Y152">
            <v>835704</v>
          </cell>
          <cell r="Z152">
            <v>732143</v>
          </cell>
          <cell r="AC152">
            <v>0</v>
          </cell>
          <cell r="AD152">
            <v>0</v>
          </cell>
          <cell r="AG152">
            <v>91950</v>
          </cell>
          <cell r="AH152">
            <v>72041</v>
          </cell>
        </row>
        <row r="153">
          <cell r="H153">
            <v>261000</v>
          </cell>
          <cell r="I153" t="str">
            <v>6440</v>
          </cell>
          <cell r="L153" t="str">
            <v>Est Off - Bonus</v>
          </cell>
          <cell r="M153" t="e">
            <v>#N/A</v>
          </cell>
          <cell r="N153" t="e">
            <v>#REF!</v>
          </cell>
          <cell r="O153" t="str">
            <v>E</v>
          </cell>
          <cell r="Q153">
            <v>358049</v>
          </cell>
          <cell r="R153">
            <v>126644</v>
          </cell>
          <cell r="U153">
            <v>0</v>
          </cell>
          <cell r="V153">
            <v>0</v>
          </cell>
          <cell r="Y153">
            <v>0</v>
          </cell>
          <cell r="Z153">
            <v>0</v>
          </cell>
          <cell r="AC153">
            <v>137523</v>
          </cell>
          <cell r="AD153">
            <v>0</v>
          </cell>
          <cell r="AG153">
            <v>220526</v>
          </cell>
          <cell r="AH153">
            <v>126644</v>
          </cell>
        </row>
        <row r="154">
          <cell r="G154">
            <v>13208</v>
          </cell>
          <cell r="H154">
            <v>262000</v>
          </cell>
          <cell r="I154" t="str">
            <v>6445</v>
          </cell>
          <cell r="L154" t="str">
            <v>Est Off - Exgratia</v>
          </cell>
          <cell r="M154" t="str">
            <v>PERFORMANCE REWARD (OFFICERS)</v>
          </cell>
          <cell r="N154" t="e">
            <v>#REF!</v>
          </cell>
          <cell r="O154" t="str">
            <v>E</v>
          </cell>
          <cell r="Q154">
            <v>3029394</v>
          </cell>
          <cell r="R154">
            <v>3657548</v>
          </cell>
          <cell r="U154">
            <v>1955200</v>
          </cell>
          <cell r="V154">
            <v>2257688</v>
          </cell>
          <cell r="Y154">
            <v>1074194</v>
          </cell>
          <cell r="Z154">
            <v>1399860</v>
          </cell>
          <cell r="AC154">
            <v>0</v>
          </cell>
          <cell r="AD154">
            <v>0</v>
          </cell>
          <cell r="AG154">
            <v>0</v>
          </cell>
          <cell r="AH154">
            <v>0</v>
          </cell>
        </row>
        <row r="155">
          <cell r="H155">
            <v>263000</v>
          </cell>
          <cell r="I155" t="str">
            <v>6446</v>
          </cell>
          <cell r="L155" t="str">
            <v>Est Officer - Perormance Incentive</v>
          </cell>
          <cell r="M155" t="e">
            <v>#N/A</v>
          </cell>
          <cell r="N155" t="e">
            <v>#REF!</v>
          </cell>
          <cell r="O155" t="str">
            <v>E</v>
          </cell>
          <cell r="Q155">
            <v>86500</v>
          </cell>
          <cell r="R155">
            <v>0</v>
          </cell>
          <cell r="U155">
            <v>0</v>
          </cell>
          <cell r="V155">
            <v>0</v>
          </cell>
          <cell r="Y155">
            <v>0</v>
          </cell>
          <cell r="Z155">
            <v>0</v>
          </cell>
          <cell r="AC155">
            <v>0</v>
          </cell>
          <cell r="AD155">
            <v>0</v>
          </cell>
          <cell r="AG155">
            <v>86500</v>
          </cell>
          <cell r="AH155">
            <v>0</v>
          </cell>
        </row>
        <row r="156">
          <cell r="G156">
            <v>13281</v>
          </cell>
          <cell r="H156">
            <v>314000</v>
          </cell>
          <cell r="I156" t="str">
            <v>6485</v>
          </cell>
          <cell r="L156" t="str">
            <v>Est Off - Medical Expenses</v>
          </cell>
          <cell r="M156" t="str">
            <v>MEDICAL EXPENSES (OFFICERS) (6485)</v>
          </cell>
          <cell r="N156" t="e">
            <v>#REF!</v>
          </cell>
          <cell r="O156" t="str">
            <v>E</v>
          </cell>
          <cell r="Q156">
            <v>2129578</v>
          </cell>
          <cell r="R156">
            <v>1745946</v>
          </cell>
          <cell r="U156">
            <v>1199626</v>
          </cell>
          <cell r="V156">
            <v>976016</v>
          </cell>
          <cell r="Y156">
            <v>840060</v>
          </cell>
          <cell r="Z156">
            <v>723400</v>
          </cell>
          <cell r="AC156">
            <v>0</v>
          </cell>
          <cell r="AD156">
            <v>0</v>
          </cell>
          <cell r="AG156">
            <v>89892</v>
          </cell>
          <cell r="AH156">
            <v>46530</v>
          </cell>
        </row>
        <row r="157">
          <cell r="G157">
            <v>13283</v>
          </cell>
          <cell r="H157">
            <v>264000</v>
          </cell>
          <cell r="I157" t="str">
            <v>6490</v>
          </cell>
          <cell r="L157" t="str">
            <v>Est Off - Medicare Services</v>
          </cell>
          <cell r="M157" t="str">
            <v>MEDICLAIM EXPENSES (OFFICERS) (6490)</v>
          </cell>
          <cell r="N157" t="e">
            <v>#REF!</v>
          </cell>
          <cell r="O157" t="str">
            <v>E</v>
          </cell>
          <cell r="Q157">
            <v>883623</v>
          </cell>
          <cell r="R157">
            <v>574127</v>
          </cell>
          <cell r="U157">
            <v>536481</v>
          </cell>
          <cell r="V157">
            <v>319461</v>
          </cell>
          <cell r="Y157">
            <v>293417</v>
          </cell>
          <cell r="Z157">
            <v>201585</v>
          </cell>
          <cell r="AC157">
            <v>0</v>
          </cell>
          <cell r="AD157">
            <v>0</v>
          </cell>
          <cell r="AG157">
            <v>53725</v>
          </cell>
          <cell r="AH157">
            <v>53081</v>
          </cell>
        </row>
        <row r="158">
          <cell r="G158">
            <v>13210</v>
          </cell>
          <cell r="H158">
            <v>265000</v>
          </cell>
          <cell r="I158" t="str">
            <v>6504</v>
          </cell>
          <cell r="L158" t="str">
            <v>Est Off - Stipend A/C</v>
          </cell>
          <cell r="M158" t="str">
            <v>STIPEND A/C (6504)</v>
          </cell>
          <cell r="N158" t="e">
            <v>#REF!</v>
          </cell>
          <cell r="O158" t="str">
            <v>E</v>
          </cell>
          <cell r="Q158">
            <v>992282</v>
          </cell>
          <cell r="R158">
            <v>1258611</v>
          </cell>
          <cell r="U158">
            <v>124000</v>
          </cell>
          <cell r="V158">
            <v>178226</v>
          </cell>
          <cell r="Y158">
            <v>167925</v>
          </cell>
          <cell r="Z158">
            <v>639516</v>
          </cell>
          <cell r="AC158">
            <v>529588</v>
          </cell>
          <cell r="AD158">
            <v>440869</v>
          </cell>
          <cell r="AG158">
            <v>170769</v>
          </cell>
          <cell r="AH158">
            <v>0</v>
          </cell>
        </row>
        <row r="159">
          <cell r="H159">
            <v>266000</v>
          </cell>
          <cell r="I159" t="str">
            <v>6506</v>
          </cell>
          <cell r="L159" t="str">
            <v>Est Off - Attendance Wages</v>
          </cell>
          <cell r="M159" t="e">
            <v>#N/A</v>
          </cell>
          <cell r="N159" t="e">
            <v>#REF!</v>
          </cell>
          <cell r="O159" t="str">
            <v>E</v>
          </cell>
          <cell r="Q159">
            <v>0</v>
          </cell>
          <cell r="R159">
            <v>0</v>
          </cell>
          <cell r="U159">
            <v>0</v>
          </cell>
          <cell r="V159">
            <v>0</v>
          </cell>
          <cell r="Y159">
            <v>0</v>
          </cell>
          <cell r="Z159">
            <v>0</v>
          </cell>
          <cell r="AC159">
            <v>0</v>
          </cell>
          <cell r="AD159">
            <v>0</v>
          </cell>
          <cell r="AG159">
            <v>0</v>
          </cell>
          <cell r="AH159">
            <v>0</v>
          </cell>
        </row>
        <row r="160">
          <cell r="H160">
            <v>267000</v>
          </cell>
          <cell r="L160" t="str">
            <v>Excess Provision trf from Contribution</v>
          </cell>
          <cell r="O160" t="str">
            <v>E</v>
          </cell>
          <cell r="P160">
            <v>0</v>
          </cell>
          <cell r="Q160">
            <v>0</v>
          </cell>
          <cell r="R160">
            <v>0</v>
          </cell>
          <cell r="T160">
            <v>0</v>
          </cell>
          <cell r="U160">
            <v>0</v>
          </cell>
          <cell r="V160">
            <v>0</v>
          </cell>
          <cell r="X160">
            <v>0</v>
          </cell>
          <cell r="Y160">
            <v>0</v>
          </cell>
          <cell r="Z160">
            <v>0</v>
          </cell>
          <cell r="AB160">
            <v>0</v>
          </cell>
          <cell r="AC160">
            <v>0</v>
          </cell>
          <cell r="AD160">
            <v>0</v>
          </cell>
          <cell r="AF160">
            <v>0</v>
          </cell>
          <cell r="AG160">
            <v>0</v>
          </cell>
          <cell r="AH160">
            <v>0</v>
          </cell>
        </row>
        <row r="161">
          <cell r="H161">
            <v>268000</v>
          </cell>
          <cell r="K161" t="str">
            <v>Officers</v>
          </cell>
          <cell r="M161" t="e">
            <v>#N/A</v>
          </cell>
          <cell r="N161" t="e">
            <v>#REF!</v>
          </cell>
          <cell r="O161" t="str">
            <v>E</v>
          </cell>
          <cell r="P161">
            <v>0</v>
          </cell>
          <cell r="Q161">
            <v>85410780</v>
          </cell>
          <cell r="R161">
            <v>70230494</v>
          </cell>
          <cell r="T161">
            <v>0</v>
          </cell>
          <cell r="U161">
            <v>49350267</v>
          </cell>
          <cell r="V161">
            <v>38666347</v>
          </cell>
          <cell r="X161">
            <v>0</v>
          </cell>
          <cell r="Y161">
            <v>26094619</v>
          </cell>
          <cell r="Z161">
            <v>23343951</v>
          </cell>
          <cell r="AB161">
            <v>0</v>
          </cell>
          <cell r="AC161">
            <v>3732949</v>
          </cell>
          <cell r="AD161">
            <v>3379126</v>
          </cell>
          <cell r="AF161">
            <v>0</v>
          </cell>
          <cell r="AG161">
            <v>6232945</v>
          </cell>
          <cell r="AH161">
            <v>4841070</v>
          </cell>
        </row>
        <row r="162">
          <cell r="H162">
            <v>270000</v>
          </cell>
          <cell r="K162" t="str">
            <v>Staff</v>
          </cell>
          <cell r="M162" t="e">
            <v>#N/A</v>
          </cell>
          <cell r="N162" t="e">
            <v>#REF!</v>
          </cell>
          <cell r="O162" t="str">
            <v>E</v>
          </cell>
        </row>
        <row r="163">
          <cell r="G163">
            <v>13223</v>
          </cell>
          <cell r="H163">
            <v>271000</v>
          </cell>
          <cell r="I163" t="str">
            <v>6510</v>
          </cell>
          <cell r="L163" t="str">
            <v>Est Staff - Basic/Salary, Wages &amp; Other Benefits</v>
          </cell>
          <cell r="M163" t="str">
            <v>SALARIES , WAGES, BONUS ETC. (STAFF)</v>
          </cell>
          <cell r="N163" t="e">
            <v>#REF!</v>
          </cell>
          <cell r="O163" t="str">
            <v>E</v>
          </cell>
          <cell r="Q163">
            <v>863503</v>
          </cell>
          <cell r="R163">
            <v>2104344</v>
          </cell>
          <cell r="U163">
            <v>-296267</v>
          </cell>
          <cell r="V163">
            <v>1175364</v>
          </cell>
          <cell r="Y163">
            <v>0</v>
          </cell>
          <cell r="Z163">
            <v>4380</v>
          </cell>
          <cell r="AC163">
            <v>1159770</v>
          </cell>
          <cell r="AD163">
            <v>924600</v>
          </cell>
          <cell r="AG163">
            <v>0</v>
          </cell>
          <cell r="AH163">
            <v>0</v>
          </cell>
        </row>
        <row r="164">
          <cell r="H164">
            <v>272000</v>
          </cell>
          <cell r="I164" t="str">
            <v>6512</v>
          </cell>
          <cell r="L164" t="str">
            <v>Cola - Staff</v>
          </cell>
          <cell r="M164" t="e">
            <v>#N/A</v>
          </cell>
          <cell r="N164" t="e">
            <v>#REF!</v>
          </cell>
          <cell r="O164" t="str">
            <v>E</v>
          </cell>
          <cell r="Q164">
            <v>455879</v>
          </cell>
          <cell r="R164">
            <v>0</v>
          </cell>
          <cell r="U164">
            <v>0</v>
          </cell>
          <cell r="V164">
            <v>0</v>
          </cell>
          <cell r="Y164">
            <v>0</v>
          </cell>
          <cell r="Z164">
            <v>0</v>
          </cell>
          <cell r="AC164">
            <v>455879</v>
          </cell>
          <cell r="AD164">
            <v>0</v>
          </cell>
          <cell r="AG164">
            <v>0</v>
          </cell>
          <cell r="AH164">
            <v>0</v>
          </cell>
        </row>
        <row r="165">
          <cell r="H165">
            <v>273000</v>
          </cell>
          <cell r="I165" t="str">
            <v>6520</v>
          </cell>
          <cell r="L165" t="str">
            <v>Est Staff - House Rent Allowance</v>
          </cell>
          <cell r="M165" t="e">
            <v>#N/A</v>
          </cell>
          <cell r="N165" t="e">
            <v>#REF!</v>
          </cell>
          <cell r="O165" t="str">
            <v>E</v>
          </cell>
          <cell r="Q165">
            <v>289943</v>
          </cell>
          <cell r="R165">
            <v>517562</v>
          </cell>
          <cell r="U165">
            <v>0</v>
          </cell>
          <cell r="V165">
            <v>0</v>
          </cell>
          <cell r="Y165">
            <v>0</v>
          </cell>
          <cell r="Z165">
            <v>0</v>
          </cell>
          <cell r="AC165">
            <v>289943</v>
          </cell>
          <cell r="AD165">
            <v>231150</v>
          </cell>
          <cell r="AG165">
            <v>0</v>
          </cell>
          <cell r="AH165">
            <v>286412</v>
          </cell>
        </row>
        <row r="166">
          <cell r="H166">
            <v>274000</v>
          </cell>
          <cell r="I166" t="str">
            <v>6530</v>
          </cell>
          <cell r="L166" t="str">
            <v>Est Staff - Transport Allowance</v>
          </cell>
          <cell r="M166" t="e">
            <v>#N/A</v>
          </cell>
          <cell r="N166" t="e">
            <v>#REF!</v>
          </cell>
          <cell r="O166" t="str">
            <v>E</v>
          </cell>
          <cell r="Q166">
            <v>226640</v>
          </cell>
          <cell r="R166">
            <v>347806</v>
          </cell>
          <cell r="U166">
            <v>0</v>
          </cell>
          <cell r="V166">
            <v>0</v>
          </cell>
          <cell r="Y166">
            <v>0</v>
          </cell>
          <cell r="Z166">
            <v>0</v>
          </cell>
          <cell r="AC166">
            <v>226640</v>
          </cell>
          <cell r="AD166">
            <v>120000</v>
          </cell>
          <cell r="AG166">
            <v>0</v>
          </cell>
          <cell r="AH166">
            <v>227806</v>
          </cell>
        </row>
        <row r="167">
          <cell r="H167">
            <v>275000</v>
          </cell>
          <cell r="I167" t="str">
            <v>6531</v>
          </cell>
          <cell r="L167" t="str">
            <v>Est Staff -  Personal Pay</v>
          </cell>
          <cell r="M167" t="e">
            <v>#N/A</v>
          </cell>
          <cell r="N167" t="e">
            <v>#REF!</v>
          </cell>
          <cell r="O167" t="str">
            <v>E</v>
          </cell>
          <cell r="Q167">
            <v>322520</v>
          </cell>
          <cell r="R167">
            <v>278400</v>
          </cell>
          <cell r="U167">
            <v>0</v>
          </cell>
          <cell r="V167">
            <v>0</v>
          </cell>
          <cell r="Y167">
            <v>0</v>
          </cell>
          <cell r="Z167">
            <v>0</v>
          </cell>
          <cell r="AC167">
            <v>322520</v>
          </cell>
          <cell r="AD167">
            <v>278400</v>
          </cell>
          <cell r="AG167">
            <v>0</v>
          </cell>
          <cell r="AH167">
            <v>0</v>
          </cell>
        </row>
        <row r="168">
          <cell r="H168">
            <v>276000</v>
          </cell>
          <cell r="I168" t="str">
            <v>6535</v>
          </cell>
          <cell r="L168" t="str">
            <v>Est Staff - Shift Allowance</v>
          </cell>
          <cell r="M168" t="e">
            <v>#N/A</v>
          </cell>
          <cell r="N168" t="e">
            <v>#REF!</v>
          </cell>
          <cell r="O168" t="str">
            <v>E</v>
          </cell>
          <cell r="Q168">
            <v>0</v>
          </cell>
          <cell r="R168">
            <v>0</v>
          </cell>
          <cell r="U168">
            <v>0</v>
          </cell>
          <cell r="V168">
            <v>0</v>
          </cell>
          <cell r="Y168">
            <v>0</v>
          </cell>
          <cell r="Z168">
            <v>0</v>
          </cell>
          <cell r="AC168">
            <v>0</v>
          </cell>
          <cell r="AD168">
            <v>0</v>
          </cell>
          <cell r="AG168">
            <v>0</v>
          </cell>
          <cell r="AH168">
            <v>0</v>
          </cell>
        </row>
        <row r="169">
          <cell r="H169">
            <v>277000</v>
          </cell>
          <cell r="I169" t="str">
            <v>6545</v>
          </cell>
          <cell r="L169" t="str">
            <v>Est Staff - Overtime</v>
          </cell>
          <cell r="M169" t="e">
            <v>#N/A</v>
          </cell>
          <cell r="N169" t="e">
            <v>#REF!</v>
          </cell>
          <cell r="O169" t="str">
            <v>E</v>
          </cell>
          <cell r="P169">
            <v>0</v>
          </cell>
          <cell r="Q169">
            <v>0</v>
          </cell>
          <cell r="R169">
            <v>0</v>
          </cell>
          <cell r="T169">
            <v>0</v>
          </cell>
          <cell r="U169">
            <v>0</v>
          </cell>
          <cell r="V169">
            <v>0</v>
          </cell>
          <cell r="X169">
            <v>0</v>
          </cell>
          <cell r="Y169">
            <v>0</v>
          </cell>
          <cell r="Z169">
            <v>0</v>
          </cell>
          <cell r="AB169">
            <v>0</v>
          </cell>
          <cell r="AC169">
            <v>0</v>
          </cell>
          <cell r="AD169">
            <v>0</v>
          </cell>
          <cell r="AF169">
            <v>0</v>
          </cell>
          <cell r="AG169">
            <v>0</v>
          </cell>
          <cell r="AH169">
            <v>0</v>
          </cell>
        </row>
        <row r="170">
          <cell r="G170">
            <v>13225</v>
          </cell>
          <cell r="H170">
            <v>278000</v>
          </cell>
          <cell r="I170" t="str">
            <v>6550</v>
          </cell>
          <cell r="L170" t="str">
            <v>Est Staff - Lta</v>
          </cell>
          <cell r="M170" t="str">
            <v>LEAVE TRAVEL ASSISTANCE (STAFF) (6550)</v>
          </cell>
          <cell r="N170" t="e">
            <v>#REF!</v>
          </cell>
          <cell r="O170" t="str">
            <v>E</v>
          </cell>
          <cell r="P170">
            <v>0</v>
          </cell>
          <cell r="Q170">
            <v>142633</v>
          </cell>
          <cell r="R170">
            <v>141875</v>
          </cell>
          <cell r="T170">
            <v>0</v>
          </cell>
          <cell r="U170">
            <v>43950</v>
          </cell>
          <cell r="V170">
            <v>41550</v>
          </cell>
          <cell r="X170">
            <v>0</v>
          </cell>
          <cell r="Y170">
            <v>0</v>
          </cell>
          <cell r="Z170">
            <v>1500</v>
          </cell>
          <cell r="AB170">
            <v>0</v>
          </cell>
          <cell r="AC170">
            <v>98683</v>
          </cell>
          <cell r="AD170">
            <v>75900</v>
          </cell>
          <cell r="AF170">
            <v>0</v>
          </cell>
          <cell r="AG170">
            <v>0</v>
          </cell>
          <cell r="AH170">
            <v>22925</v>
          </cell>
        </row>
        <row r="171">
          <cell r="I171" t="str">
            <v>6552</v>
          </cell>
          <cell r="L171" t="str">
            <v>Est Staff - Production Incentive</v>
          </cell>
          <cell r="O171" t="str">
            <v>E</v>
          </cell>
          <cell r="Q171">
            <v>344718</v>
          </cell>
          <cell r="R171">
            <v>0</v>
          </cell>
          <cell r="AC171">
            <v>344718</v>
          </cell>
        </row>
        <row r="172">
          <cell r="H172">
            <v>279000</v>
          </cell>
          <cell r="I172" t="str">
            <v>6555</v>
          </cell>
          <cell r="L172" t="str">
            <v>Est Staff - Bonus</v>
          </cell>
          <cell r="M172" t="e">
            <v>#N/A</v>
          </cell>
          <cell r="N172" t="e">
            <v>#REF!</v>
          </cell>
          <cell r="O172" t="str">
            <v>E</v>
          </cell>
          <cell r="P172">
            <v>0</v>
          </cell>
          <cell r="Q172">
            <v>5000</v>
          </cell>
          <cell r="R172">
            <v>149038</v>
          </cell>
          <cell r="T172">
            <v>0</v>
          </cell>
          <cell r="U172">
            <v>0</v>
          </cell>
          <cell r="V172">
            <v>0</v>
          </cell>
          <cell r="X172">
            <v>0</v>
          </cell>
          <cell r="Y172">
            <v>0</v>
          </cell>
          <cell r="Z172">
            <v>0</v>
          </cell>
          <cell r="AB172">
            <v>0</v>
          </cell>
          <cell r="AC172">
            <v>5000</v>
          </cell>
          <cell r="AD172">
            <v>149038</v>
          </cell>
          <cell r="AF172">
            <v>0</v>
          </cell>
          <cell r="AG172">
            <v>0</v>
          </cell>
          <cell r="AH172">
            <v>0</v>
          </cell>
        </row>
        <row r="173">
          <cell r="G173">
            <v>13226</v>
          </cell>
          <cell r="H173">
            <v>280000</v>
          </cell>
          <cell r="I173" t="str">
            <v>6560</v>
          </cell>
          <cell r="L173" t="str">
            <v>Est Staff - Exgratia</v>
          </cell>
          <cell r="M173" t="str">
            <v>PERFROMANCE REWARD (STAFF)</v>
          </cell>
          <cell r="N173" t="e">
            <v>#REF!</v>
          </cell>
          <cell r="O173" t="str">
            <v>E</v>
          </cell>
          <cell r="P173">
            <v>0</v>
          </cell>
          <cell r="Q173">
            <v>-23500</v>
          </cell>
          <cell r="R173">
            <v>14800</v>
          </cell>
          <cell r="T173">
            <v>0</v>
          </cell>
          <cell r="U173">
            <v>-23500</v>
          </cell>
          <cell r="V173">
            <v>14800</v>
          </cell>
          <cell r="X173">
            <v>0</v>
          </cell>
          <cell r="Y173">
            <v>0</v>
          </cell>
          <cell r="Z173">
            <v>0</v>
          </cell>
          <cell r="AB173">
            <v>0</v>
          </cell>
          <cell r="AC173">
            <v>0</v>
          </cell>
          <cell r="AD173">
            <v>0</v>
          </cell>
          <cell r="AF173">
            <v>0</v>
          </cell>
          <cell r="AG173">
            <v>0</v>
          </cell>
          <cell r="AH173">
            <v>0</v>
          </cell>
        </row>
        <row r="174">
          <cell r="G174">
            <v>13293</v>
          </cell>
          <cell r="H174">
            <v>281000</v>
          </cell>
          <cell r="I174" t="str">
            <v>6595</v>
          </cell>
          <cell r="L174" t="str">
            <v>Est Staff - Medical Expenses</v>
          </cell>
          <cell r="M174" t="str">
            <v>MEDICAL EXPENSES (STAFF) (6595)</v>
          </cell>
          <cell r="N174" t="e">
            <v>#REF!</v>
          </cell>
          <cell r="O174" t="str">
            <v>E</v>
          </cell>
          <cell r="Q174">
            <v>143384</v>
          </cell>
          <cell r="R174">
            <v>139178</v>
          </cell>
          <cell r="U174">
            <v>20700</v>
          </cell>
          <cell r="V174">
            <v>26450</v>
          </cell>
          <cell r="Y174">
            <v>0</v>
          </cell>
          <cell r="Z174">
            <v>0</v>
          </cell>
          <cell r="AC174">
            <v>98684</v>
          </cell>
          <cell r="AD174">
            <v>75900</v>
          </cell>
          <cell r="AG174">
            <v>24000</v>
          </cell>
          <cell r="AH174">
            <v>36828</v>
          </cell>
        </row>
        <row r="175">
          <cell r="G175">
            <v>13292</v>
          </cell>
          <cell r="H175">
            <v>282000</v>
          </cell>
          <cell r="I175" t="str">
            <v>6561</v>
          </cell>
          <cell r="L175" t="str">
            <v>MEDICLAIM STAFF</v>
          </cell>
          <cell r="M175" t="str">
            <v>MEDICLAIM STAFF</v>
          </cell>
          <cell r="N175" t="e">
            <v>#REF!</v>
          </cell>
          <cell r="O175" t="str">
            <v>E</v>
          </cell>
          <cell r="P175">
            <v>0</v>
          </cell>
          <cell r="Q175">
            <v>19807</v>
          </cell>
          <cell r="R175">
            <v>90381</v>
          </cell>
          <cell r="T175">
            <v>0</v>
          </cell>
          <cell r="U175">
            <v>19807</v>
          </cell>
          <cell r="V175">
            <v>14381</v>
          </cell>
          <cell r="X175">
            <v>0</v>
          </cell>
          <cell r="Y175">
            <v>0</v>
          </cell>
          <cell r="Z175">
            <v>0</v>
          </cell>
          <cell r="AB175">
            <v>0</v>
          </cell>
          <cell r="AC175">
            <v>0</v>
          </cell>
          <cell r="AD175">
            <v>0</v>
          </cell>
          <cell r="AF175">
            <v>0</v>
          </cell>
          <cell r="AG175">
            <v>0</v>
          </cell>
          <cell r="AH175">
            <v>76000</v>
          </cell>
        </row>
        <row r="176">
          <cell r="H176">
            <v>283000</v>
          </cell>
          <cell r="L176" t="str">
            <v>Excess Provision trf from Contribution</v>
          </cell>
          <cell r="O176" t="str">
            <v>E</v>
          </cell>
          <cell r="Q176">
            <v>0</v>
          </cell>
          <cell r="R176">
            <v>0</v>
          </cell>
          <cell r="U176">
            <v>0</v>
          </cell>
          <cell r="V176">
            <v>0</v>
          </cell>
          <cell r="X176">
            <v>0</v>
          </cell>
          <cell r="Y176">
            <v>0</v>
          </cell>
          <cell r="Z176">
            <v>0</v>
          </cell>
          <cell r="AB176">
            <v>0</v>
          </cell>
          <cell r="AF176">
            <v>0</v>
          </cell>
        </row>
        <row r="177">
          <cell r="H177">
            <v>284000</v>
          </cell>
          <cell r="K177" t="str">
            <v>Staff</v>
          </cell>
          <cell r="M177" t="e">
            <v>#N/A</v>
          </cell>
          <cell r="N177" t="e">
            <v>#REF!</v>
          </cell>
          <cell r="O177" t="str">
            <v>E</v>
          </cell>
          <cell r="P177">
            <v>0</v>
          </cell>
          <cell r="Q177">
            <v>2790527</v>
          </cell>
          <cell r="R177">
            <v>3783384</v>
          </cell>
          <cell r="T177">
            <v>0</v>
          </cell>
          <cell r="U177">
            <v>-235310</v>
          </cell>
          <cell r="V177">
            <v>1272545</v>
          </cell>
          <cell r="X177">
            <v>0</v>
          </cell>
          <cell r="Y177">
            <v>0</v>
          </cell>
          <cell r="Z177">
            <v>5880</v>
          </cell>
          <cell r="AB177">
            <v>0</v>
          </cell>
          <cell r="AC177">
            <v>3001837</v>
          </cell>
          <cell r="AD177">
            <v>1854988</v>
          </cell>
          <cell r="AF177">
            <v>0</v>
          </cell>
          <cell r="AG177">
            <v>24000</v>
          </cell>
          <cell r="AH177">
            <v>649971</v>
          </cell>
        </row>
        <row r="178">
          <cell r="H178">
            <v>285000</v>
          </cell>
          <cell r="K178" t="str">
            <v>Workmen</v>
          </cell>
          <cell r="M178" t="e">
            <v>#N/A</v>
          </cell>
          <cell r="N178" t="e">
            <v>#REF!</v>
          </cell>
          <cell r="O178" t="str">
            <v>E</v>
          </cell>
        </row>
        <row r="179">
          <cell r="G179">
            <v>13231</v>
          </cell>
          <cell r="H179">
            <v>286000</v>
          </cell>
          <cell r="I179" t="str">
            <v>6610</v>
          </cell>
          <cell r="L179" t="str">
            <v>Est Lbr - Basic/Salary, Wages &amp; Others</v>
          </cell>
          <cell r="M179" t="str">
            <v>SALARIES , WAGES, BONUS ETC. (WORKERS)</v>
          </cell>
          <cell r="N179" t="e">
            <v>#REF!</v>
          </cell>
          <cell r="O179" t="str">
            <v>E</v>
          </cell>
          <cell r="P179">
            <v>0</v>
          </cell>
          <cell r="Q179">
            <v>78190438</v>
          </cell>
          <cell r="R179">
            <v>65832361</v>
          </cell>
          <cell r="T179">
            <v>0</v>
          </cell>
          <cell r="U179">
            <v>50307752</v>
          </cell>
          <cell r="V179">
            <v>39464973</v>
          </cell>
          <cell r="X179">
            <v>0</v>
          </cell>
          <cell r="Y179">
            <v>24823158</v>
          </cell>
          <cell r="Z179">
            <v>24131888</v>
          </cell>
          <cell r="AB179">
            <v>0</v>
          </cell>
          <cell r="AC179">
            <v>2268651</v>
          </cell>
          <cell r="AD179">
            <v>1672931</v>
          </cell>
          <cell r="AF179">
            <v>0</v>
          </cell>
          <cell r="AG179">
            <v>790877</v>
          </cell>
          <cell r="AH179">
            <v>562569</v>
          </cell>
        </row>
        <row r="180">
          <cell r="H180">
            <v>287000</v>
          </cell>
          <cell r="I180" t="str">
            <v>6612</v>
          </cell>
          <cell r="L180" t="str">
            <v>Est - Lbr - Arrears / Lts</v>
          </cell>
          <cell r="M180" t="e">
            <v>#N/A</v>
          </cell>
          <cell r="N180" t="e">
            <v>#REF!</v>
          </cell>
          <cell r="O180" t="str">
            <v>E</v>
          </cell>
          <cell r="P180">
            <v>0</v>
          </cell>
          <cell r="Q180">
            <v>0</v>
          </cell>
          <cell r="R180">
            <v>0</v>
          </cell>
          <cell r="T180">
            <v>0</v>
          </cell>
          <cell r="U180">
            <v>0</v>
          </cell>
          <cell r="V180">
            <v>0</v>
          </cell>
          <cell r="X180">
            <v>0</v>
          </cell>
          <cell r="Y180">
            <v>0</v>
          </cell>
          <cell r="Z180">
            <v>0</v>
          </cell>
          <cell r="AB180">
            <v>0</v>
          </cell>
          <cell r="AC180">
            <v>0</v>
          </cell>
          <cell r="AD180">
            <v>0</v>
          </cell>
          <cell r="AF180">
            <v>0</v>
          </cell>
          <cell r="AG180">
            <v>0</v>
          </cell>
          <cell r="AH180">
            <v>0</v>
          </cell>
        </row>
        <row r="181">
          <cell r="H181">
            <v>288000</v>
          </cell>
          <cell r="I181" t="str">
            <v>6615</v>
          </cell>
          <cell r="L181" t="str">
            <v>Est Lbr - Da</v>
          </cell>
          <cell r="M181" t="e">
            <v>#N/A</v>
          </cell>
          <cell r="N181" t="e">
            <v>#REF!</v>
          </cell>
          <cell r="O181" t="str">
            <v>E</v>
          </cell>
          <cell r="P181">
            <v>0</v>
          </cell>
          <cell r="Q181">
            <v>2110578</v>
          </cell>
          <cell r="R181">
            <v>2001187</v>
          </cell>
          <cell r="T181">
            <v>0</v>
          </cell>
          <cell r="U181">
            <v>0</v>
          </cell>
          <cell r="V181">
            <v>0</v>
          </cell>
          <cell r="X181">
            <v>0</v>
          </cell>
          <cell r="Y181">
            <v>0</v>
          </cell>
          <cell r="Z181">
            <v>0</v>
          </cell>
          <cell r="AB181">
            <v>0</v>
          </cell>
          <cell r="AC181">
            <v>1260276</v>
          </cell>
          <cell r="AD181">
            <v>1414975</v>
          </cell>
          <cell r="AF181">
            <v>0</v>
          </cell>
          <cell r="AG181">
            <v>850302</v>
          </cell>
          <cell r="AH181">
            <v>586212</v>
          </cell>
        </row>
        <row r="182">
          <cell r="H182">
            <v>289000</v>
          </cell>
          <cell r="I182" t="str">
            <v>6620</v>
          </cell>
          <cell r="L182" t="str">
            <v>Est Lbr - House Rent Allowance</v>
          </cell>
          <cell r="M182" t="e">
            <v>#N/A</v>
          </cell>
          <cell r="N182" t="e">
            <v>#REF!</v>
          </cell>
          <cell r="O182" t="str">
            <v>E</v>
          </cell>
          <cell r="P182">
            <v>0</v>
          </cell>
          <cell r="Q182">
            <v>746845</v>
          </cell>
          <cell r="R182">
            <v>549379</v>
          </cell>
          <cell r="T182">
            <v>0</v>
          </cell>
          <cell r="U182">
            <v>0</v>
          </cell>
          <cell r="V182">
            <v>0</v>
          </cell>
          <cell r="X182">
            <v>0</v>
          </cell>
          <cell r="Y182">
            <v>0</v>
          </cell>
          <cell r="Z182">
            <v>0</v>
          </cell>
          <cell r="AB182">
            <v>0</v>
          </cell>
          <cell r="AC182">
            <v>548068</v>
          </cell>
          <cell r="AD182">
            <v>408736</v>
          </cell>
          <cell r="AF182">
            <v>0</v>
          </cell>
          <cell r="AG182">
            <v>198777</v>
          </cell>
          <cell r="AH182">
            <v>140643</v>
          </cell>
        </row>
        <row r="183">
          <cell r="H183">
            <v>290000</v>
          </cell>
          <cell r="I183" t="str">
            <v>6625</v>
          </cell>
          <cell r="L183" t="str">
            <v>Est Lbr - Education Transport Canteen  Allowance</v>
          </cell>
          <cell r="M183" t="e">
            <v>#N/A</v>
          </cell>
          <cell r="N183" t="e">
            <v>#REF!</v>
          </cell>
          <cell r="O183" t="str">
            <v>E</v>
          </cell>
          <cell r="P183">
            <v>0</v>
          </cell>
          <cell r="Q183">
            <v>706056</v>
          </cell>
          <cell r="R183">
            <v>58931</v>
          </cell>
          <cell r="T183">
            <v>0</v>
          </cell>
          <cell r="U183">
            <v>0</v>
          </cell>
          <cell r="V183">
            <v>0</v>
          </cell>
          <cell r="X183">
            <v>0</v>
          </cell>
          <cell r="Y183">
            <v>0</v>
          </cell>
          <cell r="Z183">
            <v>0</v>
          </cell>
          <cell r="AB183">
            <v>0</v>
          </cell>
          <cell r="AC183">
            <v>65072</v>
          </cell>
          <cell r="AD183">
            <v>58931</v>
          </cell>
          <cell r="AF183">
            <v>0</v>
          </cell>
          <cell r="AG183">
            <v>640984</v>
          </cell>
          <cell r="AH183">
            <v>0</v>
          </cell>
        </row>
        <row r="184">
          <cell r="H184">
            <v>291000</v>
          </cell>
          <cell r="I184" t="str">
            <v>6630</v>
          </cell>
          <cell r="L184" t="str">
            <v>Est Lbr - Special Allowance</v>
          </cell>
          <cell r="M184" t="e">
            <v>#N/A</v>
          </cell>
          <cell r="N184" t="e">
            <v>#REF!</v>
          </cell>
          <cell r="O184" t="str">
            <v>E</v>
          </cell>
          <cell r="P184">
            <v>0</v>
          </cell>
          <cell r="Q184">
            <v>445626</v>
          </cell>
          <cell r="R184">
            <v>232998</v>
          </cell>
          <cell r="T184">
            <v>0</v>
          </cell>
          <cell r="U184">
            <v>0</v>
          </cell>
          <cell r="V184">
            <v>0</v>
          </cell>
          <cell r="X184">
            <v>0</v>
          </cell>
          <cell r="Y184">
            <v>0</v>
          </cell>
          <cell r="Z184">
            <v>0</v>
          </cell>
          <cell r="AB184">
            <v>0</v>
          </cell>
          <cell r="AC184">
            <v>0</v>
          </cell>
          <cell r="AD184">
            <v>0</v>
          </cell>
          <cell r="AF184">
            <v>0</v>
          </cell>
          <cell r="AG184">
            <v>445626</v>
          </cell>
          <cell r="AH184">
            <v>232998</v>
          </cell>
        </row>
        <row r="185">
          <cell r="H185">
            <v>292000</v>
          </cell>
          <cell r="I185" t="str">
            <v>6631</v>
          </cell>
          <cell r="L185" t="str">
            <v>Est Lbr - Plating &amp; Night Shift Allowance</v>
          </cell>
          <cell r="M185" t="e">
            <v>#N/A</v>
          </cell>
          <cell r="N185" t="e">
            <v>#REF!</v>
          </cell>
          <cell r="O185" t="str">
            <v>E</v>
          </cell>
          <cell r="P185">
            <v>0</v>
          </cell>
          <cell r="Q185">
            <v>0</v>
          </cell>
          <cell r="R185">
            <v>0</v>
          </cell>
          <cell r="T185">
            <v>0</v>
          </cell>
          <cell r="U185">
            <v>0</v>
          </cell>
          <cell r="V185">
            <v>0</v>
          </cell>
          <cell r="X185">
            <v>0</v>
          </cell>
          <cell r="Y185">
            <v>0</v>
          </cell>
          <cell r="Z185">
            <v>0</v>
          </cell>
          <cell r="AB185">
            <v>0</v>
          </cell>
          <cell r="AC185">
            <v>0</v>
          </cell>
          <cell r="AD185">
            <v>0</v>
          </cell>
          <cell r="AF185">
            <v>0</v>
          </cell>
          <cell r="AG185">
            <v>0</v>
          </cell>
          <cell r="AH185">
            <v>0</v>
          </cell>
        </row>
        <row r="186">
          <cell r="H186">
            <v>293000</v>
          </cell>
          <cell r="I186" t="str">
            <v>6635</v>
          </cell>
          <cell r="L186" t="str">
            <v>Est Lbr - Shift Allowance</v>
          </cell>
          <cell r="M186" t="e">
            <v>#N/A</v>
          </cell>
          <cell r="N186" t="e">
            <v>#REF!</v>
          </cell>
          <cell r="O186" t="str">
            <v>E</v>
          </cell>
          <cell r="P186">
            <v>0</v>
          </cell>
          <cell r="Q186">
            <v>0</v>
          </cell>
          <cell r="R186">
            <v>0</v>
          </cell>
          <cell r="T186">
            <v>0</v>
          </cell>
          <cell r="U186">
            <v>0</v>
          </cell>
          <cell r="V186">
            <v>0</v>
          </cell>
          <cell r="X186">
            <v>0</v>
          </cell>
          <cell r="Y186">
            <v>0</v>
          </cell>
          <cell r="Z186">
            <v>0</v>
          </cell>
          <cell r="AB186">
            <v>0</v>
          </cell>
          <cell r="AC186">
            <v>0</v>
          </cell>
          <cell r="AD186">
            <v>0</v>
          </cell>
          <cell r="AF186">
            <v>0</v>
          </cell>
          <cell r="AG186">
            <v>0</v>
          </cell>
          <cell r="AH186">
            <v>0</v>
          </cell>
        </row>
        <row r="187">
          <cell r="H187">
            <v>294000</v>
          </cell>
          <cell r="I187" t="str">
            <v>6636</v>
          </cell>
          <cell r="L187" t="str">
            <v>Est Lbr - Medical Allowance</v>
          </cell>
          <cell r="M187" t="e">
            <v>#N/A</v>
          </cell>
          <cell r="N187" t="e">
            <v>#REF!</v>
          </cell>
          <cell r="O187" t="str">
            <v>E</v>
          </cell>
          <cell r="P187">
            <v>0</v>
          </cell>
          <cell r="Q187">
            <v>0</v>
          </cell>
          <cell r="R187">
            <v>0</v>
          </cell>
          <cell r="T187">
            <v>0</v>
          </cell>
          <cell r="U187">
            <v>0</v>
          </cell>
          <cell r="V187">
            <v>0</v>
          </cell>
          <cell r="X187">
            <v>0</v>
          </cell>
          <cell r="Y187">
            <v>0</v>
          </cell>
          <cell r="Z187">
            <v>0</v>
          </cell>
          <cell r="AB187">
            <v>0</v>
          </cell>
          <cell r="AC187">
            <v>0</v>
          </cell>
          <cell r="AD187">
            <v>0</v>
          </cell>
          <cell r="AF187">
            <v>0</v>
          </cell>
          <cell r="AG187">
            <v>0</v>
          </cell>
          <cell r="AH187">
            <v>0</v>
          </cell>
        </row>
        <row r="188">
          <cell r="H188">
            <v>295000</v>
          </cell>
          <cell r="I188" t="str">
            <v>6645</v>
          </cell>
          <cell r="L188" t="str">
            <v>Est Lbr - Overtime</v>
          </cell>
          <cell r="M188" t="e">
            <v>#N/A</v>
          </cell>
          <cell r="N188" t="e">
            <v>#REF!</v>
          </cell>
          <cell r="O188" t="str">
            <v>E</v>
          </cell>
          <cell r="P188">
            <v>0</v>
          </cell>
          <cell r="Q188">
            <v>1579978</v>
          </cell>
          <cell r="R188">
            <v>1093886</v>
          </cell>
          <cell r="T188">
            <v>0</v>
          </cell>
          <cell r="U188">
            <v>0</v>
          </cell>
          <cell r="V188">
            <v>0</v>
          </cell>
          <cell r="X188">
            <v>0</v>
          </cell>
          <cell r="Y188">
            <v>0</v>
          </cell>
          <cell r="Z188">
            <v>0</v>
          </cell>
          <cell r="AB188">
            <v>0</v>
          </cell>
          <cell r="AC188">
            <v>0</v>
          </cell>
          <cell r="AD188">
            <v>0</v>
          </cell>
          <cell r="AF188">
            <v>0</v>
          </cell>
          <cell r="AG188">
            <v>1579978</v>
          </cell>
          <cell r="AH188">
            <v>1093886</v>
          </cell>
        </row>
        <row r="189">
          <cell r="G189">
            <v>13233</v>
          </cell>
          <cell r="H189">
            <v>296000</v>
          </cell>
          <cell r="I189" t="str">
            <v>6650</v>
          </cell>
          <cell r="L189" t="str">
            <v>Est Lbr - Lta</v>
          </cell>
          <cell r="M189" t="str">
            <v>LEAVE TRAVEL ASSISTANCE (WORKERS) (6650)</v>
          </cell>
          <cell r="N189" t="e">
            <v>#REF!</v>
          </cell>
          <cell r="O189" t="str">
            <v>E</v>
          </cell>
          <cell r="P189">
            <v>0</v>
          </cell>
          <cell r="Q189">
            <v>2515087</v>
          </cell>
          <cell r="R189">
            <v>2382150</v>
          </cell>
          <cell r="T189">
            <v>0</v>
          </cell>
          <cell r="U189">
            <v>1292400</v>
          </cell>
          <cell r="V189">
            <v>1261600</v>
          </cell>
          <cell r="X189">
            <v>0</v>
          </cell>
          <cell r="Y189">
            <v>953195</v>
          </cell>
          <cell r="Z189">
            <v>934800</v>
          </cell>
          <cell r="AB189">
            <v>0</v>
          </cell>
          <cell r="AC189">
            <v>190075</v>
          </cell>
          <cell r="AD189">
            <v>140175</v>
          </cell>
          <cell r="AF189">
            <v>0</v>
          </cell>
          <cell r="AG189">
            <v>79417</v>
          </cell>
          <cell r="AH189">
            <v>45575</v>
          </cell>
        </row>
        <row r="190">
          <cell r="H190">
            <v>297000</v>
          </cell>
          <cell r="I190" t="str">
            <v>6651</v>
          </cell>
          <cell r="L190" t="str">
            <v>Est Lbr - Relocation Allow</v>
          </cell>
          <cell r="M190" t="e">
            <v>#N/A</v>
          </cell>
          <cell r="N190" t="e">
            <v>#REF!</v>
          </cell>
          <cell r="O190" t="str">
            <v>E</v>
          </cell>
          <cell r="P190">
            <v>0</v>
          </cell>
          <cell r="Q190">
            <v>233435</v>
          </cell>
          <cell r="R190">
            <v>148701</v>
          </cell>
          <cell r="T190">
            <v>0</v>
          </cell>
          <cell r="U190">
            <v>0</v>
          </cell>
          <cell r="V190">
            <v>0</v>
          </cell>
          <cell r="X190">
            <v>0</v>
          </cell>
          <cell r="Y190">
            <v>0</v>
          </cell>
          <cell r="Z190">
            <v>0</v>
          </cell>
          <cell r="AB190">
            <v>0</v>
          </cell>
          <cell r="AC190">
            <v>233435</v>
          </cell>
          <cell r="AD190">
            <v>148701</v>
          </cell>
          <cell r="AF190">
            <v>0</v>
          </cell>
          <cell r="AG190">
            <v>0</v>
          </cell>
          <cell r="AH190">
            <v>0</v>
          </cell>
        </row>
        <row r="191">
          <cell r="H191">
            <v>298000</v>
          </cell>
          <cell r="I191" t="str">
            <v>0066</v>
          </cell>
          <cell r="L191" t="str">
            <v>Est - Lbr Re-Location  Allowance</v>
          </cell>
          <cell r="M191" t="e">
            <v>#N/A</v>
          </cell>
          <cell r="N191" t="e">
            <v>#REF!</v>
          </cell>
          <cell r="O191" t="str">
            <v>E</v>
          </cell>
          <cell r="Q191">
            <v>0</v>
          </cell>
          <cell r="R191">
            <v>0</v>
          </cell>
          <cell r="U191">
            <v>0</v>
          </cell>
          <cell r="V191">
            <v>0</v>
          </cell>
          <cell r="Y191">
            <v>0</v>
          </cell>
          <cell r="Z191">
            <v>0</v>
          </cell>
          <cell r="AC191">
            <v>0</v>
          </cell>
          <cell r="AD191">
            <v>0</v>
          </cell>
          <cell r="AG191">
            <v>0</v>
          </cell>
          <cell r="AH191">
            <v>0</v>
          </cell>
        </row>
        <row r="192">
          <cell r="H192">
            <v>299000</v>
          </cell>
          <cell r="I192" t="str">
            <v>6652</v>
          </cell>
          <cell r="L192" t="str">
            <v>Est Lbr - Prpduction Incentive</v>
          </cell>
          <cell r="M192" t="e">
            <v>#N/A</v>
          </cell>
          <cell r="N192" t="e">
            <v>#REF!</v>
          </cell>
          <cell r="O192" t="str">
            <v>E</v>
          </cell>
          <cell r="P192">
            <v>0</v>
          </cell>
          <cell r="Q192">
            <v>635594</v>
          </cell>
          <cell r="R192">
            <v>662130</v>
          </cell>
          <cell r="T192">
            <v>0</v>
          </cell>
          <cell r="U192">
            <v>0</v>
          </cell>
          <cell r="V192">
            <v>0</v>
          </cell>
          <cell r="X192">
            <v>0</v>
          </cell>
          <cell r="Y192">
            <v>0</v>
          </cell>
          <cell r="Z192">
            <v>0</v>
          </cell>
          <cell r="AB192">
            <v>0</v>
          </cell>
          <cell r="AC192">
            <v>635594</v>
          </cell>
          <cell r="AD192">
            <v>662130</v>
          </cell>
          <cell r="AF192">
            <v>0</v>
          </cell>
          <cell r="AG192">
            <v>0</v>
          </cell>
          <cell r="AH192">
            <v>0</v>
          </cell>
        </row>
        <row r="193">
          <cell r="H193">
            <v>300000</v>
          </cell>
          <cell r="I193" t="str">
            <v>6653</v>
          </cell>
          <cell r="L193" t="str">
            <v>Est Lbr - Attendance Bonus</v>
          </cell>
          <cell r="M193" t="e">
            <v>#N/A</v>
          </cell>
          <cell r="N193" t="e">
            <v>#REF!</v>
          </cell>
          <cell r="O193" t="str">
            <v>E</v>
          </cell>
          <cell r="P193">
            <v>0</v>
          </cell>
          <cell r="Q193">
            <v>73000</v>
          </cell>
          <cell r="R193">
            <v>68000</v>
          </cell>
          <cell r="T193">
            <v>0</v>
          </cell>
          <cell r="U193">
            <v>0</v>
          </cell>
          <cell r="V193">
            <v>0</v>
          </cell>
          <cell r="X193">
            <v>0</v>
          </cell>
          <cell r="Y193">
            <v>0</v>
          </cell>
          <cell r="Z193">
            <v>0</v>
          </cell>
          <cell r="AB193">
            <v>0</v>
          </cell>
          <cell r="AC193">
            <v>73000</v>
          </cell>
          <cell r="AD193">
            <v>68000</v>
          </cell>
          <cell r="AF193">
            <v>0</v>
          </cell>
          <cell r="AG193">
            <v>0</v>
          </cell>
          <cell r="AH193">
            <v>0</v>
          </cell>
        </row>
        <row r="194">
          <cell r="H194">
            <v>301000</v>
          </cell>
          <cell r="I194" t="str">
            <v>6654</v>
          </cell>
          <cell r="L194" t="str">
            <v>Est Lbr - Multi Machine Maint Allow</v>
          </cell>
          <cell r="M194" t="e">
            <v>#N/A</v>
          </cell>
          <cell r="N194" t="e">
            <v>#REF!</v>
          </cell>
          <cell r="O194" t="str">
            <v>E</v>
          </cell>
          <cell r="P194">
            <v>0</v>
          </cell>
          <cell r="Q194">
            <v>0</v>
          </cell>
          <cell r="R194">
            <v>0</v>
          </cell>
          <cell r="T194">
            <v>0</v>
          </cell>
          <cell r="U194">
            <v>0</v>
          </cell>
          <cell r="V194">
            <v>0</v>
          </cell>
          <cell r="X194">
            <v>0</v>
          </cell>
          <cell r="Y194">
            <v>0</v>
          </cell>
          <cell r="Z194">
            <v>0</v>
          </cell>
          <cell r="AB194">
            <v>0</v>
          </cell>
          <cell r="AC194">
            <v>0</v>
          </cell>
          <cell r="AD194">
            <v>0</v>
          </cell>
          <cell r="AF194">
            <v>0</v>
          </cell>
          <cell r="AG194">
            <v>0</v>
          </cell>
          <cell r="AH194">
            <v>0</v>
          </cell>
        </row>
        <row r="195">
          <cell r="H195">
            <v>302000</v>
          </cell>
          <cell r="I195" t="str">
            <v>6655</v>
          </cell>
          <cell r="L195" t="str">
            <v>Est Lbr - Bonus</v>
          </cell>
          <cell r="M195" t="e">
            <v>#N/A</v>
          </cell>
          <cell r="N195" t="e">
            <v>#REF!</v>
          </cell>
          <cell r="O195" t="str">
            <v>E</v>
          </cell>
          <cell r="P195">
            <v>0</v>
          </cell>
          <cell r="Q195">
            <v>419403</v>
          </cell>
          <cell r="R195">
            <v>389009</v>
          </cell>
          <cell r="T195">
            <v>0</v>
          </cell>
          <cell r="U195">
            <v>0</v>
          </cell>
          <cell r="V195">
            <v>0</v>
          </cell>
          <cell r="X195">
            <v>0</v>
          </cell>
          <cell r="Y195">
            <v>0</v>
          </cell>
          <cell r="Z195">
            <v>0</v>
          </cell>
          <cell r="AB195">
            <v>0</v>
          </cell>
          <cell r="AC195">
            <v>318549</v>
          </cell>
          <cell r="AD195">
            <v>293312</v>
          </cell>
          <cell r="AF195">
            <v>0</v>
          </cell>
          <cell r="AG195">
            <v>100854</v>
          </cell>
          <cell r="AH195">
            <v>95697</v>
          </cell>
        </row>
        <row r="196">
          <cell r="G196">
            <v>13235</v>
          </cell>
          <cell r="H196">
            <v>303000</v>
          </cell>
          <cell r="I196" t="str">
            <v>6660</v>
          </cell>
          <cell r="L196" t="str">
            <v>Est Lbr - Exgratia</v>
          </cell>
          <cell r="M196" t="str">
            <v>EXGRATIA (WORKERS) (6660)</v>
          </cell>
          <cell r="N196" t="e">
            <v>#REF!</v>
          </cell>
          <cell r="O196" t="str">
            <v>E</v>
          </cell>
          <cell r="P196">
            <v>0</v>
          </cell>
          <cell r="Q196">
            <v>4912524</v>
          </cell>
          <cell r="R196">
            <v>3785399</v>
          </cell>
          <cell r="T196">
            <v>0</v>
          </cell>
          <cell r="U196">
            <v>3515206</v>
          </cell>
          <cell r="V196">
            <v>3499022</v>
          </cell>
          <cell r="X196">
            <v>0</v>
          </cell>
          <cell r="Y196">
            <v>1397318</v>
          </cell>
          <cell r="Z196">
            <v>286377</v>
          </cell>
          <cell r="AB196">
            <v>0</v>
          </cell>
          <cell r="AC196">
            <v>0</v>
          </cell>
          <cell r="AD196">
            <v>0</v>
          </cell>
          <cell r="AF196">
            <v>0</v>
          </cell>
          <cell r="AG196">
            <v>0</v>
          </cell>
          <cell r="AH196">
            <v>0</v>
          </cell>
        </row>
        <row r="197">
          <cell r="H197">
            <v>304000</v>
          </cell>
          <cell r="I197" t="str">
            <v>6693</v>
          </cell>
          <cell r="L197" t="str">
            <v>Est Lbr - Multi Machine Manning Allow. (Wages)</v>
          </cell>
          <cell r="M197" t="e">
            <v>#N/A</v>
          </cell>
          <cell r="N197" t="e">
            <v>#REF!</v>
          </cell>
          <cell r="O197" t="str">
            <v>E</v>
          </cell>
          <cell r="Q197">
            <v>0</v>
          </cell>
          <cell r="R197">
            <v>0</v>
          </cell>
          <cell r="U197">
            <v>0</v>
          </cell>
          <cell r="V197">
            <v>0</v>
          </cell>
          <cell r="Y197">
            <v>0</v>
          </cell>
          <cell r="Z197">
            <v>0</v>
          </cell>
          <cell r="AC197">
            <v>0</v>
          </cell>
          <cell r="AD197">
            <v>0</v>
          </cell>
          <cell r="AG197">
            <v>0</v>
          </cell>
          <cell r="AH197">
            <v>0</v>
          </cell>
        </row>
        <row r="198">
          <cell r="H198">
            <v>305000</v>
          </cell>
          <cell r="I198" t="str">
            <v>6694</v>
          </cell>
          <cell r="L198" t="str">
            <v>Est Lbr - Medical Allow (Wages)</v>
          </cell>
          <cell r="M198" t="e">
            <v>#N/A</v>
          </cell>
          <cell r="N198" t="e">
            <v>#REF!</v>
          </cell>
          <cell r="O198" t="str">
            <v>E</v>
          </cell>
          <cell r="Q198">
            <v>0</v>
          </cell>
          <cell r="R198">
            <v>0</v>
          </cell>
          <cell r="U198">
            <v>0</v>
          </cell>
          <cell r="V198">
            <v>0</v>
          </cell>
          <cell r="Y198">
            <v>0</v>
          </cell>
          <cell r="Z198">
            <v>0</v>
          </cell>
          <cell r="AC198">
            <v>0</v>
          </cell>
          <cell r="AD198">
            <v>0</v>
          </cell>
          <cell r="AG198">
            <v>0</v>
          </cell>
          <cell r="AH198">
            <v>0</v>
          </cell>
        </row>
        <row r="199">
          <cell r="H199">
            <v>306000</v>
          </cell>
          <cell r="I199" t="str">
            <v>6696</v>
          </cell>
          <cell r="L199" t="str">
            <v>Est Lbr Medical Allowance</v>
          </cell>
          <cell r="M199" t="e">
            <v>#N/A</v>
          </cell>
          <cell r="N199" t="e">
            <v>#REF!</v>
          </cell>
          <cell r="O199" t="str">
            <v>E</v>
          </cell>
          <cell r="Q199">
            <v>0</v>
          </cell>
          <cell r="R199">
            <v>0</v>
          </cell>
          <cell r="U199">
            <v>0</v>
          </cell>
          <cell r="V199">
            <v>0</v>
          </cell>
          <cell r="Y199">
            <v>0</v>
          </cell>
          <cell r="Z199">
            <v>0</v>
          </cell>
          <cell r="AC199">
            <v>0</v>
          </cell>
          <cell r="AD199">
            <v>0</v>
          </cell>
          <cell r="AG199">
            <v>0</v>
          </cell>
          <cell r="AH199">
            <v>0</v>
          </cell>
        </row>
        <row r="200">
          <cell r="H200">
            <v>307000</v>
          </cell>
          <cell r="I200" t="str">
            <v>6710</v>
          </cell>
          <cell r="L200" t="str">
            <v>Est Cas -  Basic</v>
          </cell>
          <cell r="M200" t="e">
            <v>#N/A</v>
          </cell>
          <cell r="N200" t="e">
            <v>#REF!</v>
          </cell>
          <cell r="O200" t="str">
            <v>E</v>
          </cell>
          <cell r="P200">
            <v>0</v>
          </cell>
          <cell r="Q200">
            <v>0</v>
          </cell>
          <cell r="R200">
            <v>0</v>
          </cell>
          <cell r="T200">
            <v>0</v>
          </cell>
          <cell r="U200">
            <v>0</v>
          </cell>
          <cell r="V200">
            <v>0</v>
          </cell>
          <cell r="X200">
            <v>0</v>
          </cell>
          <cell r="Y200">
            <v>0</v>
          </cell>
          <cell r="Z200">
            <v>0</v>
          </cell>
          <cell r="AB200">
            <v>0</v>
          </cell>
          <cell r="AC200">
            <v>0</v>
          </cell>
          <cell r="AD200">
            <v>0</v>
          </cell>
          <cell r="AF200">
            <v>0</v>
          </cell>
          <cell r="AG200">
            <v>0</v>
          </cell>
          <cell r="AH200">
            <v>0</v>
          </cell>
        </row>
        <row r="201">
          <cell r="H201">
            <v>308000</v>
          </cell>
          <cell r="I201" t="str">
            <v>6720</v>
          </cell>
          <cell r="L201" t="str">
            <v>Est Cas - House Rent Allowance</v>
          </cell>
          <cell r="M201" t="e">
            <v>#N/A</v>
          </cell>
          <cell r="N201" t="e">
            <v>#REF!</v>
          </cell>
          <cell r="O201" t="str">
            <v>E</v>
          </cell>
          <cell r="P201">
            <v>0</v>
          </cell>
          <cell r="Q201">
            <v>0</v>
          </cell>
          <cell r="R201">
            <v>0</v>
          </cell>
          <cell r="T201">
            <v>0</v>
          </cell>
          <cell r="U201">
            <v>0</v>
          </cell>
          <cell r="V201">
            <v>0</v>
          </cell>
          <cell r="X201">
            <v>0</v>
          </cell>
          <cell r="Y201">
            <v>0</v>
          </cell>
          <cell r="Z201">
            <v>0</v>
          </cell>
          <cell r="AB201">
            <v>0</v>
          </cell>
          <cell r="AC201">
            <v>0</v>
          </cell>
          <cell r="AD201">
            <v>0</v>
          </cell>
          <cell r="AF201">
            <v>0</v>
          </cell>
          <cell r="AG201">
            <v>0</v>
          </cell>
          <cell r="AH201">
            <v>0</v>
          </cell>
        </row>
        <row r="202">
          <cell r="H202">
            <v>309000</v>
          </cell>
          <cell r="I202" t="str">
            <v>6730</v>
          </cell>
          <cell r="L202" t="str">
            <v>Est Cas - Overtime</v>
          </cell>
          <cell r="M202" t="e">
            <v>#N/A</v>
          </cell>
          <cell r="N202" t="e">
            <v>#REF!</v>
          </cell>
          <cell r="O202" t="str">
            <v>E</v>
          </cell>
          <cell r="P202">
            <v>0</v>
          </cell>
          <cell r="Q202">
            <v>0</v>
          </cell>
          <cell r="R202">
            <v>0</v>
          </cell>
          <cell r="T202">
            <v>0</v>
          </cell>
          <cell r="U202">
            <v>0</v>
          </cell>
          <cell r="V202">
            <v>0</v>
          </cell>
          <cell r="X202">
            <v>0</v>
          </cell>
          <cell r="Y202">
            <v>0</v>
          </cell>
          <cell r="Z202">
            <v>0</v>
          </cell>
          <cell r="AB202">
            <v>0</v>
          </cell>
          <cell r="AC202">
            <v>0</v>
          </cell>
          <cell r="AD202">
            <v>0</v>
          </cell>
          <cell r="AF202">
            <v>0</v>
          </cell>
          <cell r="AG202">
            <v>0</v>
          </cell>
          <cell r="AH202">
            <v>0</v>
          </cell>
        </row>
        <row r="203">
          <cell r="H203">
            <v>310000</v>
          </cell>
          <cell r="I203" t="str">
            <v>6740</v>
          </cell>
          <cell r="L203" t="str">
            <v>Est Cas - Bonus</v>
          </cell>
          <cell r="M203" t="e">
            <v>#N/A</v>
          </cell>
          <cell r="N203" t="e">
            <v>#REF!</v>
          </cell>
          <cell r="O203" t="str">
            <v>E</v>
          </cell>
          <cell r="Q203">
            <v>0</v>
          </cell>
          <cell r="R203">
            <v>0</v>
          </cell>
          <cell r="U203">
            <v>0</v>
          </cell>
          <cell r="V203">
            <v>0</v>
          </cell>
          <cell r="Y203">
            <v>0</v>
          </cell>
          <cell r="Z203">
            <v>0</v>
          </cell>
          <cell r="AC203">
            <v>0</v>
          </cell>
          <cell r="AD203">
            <v>0</v>
          </cell>
          <cell r="AG203">
            <v>0</v>
          </cell>
          <cell r="AH203">
            <v>0</v>
          </cell>
        </row>
        <row r="204">
          <cell r="H204">
            <v>311000</v>
          </cell>
          <cell r="I204" t="str">
            <v>6492</v>
          </cell>
          <cell r="L204" t="str">
            <v>Est-Labour-Mediclaim Service Expenses</v>
          </cell>
          <cell r="M204" t="e">
            <v>#N/A</v>
          </cell>
          <cell r="N204" t="e">
            <v>#REF!</v>
          </cell>
          <cell r="O204" t="str">
            <v>E</v>
          </cell>
          <cell r="Q204">
            <v>0</v>
          </cell>
          <cell r="R204">
            <v>0</v>
          </cell>
          <cell r="U204">
            <v>0</v>
          </cell>
          <cell r="V204">
            <v>0</v>
          </cell>
          <cell r="Y204">
            <v>0</v>
          </cell>
          <cell r="Z204">
            <v>0</v>
          </cell>
          <cell r="AC204">
            <v>0</v>
          </cell>
          <cell r="AD204">
            <v>0</v>
          </cell>
          <cell r="AG204">
            <v>0</v>
          </cell>
          <cell r="AH204">
            <v>0</v>
          </cell>
        </row>
        <row r="205">
          <cell r="G205">
            <v>13300</v>
          </cell>
          <cell r="H205">
            <v>312000</v>
          </cell>
          <cell r="I205" t="str">
            <v>6695</v>
          </cell>
          <cell r="L205" t="str">
            <v>Est Lbr - Medical Expenses</v>
          </cell>
          <cell r="M205" t="str">
            <v>MEDICAL EXPENSES (WORKERS) (6695)</v>
          </cell>
          <cell r="N205" t="e">
            <v>#REF!</v>
          </cell>
          <cell r="O205" t="str">
            <v>E</v>
          </cell>
          <cell r="Q205">
            <v>2137409</v>
          </cell>
          <cell r="R205">
            <v>3054744</v>
          </cell>
          <cell r="U205">
            <v>1412306</v>
          </cell>
          <cell r="V205">
            <v>1885347</v>
          </cell>
          <cell r="Y205">
            <v>514070</v>
          </cell>
          <cell r="Z205">
            <v>1029082</v>
          </cell>
          <cell r="AC205">
            <v>190075</v>
          </cell>
          <cell r="AD205">
            <v>140175</v>
          </cell>
          <cell r="AG205">
            <v>20958</v>
          </cell>
          <cell r="AH205">
            <v>140</v>
          </cell>
        </row>
        <row r="206">
          <cell r="G206">
            <v>13301</v>
          </cell>
          <cell r="H206">
            <v>313000</v>
          </cell>
          <cell r="L206" t="str">
            <v>Mediclaim - (Workers)</v>
          </cell>
          <cell r="M206" t="str">
            <v>MEDICLAIM (WORKERS)</v>
          </cell>
          <cell r="N206" t="e">
            <v>#REF!</v>
          </cell>
          <cell r="O206" t="str">
            <v>E</v>
          </cell>
          <cell r="Q206">
            <v>1451604</v>
          </cell>
          <cell r="R206">
            <v>1121818</v>
          </cell>
          <cell r="U206">
            <v>822674</v>
          </cell>
          <cell r="V206">
            <v>736749</v>
          </cell>
          <cell r="Y206">
            <v>628930</v>
          </cell>
          <cell r="Z206">
            <v>385069</v>
          </cell>
          <cell r="AC206">
            <v>0</v>
          </cell>
          <cell r="AD206">
            <v>0</v>
          </cell>
          <cell r="AG206">
            <v>0</v>
          </cell>
          <cell r="AH206">
            <v>0</v>
          </cell>
        </row>
        <row r="207">
          <cell r="H207">
            <v>315000</v>
          </cell>
          <cell r="I207" t="str">
            <v>7396</v>
          </cell>
          <cell r="L207" t="str">
            <v>Attendant Wages At Resi.</v>
          </cell>
          <cell r="M207" t="e">
            <v>#N/A</v>
          </cell>
          <cell r="N207" t="e">
            <v>#REF!</v>
          </cell>
          <cell r="O207" t="str">
            <v>E</v>
          </cell>
          <cell r="Q207">
            <v>0</v>
          </cell>
          <cell r="R207">
            <v>0</v>
          </cell>
          <cell r="U207">
            <v>0</v>
          </cell>
          <cell r="V207">
            <v>0</v>
          </cell>
          <cell r="Y207">
            <v>0</v>
          </cell>
          <cell r="Z207">
            <v>0</v>
          </cell>
          <cell r="AC207">
            <v>0</v>
          </cell>
          <cell r="AD207">
            <v>0</v>
          </cell>
          <cell r="AG207">
            <v>0</v>
          </cell>
          <cell r="AH207">
            <v>0</v>
          </cell>
        </row>
        <row r="208">
          <cell r="H208">
            <v>316000</v>
          </cell>
          <cell r="I208" t="str">
            <v>7426</v>
          </cell>
          <cell r="L208" t="str">
            <v>Admn Charges On Dlif</v>
          </cell>
          <cell r="M208" t="e">
            <v>#N/A</v>
          </cell>
          <cell r="N208" t="e">
            <v>#REF!</v>
          </cell>
          <cell r="O208" t="str">
            <v>E</v>
          </cell>
          <cell r="Q208">
            <v>24325</v>
          </cell>
          <cell r="R208">
            <v>17639</v>
          </cell>
          <cell r="U208">
            <v>0</v>
          </cell>
          <cell r="V208">
            <v>0</v>
          </cell>
          <cell r="Y208">
            <v>0</v>
          </cell>
          <cell r="Z208">
            <v>0</v>
          </cell>
          <cell r="AC208">
            <v>24325</v>
          </cell>
          <cell r="AD208">
            <v>17639</v>
          </cell>
          <cell r="AG208">
            <v>0</v>
          </cell>
          <cell r="AH208">
            <v>0</v>
          </cell>
        </row>
        <row r="209">
          <cell r="H209">
            <v>317000</v>
          </cell>
          <cell r="L209" t="str">
            <v>Excess Provision trf from Contribution</v>
          </cell>
          <cell r="O209" t="str">
            <v>E</v>
          </cell>
          <cell r="Q209">
            <v>0</v>
          </cell>
          <cell r="R209">
            <v>0</v>
          </cell>
          <cell r="T209">
            <v>0</v>
          </cell>
          <cell r="U209">
            <v>0</v>
          </cell>
          <cell r="V209">
            <v>0</v>
          </cell>
          <cell r="X209">
            <v>0</v>
          </cell>
          <cell r="Y209">
            <v>0</v>
          </cell>
          <cell r="Z209">
            <v>0</v>
          </cell>
          <cell r="AB209">
            <v>0</v>
          </cell>
          <cell r="AF209">
            <v>0</v>
          </cell>
        </row>
        <row r="210">
          <cell r="H210">
            <v>318000</v>
          </cell>
          <cell r="K210" t="str">
            <v>Workmen</v>
          </cell>
          <cell r="M210" t="e">
            <v>#N/A</v>
          </cell>
          <cell r="N210" t="e">
            <v>#REF!</v>
          </cell>
          <cell r="O210" t="str">
            <v>E</v>
          </cell>
          <cell r="P210">
            <v>0</v>
          </cell>
          <cell r="Q210">
            <v>96181902</v>
          </cell>
          <cell r="R210">
            <v>81398332</v>
          </cell>
          <cell r="T210">
            <v>0</v>
          </cell>
          <cell r="U210">
            <v>57350338</v>
          </cell>
          <cell r="V210">
            <v>46847691</v>
          </cell>
          <cell r="X210">
            <v>0</v>
          </cell>
          <cell r="Y210">
            <v>28316671</v>
          </cell>
          <cell r="Z210">
            <v>26767216</v>
          </cell>
          <cell r="AB210">
            <v>0</v>
          </cell>
          <cell r="AC210">
            <v>5807120</v>
          </cell>
          <cell r="AD210">
            <v>5025705</v>
          </cell>
          <cell r="AF210">
            <v>0</v>
          </cell>
          <cell r="AG210">
            <v>4707773</v>
          </cell>
          <cell r="AH210">
            <v>2757720</v>
          </cell>
        </row>
        <row r="211">
          <cell r="H211">
            <v>319000</v>
          </cell>
          <cell r="K211" t="str">
            <v>Others</v>
          </cell>
          <cell r="M211" t="e">
            <v>#N/A</v>
          </cell>
          <cell r="N211" t="e">
            <v>#REF!</v>
          </cell>
          <cell r="O211" t="str">
            <v>E</v>
          </cell>
        </row>
        <row r="212">
          <cell r="G212">
            <v>13213</v>
          </cell>
          <cell r="H212">
            <v>320000</v>
          </cell>
          <cell r="I212" t="str">
            <v>6676</v>
          </cell>
          <cell r="L212" t="str">
            <v>Managerial Remuneration</v>
          </cell>
          <cell r="M212" t="str">
            <v>MANAGERIAL REMUNERATION (6676)</v>
          </cell>
          <cell r="N212" t="e">
            <v>#REF!</v>
          </cell>
          <cell r="O212" t="str">
            <v>E</v>
          </cell>
          <cell r="P212">
            <v>0</v>
          </cell>
          <cell r="Q212">
            <v>0</v>
          </cell>
          <cell r="R212">
            <v>0</v>
          </cell>
          <cell r="T212">
            <v>0</v>
          </cell>
          <cell r="U212">
            <v>0</v>
          </cell>
          <cell r="V212">
            <v>0</v>
          </cell>
          <cell r="X212">
            <v>0</v>
          </cell>
          <cell r="Y212">
            <v>0</v>
          </cell>
          <cell r="Z212">
            <v>0</v>
          </cell>
          <cell r="AB212">
            <v>0</v>
          </cell>
          <cell r="AC212">
            <v>0</v>
          </cell>
          <cell r="AD212">
            <v>0</v>
          </cell>
          <cell r="AF212">
            <v>0</v>
          </cell>
          <cell r="AG212">
            <v>0</v>
          </cell>
          <cell r="AH212">
            <v>0</v>
          </cell>
        </row>
        <row r="213">
          <cell r="G213">
            <v>13308</v>
          </cell>
          <cell r="H213">
            <v>321000</v>
          </cell>
          <cell r="I213" t="str">
            <v>6780</v>
          </cell>
          <cell r="L213" t="str">
            <v>Contract Labour Exp.A/C</v>
          </cell>
          <cell r="M213" t="str">
            <v>CONTRACT LABOUR EXPENSES (6780)</v>
          </cell>
          <cell r="N213" t="e">
            <v>#REF!</v>
          </cell>
          <cell r="O213" t="str">
            <v>E</v>
          </cell>
          <cell r="P213">
            <v>0</v>
          </cell>
          <cell r="Q213">
            <v>17702535</v>
          </cell>
          <cell r="R213">
            <v>15157395</v>
          </cell>
          <cell r="T213">
            <v>0</v>
          </cell>
          <cell r="U213">
            <v>8568295</v>
          </cell>
          <cell r="V213">
            <v>7987516</v>
          </cell>
          <cell r="X213">
            <v>0</v>
          </cell>
          <cell r="Y213">
            <v>115588</v>
          </cell>
          <cell r="Z213">
            <v>0</v>
          </cell>
          <cell r="AB213">
            <v>0</v>
          </cell>
          <cell r="AC213">
            <v>2705511</v>
          </cell>
          <cell r="AD213">
            <v>2288444</v>
          </cell>
          <cell r="AF213">
            <v>0</v>
          </cell>
          <cell r="AG213">
            <v>6313141</v>
          </cell>
          <cell r="AH213">
            <v>4881435</v>
          </cell>
        </row>
        <row r="214">
          <cell r="H214">
            <v>322000</v>
          </cell>
          <cell r="L214">
            <v>0</v>
          </cell>
          <cell r="M214" t="e">
            <v>#N/A</v>
          </cell>
          <cell r="N214" t="e">
            <v>#REF!</v>
          </cell>
          <cell r="O214" t="str">
            <v>E</v>
          </cell>
          <cell r="U214">
            <v>0</v>
          </cell>
          <cell r="V214">
            <v>0</v>
          </cell>
          <cell r="Y214">
            <v>0</v>
          </cell>
          <cell r="Z214">
            <v>0</v>
          </cell>
        </row>
        <row r="215">
          <cell r="H215">
            <v>323000</v>
          </cell>
          <cell r="L215">
            <v>0</v>
          </cell>
          <cell r="M215" t="e">
            <v>#N/A</v>
          </cell>
          <cell r="N215" t="e">
            <v>#REF!</v>
          </cell>
          <cell r="O215" t="str">
            <v>E</v>
          </cell>
        </row>
        <row r="216">
          <cell r="H216">
            <v>324000</v>
          </cell>
          <cell r="K216" t="str">
            <v>Others</v>
          </cell>
          <cell r="M216" t="e">
            <v>#N/A</v>
          </cell>
          <cell r="N216" t="e">
            <v>#REF!</v>
          </cell>
          <cell r="O216" t="str">
            <v>E</v>
          </cell>
          <cell r="P216">
            <v>0</v>
          </cell>
          <cell r="Q216">
            <v>17702535</v>
          </cell>
          <cell r="R216">
            <v>15157395</v>
          </cell>
          <cell r="T216">
            <v>0</v>
          </cell>
          <cell r="U216">
            <v>8568295</v>
          </cell>
          <cell r="V216">
            <v>7987516</v>
          </cell>
          <cell r="X216">
            <v>0</v>
          </cell>
          <cell r="Y216">
            <v>115588</v>
          </cell>
          <cell r="Z216">
            <v>0</v>
          </cell>
          <cell r="AB216">
            <v>0</v>
          </cell>
          <cell r="AC216">
            <v>2705511</v>
          </cell>
          <cell r="AD216">
            <v>2288444</v>
          </cell>
          <cell r="AF216">
            <v>0</v>
          </cell>
          <cell r="AG216">
            <v>6313141</v>
          </cell>
          <cell r="AH216">
            <v>4881435</v>
          </cell>
        </row>
        <row r="217">
          <cell r="J217" t="str">
            <v>Salaries , Wages, Bonus etc.- Officers</v>
          </cell>
          <cell r="M217" t="e">
            <v>#N/A</v>
          </cell>
          <cell r="N217" t="e">
            <v>#REF!</v>
          </cell>
          <cell r="O217" t="str">
            <v>E</v>
          </cell>
          <cell r="P217">
            <v>0</v>
          </cell>
          <cell r="Q217">
            <v>202085744</v>
          </cell>
          <cell r="R217">
            <v>170569605</v>
          </cell>
          <cell r="T217">
            <v>0</v>
          </cell>
          <cell r="U217">
            <v>115033590</v>
          </cell>
          <cell r="V217">
            <v>94774099</v>
          </cell>
          <cell r="X217">
            <v>0</v>
          </cell>
          <cell r="Y217">
            <v>54526878</v>
          </cell>
          <cell r="Z217">
            <v>50117047</v>
          </cell>
          <cell r="AB217">
            <v>0</v>
          </cell>
          <cell r="AC217">
            <v>15247417</v>
          </cell>
          <cell r="AD217">
            <v>12548263</v>
          </cell>
          <cell r="AF217">
            <v>0</v>
          </cell>
          <cell r="AG217">
            <v>17277859</v>
          </cell>
          <cell r="AH217">
            <v>13130196</v>
          </cell>
        </row>
        <row r="218">
          <cell r="O218" t="str">
            <v>E</v>
          </cell>
        </row>
        <row r="219">
          <cell r="H219">
            <v>326000</v>
          </cell>
          <cell r="J219" t="str">
            <v>Contribution To Provident &amp; Other Funds</v>
          </cell>
          <cell r="M219" t="e">
            <v>#N/A</v>
          </cell>
          <cell r="N219" t="e">
            <v>#REF!</v>
          </cell>
          <cell r="O219" t="str">
            <v>E</v>
          </cell>
        </row>
        <row r="220">
          <cell r="H220">
            <v>327000</v>
          </cell>
          <cell r="K220" t="str">
            <v>Officers</v>
          </cell>
          <cell r="M220" t="e">
            <v>#N/A</v>
          </cell>
          <cell r="N220" t="e">
            <v>#REF!</v>
          </cell>
          <cell r="O220" t="str">
            <v>E</v>
          </cell>
        </row>
        <row r="221">
          <cell r="G221">
            <v>13245</v>
          </cell>
          <cell r="H221">
            <v>328000</v>
          </cell>
          <cell r="I221" t="str">
            <v>6455</v>
          </cell>
          <cell r="L221" t="str">
            <v>Est Off - Providend Fund</v>
          </cell>
          <cell r="M221" t="str">
            <v>PROVIDEND FUND (OFFICERS) (6455)</v>
          </cell>
          <cell r="N221" t="e">
            <v>#REF!</v>
          </cell>
          <cell r="O221" t="str">
            <v>E</v>
          </cell>
          <cell r="Q221">
            <v>4398959</v>
          </cell>
          <cell r="R221">
            <v>3756878</v>
          </cell>
          <cell r="U221">
            <v>2617842</v>
          </cell>
          <cell r="V221">
            <v>2200571</v>
          </cell>
          <cell r="Y221">
            <v>1715861</v>
          </cell>
          <cell r="Z221">
            <v>1437901</v>
          </cell>
          <cell r="AC221">
            <v>0</v>
          </cell>
          <cell r="AD221">
            <v>0</v>
          </cell>
          <cell r="AG221">
            <v>65256</v>
          </cell>
          <cell r="AH221">
            <v>118406</v>
          </cell>
        </row>
        <row r="222">
          <cell r="H222">
            <v>329000</v>
          </cell>
          <cell r="I222" t="str">
            <v>6460</v>
          </cell>
          <cell r="L222" t="str">
            <v>Est Off - Family Pension Fund</v>
          </cell>
          <cell r="M222" t="e">
            <v>#N/A</v>
          </cell>
          <cell r="N222" t="e">
            <v>#REF!</v>
          </cell>
          <cell r="O222" t="str">
            <v>E</v>
          </cell>
          <cell r="Q222">
            <v>145217</v>
          </cell>
          <cell r="R222">
            <v>201882</v>
          </cell>
          <cell r="U222">
            <v>0</v>
          </cell>
          <cell r="V222">
            <v>0</v>
          </cell>
          <cell r="Y222">
            <v>0</v>
          </cell>
          <cell r="Z222">
            <v>0</v>
          </cell>
          <cell r="AC222">
            <v>0</v>
          </cell>
          <cell r="AD222">
            <v>0</v>
          </cell>
          <cell r="AG222">
            <v>145217</v>
          </cell>
          <cell r="AH222">
            <v>201882</v>
          </cell>
        </row>
        <row r="223">
          <cell r="G223">
            <v>13247</v>
          </cell>
          <cell r="H223">
            <v>330000</v>
          </cell>
          <cell r="I223" t="str">
            <v>6470</v>
          </cell>
          <cell r="L223" t="str">
            <v>Est Off - Deposit Link Insurance Fund</v>
          </cell>
          <cell r="M223" t="str">
            <v>DEPOSIT LINK INSURANCE FUND (OFFICERS) (7425/7426)</v>
          </cell>
          <cell r="N223" t="e">
            <v>#REF!</v>
          </cell>
          <cell r="O223" t="str">
            <v>E</v>
          </cell>
          <cell r="Q223">
            <v>253539</v>
          </cell>
          <cell r="R223">
            <v>178756</v>
          </cell>
          <cell r="U223">
            <v>193281</v>
          </cell>
          <cell r="V223">
            <v>132286</v>
          </cell>
          <cell r="Y223">
            <v>51542</v>
          </cell>
          <cell r="Z223">
            <v>34827</v>
          </cell>
          <cell r="AC223">
            <v>0</v>
          </cell>
          <cell r="AD223">
            <v>0</v>
          </cell>
          <cell r="AG223">
            <v>8716</v>
          </cell>
          <cell r="AH223">
            <v>11643</v>
          </cell>
        </row>
        <row r="224">
          <cell r="G224">
            <v>13250</v>
          </cell>
          <cell r="H224">
            <v>331000</v>
          </cell>
          <cell r="I224" t="str">
            <v>6475</v>
          </cell>
          <cell r="L224" t="str">
            <v>Est Off - Esic</v>
          </cell>
          <cell r="M224" t="str">
            <v>ESIC OFFICERS</v>
          </cell>
          <cell r="N224" t="e">
            <v>#REF!</v>
          </cell>
          <cell r="O224" t="str">
            <v>E</v>
          </cell>
          <cell r="Q224">
            <v>1844</v>
          </cell>
          <cell r="R224">
            <v>127630</v>
          </cell>
          <cell r="U224">
            <v>1844</v>
          </cell>
          <cell r="V224">
            <v>0</v>
          </cell>
          <cell r="Y224">
            <v>0</v>
          </cell>
          <cell r="Z224">
            <v>0</v>
          </cell>
          <cell r="AC224">
            <v>0</v>
          </cell>
          <cell r="AD224">
            <v>0</v>
          </cell>
          <cell r="AG224">
            <v>0</v>
          </cell>
          <cell r="AH224">
            <v>127630</v>
          </cell>
        </row>
        <row r="225">
          <cell r="G225">
            <v>13249</v>
          </cell>
          <cell r="H225">
            <v>332000</v>
          </cell>
          <cell r="I225" t="str">
            <v>6480</v>
          </cell>
          <cell r="L225" t="str">
            <v>Est Off - Superannuation</v>
          </cell>
          <cell r="M225" t="str">
            <v>SUPERANNUATION (OFFICERS) (6480)</v>
          </cell>
          <cell r="N225" t="e">
            <v>#REF!</v>
          </cell>
          <cell r="O225" t="str">
            <v>E</v>
          </cell>
          <cell r="Q225">
            <v>3799465</v>
          </cell>
          <cell r="R225">
            <v>3116421</v>
          </cell>
          <cell r="U225">
            <v>2419661</v>
          </cell>
          <cell r="V225">
            <v>1999811</v>
          </cell>
          <cell r="Y225">
            <v>1379804</v>
          </cell>
          <cell r="Z225">
            <v>1116610</v>
          </cell>
          <cell r="AC225">
            <v>0</v>
          </cell>
          <cell r="AD225">
            <v>0</v>
          </cell>
          <cell r="AG225">
            <v>0</v>
          </cell>
          <cell r="AH225">
            <v>0</v>
          </cell>
        </row>
        <row r="226">
          <cell r="H226">
            <v>333000</v>
          </cell>
          <cell r="O226" t="str">
            <v>E</v>
          </cell>
          <cell r="Q226">
            <v>0</v>
          </cell>
          <cell r="R226">
            <v>0</v>
          </cell>
          <cell r="AC226">
            <v>0</v>
          </cell>
          <cell r="AG226">
            <v>0</v>
          </cell>
        </row>
        <row r="227">
          <cell r="H227">
            <v>334000</v>
          </cell>
          <cell r="K227" t="str">
            <v>Officers</v>
          </cell>
          <cell r="M227" t="e">
            <v>#N/A</v>
          </cell>
          <cell r="N227" t="e">
            <v>#REF!</v>
          </cell>
          <cell r="O227" t="str">
            <v>E</v>
          </cell>
          <cell r="P227">
            <v>0</v>
          </cell>
          <cell r="Q227">
            <v>8599024</v>
          </cell>
          <cell r="R227">
            <v>7381567</v>
          </cell>
          <cell r="T227">
            <v>0</v>
          </cell>
          <cell r="U227">
            <v>5232628</v>
          </cell>
          <cell r="V227">
            <v>4332668</v>
          </cell>
          <cell r="X227">
            <v>0</v>
          </cell>
          <cell r="Y227">
            <v>3147207</v>
          </cell>
          <cell r="Z227">
            <v>2589338</v>
          </cell>
          <cell r="AB227">
            <v>0</v>
          </cell>
          <cell r="AC227">
            <v>0</v>
          </cell>
          <cell r="AD227">
            <v>0</v>
          </cell>
          <cell r="AF227">
            <v>0</v>
          </cell>
          <cell r="AG227">
            <v>219189</v>
          </cell>
          <cell r="AH227">
            <v>459561</v>
          </cell>
        </row>
        <row r="228">
          <cell r="H228">
            <v>335000</v>
          </cell>
          <cell r="K228" t="str">
            <v>Staff</v>
          </cell>
          <cell r="M228" t="e">
            <v>#N/A</v>
          </cell>
          <cell r="N228" t="e">
            <v>#REF!</v>
          </cell>
          <cell r="O228" t="str">
            <v>E</v>
          </cell>
        </row>
        <row r="229">
          <cell r="G229">
            <v>13257</v>
          </cell>
          <cell r="H229">
            <v>336000</v>
          </cell>
          <cell r="I229" t="str">
            <v>6570</v>
          </cell>
          <cell r="L229" t="str">
            <v>Est Staff - Providend Fund</v>
          </cell>
          <cell r="M229" t="str">
            <v>PROVIDEND FUND (STAFF) (6570)</v>
          </cell>
          <cell r="N229" t="e">
            <v>#REF!</v>
          </cell>
          <cell r="O229" t="str">
            <v>E</v>
          </cell>
          <cell r="Q229">
            <v>257213</v>
          </cell>
          <cell r="R229">
            <v>237740</v>
          </cell>
          <cell r="U229">
            <v>63384</v>
          </cell>
          <cell r="V229">
            <v>78690</v>
          </cell>
          <cell r="Y229">
            <v>0</v>
          </cell>
          <cell r="Z229">
            <v>0</v>
          </cell>
          <cell r="AC229">
            <v>193829</v>
          </cell>
          <cell r="AD229">
            <v>159050</v>
          </cell>
          <cell r="AG229">
            <v>0</v>
          </cell>
          <cell r="AH229">
            <v>0</v>
          </cell>
        </row>
        <row r="230">
          <cell r="H230">
            <v>337000</v>
          </cell>
          <cell r="I230" t="str">
            <v>6575</v>
          </cell>
          <cell r="L230" t="str">
            <v>Est Staff - Family Pension Fund</v>
          </cell>
          <cell r="M230" t="e">
            <v>#N/A</v>
          </cell>
          <cell r="N230" t="e">
            <v>#REF!</v>
          </cell>
          <cell r="O230" t="str">
            <v>E</v>
          </cell>
          <cell r="Q230">
            <v>0</v>
          </cell>
          <cell r="R230">
            <v>0</v>
          </cell>
          <cell r="U230">
            <v>0</v>
          </cell>
          <cell r="V230">
            <v>0</v>
          </cell>
          <cell r="Y230">
            <v>0</v>
          </cell>
          <cell r="Z230">
            <v>0</v>
          </cell>
          <cell r="AC230">
            <v>0</v>
          </cell>
          <cell r="AD230">
            <v>0</v>
          </cell>
          <cell r="AG230">
            <v>0</v>
          </cell>
          <cell r="AH230">
            <v>0</v>
          </cell>
        </row>
        <row r="231">
          <cell r="H231">
            <v>338000</v>
          </cell>
          <cell r="L231" t="str">
            <v>Deposit Link Insurance Fund (Staff)</v>
          </cell>
          <cell r="M231" t="e">
            <v>#N/A</v>
          </cell>
          <cell r="N231" t="e">
            <v>#REF!</v>
          </cell>
          <cell r="O231" t="str">
            <v>E</v>
          </cell>
          <cell r="Q231">
            <v>0</v>
          </cell>
          <cell r="R231">
            <v>0</v>
          </cell>
          <cell r="U231">
            <v>0</v>
          </cell>
          <cell r="V231">
            <v>0</v>
          </cell>
          <cell r="Y231">
            <v>0</v>
          </cell>
          <cell r="Z231">
            <v>0</v>
          </cell>
          <cell r="AC231">
            <v>0</v>
          </cell>
          <cell r="AD231">
            <v>0</v>
          </cell>
          <cell r="AG231">
            <v>0</v>
          </cell>
          <cell r="AH231">
            <v>0</v>
          </cell>
        </row>
        <row r="232">
          <cell r="G232">
            <v>13261</v>
          </cell>
          <cell r="H232">
            <v>339000</v>
          </cell>
          <cell r="I232" t="str">
            <v>6590</v>
          </cell>
          <cell r="L232" t="str">
            <v>Est Staff - Esic</v>
          </cell>
          <cell r="M232" t="str">
            <v>ESIC (STAFF) (6590)</v>
          </cell>
          <cell r="N232" t="e">
            <v>#REF!</v>
          </cell>
          <cell r="O232" t="str">
            <v>E</v>
          </cell>
          <cell r="Q232">
            <v>11755</v>
          </cell>
          <cell r="R232">
            <v>16808</v>
          </cell>
          <cell r="U232">
            <v>11004</v>
          </cell>
          <cell r="V232">
            <v>8407</v>
          </cell>
          <cell r="Y232">
            <v>751</v>
          </cell>
          <cell r="Z232">
            <v>8401</v>
          </cell>
          <cell r="AC232">
            <v>0</v>
          </cell>
          <cell r="AD232">
            <v>0</v>
          </cell>
          <cell r="AG232">
            <v>0</v>
          </cell>
          <cell r="AH232">
            <v>0</v>
          </cell>
        </row>
        <row r="233">
          <cell r="H233">
            <v>340000</v>
          </cell>
          <cell r="O233" t="str">
            <v>E</v>
          </cell>
          <cell r="Q233">
            <v>0</v>
          </cell>
          <cell r="R233">
            <v>0</v>
          </cell>
        </row>
        <row r="234">
          <cell r="H234">
            <v>341000</v>
          </cell>
          <cell r="K234" t="str">
            <v>Staff</v>
          </cell>
          <cell r="M234" t="e">
            <v>#N/A</v>
          </cell>
          <cell r="N234" t="e">
            <v>#REF!</v>
          </cell>
          <cell r="O234" t="str">
            <v>E</v>
          </cell>
          <cell r="P234">
            <v>0</v>
          </cell>
          <cell r="Q234">
            <v>268968</v>
          </cell>
          <cell r="R234">
            <v>254548</v>
          </cell>
          <cell r="T234">
            <v>0</v>
          </cell>
          <cell r="U234">
            <v>74388</v>
          </cell>
          <cell r="V234">
            <v>87097</v>
          </cell>
          <cell r="X234">
            <v>0</v>
          </cell>
          <cell r="Y234">
            <v>751</v>
          </cell>
          <cell r="Z234">
            <v>8401</v>
          </cell>
          <cell r="AB234">
            <v>0</v>
          </cell>
          <cell r="AC234">
            <v>193829</v>
          </cell>
          <cell r="AD234">
            <v>159050</v>
          </cell>
          <cell r="AF234">
            <v>0</v>
          </cell>
          <cell r="AG234">
            <v>0</v>
          </cell>
          <cell r="AH234">
            <v>0</v>
          </cell>
        </row>
        <row r="235">
          <cell r="H235">
            <v>342000</v>
          </cell>
          <cell r="K235" t="str">
            <v>Workmen</v>
          </cell>
          <cell r="M235" t="e">
            <v>#N/A</v>
          </cell>
          <cell r="N235" t="e">
            <v>#REF!</v>
          </cell>
          <cell r="O235" t="str">
            <v>E</v>
          </cell>
        </row>
        <row r="236">
          <cell r="G236">
            <v>13269</v>
          </cell>
          <cell r="H236">
            <v>343000</v>
          </cell>
          <cell r="I236" t="str">
            <v>6670</v>
          </cell>
          <cell r="L236" t="str">
            <v>Est Lbr - Providend Fund</v>
          </cell>
          <cell r="M236" t="str">
            <v>PROVIDEND FUND (WORKERS) (6670)</v>
          </cell>
          <cell r="N236" t="e">
            <v>#REF!</v>
          </cell>
          <cell r="O236" t="str">
            <v>E</v>
          </cell>
          <cell r="Q236">
            <v>5258854</v>
          </cell>
          <cell r="R236">
            <v>5202605</v>
          </cell>
          <cell r="U236">
            <v>3268369</v>
          </cell>
          <cell r="V236">
            <v>3192396</v>
          </cell>
          <cell r="Y236">
            <v>1506706</v>
          </cell>
          <cell r="Z236">
            <v>1681687</v>
          </cell>
          <cell r="AC236">
            <v>423344</v>
          </cell>
          <cell r="AD236">
            <v>328522</v>
          </cell>
          <cell r="AG236">
            <v>60435</v>
          </cell>
          <cell r="AH236">
            <v>0</v>
          </cell>
        </row>
        <row r="237">
          <cell r="H237">
            <v>344000</v>
          </cell>
          <cell r="I237" t="str">
            <v>6675</v>
          </cell>
          <cell r="L237" t="str">
            <v>Est Lbr - Family Pension Fund</v>
          </cell>
          <cell r="M237" t="e">
            <v>#N/A</v>
          </cell>
          <cell r="N237" t="e">
            <v>#REF!</v>
          </cell>
          <cell r="O237" t="str">
            <v>E</v>
          </cell>
          <cell r="Q237">
            <v>137009</v>
          </cell>
          <cell r="R237">
            <v>0</v>
          </cell>
          <cell r="U237">
            <v>0</v>
          </cell>
          <cell r="V237">
            <v>0</v>
          </cell>
          <cell r="Y237">
            <v>0</v>
          </cell>
          <cell r="Z237">
            <v>0</v>
          </cell>
          <cell r="AC237">
            <v>0</v>
          </cell>
          <cell r="AD237">
            <v>0</v>
          </cell>
          <cell r="AG237">
            <v>137009</v>
          </cell>
          <cell r="AH237">
            <v>0</v>
          </cell>
        </row>
        <row r="238">
          <cell r="G238">
            <v>13298</v>
          </cell>
          <cell r="H238">
            <v>345000</v>
          </cell>
          <cell r="I238" t="str">
            <v>6680</v>
          </cell>
          <cell r="L238" t="str">
            <v>Est Lbr - Maharashatra Labour Welfare Fund</v>
          </cell>
          <cell r="M238" t="str">
            <v>MAHARASHATRA LABOUR WELFARE FUND (6680)</v>
          </cell>
          <cell r="N238" t="e">
            <v>#REF!</v>
          </cell>
          <cell r="O238" t="str">
            <v>E</v>
          </cell>
          <cell r="Q238">
            <v>13320</v>
          </cell>
          <cell r="R238">
            <v>14670</v>
          </cell>
          <cell r="U238">
            <v>9576</v>
          </cell>
          <cell r="V238">
            <v>9900</v>
          </cell>
          <cell r="Y238">
            <v>3744</v>
          </cell>
          <cell r="Z238">
            <v>4770</v>
          </cell>
          <cell r="AC238">
            <v>0</v>
          </cell>
          <cell r="AD238">
            <v>0</v>
          </cell>
          <cell r="AG238">
            <v>0</v>
          </cell>
          <cell r="AH238">
            <v>0</v>
          </cell>
        </row>
        <row r="239">
          <cell r="H239">
            <v>346000</v>
          </cell>
          <cell r="I239" t="str">
            <v>6685</v>
          </cell>
          <cell r="L239" t="str">
            <v>Est Lbr - Deposit Link Insurance Fund</v>
          </cell>
          <cell r="M239" t="e">
            <v>#N/A</v>
          </cell>
          <cell r="N239" t="e">
            <v>#REF!</v>
          </cell>
          <cell r="O239" t="str">
            <v>E</v>
          </cell>
          <cell r="Q239">
            <v>8226</v>
          </cell>
          <cell r="R239">
            <v>0</v>
          </cell>
          <cell r="U239">
            <v>0</v>
          </cell>
          <cell r="V239">
            <v>0</v>
          </cell>
          <cell r="Y239">
            <v>0</v>
          </cell>
          <cell r="Z239">
            <v>0</v>
          </cell>
          <cell r="AC239">
            <v>0</v>
          </cell>
          <cell r="AD239">
            <v>0</v>
          </cell>
          <cell r="AG239">
            <v>8226</v>
          </cell>
          <cell r="AH239">
            <v>0</v>
          </cell>
        </row>
        <row r="240">
          <cell r="G240">
            <v>13273</v>
          </cell>
          <cell r="H240">
            <v>347000</v>
          </cell>
          <cell r="I240" t="str">
            <v>6690</v>
          </cell>
          <cell r="L240" t="str">
            <v>Est Lbr - Esic</v>
          </cell>
          <cell r="M240" t="str">
            <v>ESIC (WORKERS) (6690)</v>
          </cell>
          <cell r="N240" t="e">
            <v>#REF!</v>
          </cell>
          <cell r="O240" t="str">
            <v>E</v>
          </cell>
          <cell r="Q240">
            <v>195535</v>
          </cell>
          <cell r="R240">
            <v>17494</v>
          </cell>
          <cell r="U240">
            <v>12545</v>
          </cell>
          <cell r="V240">
            <v>17494</v>
          </cell>
          <cell r="Y240">
            <v>0</v>
          </cell>
          <cell r="Z240">
            <v>0</v>
          </cell>
          <cell r="AC240">
            <v>0</v>
          </cell>
          <cell r="AD240">
            <v>0</v>
          </cell>
          <cell r="AG240">
            <v>182990</v>
          </cell>
          <cell r="AH240">
            <v>0</v>
          </cell>
        </row>
        <row r="241">
          <cell r="H241">
            <v>348000</v>
          </cell>
          <cell r="I241" t="str">
            <v>6750</v>
          </cell>
          <cell r="L241" t="str">
            <v>Est  Cas - Providend Fund</v>
          </cell>
          <cell r="M241" t="e">
            <v>#N/A</v>
          </cell>
          <cell r="N241" t="e">
            <v>#REF!</v>
          </cell>
          <cell r="O241" t="str">
            <v>E</v>
          </cell>
          <cell r="Q241">
            <v>0</v>
          </cell>
          <cell r="R241">
            <v>0</v>
          </cell>
          <cell r="U241">
            <v>0</v>
          </cell>
          <cell r="V241">
            <v>0</v>
          </cell>
          <cell r="Y241">
            <v>0</v>
          </cell>
          <cell r="Z241">
            <v>0</v>
          </cell>
          <cell r="AC241">
            <v>0</v>
          </cell>
          <cell r="AD241">
            <v>0</v>
          </cell>
          <cell r="AG241">
            <v>0</v>
          </cell>
          <cell r="AH241">
            <v>0</v>
          </cell>
        </row>
        <row r="242">
          <cell r="H242">
            <v>349000</v>
          </cell>
          <cell r="I242" t="str">
            <v>6765</v>
          </cell>
          <cell r="L242" t="str">
            <v>Est Cas Mlwf</v>
          </cell>
          <cell r="M242" t="e">
            <v>#N/A</v>
          </cell>
          <cell r="N242" t="e">
            <v>#REF!</v>
          </cell>
          <cell r="O242" t="str">
            <v>E</v>
          </cell>
          <cell r="Q242">
            <v>0</v>
          </cell>
          <cell r="R242">
            <v>0</v>
          </cell>
          <cell r="U242">
            <v>0</v>
          </cell>
          <cell r="V242">
            <v>0</v>
          </cell>
          <cell r="Y242">
            <v>0</v>
          </cell>
          <cell r="Z242">
            <v>0</v>
          </cell>
          <cell r="AC242">
            <v>0</v>
          </cell>
          <cell r="AD242">
            <v>0</v>
          </cell>
          <cell r="AG242">
            <v>0</v>
          </cell>
          <cell r="AH242">
            <v>0</v>
          </cell>
        </row>
        <row r="243">
          <cell r="H243">
            <v>350000</v>
          </cell>
          <cell r="I243" t="str">
            <v>6775</v>
          </cell>
          <cell r="L243" t="str">
            <v>Est Cas - Esic</v>
          </cell>
          <cell r="M243" t="e">
            <v>#N/A</v>
          </cell>
          <cell r="N243" t="e">
            <v>#REF!</v>
          </cell>
          <cell r="O243" t="str">
            <v>E</v>
          </cell>
          <cell r="Q243">
            <v>0</v>
          </cell>
          <cell r="R243">
            <v>0</v>
          </cell>
          <cell r="U243">
            <v>0</v>
          </cell>
          <cell r="V243">
            <v>0</v>
          </cell>
          <cell r="Y243">
            <v>0</v>
          </cell>
          <cell r="Z243">
            <v>0</v>
          </cell>
          <cell r="AC243">
            <v>0</v>
          </cell>
          <cell r="AD243">
            <v>0</v>
          </cell>
          <cell r="AG243">
            <v>0</v>
          </cell>
          <cell r="AH243">
            <v>0</v>
          </cell>
        </row>
        <row r="244">
          <cell r="H244">
            <v>351000</v>
          </cell>
          <cell r="O244" t="str">
            <v>E</v>
          </cell>
          <cell r="Q244">
            <v>0</v>
          </cell>
          <cell r="R244">
            <v>0</v>
          </cell>
          <cell r="AC244">
            <v>0</v>
          </cell>
          <cell r="AG244">
            <v>0</v>
          </cell>
        </row>
        <row r="245">
          <cell r="H245">
            <v>352000</v>
          </cell>
          <cell r="K245" t="str">
            <v>Workmen</v>
          </cell>
          <cell r="M245" t="e">
            <v>#N/A</v>
          </cell>
          <cell r="N245" t="e">
            <v>#REF!</v>
          </cell>
          <cell r="O245" t="str">
            <v>E</v>
          </cell>
          <cell r="P245">
            <v>0</v>
          </cell>
          <cell r="Q245">
            <v>5612944</v>
          </cell>
          <cell r="R245">
            <v>5234769</v>
          </cell>
          <cell r="T245">
            <v>0</v>
          </cell>
          <cell r="U245">
            <v>3290490</v>
          </cell>
          <cell r="V245">
            <v>3219790</v>
          </cell>
          <cell r="X245">
            <v>0</v>
          </cell>
          <cell r="Y245">
            <v>1510450</v>
          </cell>
          <cell r="Z245">
            <v>1686457</v>
          </cell>
          <cell r="AB245">
            <v>0</v>
          </cell>
          <cell r="AC245">
            <v>423344</v>
          </cell>
          <cell r="AD245">
            <v>328522</v>
          </cell>
          <cell r="AF245">
            <v>0</v>
          </cell>
          <cell r="AG245">
            <v>388660</v>
          </cell>
          <cell r="AH245">
            <v>0</v>
          </cell>
        </row>
        <row r="246">
          <cell r="H246">
            <v>353000</v>
          </cell>
          <cell r="K246" t="str">
            <v>Gratuity</v>
          </cell>
          <cell r="M246" t="e">
            <v>#N/A</v>
          </cell>
          <cell r="N246" t="e">
            <v>#REF!</v>
          </cell>
          <cell r="O246" t="str">
            <v>E</v>
          </cell>
        </row>
        <row r="247">
          <cell r="G247">
            <v>13243</v>
          </cell>
          <cell r="H247">
            <v>354000</v>
          </cell>
          <cell r="I247" t="str">
            <v>6450</v>
          </cell>
          <cell r="L247" t="str">
            <v>Est Off - Gratuity</v>
          </cell>
          <cell r="M247" t="str">
            <v>GRATUITY (OFFICERS) (6450)</v>
          </cell>
          <cell r="N247" t="e">
            <v>#REF!</v>
          </cell>
          <cell r="O247" t="str">
            <v>E</v>
          </cell>
          <cell r="Q247">
            <v>1128326</v>
          </cell>
          <cell r="R247">
            <v>2752423</v>
          </cell>
          <cell r="U247">
            <v>648373</v>
          </cell>
          <cell r="V247">
            <v>1033262</v>
          </cell>
          <cell r="Y247">
            <v>429310</v>
          </cell>
          <cell r="Z247">
            <v>1719161</v>
          </cell>
          <cell r="AC247">
            <v>23502</v>
          </cell>
          <cell r="AD247">
            <v>0</v>
          </cell>
          <cell r="AG247">
            <v>27141</v>
          </cell>
          <cell r="AH247">
            <v>0</v>
          </cell>
        </row>
        <row r="248">
          <cell r="G248">
            <v>13255</v>
          </cell>
          <cell r="H248">
            <v>355000</v>
          </cell>
          <cell r="I248" t="str">
            <v>6565</v>
          </cell>
          <cell r="L248" t="str">
            <v>Est Staff - Gratuity</v>
          </cell>
          <cell r="M248" t="str">
            <v>GRATUITY (STAFF) (6565)</v>
          </cell>
          <cell r="N248" t="e">
            <v>#REF!</v>
          </cell>
          <cell r="O248" t="str">
            <v>E</v>
          </cell>
          <cell r="Q248">
            <v>20951</v>
          </cell>
          <cell r="R248">
            <v>-723106</v>
          </cell>
          <cell r="U248">
            <v>20951</v>
          </cell>
          <cell r="V248">
            <v>-165259</v>
          </cell>
          <cell r="Y248">
            <v>0</v>
          </cell>
          <cell r="Z248">
            <v>0</v>
          </cell>
          <cell r="AC248">
            <v>0</v>
          </cell>
          <cell r="AD248">
            <v>-557847</v>
          </cell>
          <cell r="AG248">
            <v>0</v>
          </cell>
          <cell r="AH248">
            <v>0</v>
          </cell>
        </row>
        <row r="249">
          <cell r="G249">
            <v>13267</v>
          </cell>
          <cell r="H249">
            <v>356000</v>
          </cell>
          <cell r="I249" t="str">
            <v>6665</v>
          </cell>
          <cell r="L249" t="str">
            <v>Est Lbr - Gratuity</v>
          </cell>
          <cell r="M249" t="str">
            <v>GRATUITY (WORKERS) (6665)</v>
          </cell>
          <cell r="N249" t="e">
            <v>#REF!</v>
          </cell>
          <cell r="O249" t="str">
            <v>E</v>
          </cell>
          <cell r="Q249">
            <v>5709942</v>
          </cell>
          <cell r="R249">
            <v>4731262</v>
          </cell>
          <cell r="U249">
            <v>4562737</v>
          </cell>
          <cell r="V249">
            <v>2628914</v>
          </cell>
          <cell r="Y249">
            <v>940069</v>
          </cell>
          <cell r="Z249">
            <v>2236739</v>
          </cell>
          <cell r="AC249">
            <v>207136</v>
          </cell>
          <cell r="AD249">
            <v>0</v>
          </cell>
          <cell r="AG249">
            <v>0</v>
          </cell>
          <cell r="AH249">
            <v>-134391</v>
          </cell>
        </row>
        <row r="250">
          <cell r="H250">
            <v>357000</v>
          </cell>
          <cell r="L250" t="str">
            <v>Sub-Total</v>
          </cell>
          <cell r="M250" t="e">
            <v>#N/A</v>
          </cell>
          <cell r="N250" t="e">
            <v>#REF!</v>
          </cell>
          <cell r="O250" t="str">
            <v>E</v>
          </cell>
          <cell r="P250">
            <v>0</v>
          </cell>
          <cell r="Q250">
            <v>6859219</v>
          </cell>
          <cell r="R250">
            <v>6760579</v>
          </cell>
          <cell r="T250">
            <v>0</v>
          </cell>
          <cell r="U250">
            <v>5232061</v>
          </cell>
          <cell r="V250">
            <v>3496917</v>
          </cell>
          <cell r="X250">
            <v>0</v>
          </cell>
          <cell r="Y250">
            <v>1369379</v>
          </cell>
          <cell r="Z250">
            <v>3955900</v>
          </cell>
          <cell r="AB250">
            <v>0</v>
          </cell>
          <cell r="AC250">
            <v>230638</v>
          </cell>
          <cell r="AD250">
            <v>-557847</v>
          </cell>
          <cell r="AF250">
            <v>0</v>
          </cell>
          <cell r="AG250">
            <v>27141</v>
          </cell>
          <cell r="AH250">
            <v>-134391</v>
          </cell>
        </row>
        <row r="251">
          <cell r="H251">
            <v>358000</v>
          </cell>
          <cell r="K251" t="str">
            <v>Compensated Absences</v>
          </cell>
          <cell r="M251" t="e">
            <v>#N/A</v>
          </cell>
          <cell r="N251" t="e">
            <v>#REF!</v>
          </cell>
          <cell r="O251" t="str">
            <v>E</v>
          </cell>
        </row>
        <row r="252">
          <cell r="H252">
            <v>359000</v>
          </cell>
          <cell r="I252" t="str">
            <v>6430</v>
          </cell>
          <cell r="L252" t="str">
            <v>Est Off - Encashment Of Leave</v>
          </cell>
          <cell r="M252" t="e">
            <v>#N/A</v>
          </cell>
          <cell r="N252" t="e">
            <v>#REF!</v>
          </cell>
          <cell r="O252" t="str">
            <v>E</v>
          </cell>
          <cell r="Q252">
            <v>0</v>
          </cell>
          <cell r="R252">
            <v>0</v>
          </cell>
          <cell r="U252">
            <v>0</v>
          </cell>
          <cell r="V252">
            <v>0</v>
          </cell>
          <cell r="Y252">
            <v>0</v>
          </cell>
          <cell r="Z252">
            <v>0</v>
          </cell>
          <cell r="AC252">
            <v>0</v>
          </cell>
          <cell r="AD252">
            <v>0</v>
          </cell>
          <cell r="AG252">
            <v>0</v>
          </cell>
          <cell r="AH252">
            <v>0</v>
          </cell>
        </row>
        <row r="253">
          <cell r="H253">
            <v>360000</v>
          </cell>
          <cell r="I253" t="str">
            <v>6540</v>
          </cell>
          <cell r="L253" t="str">
            <v>Est Staff - Encashment Of Leave</v>
          </cell>
          <cell r="M253" t="e">
            <v>#N/A</v>
          </cell>
          <cell r="N253" t="e">
            <v>#REF!</v>
          </cell>
          <cell r="O253" t="str">
            <v>E</v>
          </cell>
          <cell r="P253">
            <v>0</v>
          </cell>
          <cell r="Q253">
            <v>198317</v>
          </cell>
          <cell r="R253">
            <v>193761</v>
          </cell>
          <cell r="T253">
            <v>0</v>
          </cell>
          <cell r="U253">
            <v>0</v>
          </cell>
          <cell r="V253">
            <v>0</v>
          </cell>
          <cell r="X253">
            <v>0</v>
          </cell>
          <cell r="Y253">
            <v>0</v>
          </cell>
          <cell r="Z253">
            <v>0</v>
          </cell>
          <cell r="AB253">
            <v>0</v>
          </cell>
          <cell r="AC253">
            <v>80025</v>
          </cell>
          <cell r="AD253">
            <v>185151</v>
          </cell>
          <cell r="AF253">
            <v>0</v>
          </cell>
          <cell r="AG253">
            <v>118292</v>
          </cell>
          <cell r="AH253">
            <v>8610</v>
          </cell>
        </row>
        <row r="254">
          <cell r="H254">
            <v>361000</v>
          </cell>
          <cell r="I254" t="str">
            <v>6640</v>
          </cell>
          <cell r="L254" t="str">
            <v>Est Lbr - Encashment Of Leave</v>
          </cell>
          <cell r="M254" t="e">
            <v>#N/A</v>
          </cell>
          <cell r="N254" t="e">
            <v>#REF!</v>
          </cell>
          <cell r="O254" t="str">
            <v>E</v>
          </cell>
          <cell r="P254">
            <v>0</v>
          </cell>
          <cell r="Q254">
            <v>129413</v>
          </cell>
          <cell r="R254">
            <v>265271</v>
          </cell>
          <cell r="T254">
            <v>0</v>
          </cell>
          <cell r="U254">
            <v>0</v>
          </cell>
          <cell r="V254">
            <v>0</v>
          </cell>
          <cell r="X254">
            <v>0</v>
          </cell>
          <cell r="Y254">
            <v>0</v>
          </cell>
          <cell r="Z254">
            <v>0</v>
          </cell>
          <cell r="AB254">
            <v>0</v>
          </cell>
          <cell r="AC254">
            <v>126663</v>
          </cell>
          <cell r="AD254">
            <v>157564</v>
          </cell>
          <cell r="AF254">
            <v>0</v>
          </cell>
          <cell r="AG254">
            <v>2750</v>
          </cell>
          <cell r="AH254">
            <v>107707</v>
          </cell>
        </row>
        <row r="255">
          <cell r="H255">
            <v>362000</v>
          </cell>
          <cell r="I255">
            <v>0</v>
          </cell>
          <cell r="L255" t="str">
            <v>Excess Provision trf to Salary expenses</v>
          </cell>
          <cell r="M255" t="e">
            <v>#N/A</v>
          </cell>
          <cell r="N255" t="e">
            <v>#REF!</v>
          </cell>
          <cell r="O255" t="str">
            <v>E</v>
          </cell>
          <cell r="Q255">
            <v>0</v>
          </cell>
          <cell r="R255">
            <v>0</v>
          </cell>
          <cell r="AC255">
            <v>0</v>
          </cell>
          <cell r="AG255">
            <v>0</v>
          </cell>
          <cell r="AH255">
            <v>0</v>
          </cell>
        </row>
        <row r="256">
          <cell r="H256">
            <v>363000</v>
          </cell>
          <cell r="I256">
            <v>0</v>
          </cell>
          <cell r="L256" t="str">
            <v>Sub-Total</v>
          </cell>
          <cell r="M256" t="e">
            <v>#N/A</v>
          </cell>
          <cell r="N256" t="e">
            <v>#REF!</v>
          </cell>
          <cell r="O256" t="str">
            <v>E</v>
          </cell>
          <cell r="P256">
            <v>0</v>
          </cell>
          <cell r="Q256">
            <v>327730</v>
          </cell>
          <cell r="R256">
            <v>459032</v>
          </cell>
          <cell r="T256">
            <v>0</v>
          </cell>
          <cell r="U256">
            <v>0</v>
          </cell>
          <cell r="V256">
            <v>0</v>
          </cell>
          <cell r="X256">
            <v>0</v>
          </cell>
          <cell r="Y256">
            <v>0</v>
          </cell>
          <cell r="Z256">
            <v>0</v>
          </cell>
          <cell r="AB256">
            <v>0</v>
          </cell>
          <cell r="AC256">
            <v>206688</v>
          </cell>
          <cell r="AD256">
            <v>342715</v>
          </cell>
          <cell r="AF256">
            <v>0</v>
          </cell>
          <cell r="AG256">
            <v>121042</v>
          </cell>
          <cell r="AH256">
            <v>116317</v>
          </cell>
        </row>
        <row r="257">
          <cell r="H257">
            <v>364000</v>
          </cell>
          <cell r="J257" t="str">
            <v>Contribution To Provident &amp; Other Funds</v>
          </cell>
          <cell r="M257" t="e">
            <v>#N/A</v>
          </cell>
          <cell r="N257" t="e">
            <v>#REF!</v>
          </cell>
          <cell r="O257" t="str">
            <v>E</v>
          </cell>
          <cell r="Q257">
            <v>21667885</v>
          </cell>
          <cell r="R257">
            <v>20090495</v>
          </cell>
          <cell r="T257">
            <v>0</v>
          </cell>
          <cell r="U257">
            <v>13829567</v>
          </cell>
          <cell r="V257">
            <v>11136472</v>
          </cell>
          <cell r="X257">
            <v>0</v>
          </cell>
          <cell r="Y257">
            <v>6027787</v>
          </cell>
          <cell r="Z257">
            <v>8240096</v>
          </cell>
          <cell r="AB257">
            <v>0</v>
          </cell>
          <cell r="AC257">
            <v>1054499</v>
          </cell>
          <cell r="AD257">
            <v>272440</v>
          </cell>
          <cell r="AF257">
            <v>0</v>
          </cell>
          <cell r="AG257">
            <v>756032</v>
          </cell>
          <cell r="AH257">
            <v>441487</v>
          </cell>
        </row>
        <row r="258">
          <cell r="L258" t="str">
            <v>PF</v>
          </cell>
          <cell r="Q258">
            <v>10459017</v>
          </cell>
          <cell r="R258">
            <v>9577861</v>
          </cell>
        </row>
        <row r="259">
          <cell r="L259" t="str">
            <v>ESIC</v>
          </cell>
          <cell r="Q259">
            <v>209134</v>
          </cell>
          <cell r="R259">
            <v>161932</v>
          </cell>
        </row>
        <row r="260">
          <cell r="Q260">
            <v>3799465</v>
          </cell>
          <cell r="R260">
            <v>3116421</v>
          </cell>
        </row>
        <row r="261">
          <cell r="H261">
            <v>365000</v>
          </cell>
          <cell r="O261" t="str">
            <v>E</v>
          </cell>
        </row>
        <row r="262">
          <cell r="H262">
            <v>366000</v>
          </cell>
          <cell r="J262" t="str">
            <v>Staff Welfare Expenses</v>
          </cell>
          <cell r="M262" t="e">
            <v>#N/A</v>
          </cell>
          <cell r="N262" t="e">
            <v>#REF!</v>
          </cell>
          <cell r="O262" t="str">
            <v>E</v>
          </cell>
        </row>
        <row r="263">
          <cell r="H263">
            <v>367000</v>
          </cell>
          <cell r="K263" t="str">
            <v>Officers</v>
          </cell>
          <cell r="M263" t="e">
            <v>#N/A</v>
          </cell>
          <cell r="N263" t="e">
            <v>#REF!</v>
          </cell>
          <cell r="O263" t="str">
            <v>E</v>
          </cell>
        </row>
        <row r="264">
          <cell r="G264">
            <v>13285</v>
          </cell>
          <cell r="H264">
            <v>368000</v>
          </cell>
          <cell r="I264" t="str">
            <v>6495</v>
          </cell>
          <cell r="L264" t="str">
            <v>Est Off - Office Dress</v>
          </cell>
          <cell r="M264" t="str">
            <v>OFFICE DRESS (OFFICERS) (6495)</v>
          </cell>
          <cell r="N264" t="e">
            <v>#REF!</v>
          </cell>
          <cell r="O264" t="str">
            <v>E</v>
          </cell>
          <cell r="Q264">
            <v>224731</v>
          </cell>
          <cell r="R264">
            <v>211911</v>
          </cell>
          <cell r="U264">
            <v>122808</v>
          </cell>
          <cell r="V264">
            <v>121111</v>
          </cell>
          <cell r="Y264">
            <v>101923</v>
          </cell>
          <cell r="Z264">
            <v>86600</v>
          </cell>
          <cell r="AC264">
            <v>0</v>
          </cell>
          <cell r="AD264">
            <v>0</v>
          </cell>
          <cell r="AG264">
            <v>0</v>
          </cell>
          <cell r="AH264">
            <v>4200</v>
          </cell>
        </row>
        <row r="265">
          <cell r="G265">
            <v>13287</v>
          </cell>
          <cell r="H265">
            <v>369000</v>
          </cell>
          <cell r="I265" t="str">
            <v>6496</v>
          </cell>
          <cell r="L265" t="str">
            <v>Est Off - Soft Furnisings</v>
          </cell>
          <cell r="M265" t="str">
            <v>SOFT FURNISINGS (OFFICERS) (6496)</v>
          </cell>
          <cell r="N265" t="e">
            <v>#REF!</v>
          </cell>
          <cell r="O265" t="str">
            <v>E</v>
          </cell>
          <cell r="Q265">
            <v>20200</v>
          </cell>
          <cell r="R265">
            <v>10098</v>
          </cell>
          <cell r="U265">
            <v>10600</v>
          </cell>
          <cell r="V265">
            <v>4100</v>
          </cell>
          <cell r="Y265">
            <v>9600</v>
          </cell>
          <cell r="Z265">
            <v>5998</v>
          </cell>
          <cell r="AC265">
            <v>0</v>
          </cell>
          <cell r="AD265">
            <v>0</v>
          </cell>
          <cell r="AG265">
            <v>0</v>
          </cell>
          <cell r="AH265">
            <v>0</v>
          </cell>
        </row>
        <row r="266">
          <cell r="H266">
            <v>370000</v>
          </cell>
          <cell r="I266" t="str">
            <v>6500</v>
          </cell>
          <cell r="L266" t="str">
            <v>Est Off - Washing Allowance</v>
          </cell>
          <cell r="M266" t="e">
            <v>#N/A</v>
          </cell>
          <cell r="N266" t="e">
            <v>#REF!</v>
          </cell>
          <cell r="O266" t="str">
            <v>E</v>
          </cell>
          <cell r="Q266">
            <v>0</v>
          </cell>
          <cell r="R266">
            <v>0</v>
          </cell>
          <cell r="U266">
            <v>0</v>
          </cell>
          <cell r="V266">
            <v>0</v>
          </cell>
          <cell r="Y266">
            <v>0</v>
          </cell>
          <cell r="Z266">
            <v>0</v>
          </cell>
          <cell r="AC266">
            <v>0</v>
          </cell>
          <cell r="AD266">
            <v>0</v>
          </cell>
          <cell r="AG266">
            <v>0</v>
          </cell>
          <cell r="AH266">
            <v>0</v>
          </cell>
        </row>
        <row r="267">
          <cell r="H267">
            <v>371000</v>
          </cell>
          <cell r="I267" t="str">
            <v>6505</v>
          </cell>
          <cell r="L267" t="str">
            <v>Est Officers - Canteen</v>
          </cell>
          <cell r="M267" t="e">
            <v>#N/A</v>
          </cell>
          <cell r="N267" t="e">
            <v>#REF!</v>
          </cell>
          <cell r="O267" t="str">
            <v>E</v>
          </cell>
          <cell r="Q267">
            <v>207043</v>
          </cell>
          <cell r="R267">
            <v>140207</v>
          </cell>
          <cell r="U267">
            <v>0</v>
          </cell>
          <cell r="V267">
            <v>0</v>
          </cell>
          <cell r="Y267">
            <v>0</v>
          </cell>
          <cell r="Z267">
            <v>0</v>
          </cell>
          <cell r="AC267">
            <v>0</v>
          </cell>
          <cell r="AD267">
            <v>0</v>
          </cell>
          <cell r="AG267">
            <v>207043</v>
          </cell>
          <cell r="AH267">
            <v>140207</v>
          </cell>
        </row>
        <row r="268">
          <cell r="H268">
            <v>372000</v>
          </cell>
          <cell r="L268">
            <v>0</v>
          </cell>
          <cell r="M268" t="e">
            <v>#N/A</v>
          </cell>
          <cell r="N268" t="e">
            <v>#REF!</v>
          </cell>
          <cell r="O268" t="str">
            <v>E</v>
          </cell>
        </row>
        <row r="269">
          <cell r="H269">
            <v>373000</v>
          </cell>
          <cell r="K269" t="str">
            <v>Officers</v>
          </cell>
          <cell r="M269" t="e">
            <v>#N/A</v>
          </cell>
          <cell r="N269" t="e">
            <v>#REF!</v>
          </cell>
          <cell r="O269" t="str">
            <v>E</v>
          </cell>
          <cell r="P269">
            <v>0</v>
          </cell>
          <cell r="Q269">
            <v>451974</v>
          </cell>
          <cell r="R269">
            <v>362216</v>
          </cell>
          <cell r="T269">
            <v>0</v>
          </cell>
          <cell r="U269">
            <v>133408</v>
          </cell>
          <cell r="V269">
            <v>125211</v>
          </cell>
          <cell r="X269">
            <v>0</v>
          </cell>
          <cell r="Y269">
            <v>111523</v>
          </cell>
          <cell r="Z269">
            <v>92598</v>
          </cell>
          <cell r="AB269">
            <v>0</v>
          </cell>
          <cell r="AC269">
            <v>0</v>
          </cell>
          <cell r="AD269">
            <v>0</v>
          </cell>
          <cell r="AF269">
            <v>0</v>
          </cell>
          <cell r="AG269">
            <v>207043</v>
          </cell>
          <cell r="AH269">
            <v>144407</v>
          </cell>
        </row>
        <row r="270">
          <cell r="H270">
            <v>374000</v>
          </cell>
          <cell r="K270" t="str">
            <v>Welfare- Staff</v>
          </cell>
          <cell r="M270" t="e">
            <v>#N/A</v>
          </cell>
          <cell r="N270" t="e">
            <v>#REF!</v>
          </cell>
          <cell r="O270" t="str">
            <v>E</v>
          </cell>
        </row>
        <row r="271">
          <cell r="H271">
            <v>375000</v>
          </cell>
          <cell r="I271" t="str">
            <v>6600</v>
          </cell>
          <cell r="L271" t="str">
            <v>Est Staff - Canteen</v>
          </cell>
          <cell r="M271" t="e">
            <v>#N/A</v>
          </cell>
          <cell r="N271" t="e">
            <v>#REF!</v>
          </cell>
          <cell r="O271" t="str">
            <v>E</v>
          </cell>
          <cell r="Q271">
            <v>0</v>
          </cell>
          <cell r="R271">
            <v>147092</v>
          </cell>
          <cell r="U271">
            <v>0</v>
          </cell>
          <cell r="V271">
            <v>0</v>
          </cell>
          <cell r="Y271">
            <v>0</v>
          </cell>
          <cell r="Z271">
            <v>0</v>
          </cell>
          <cell r="AC271">
            <v>0</v>
          </cell>
          <cell r="AD271">
            <v>0</v>
          </cell>
          <cell r="AG271">
            <v>0</v>
          </cell>
          <cell r="AH271">
            <v>147092</v>
          </cell>
        </row>
        <row r="272">
          <cell r="G272">
            <v>13291</v>
          </cell>
          <cell r="H272">
            <v>369000</v>
          </cell>
          <cell r="L272" t="str">
            <v>Est Staff - Office Dress</v>
          </cell>
          <cell r="M272" t="e">
            <v>#N/A</v>
          </cell>
          <cell r="N272" t="e">
            <v>#REF!</v>
          </cell>
          <cell r="O272" t="str">
            <v>E</v>
          </cell>
          <cell r="Q272">
            <v>10800</v>
          </cell>
          <cell r="R272">
            <v>0</v>
          </cell>
          <cell r="U272">
            <v>10800</v>
          </cell>
          <cell r="V272">
            <v>0</v>
          </cell>
          <cell r="Y272">
            <v>0</v>
          </cell>
          <cell r="Z272">
            <v>0</v>
          </cell>
          <cell r="AC272">
            <v>0</v>
          </cell>
          <cell r="AD272">
            <v>0</v>
          </cell>
          <cell r="AG272">
            <v>0</v>
          </cell>
          <cell r="AH272">
            <v>0</v>
          </cell>
        </row>
        <row r="273">
          <cell r="H273">
            <v>376000</v>
          </cell>
          <cell r="L273">
            <v>0</v>
          </cell>
          <cell r="M273" t="e">
            <v>#N/A</v>
          </cell>
          <cell r="N273" t="e">
            <v>#REF!</v>
          </cell>
          <cell r="O273" t="str">
            <v>E</v>
          </cell>
        </row>
        <row r="274">
          <cell r="H274">
            <v>377000</v>
          </cell>
          <cell r="K274" t="str">
            <v>Welfare- Staff</v>
          </cell>
          <cell r="M274" t="e">
            <v>#N/A</v>
          </cell>
          <cell r="N274" t="e">
            <v>#REF!</v>
          </cell>
          <cell r="O274" t="str">
            <v>E</v>
          </cell>
          <cell r="P274">
            <v>0</v>
          </cell>
          <cell r="Q274">
            <v>10800</v>
          </cell>
          <cell r="R274">
            <v>147092</v>
          </cell>
          <cell r="T274">
            <v>0</v>
          </cell>
          <cell r="U274">
            <v>10800</v>
          </cell>
          <cell r="V274">
            <v>0</v>
          </cell>
          <cell r="X274">
            <v>0</v>
          </cell>
          <cell r="Y274">
            <v>0</v>
          </cell>
          <cell r="Z274">
            <v>0</v>
          </cell>
          <cell r="AB274">
            <v>0</v>
          </cell>
          <cell r="AC274">
            <v>0</v>
          </cell>
          <cell r="AD274">
            <v>0</v>
          </cell>
          <cell r="AF274">
            <v>0</v>
          </cell>
          <cell r="AG274">
            <v>0</v>
          </cell>
          <cell r="AH274">
            <v>147092</v>
          </cell>
        </row>
        <row r="275">
          <cell r="H275">
            <v>378000</v>
          </cell>
          <cell r="K275" t="str">
            <v>Welfare- Workmen</v>
          </cell>
          <cell r="M275" t="e">
            <v>#N/A</v>
          </cell>
          <cell r="N275" t="e">
            <v>#REF!</v>
          </cell>
          <cell r="O275" t="str">
            <v>E</v>
          </cell>
        </row>
        <row r="276">
          <cell r="H276">
            <v>379000</v>
          </cell>
          <cell r="I276" t="str">
            <v>6700</v>
          </cell>
          <cell r="L276" t="str">
            <v>Est Lbr - Uniform Exp.</v>
          </cell>
          <cell r="M276" t="e">
            <v>#N/A</v>
          </cell>
          <cell r="N276" t="e">
            <v>#REF!</v>
          </cell>
          <cell r="O276" t="str">
            <v>E</v>
          </cell>
          <cell r="Q276">
            <v>63482</v>
          </cell>
          <cell r="R276">
            <v>43318</v>
          </cell>
          <cell r="U276">
            <v>0</v>
          </cell>
          <cell r="V276">
            <v>0</v>
          </cell>
          <cell r="Y276">
            <v>0</v>
          </cell>
          <cell r="Z276">
            <v>0</v>
          </cell>
          <cell r="AC276">
            <v>63482</v>
          </cell>
          <cell r="AD276">
            <v>43318</v>
          </cell>
          <cell r="AG276">
            <v>0</v>
          </cell>
          <cell r="AH276">
            <v>0</v>
          </cell>
        </row>
        <row r="277">
          <cell r="H277">
            <v>380000</v>
          </cell>
          <cell r="L277">
            <v>0</v>
          </cell>
          <cell r="M277" t="e">
            <v>#N/A</v>
          </cell>
          <cell r="N277" t="e">
            <v>#REF!</v>
          </cell>
          <cell r="O277" t="str">
            <v>E</v>
          </cell>
        </row>
        <row r="278">
          <cell r="H278">
            <v>381000</v>
          </cell>
          <cell r="K278" t="str">
            <v>Welfare- Workmen</v>
          </cell>
          <cell r="M278" t="e">
            <v>#N/A</v>
          </cell>
          <cell r="N278" t="e">
            <v>#REF!</v>
          </cell>
          <cell r="O278" t="str">
            <v>E</v>
          </cell>
          <cell r="P278">
            <v>0</v>
          </cell>
          <cell r="Q278">
            <v>63482</v>
          </cell>
          <cell r="R278">
            <v>43318</v>
          </cell>
          <cell r="T278">
            <v>0</v>
          </cell>
          <cell r="U278">
            <v>0</v>
          </cell>
          <cell r="V278">
            <v>0</v>
          </cell>
          <cell r="X278">
            <v>0</v>
          </cell>
          <cell r="Y278">
            <v>0</v>
          </cell>
          <cell r="Z278">
            <v>0</v>
          </cell>
          <cell r="AB278">
            <v>0</v>
          </cell>
          <cell r="AC278">
            <v>63482</v>
          </cell>
          <cell r="AD278">
            <v>43318</v>
          </cell>
          <cell r="AF278">
            <v>0</v>
          </cell>
          <cell r="AG278">
            <v>0</v>
          </cell>
          <cell r="AH278">
            <v>0</v>
          </cell>
        </row>
        <row r="279">
          <cell r="H279">
            <v>382000</v>
          </cell>
          <cell r="K279" t="str">
            <v>Common Expenses</v>
          </cell>
          <cell r="M279" t="e">
            <v>#N/A</v>
          </cell>
          <cell r="N279" t="e">
            <v>#REF!</v>
          </cell>
          <cell r="O279" t="str">
            <v>E</v>
          </cell>
        </row>
        <row r="280">
          <cell r="G280">
            <v>13314</v>
          </cell>
          <cell r="H280">
            <v>383000</v>
          </cell>
          <cell r="I280" t="str">
            <v>7000</v>
          </cell>
          <cell r="L280" t="str">
            <v>Welfare -Canteen  - Lunch/Dinner</v>
          </cell>
          <cell r="M280" t="str">
            <v>CANTEEN EXPENSES</v>
          </cell>
          <cell r="N280" t="e">
            <v>#REF!</v>
          </cell>
          <cell r="O280" t="str">
            <v>E</v>
          </cell>
          <cell r="Q280">
            <v>8921712</v>
          </cell>
          <cell r="R280">
            <v>6929292</v>
          </cell>
          <cell r="U280">
            <v>5853956</v>
          </cell>
          <cell r="V280">
            <v>4744578</v>
          </cell>
          <cell r="Y280">
            <v>2675943</v>
          </cell>
          <cell r="Z280">
            <v>1928376</v>
          </cell>
          <cell r="AC280">
            <v>382021</v>
          </cell>
          <cell r="AD280">
            <v>247161</v>
          </cell>
          <cell r="AG280">
            <v>9792</v>
          </cell>
          <cell r="AH280">
            <v>9177</v>
          </cell>
        </row>
        <row r="281">
          <cell r="H281">
            <v>384000</v>
          </cell>
          <cell r="I281" t="str">
            <v>7005</v>
          </cell>
          <cell r="L281" t="str">
            <v>Welfare - Canteen Exp - Tea, Milk, Sugar</v>
          </cell>
          <cell r="M281" t="e">
            <v>#N/A</v>
          </cell>
          <cell r="N281" t="e">
            <v>#REF!</v>
          </cell>
          <cell r="O281" t="str">
            <v>E</v>
          </cell>
          <cell r="Q281">
            <v>705574</v>
          </cell>
          <cell r="R281">
            <v>606212</v>
          </cell>
          <cell r="U281">
            <v>0</v>
          </cell>
          <cell r="V281">
            <v>0</v>
          </cell>
          <cell r="Y281">
            <v>0</v>
          </cell>
          <cell r="Z281">
            <v>0</v>
          </cell>
          <cell r="AC281">
            <v>381822</v>
          </cell>
          <cell r="AD281">
            <v>321846</v>
          </cell>
          <cell r="AG281">
            <v>323752</v>
          </cell>
          <cell r="AH281">
            <v>284366</v>
          </cell>
        </row>
        <row r="282">
          <cell r="H282">
            <v>385000</v>
          </cell>
          <cell r="I282" t="str">
            <v>7010</v>
          </cell>
          <cell r="L282" t="str">
            <v>Welfare - Canteen Exp - Cooking Fuel</v>
          </cell>
          <cell r="M282" t="e">
            <v>#N/A</v>
          </cell>
          <cell r="N282" t="e">
            <v>#REF!</v>
          </cell>
          <cell r="O282" t="str">
            <v>E</v>
          </cell>
          <cell r="Q282">
            <v>0</v>
          </cell>
          <cell r="R282">
            <v>0</v>
          </cell>
          <cell r="U282">
            <v>0</v>
          </cell>
          <cell r="V282">
            <v>0</v>
          </cell>
          <cell r="Y282">
            <v>0</v>
          </cell>
          <cell r="Z282">
            <v>0</v>
          </cell>
          <cell r="AC282">
            <v>0</v>
          </cell>
          <cell r="AD282">
            <v>0</v>
          </cell>
          <cell r="AG282">
            <v>0</v>
          </cell>
          <cell r="AH282">
            <v>0</v>
          </cell>
        </row>
        <row r="283">
          <cell r="H283">
            <v>386000</v>
          </cell>
          <cell r="I283" t="str">
            <v>7015</v>
          </cell>
          <cell r="L283" t="str">
            <v>Welfare - Canteen Exp - Guest/Others</v>
          </cell>
          <cell r="M283" t="e">
            <v>#N/A</v>
          </cell>
          <cell r="N283" t="e">
            <v>#REF!</v>
          </cell>
          <cell r="O283" t="str">
            <v>E</v>
          </cell>
          <cell r="Q283">
            <v>32803</v>
          </cell>
          <cell r="R283">
            <v>0</v>
          </cell>
          <cell r="U283">
            <v>0</v>
          </cell>
          <cell r="V283">
            <v>0</v>
          </cell>
          <cell r="Y283">
            <v>0</v>
          </cell>
          <cell r="Z283">
            <v>0</v>
          </cell>
          <cell r="AC283">
            <v>0</v>
          </cell>
          <cell r="AD283">
            <v>0</v>
          </cell>
          <cell r="AG283">
            <v>32803</v>
          </cell>
          <cell r="AH283">
            <v>0</v>
          </cell>
        </row>
        <row r="284">
          <cell r="G284">
            <v>13316</v>
          </cell>
          <cell r="H284">
            <v>387000</v>
          </cell>
          <cell r="I284" t="str">
            <v>7020</v>
          </cell>
          <cell r="L284" t="str">
            <v>Welfare - First Aid</v>
          </cell>
          <cell r="M284" t="str">
            <v>WELFARE - FIRST AID (7020)</v>
          </cell>
          <cell r="N284" t="e">
            <v>#REF!</v>
          </cell>
          <cell r="O284" t="str">
            <v>E</v>
          </cell>
          <cell r="Q284">
            <v>114255</v>
          </cell>
          <cell r="R284">
            <v>138445</v>
          </cell>
          <cell r="U284">
            <v>81999</v>
          </cell>
          <cell r="V284">
            <v>87694</v>
          </cell>
          <cell r="Y284">
            <v>20984</v>
          </cell>
          <cell r="Z284">
            <v>42966</v>
          </cell>
          <cell r="AC284">
            <v>2257</v>
          </cell>
          <cell r="AD284">
            <v>2362</v>
          </cell>
          <cell r="AG284">
            <v>9015</v>
          </cell>
          <cell r="AH284">
            <v>5423</v>
          </cell>
        </row>
        <row r="285">
          <cell r="H285">
            <v>388000</v>
          </cell>
          <cell r="I285" t="str">
            <v>7030</v>
          </cell>
          <cell r="L285" t="str">
            <v>Welfare - Uniform Washing</v>
          </cell>
          <cell r="M285" t="e">
            <v>#N/A</v>
          </cell>
          <cell r="N285" t="e">
            <v>#REF!</v>
          </cell>
          <cell r="O285" t="str">
            <v>E</v>
          </cell>
          <cell r="Q285">
            <v>0</v>
          </cell>
          <cell r="R285">
            <v>0</v>
          </cell>
          <cell r="U285">
            <v>0</v>
          </cell>
          <cell r="V285">
            <v>0</v>
          </cell>
          <cell r="Y285">
            <v>0</v>
          </cell>
          <cell r="Z285">
            <v>0</v>
          </cell>
          <cell r="AC285">
            <v>0</v>
          </cell>
          <cell r="AD285">
            <v>0</v>
          </cell>
          <cell r="AG285">
            <v>0</v>
          </cell>
          <cell r="AH285">
            <v>0</v>
          </cell>
        </row>
        <row r="286">
          <cell r="G286">
            <v>13318</v>
          </cell>
          <cell r="H286">
            <v>389000</v>
          </cell>
          <cell r="I286" t="str">
            <v>7040</v>
          </cell>
          <cell r="L286" t="str">
            <v>Welfare Jeep Bus Car Hire Charges</v>
          </cell>
          <cell r="M286" t="str">
            <v>WELFARE - TRANSPORT (JEEP/ BUS HIRE) EXP. (7040)</v>
          </cell>
          <cell r="N286" t="e">
            <v>#REF!</v>
          </cell>
          <cell r="O286" t="str">
            <v>E</v>
          </cell>
          <cell r="Q286">
            <v>5533637</v>
          </cell>
          <cell r="R286">
            <v>5655994</v>
          </cell>
          <cell r="U286">
            <v>2509117</v>
          </cell>
          <cell r="V286">
            <v>2555344</v>
          </cell>
          <cell r="Y286">
            <v>3024520</v>
          </cell>
          <cell r="Z286">
            <v>3100650</v>
          </cell>
          <cell r="AC286">
            <v>0</v>
          </cell>
          <cell r="AD286">
            <v>0</v>
          </cell>
          <cell r="AG286">
            <v>0</v>
          </cell>
          <cell r="AH286">
            <v>0</v>
          </cell>
        </row>
        <row r="287">
          <cell r="H287">
            <v>390000</v>
          </cell>
          <cell r="I287" t="str">
            <v>7045</v>
          </cell>
          <cell r="L287" t="str">
            <v>Puja (Festival) Expenses</v>
          </cell>
          <cell r="M287" t="e">
            <v>#N/A</v>
          </cell>
          <cell r="N287" t="e">
            <v>#REF!</v>
          </cell>
          <cell r="O287" t="str">
            <v>E</v>
          </cell>
          <cell r="Q287">
            <v>58508</v>
          </cell>
          <cell r="R287">
            <v>52151</v>
          </cell>
          <cell r="U287">
            <v>0</v>
          </cell>
          <cell r="V287">
            <v>0</v>
          </cell>
          <cell r="Y287">
            <v>0</v>
          </cell>
          <cell r="Z287">
            <v>0</v>
          </cell>
          <cell r="AC287">
            <v>51610</v>
          </cell>
          <cell r="AD287">
            <v>46182</v>
          </cell>
          <cell r="AG287">
            <v>6898</v>
          </cell>
          <cell r="AH287">
            <v>5969</v>
          </cell>
        </row>
        <row r="288">
          <cell r="G288">
            <v>13320</v>
          </cell>
          <cell r="H288">
            <v>391000</v>
          </cell>
          <cell r="I288" t="str">
            <v>7050</v>
          </cell>
          <cell r="L288" t="str">
            <v>Welfare - Others</v>
          </cell>
          <cell r="M288" t="str">
            <v>WELFARE - OTHERS (7050)</v>
          </cell>
          <cell r="N288" t="e">
            <v>#REF!</v>
          </cell>
          <cell r="O288" t="str">
            <v>E</v>
          </cell>
          <cell r="Q288">
            <v>2429002</v>
          </cell>
          <cell r="R288">
            <v>3013246</v>
          </cell>
          <cell r="U288">
            <v>1784669</v>
          </cell>
          <cell r="V288">
            <v>2308338</v>
          </cell>
          <cell r="Y288">
            <v>588205</v>
          </cell>
          <cell r="Z288">
            <v>615417</v>
          </cell>
          <cell r="AC288">
            <v>0</v>
          </cell>
          <cell r="AD288">
            <v>0</v>
          </cell>
          <cell r="AG288">
            <v>56128</v>
          </cell>
          <cell r="AH288">
            <v>89491</v>
          </cell>
        </row>
        <row r="289">
          <cell r="H289">
            <v>392000</v>
          </cell>
          <cell r="I289" t="str">
            <v>7661</v>
          </cell>
          <cell r="L289" t="str">
            <v>Welfare - Guest House Exp</v>
          </cell>
          <cell r="M289" t="e">
            <v>#N/A</v>
          </cell>
          <cell r="N289" t="e">
            <v>#REF!</v>
          </cell>
          <cell r="O289" t="str">
            <v>E</v>
          </cell>
          <cell r="Q289">
            <v>147160</v>
          </cell>
          <cell r="R289">
            <v>156959</v>
          </cell>
          <cell r="U289">
            <v>0</v>
          </cell>
          <cell r="V289">
            <v>0</v>
          </cell>
          <cell r="Y289">
            <v>0</v>
          </cell>
          <cell r="Z289">
            <v>0</v>
          </cell>
          <cell r="AC289">
            <v>0</v>
          </cell>
          <cell r="AD289">
            <v>0</v>
          </cell>
          <cell r="AG289">
            <v>147160</v>
          </cell>
          <cell r="AH289">
            <v>156959</v>
          </cell>
        </row>
        <row r="290">
          <cell r="H290">
            <v>393000</v>
          </cell>
          <cell r="L290">
            <v>0</v>
          </cell>
          <cell r="M290" t="e">
            <v>#N/A</v>
          </cell>
          <cell r="N290" t="e">
            <v>#REF!</v>
          </cell>
          <cell r="O290" t="str">
            <v>E</v>
          </cell>
        </row>
        <row r="291">
          <cell r="H291">
            <v>394000</v>
          </cell>
          <cell r="K291" t="str">
            <v>Common Expenses</v>
          </cell>
          <cell r="M291" t="e">
            <v>#N/A</v>
          </cell>
          <cell r="N291" t="e">
            <v>#REF!</v>
          </cell>
          <cell r="O291" t="str">
            <v>E</v>
          </cell>
          <cell r="P291">
            <v>0</v>
          </cell>
          <cell r="Q291">
            <v>17942651</v>
          </cell>
          <cell r="R291">
            <v>16552299</v>
          </cell>
          <cell r="T291">
            <v>0</v>
          </cell>
          <cell r="U291">
            <v>10229741</v>
          </cell>
          <cell r="V291">
            <v>9695954</v>
          </cell>
          <cell r="X291">
            <v>0</v>
          </cell>
          <cell r="Y291">
            <v>6309652</v>
          </cell>
          <cell r="Z291">
            <v>5687409</v>
          </cell>
          <cell r="AB291">
            <v>0</v>
          </cell>
          <cell r="AC291">
            <v>817710</v>
          </cell>
          <cell r="AD291">
            <v>617551</v>
          </cell>
          <cell r="AF291">
            <v>0</v>
          </cell>
          <cell r="AG291">
            <v>585548</v>
          </cell>
          <cell r="AH291">
            <v>551385</v>
          </cell>
        </row>
        <row r="292">
          <cell r="H292">
            <v>395000</v>
          </cell>
          <cell r="J292" t="str">
            <v>Staff Welfare Expenses</v>
          </cell>
          <cell r="M292" t="e">
            <v>#N/A</v>
          </cell>
          <cell r="N292" t="e">
            <v>#REF!</v>
          </cell>
          <cell r="O292" t="str">
            <v>E</v>
          </cell>
          <cell r="P292">
            <v>0</v>
          </cell>
          <cell r="Q292">
            <v>18468907</v>
          </cell>
          <cell r="R292">
            <v>17104925</v>
          </cell>
          <cell r="T292">
            <v>0</v>
          </cell>
          <cell r="U292">
            <v>10373949</v>
          </cell>
          <cell r="V292">
            <v>9821165</v>
          </cell>
          <cell r="X292">
            <v>0</v>
          </cell>
          <cell r="Y292">
            <v>6421175</v>
          </cell>
          <cell r="Z292">
            <v>5780007</v>
          </cell>
          <cell r="AB292">
            <v>0</v>
          </cell>
          <cell r="AC292">
            <v>881192</v>
          </cell>
          <cell r="AD292">
            <v>660869</v>
          </cell>
          <cell r="AF292">
            <v>0</v>
          </cell>
          <cell r="AG292">
            <v>792591</v>
          </cell>
          <cell r="AH292">
            <v>842884</v>
          </cell>
        </row>
        <row r="293">
          <cell r="H293">
            <v>396000</v>
          </cell>
          <cell r="L293">
            <v>0</v>
          </cell>
          <cell r="O293" t="str">
            <v>E</v>
          </cell>
        </row>
        <row r="294">
          <cell r="G294">
            <v>0</v>
          </cell>
          <cell r="H294">
            <v>397000</v>
          </cell>
          <cell r="I294">
            <v>0</v>
          </cell>
          <cell r="J294" t="str">
            <v>EMPLOYEE BENEFITS EXPENSES</v>
          </cell>
          <cell r="M294" t="e">
            <v>#N/A</v>
          </cell>
          <cell r="N294" t="e">
            <v>#REF!</v>
          </cell>
          <cell r="O294" t="str">
            <v>E</v>
          </cell>
          <cell r="P294" t="e">
            <v>#REF!</v>
          </cell>
          <cell r="Q294">
            <v>242222536</v>
          </cell>
          <cell r="R294">
            <v>207765025</v>
          </cell>
          <cell r="T294">
            <v>0</v>
          </cell>
          <cell r="U294">
            <v>139237106</v>
          </cell>
          <cell r="V294">
            <v>115731736</v>
          </cell>
          <cell r="X294">
            <v>0</v>
          </cell>
          <cell r="Y294">
            <v>66975840</v>
          </cell>
          <cell r="Z294">
            <v>64137150</v>
          </cell>
          <cell r="AB294">
            <v>0</v>
          </cell>
          <cell r="AC294">
            <v>17183108</v>
          </cell>
          <cell r="AD294">
            <v>13481572</v>
          </cell>
          <cell r="AF294">
            <v>0</v>
          </cell>
          <cell r="AG294">
            <v>18826482</v>
          </cell>
          <cell r="AH294">
            <v>14414567</v>
          </cell>
        </row>
        <row r="295">
          <cell r="H295">
            <v>398000</v>
          </cell>
          <cell r="M295" t="e">
            <v>#N/A</v>
          </cell>
          <cell r="N295" t="e">
            <v>#REF!</v>
          </cell>
          <cell r="O295" t="str">
            <v>E</v>
          </cell>
          <cell r="Q295">
            <v>0</v>
          </cell>
          <cell r="R295">
            <v>0</v>
          </cell>
        </row>
        <row r="296">
          <cell r="H296">
            <v>400000</v>
          </cell>
          <cell r="J296" t="str">
            <v>FINANCE COST</v>
          </cell>
          <cell r="M296" t="e">
            <v>#N/A</v>
          </cell>
          <cell r="N296" t="e">
            <v>#REF!</v>
          </cell>
          <cell r="O296" t="str">
            <v>E</v>
          </cell>
        </row>
        <row r="297">
          <cell r="H297">
            <v>401000</v>
          </cell>
          <cell r="K297" t="str">
            <v>Interest On Borrowings</v>
          </cell>
          <cell r="M297" t="e">
            <v>#N/A</v>
          </cell>
          <cell r="N297" t="e">
            <v>#REF!</v>
          </cell>
          <cell r="O297" t="str">
            <v>E</v>
          </cell>
        </row>
        <row r="298">
          <cell r="H298">
            <v>402000</v>
          </cell>
          <cell r="K298" t="str">
            <v>From Banks</v>
          </cell>
          <cell r="O298" t="str">
            <v>E</v>
          </cell>
        </row>
        <row r="299">
          <cell r="G299">
            <v>13853</v>
          </cell>
          <cell r="H299">
            <v>403000</v>
          </cell>
          <cell r="I299" t="str">
            <v>7610</v>
          </cell>
          <cell r="L299" t="str">
            <v>Interest On Cash Credit</v>
          </cell>
          <cell r="M299" t="str">
            <v>INTEREST ON WORKING CAPITAL (7610,15,20,25)</v>
          </cell>
          <cell r="N299" t="e">
            <v>#REF!</v>
          </cell>
          <cell r="O299" t="str">
            <v>E</v>
          </cell>
          <cell r="Q299">
            <v>31593785</v>
          </cell>
          <cell r="R299">
            <v>25749685</v>
          </cell>
          <cell r="U299">
            <v>31561256</v>
          </cell>
          <cell r="V299">
            <v>25714409</v>
          </cell>
          <cell r="Y299">
            <v>1910</v>
          </cell>
          <cell r="Z299">
            <v>35276</v>
          </cell>
          <cell r="AC299">
            <v>0</v>
          </cell>
          <cell r="AD299">
            <v>0</v>
          </cell>
          <cell r="AG299">
            <v>30619</v>
          </cell>
          <cell r="AH299">
            <v>0</v>
          </cell>
        </row>
        <row r="300">
          <cell r="H300">
            <v>404000</v>
          </cell>
          <cell r="I300" t="str">
            <v>7615</v>
          </cell>
          <cell r="L300" t="str">
            <v>Interest On Packing Credit</v>
          </cell>
          <cell r="M300" t="e">
            <v>#N/A</v>
          </cell>
          <cell r="N300" t="e">
            <v>#REF!</v>
          </cell>
          <cell r="O300" t="str">
            <v>E</v>
          </cell>
          <cell r="Q300">
            <v>0</v>
          </cell>
          <cell r="R300">
            <v>0</v>
          </cell>
          <cell r="U300">
            <v>0</v>
          </cell>
          <cell r="V300">
            <v>0</v>
          </cell>
          <cell r="Y300">
            <v>0</v>
          </cell>
          <cell r="Z300">
            <v>0</v>
          </cell>
          <cell r="AC300">
            <v>0</v>
          </cell>
          <cell r="AD300">
            <v>0</v>
          </cell>
          <cell r="AG300">
            <v>0</v>
          </cell>
          <cell r="AH300">
            <v>0</v>
          </cell>
        </row>
        <row r="301">
          <cell r="H301">
            <v>405000</v>
          </cell>
          <cell r="I301" t="str">
            <v>7625</v>
          </cell>
          <cell r="L301" t="str">
            <v>Interest On Demand Loan</v>
          </cell>
          <cell r="M301" t="e">
            <v>#N/A</v>
          </cell>
          <cell r="N301" t="e">
            <v>#REF!</v>
          </cell>
          <cell r="O301" t="str">
            <v>E</v>
          </cell>
          <cell r="Q301">
            <v>3888</v>
          </cell>
          <cell r="R301">
            <v>0</v>
          </cell>
          <cell r="U301">
            <v>0</v>
          </cell>
          <cell r="V301">
            <v>0</v>
          </cell>
          <cell r="Y301">
            <v>0</v>
          </cell>
          <cell r="Z301">
            <v>0</v>
          </cell>
          <cell r="AC301">
            <v>0</v>
          </cell>
          <cell r="AD301">
            <v>0</v>
          </cell>
          <cell r="AG301">
            <v>3888</v>
          </cell>
          <cell r="AH301">
            <v>0</v>
          </cell>
        </row>
        <row r="302">
          <cell r="G302">
            <v>13854</v>
          </cell>
          <cell r="H302">
            <v>406000</v>
          </cell>
          <cell r="I302" t="str">
            <v>7630</v>
          </cell>
          <cell r="L302" t="str">
            <v>Interest On Loan - Fcl/Vysya Bank</v>
          </cell>
          <cell r="M302" t="str">
            <v>INTEREST ON TERM LOAN (7630)</v>
          </cell>
          <cell r="N302" t="e">
            <v>#REF!</v>
          </cell>
          <cell r="O302" t="str">
            <v>E</v>
          </cell>
          <cell r="P302">
            <v>0</v>
          </cell>
          <cell r="Q302">
            <v>9041525</v>
          </cell>
          <cell r="R302">
            <v>16348435</v>
          </cell>
          <cell r="T302">
            <v>0</v>
          </cell>
          <cell r="U302">
            <v>8881215</v>
          </cell>
          <cell r="V302">
            <v>14999073</v>
          </cell>
          <cell r="X302">
            <v>0</v>
          </cell>
          <cell r="Y302">
            <v>0</v>
          </cell>
          <cell r="Z302">
            <v>324863</v>
          </cell>
          <cell r="AB302">
            <v>0</v>
          </cell>
          <cell r="AC302">
            <v>0</v>
          </cell>
          <cell r="AD302">
            <v>0</v>
          </cell>
          <cell r="AF302">
            <v>0</v>
          </cell>
          <cell r="AG302">
            <v>160310</v>
          </cell>
          <cell r="AH302">
            <v>1024499</v>
          </cell>
        </row>
        <row r="303">
          <cell r="H303">
            <v>407000</v>
          </cell>
          <cell r="K303" t="str">
            <v>Interest On Borrowings</v>
          </cell>
          <cell r="M303" t="e">
            <v>#N/A</v>
          </cell>
          <cell r="N303" t="e">
            <v>#REF!</v>
          </cell>
          <cell r="O303" t="str">
            <v>E</v>
          </cell>
          <cell r="P303">
            <v>0</v>
          </cell>
          <cell r="Q303">
            <v>40639198</v>
          </cell>
          <cell r="R303">
            <v>42098120</v>
          </cell>
          <cell r="T303">
            <v>0</v>
          </cell>
          <cell r="U303">
            <v>40442471</v>
          </cell>
          <cell r="V303">
            <v>40713482</v>
          </cell>
          <cell r="X303">
            <v>0</v>
          </cell>
          <cell r="Y303">
            <v>1910</v>
          </cell>
          <cell r="Z303">
            <v>360139</v>
          </cell>
          <cell r="AB303">
            <v>0</v>
          </cell>
          <cell r="AC303">
            <v>0</v>
          </cell>
          <cell r="AD303">
            <v>0</v>
          </cell>
          <cell r="AF303">
            <v>0</v>
          </cell>
          <cell r="AG303">
            <v>194817</v>
          </cell>
          <cell r="AH303">
            <v>1024499</v>
          </cell>
        </row>
        <row r="304">
          <cell r="H304">
            <v>408000</v>
          </cell>
          <cell r="K304" t="str">
            <v>From Others</v>
          </cell>
          <cell r="M304" t="e">
            <v>#N/A</v>
          </cell>
          <cell r="N304" t="e">
            <v>#REF!</v>
          </cell>
          <cell r="O304" t="str">
            <v>E</v>
          </cell>
        </row>
        <row r="305">
          <cell r="H305">
            <v>409000</v>
          </cell>
          <cell r="I305" t="str">
            <v>7620</v>
          </cell>
          <cell r="L305" t="str">
            <v>Int On Bl/ Dimple Drums (2012-13) &amp;Interest On Post Shipment Packing Credit (2011-12)</v>
          </cell>
          <cell r="M305" t="e">
            <v>#N/A</v>
          </cell>
          <cell r="N305" t="e">
            <v>#REF!</v>
          </cell>
          <cell r="O305" t="str">
            <v>E</v>
          </cell>
          <cell r="Q305">
            <v>0</v>
          </cell>
          <cell r="R305">
            <v>0</v>
          </cell>
          <cell r="U305">
            <v>0</v>
          </cell>
          <cell r="V305">
            <v>0</v>
          </cell>
          <cell r="Y305">
            <v>0</v>
          </cell>
          <cell r="Z305">
            <v>0</v>
          </cell>
          <cell r="AC305">
            <v>0</v>
          </cell>
          <cell r="AD305">
            <v>0</v>
          </cell>
          <cell r="AG305">
            <v>0</v>
          </cell>
          <cell r="AH305">
            <v>0</v>
          </cell>
        </row>
        <row r="306">
          <cell r="H306">
            <v>410000</v>
          </cell>
          <cell r="L306" t="str">
            <v>Regrouping from Other Interest</v>
          </cell>
          <cell r="M306" t="e">
            <v>#N/A</v>
          </cell>
          <cell r="N306" t="e">
            <v>#REF!</v>
          </cell>
          <cell r="O306" t="str">
            <v>E</v>
          </cell>
          <cell r="Q306">
            <v>0</v>
          </cell>
          <cell r="R306">
            <v>0</v>
          </cell>
          <cell r="Y306">
            <v>0</v>
          </cell>
          <cell r="Z306">
            <v>0</v>
          </cell>
          <cell r="AC306">
            <v>0</v>
          </cell>
          <cell r="AD306">
            <v>0</v>
          </cell>
          <cell r="AG306">
            <v>0</v>
          </cell>
          <cell r="AH306">
            <v>0</v>
          </cell>
        </row>
        <row r="307">
          <cell r="H307">
            <v>411000</v>
          </cell>
          <cell r="L307">
            <v>0</v>
          </cell>
          <cell r="M307" t="e">
            <v>#N/A</v>
          </cell>
          <cell r="N307" t="e">
            <v>#REF!</v>
          </cell>
          <cell r="O307" t="str">
            <v>E</v>
          </cell>
        </row>
        <row r="308">
          <cell r="H308">
            <v>412000</v>
          </cell>
          <cell r="K308" t="str">
            <v>From Others</v>
          </cell>
          <cell r="M308" t="e">
            <v>#N/A</v>
          </cell>
          <cell r="N308" t="e">
            <v>#REF!</v>
          </cell>
          <cell r="O308" t="str">
            <v>E</v>
          </cell>
          <cell r="P308">
            <v>0</v>
          </cell>
          <cell r="Q308">
            <v>0</v>
          </cell>
          <cell r="R308">
            <v>0</v>
          </cell>
          <cell r="T308">
            <v>0</v>
          </cell>
          <cell r="U308">
            <v>0</v>
          </cell>
          <cell r="V308">
            <v>0</v>
          </cell>
          <cell r="X308">
            <v>0</v>
          </cell>
          <cell r="Y308">
            <v>0</v>
          </cell>
          <cell r="Z308">
            <v>0</v>
          </cell>
          <cell r="AB308">
            <v>0</v>
          </cell>
          <cell r="AC308">
            <v>0</v>
          </cell>
          <cell r="AD308">
            <v>0</v>
          </cell>
          <cell r="AF308">
            <v>0</v>
          </cell>
          <cell r="AG308">
            <v>0</v>
          </cell>
          <cell r="AH308">
            <v>0</v>
          </cell>
        </row>
        <row r="309">
          <cell r="H309">
            <v>413000</v>
          </cell>
          <cell r="K309" t="str">
            <v>Other Borrowing Cost</v>
          </cell>
          <cell r="M309" t="e">
            <v>#N/A</v>
          </cell>
          <cell r="N309" t="e">
            <v>#REF!</v>
          </cell>
          <cell r="O309" t="str">
            <v>E</v>
          </cell>
        </row>
        <row r="310">
          <cell r="H310">
            <v>414000</v>
          </cell>
          <cell r="I310" t="str">
            <v>7620</v>
          </cell>
          <cell r="L310" t="str">
            <v>Int On Bl/ Dimple Drums (2012-13) &amp;Interest On Post Shipment Packing Credit (2011-12)</v>
          </cell>
          <cell r="M310" t="e">
            <v>#N/A</v>
          </cell>
          <cell r="N310" t="e">
            <v>#REF!</v>
          </cell>
          <cell r="O310" t="str">
            <v>E</v>
          </cell>
          <cell r="Q310">
            <v>0</v>
          </cell>
          <cell r="R310">
            <v>0</v>
          </cell>
          <cell r="U310">
            <v>0</v>
          </cell>
          <cell r="V310">
            <v>0</v>
          </cell>
          <cell r="Y310">
            <v>0</v>
          </cell>
          <cell r="Z310">
            <v>0</v>
          </cell>
          <cell r="AC310">
            <v>0</v>
          </cell>
          <cell r="AD310">
            <v>0</v>
          </cell>
          <cell r="AG310">
            <v>0</v>
          </cell>
          <cell r="AH310">
            <v>0</v>
          </cell>
        </row>
        <row r="311">
          <cell r="G311">
            <v>13858</v>
          </cell>
          <cell r="H311">
            <v>415000</v>
          </cell>
          <cell r="I311" t="str">
            <v>7645</v>
          </cell>
          <cell r="L311" t="str">
            <v>Interest On Loan Taken From Companies</v>
          </cell>
          <cell r="M311" t="str">
            <v>INTEREST ON CURRENT ACCOUNTS (7645)</v>
          </cell>
          <cell r="N311" t="e">
            <v>#REF!</v>
          </cell>
          <cell r="O311" t="str">
            <v>E</v>
          </cell>
          <cell r="Q311">
            <v>0</v>
          </cell>
          <cell r="R311">
            <v>0</v>
          </cell>
          <cell r="U311">
            <v>-31426000</v>
          </cell>
          <cell r="V311">
            <v>-39520501</v>
          </cell>
          <cell r="Y311">
            <v>19216000</v>
          </cell>
          <cell r="Z311">
            <v>28038000</v>
          </cell>
          <cell r="AC311">
            <v>6390000</v>
          </cell>
          <cell r="AD311">
            <v>6701000</v>
          </cell>
          <cell r="AG311">
            <v>5820000</v>
          </cell>
          <cell r="AH311">
            <v>4781501</v>
          </cell>
        </row>
        <row r="312">
          <cell r="G312">
            <v>13855</v>
          </cell>
          <cell r="H312">
            <v>416000</v>
          </cell>
          <cell r="I312" t="str">
            <v>7640</v>
          </cell>
          <cell r="L312" t="str">
            <v>Other Interest</v>
          </cell>
          <cell r="M312" t="str">
            <v>OTHER INTEREST (7640)</v>
          </cell>
          <cell r="N312" t="e">
            <v>#REF!</v>
          </cell>
          <cell r="O312" t="str">
            <v>E</v>
          </cell>
          <cell r="P312">
            <v>0</v>
          </cell>
          <cell r="Q312">
            <v>574497</v>
          </cell>
          <cell r="R312">
            <v>4464007</v>
          </cell>
          <cell r="T312">
            <v>0</v>
          </cell>
          <cell r="U312">
            <v>193403</v>
          </cell>
          <cell r="V312">
            <v>4433169</v>
          </cell>
          <cell r="X312">
            <v>0</v>
          </cell>
          <cell r="Y312">
            <v>292341</v>
          </cell>
          <cell r="Z312">
            <v>88951</v>
          </cell>
          <cell r="AB312">
            <v>0</v>
          </cell>
          <cell r="AC312">
            <v>33453</v>
          </cell>
          <cell r="AD312">
            <v>-97501</v>
          </cell>
          <cell r="AF312">
            <v>0</v>
          </cell>
          <cell r="AG312">
            <v>55300</v>
          </cell>
          <cell r="AH312">
            <v>39388</v>
          </cell>
        </row>
        <row r="313">
          <cell r="H313" t="str">
            <v>FOR BL ROW TO BE DELETED INSERTED FOR MIS</v>
          </cell>
          <cell r="O313" t="str">
            <v>E</v>
          </cell>
          <cell r="Q313">
            <v>0</v>
          </cell>
          <cell r="R313">
            <v>0</v>
          </cell>
          <cell r="V313">
            <v>0</v>
          </cell>
          <cell r="Y313">
            <v>0</v>
          </cell>
          <cell r="Z313">
            <v>0</v>
          </cell>
          <cell r="AC313">
            <v>0</v>
          </cell>
          <cell r="AD313">
            <v>0</v>
          </cell>
          <cell r="AG313">
            <v>0</v>
          </cell>
          <cell r="AH313">
            <v>0</v>
          </cell>
        </row>
        <row r="314">
          <cell r="H314">
            <v>417000</v>
          </cell>
          <cell r="L314" t="str">
            <v>Regrouping to Others</v>
          </cell>
          <cell r="M314" t="e">
            <v>#N/A</v>
          </cell>
          <cell r="N314" t="e">
            <v>#REF!</v>
          </cell>
          <cell r="O314" t="str">
            <v>E</v>
          </cell>
          <cell r="Q314">
            <v>0</v>
          </cell>
          <cell r="R314">
            <v>0</v>
          </cell>
        </row>
        <row r="315">
          <cell r="H315">
            <v>418000</v>
          </cell>
          <cell r="K315" t="str">
            <v>Other Borrowing Cost</v>
          </cell>
          <cell r="M315" t="e">
            <v>#N/A</v>
          </cell>
          <cell r="N315" t="e">
            <v>#REF!</v>
          </cell>
          <cell r="O315" t="str">
            <v>E</v>
          </cell>
          <cell r="P315">
            <v>0</v>
          </cell>
          <cell r="Q315">
            <v>574497</v>
          </cell>
          <cell r="R315">
            <v>4464007</v>
          </cell>
          <cell r="T315">
            <v>0</v>
          </cell>
          <cell r="U315">
            <v>-31232597</v>
          </cell>
          <cell r="V315">
            <v>-35087332</v>
          </cell>
          <cell r="X315">
            <v>0</v>
          </cell>
          <cell r="Y315">
            <v>19508341</v>
          </cell>
          <cell r="Z315">
            <v>28126951</v>
          </cell>
          <cell r="AB315">
            <v>0</v>
          </cell>
          <cell r="AC315">
            <v>6423453</v>
          </cell>
          <cell r="AD315">
            <v>6603499</v>
          </cell>
          <cell r="AF315">
            <v>0</v>
          </cell>
          <cell r="AG315">
            <v>5875300</v>
          </cell>
          <cell r="AH315">
            <v>4820889</v>
          </cell>
        </row>
        <row r="316">
          <cell r="H316">
            <v>419000</v>
          </cell>
          <cell r="O316" t="str">
            <v>E</v>
          </cell>
        </row>
        <row r="317">
          <cell r="G317">
            <v>0</v>
          </cell>
          <cell r="H317">
            <v>420000</v>
          </cell>
          <cell r="I317">
            <v>0</v>
          </cell>
          <cell r="J317" t="str">
            <v>FINANCE COST</v>
          </cell>
          <cell r="M317" t="e">
            <v>#N/A</v>
          </cell>
          <cell r="N317" t="e">
            <v>#REF!</v>
          </cell>
          <cell r="O317" t="str">
            <v>E</v>
          </cell>
          <cell r="P317">
            <v>0</v>
          </cell>
          <cell r="Q317">
            <v>41213695</v>
          </cell>
          <cell r="R317">
            <v>46562127</v>
          </cell>
          <cell r="T317">
            <v>0</v>
          </cell>
          <cell r="U317">
            <v>9209874</v>
          </cell>
          <cell r="V317">
            <v>5626150</v>
          </cell>
          <cell r="X317">
            <v>0</v>
          </cell>
          <cell r="Y317">
            <v>19510251</v>
          </cell>
          <cell r="Z317">
            <v>28487090</v>
          </cell>
          <cell r="AB317">
            <v>0</v>
          </cell>
          <cell r="AC317">
            <v>6423453</v>
          </cell>
          <cell r="AD317">
            <v>6603499</v>
          </cell>
          <cell r="AF317">
            <v>0</v>
          </cell>
          <cell r="AG317">
            <v>6070117</v>
          </cell>
          <cell r="AH317">
            <v>5845388</v>
          </cell>
        </row>
        <row r="318">
          <cell r="M318" t="e">
            <v>#N/A</v>
          </cell>
          <cell r="N318" t="e">
            <v>#REF!</v>
          </cell>
          <cell r="O318" t="str">
            <v>E</v>
          </cell>
          <cell r="Q318">
            <v>0</v>
          </cell>
          <cell r="R318">
            <v>0</v>
          </cell>
        </row>
        <row r="319">
          <cell r="H319">
            <v>421000</v>
          </cell>
          <cell r="J319" t="str">
            <v>DEPRECIATION AND AMORTISATION EXPENSES</v>
          </cell>
          <cell r="M319" t="e">
            <v>#N/A</v>
          </cell>
          <cell r="N319" t="e">
            <v>#REF!</v>
          </cell>
          <cell r="O319" t="str">
            <v>E</v>
          </cell>
        </row>
        <row r="320">
          <cell r="G320">
            <v>13887</v>
          </cell>
          <cell r="H320">
            <v>422000</v>
          </cell>
          <cell r="I320" t="str">
            <v>7700</v>
          </cell>
          <cell r="L320" t="str">
            <v>Depreciation - Tangible Assets</v>
          </cell>
          <cell r="M320" t="str">
            <v>DEPRECIATION - ENABLING ASSETS (7700)</v>
          </cell>
          <cell r="N320" t="e">
            <v>#REF!</v>
          </cell>
          <cell r="O320" t="str">
            <v>E</v>
          </cell>
          <cell r="Q320">
            <v>55326302</v>
          </cell>
          <cell r="R320">
            <v>65844938</v>
          </cell>
          <cell r="U320">
            <v>25606991</v>
          </cell>
          <cell r="V320">
            <v>26510141</v>
          </cell>
          <cell r="Y320">
            <v>14867119</v>
          </cell>
          <cell r="Z320">
            <v>25347177</v>
          </cell>
          <cell r="AC320">
            <v>6574928</v>
          </cell>
          <cell r="AD320">
            <v>6214631</v>
          </cell>
          <cell r="AG320">
            <v>8277264</v>
          </cell>
          <cell r="AH320">
            <v>7772989</v>
          </cell>
        </row>
        <row r="321">
          <cell r="H321">
            <v>423000</v>
          </cell>
          <cell r="L321" t="str">
            <v>Depreciation - Intangible Assets</v>
          </cell>
          <cell r="O321" t="str">
            <v>E</v>
          </cell>
          <cell r="Q321">
            <v>0</v>
          </cell>
          <cell r="R321">
            <v>0</v>
          </cell>
        </row>
        <row r="322">
          <cell r="H322">
            <v>424000</v>
          </cell>
          <cell r="L322" t="str">
            <v>Total</v>
          </cell>
          <cell r="M322" t="e">
            <v>#N/A</v>
          </cell>
          <cell r="N322" t="e">
            <v>#REF!</v>
          </cell>
          <cell r="O322" t="str">
            <v>E</v>
          </cell>
          <cell r="P322">
            <v>0</v>
          </cell>
          <cell r="Q322">
            <v>55326302</v>
          </cell>
          <cell r="R322">
            <v>65844938</v>
          </cell>
          <cell r="T322">
            <v>0</v>
          </cell>
          <cell r="U322">
            <v>25606991</v>
          </cell>
          <cell r="V322">
            <v>26510141</v>
          </cell>
          <cell r="X322">
            <v>0</v>
          </cell>
          <cell r="Y322">
            <v>14867119</v>
          </cell>
          <cell r="Z322">
            <v>25347177</v>
          </cell>
          <cell r="AB322">
            <v>0</v>
          </cell>
          <cell r="AC322">
            <v>6574928</v>
          </cell>
          <cell r="AD322">
            <v>6214631</v>
          </cell>
          <cell r="AF322">
            <v>0</v>
          </cell>
          <cell r="AG322">
            <v>8277264</v>
          </cell>
          <cell r="AH322">
            <v>7772989</v>
          </cell>
        </row>
        <row r="323">
          <cell r="H323">
            <v>424000</v>
          </cell>
          <cell r="M323" t="e">
            <v>#N/A</v>
          </cell>
          <cell r="N323" t="e">
            <v>#REF!</v>
          </cell>
          <cell r="O323" t="str">
            <v>E</v>
          </cell>
          <cell r="Q323">
            <v>0</v>
          </cell>
          <cell r="R323">
            <v>0</v>
          </cell>
        </row>
        <row r="324">
          <cell r="H324">
            <v>425000</v>
          </cell>
          <cell r="J324" t="str">
            <v>OTHER EXPENSES</v>
          </cell>
          <cell r="M324" t="e">
            <v>#N/A</v>
          </cell>
          <cell r="N324" t="e">
            <v>#REF!</v>
          </cell>
          <cell r="O324" t="str">
            <v>E</v>
          </cell>
        </row>
        <row r="325">
          <cell r="H325">
            <v>426000</v>
          </cell>
          <cell r="J325" t="str">
            <v>Consumption of stores,spares &amp; others</v>
          </cell>
          <cell r="M325" t="e">
            <v>#N/A</v>
          </cell>
          <cell r="N325" t="e">
            <v>#REF!</v>
          </cell>
          <cell r="O325" t="str">
            <v>E</v>
          </cell>
        </row>
        <row r="326">
          <cell r="G326">
            <v>13110</v>
          </cell>
          <cell r="H326">
            <v>427000</v>
          </cell>
          <cell r="I326" t="str">
            <v>6055</v>
          </cell>
          <cell r="L326" t="str">
            <v>Op.Stock - Stores Spares &amp; Consum</v>
          </cell>
          <cell r="M326" t="str">
            <v>OPENING STOCK OF STORES SPARES</v>
          </cell>
          <cell r="N326" t="e">
            <v>#REF!</v>
          </cell>
          <cell r="O326" t="str">
            <v>E</v>
          </cell>
          <cell r="P326">
            <v>0</v>
          </cell>
          <cell r="Q326">
            <v>52744464</v>
          </cell>
          <cell r="R326">
            <v>48233047</v>
          </cell>
          <cell r="T326">
            <v>0</v>
          </cell>
          <cell r="U326">
            <v>32054425</v>
          </cell>
          <cell r="V326">
            <v>28633548</v>
          </cell>
          <cell r="X326">
            <v>0</v>
          </cell>
          <cell r="Y326">
            <v>18723177</v>
          </cell>
          <cell r="Z326">
            <v>17890136</v>
          </cell>
          <cell r="AB326">
            <v>0</v>
          </cell>
          <cell r="AC326">
            <v>554252</v>
          </cell>
          <cell r="AD326">
            <v>366372</v>
          </cell>
          <cell r="AF326">
            <v>0</v>
          </cell>
          <cell r="AG326">
            <v>1412610</v>
          </cell>
          <cell r="AH326">
            <v>1342991</v>
          </cell>
        </row>
        <row r="327">
          <cell r="G327">
            <v>15071</v>
          </cell>
          <cell r="H327">
            <v>428000</v>
          </cell>
          <cell r="I327" t="str">
            <v>6060</v>
          </cell>
          <cell r="L327" t="str">
            <v>Purchase A/C -  Spare Parts { Local }</v>
          </cell>
          <cell r="M327" t="str">
            <v>PURCHASE A/C - STORES, SPARES CONSUMABLES STOCK</v>
          </cell>
          <cell r="N327" t="e">
            <v>#REF!</v>
          </cell>
          <cell r="O327" t="str">
            <v>E</v>
          </cell>
          <cell r="P327">
            <v>0</v>
          </cell>
          <cell r="Q327">
            <v>65330026</v>
          </cell>
          <cell r="R327">
            <v>58508375</v>
          </cell>
          <cell r="T327">
            <v>0</v>
          </cell>
          <cell r="U327">
            <v>39820694</v>
          </cell>
          <cell r="V327">
            <v>38512757</v>
          </cell>
          <cell r="X327">
            <v>0</v>
          </cell>
          <cell r="Y327">
            <v>21269776</v>
          </cell>
          <cell r="Z327">
            <v>18209236</v>
          </cell>
          <cell r="AB327">
            <v>0</v>
          </cell>
          <cell r="AC327">
            <v>1574261</v>
          </cell>
          <cell r="AD327">
            <v>326950</v>
          </cell>
          <cell r="AF327">
            <v>0</v>
          </cell>
          <cell r="AG327">
            <v>2665295</v>
          </cell>
          <cell r="AH327">
            <v>1459432</v>
          </cell>
        </row>
        <row r="328">
          <cell r="H328">
            <v>429000</v>
          </cell>
          <cell r="I328" t="str">
            <v>6070</v>
          </cell>
          <cell r="L328" t="str">
            <v>Purchase A/C -  Spare Parts { Imported)</v>
          </cell>
          <cell r="M328" t="e">
            <v>#N/A</v>
          </cell>
          <cell r="N328" t="e">
            <v>#REF!</v>
          </cell>
          <cell r="O328" t="str">
            <v>E</v>
          </cell>
          <cell r="P328">
            <v>0</v>
          </cell>
          <cell r="Q328">
            <v>201120</v>
          </cell>
          <cell r="R328">
            <v>252215</v>
          </cell>
          <cell r="T328">
            <v>0</v>
          </cell>
          <cell r="U328">
            <v>0</v>
          </cell>
          <cell r="V328">
            <v>0</v>
          </cell>
          <cell r="X328">
            <v>0</v>
          </cell>
          <cell r="Y328">
            <v>0</v>
          </cell>
          <cell r="Z328">
            <v>0</v>
          </cell>
          <cell r="AB328">
            <v>0</v>
          </cell>
          <cell r="AC328">
            <v>110757</v>
          </cell>
          <cell r="AD328">
            <v>206758</v>
          </cell>
          <cell r="AF328">
            <v>0</v>
          </cell>
          <cell r="AG328">
            <v>90363</v>
          </cell>
          <cell r="AH328">
            <v>45457</v>
          </cell>
        </row>
        <row r="329">
          <cell r="H329">
            <v>430000</v>
          </cell>
          <cell r="I329" t="str">
            <v>6090</v>
          </cell>
          <cell r="L329" t="str">
            <v>Purchase A/C -  Consumables  { Local }</v>
          </cell>
          <cell r="M329" t="e">
            <v>#N/A</v>
          </cell>
          <cell r="N329" t="e">
            <v>#REF!</v>
          </cell>
          <cell r="O329" t="str">
            <v>E</v>
          </cell>
          <cell r="P329">
            <v>0</v>
          </cell>
          <cell r="Q329">
            <v>2948106</v>
          </cell>
          <cell r="R329">
            <v>2198819</v>
          </cell>
          <cell r="T329">
            <v>0</v>
          </cell>
          <cell r="U329">
            <v>0</v>
          </cell>
          <cell r="V329">
            <v>0</v>
          </cell>
          <cell r="X329">
            <v>0</v>
          </cell>
          <cell r="Y329">
            <v>0</v>
          </cell>
          <cell r="Z329">
            <v>0</v>
          </cell>
          <cell r="AB329">
            <v>0</v>
          </cell>
          <cell r="AC329">
            <v>771092</v>
          </cell>
          <cell r="AD329">
            <v>552087</v>
          </cell>
          <cell r="AF329">
            <v>0</v>
          </cell>
          <cell r="AG329">
            <v>2177014</v>
          </cell>
          <cell r="AH329">
            <v>1646732</v>
          </cell>
        </row>
        <row r="330">
          <cell r="G330">
            <v>13115</v>
          </cell>
          <cell r="H330">
            <v>431000</v>
          </cell>
          <cell r="I330" t="str">
            <v>6250</v>
          </cell>
          <cell r="L330" t="str">
            <v>Other Manufacturing Exp/ Services</v>
          </cell>
          <cell r="M330" t="str">
            <v>OTHER MANUFACTURING EXP/ SERVICES (6250)</v>
          </cell>
          <cell r="N330" t="e">
            <v>#REF!</v>
          </cell>
          <cell r="O330" t="str">
            <v>E</v>
          </cell>
          <cell r="P330">
            <v>0</v>
          </cell>
          <cell r="Q330">
            <v>24885712</v>
          </cell>
          <cell r="R330">
            <v>17042596</v>
          </cell>
          <cell r="T330">
            <v>0</v>
          </cell>
          <cell r="U330">
            <v>1314078</v>
          </cell>
          <cell r="V330">
            <v>1381430</v>
          </cell>
          <cell r="X330">
            <v>0</v>
          </cell>
          <cell r="Y330">
            <v>22857344</v>
          </cell>
          <cell r="Z330">
            <v>15050021</v>
          </cell>
          <cell r="AB330">
            <v>0</v>
          </cell>
          <cell r="AC330">
            <v>0</v>
          </cell>
          <cell r="AD330">
            <v>22588</v>
          </cell>
          <cell r="AF330">
            <v>0</v>
          </cell>
          <cell r="AG330">
            <v>714290</v>
          </cell>
          <cell r="AH330">
            <v>588557</v>
          </cell>
        </row>
        <row r="331">
          <cell r="G331">
            <v>13117</v>
          </cell>
          <cell r="H331">
            <v>432000</v>
          </cell>
          <cell r="I331" t="str">
            <v>8985</v>
          </cell>
          <cell r="L331" t="str">
            <v>Cl. St. - Store Spares &amp; Consum - P&amp;L</v>
          </cell>
          <cell r="M331" t="str">
            <v>CLOSING STOCK OF STORES SPARES (P&amp;L)</v>
          </cell>
          <cell r="N331" t="e">
            <v>#REF!</v>
          </cell>
          <cell r="O331" t="str">
            <v>E</v>
          </cell>
          <cell r="P331">
            <v>0</v>
          </cell>
          <cell r="Q331">
            <v>-58030210</v>
          </cell>
          <cell r="R331">
            <v>-52744464</v>
          </cell>
          <cell r="T331">
            <v>0</v>
          </cell>
          <cell r="U331">
            <v>-36709707</v>
          </cell>
          <cell r="V331">
            <v>-32054425</v>
          </cell>
          <cell r="X331">
            <v>0</v>
          </cell>
          <cell r="Y331">
            <v>-19624499</v>
          </cell>
          <cell r="Z331">
            <v>-18723177</v>
          </cell>
          <cell r="AB331">
            <v>0</v>
          </cell>
          <cell r="AC331">
            <v>-239038</v>
          </cell>
          <cell r="AD331">
            <v>-554252</v>
          </cell>
          <cell r="AF331">
            <v>0</v>
          </cell>
          <cell r="AG331">
            <v>-1456966</v>
          </cell>
          <cell r="AH331">
            <v>-1412610</v>
          </cell>
        </row>
        <row r="332">
          <cell r="H332">
            <v>433000</v>
          </cell>
          <cell r="L332" t="str">
            <v>Other Manufacturing Exp/ Services</v>
          </cell>
          <cell r="M332" t="e">
            <v>#N/A</v>
          </cell>
          <cell r="N332" t="e">
            <v>#REF!</v>
          </cell>
          <cell r="O332" t="str">
            <v>E</v>
          </cell>
          <cell r="P332">
            <v>0</v>
          </cell>
          <cell r="Q332">
            <v>0</v>
          </cell>
          <cell r="R332">
            <v>0</v>
          </cell>
          <cell r="T332">
            <v>0</v>
          </cell>
          <cell r="U332">
            <v>0</v>
          </cell>
          <cell r="V332">
            <v>0</v>
          </cell>
          <cell r="X332">
            <v>0</v>
          </cell>
          <cell r="Y332">
            <v>0</v>
          </cell>
          <cell r="Z332">
            <v>0</v>
          </cell>
          <cell r="AB332">
            <v>0</v>
          </cell>
          <cell r="AC332">
            <v>0</v>
          </cell>
          <cell r="AD332">
            <v>0</v>
          </cell>
          <cell r="AF332">
            <v>0</v>
          </cell>
          <cell r="AG332">
            <v>0</v>
          </cell>
          <cell r="AH332">
            <v>0</v>
          </cell>
        </row>
        <row r="333">
          <cell r="H333">
            <v>434000</v>
          </cell>
          <cell r="J333" t="str">
            <v>Consumption of stores,spares &amp; others</v>
          </cell>
          <cell r="M333" t="e">
            <v>#N/A</v>
          </cell>
          <cell r="N333" t="e">
            <v>#REF!</v>
          </cell>
          <cell r="O333" t="str">
            <v>E</v>
          </cell>
          <cell r="P333">
            <v>0</v>
          </cell>
          <cell r="Q333">
            <v>88079218</v>
          </cell>
          <cell r="R333">
            <v>73490588</v>
          </cell>
          <cell r="T333">
            <v>0</v>
          </cell>
          <cell r="U333">
            <v>36479490</v>
          </cell>
          <cell r="V333">
            <v>36473310</v>
          </cell>
          <cell r="X333">
            <v>0</v>
          </cell>
          <cell r="Y333">
            <v>43225798</v>
          </cell>
          <cell r="Z333">
            <v>32426216</v>
          </cell>
          <cell r="AB333">
            <v>0</v>
          </cell>
          <cell r="AC333">
            <v>2771324</v>
          </cell>
          <cell r="AD333">
            <v>920503</v>
          </cell>
          <cell r="AF333">
            <v>0</v>
          </cell>
          <cell r="AG333">
            <v>5602606</v>
          </cell>
          <cell r="AH333">
            <v>3670559</v>
          </cell>
        </row>
        <row r="334">
          <cell r="H334">
            <v>435000</v>
          </cell>
          <cell r="J334" t="str">
            <v>Power &amp; Fuel</v>
          </cell>
          <cell r="M334" t="e">
            <v>#N/A</v>
          </cell>
          <cell r="N334" t="e">
            <v>#REF!</v>
          </cell>
          <cell r="O334" t="str">
            <v>E</v>
          </cell>
          <cell r="Q334">
            <v>0</v>
          </cell>
          <cell r="R334">
            <v>0</v>
          </cell>
        </row>
        <row r="335">
          <cell r="G335">
            <v>13121</v>
          </cell>
          <cell r="H335">
            <v>436000</v>
          </cell>
          <cell r="I335" t="str">
            <v>6210</v>
          </cell>
          <cell r="L335" t="str">
            <v>Power &amp; Fuel / Factory</v>
          </cell>
          <cell r="M335" t="str">
            <v>POWER (FACTORY) (6210)</v>
          </cell>
          <cell r="N335" t="e">
            <v>#REF!</v>
          </cell>
          <cell r="O335" t="str">
            <v>E</v>
          </cell>
          <cell r="Q335">
            <v>158653575</v>
          </cell>
          <cell r="R335">
            <v>154490651</v>
          </cell>
          <cell r="U335">
            <v>29956083</v>
          </cell>
          <cell r="V335">
            <v>33387578</v>
          </cell>
          <cell r="Y335">
            <v>84631439</v>
          </cell>
          <cell r="Z335">
            <v>87048206</v>
          </cell>
          <cell r="AC335">
            <v>23210440</v>
          </cell>
          <cell r="AD335">
            <v>18901336</v>
          </cell>
          <cell r="AG335">
            <v>20855613</v>
          </cell>
          <cell r="AH335">
            <v>15153531</v>
          </cell>
        </row>
        <row r="336">
          <cell r="G336">
            <v>13384</v>
          </cell>
          <cell r="H336">
            <v>437000</v>
          </cell>
          <cell r="I336" t="str">
            <v>6220</v>
          </cell>
          <cell r="L336" t="str">
            <v>Water</v>
          </cell>
          <cell r="M336" t="str">
            <v>WATER (6220)</v>
          </cell>
          <cell r="N336" t="e">
            <v>#REF!</v>
          </cell>
          <cell r="O336" t="str">
            <v>E</v>
          </cell>
          <cell r="P336">
            <v>0</v>
          </cell>
          <cell r="Q336">
            <v>3047968</v>
          </cell>
          <cell r="R336">
            <v>3198430</v>
          </cell>
          <cell r="T336">
            <v>0</v>
          </cell>
          <cell r="U336">
            <v>1404688</v>
          </cell>
          <cell r="V336">
            <v>2009109</v>
          </cell>
          <cell r="X336">
            <v>0</v>
          </cell>
          <cell r="Y336">
            <v>1459705</v>
          </cell>
          <cell r="Z336">
            <v>1034191</v>
          </cell>
          <cell r="AB336">
            <v>0</v>
          </cell>
          <cell r="AC336">
            <v>183575</v>
          </cell>
          <cell r="AD336">
            <v>155130</v>
          </cell>
          <cell r="AF336">
            <v>0</v>
          </cell>
          <cell r="AG336">
            <v>0</v>
          </cell>
          <cell r="AH336">
            <v>0</v>
          </cell>
        </row>
        <row r="337">
          <cell r="G337">
            <v>13124</v>
          </cell>
          <cell r="H337">
            <v>438000</v>
          </cell>
          <cell r="I337" t="str">
            <v>6211</v>
          </cell>
          <cell r="L337" t="str">
            <v>Power &amp; Fuel - Office</v>
          </cell>
          <cell r="M337" t="str">
            <v>POWER (OFFICE)</v>
          </cell>
          <cell r="N337" t="e">
            <v>#REF!</v>
          </cell>
          <cell r="O337" t="str">
            <v>E</v>
          </cell>
          <cell r="Q337">
            <v>911202</v>
          </cell>
          <cell r="R337">
            <v>869878</v>
          </cell>
          <cell r="U337">
            <v>665848</v>
          </cell>
          <cell r="V337">
            <v>807415</v>
          </cell>
          <cell r="Y337">
            <v>18000</v>
          </cell>
          <cell r="Z337">
            <v>18000</v>
          </cell>
          <cell r="AC337">
            <v>227354</v>
          </cell>
          <cell r="AD337">
            <v>44463</v>
          </cell>
          <cell r="AG337">
            <v>0</v>
          </cell>
          <cell r="AH337">
            <v>0</v>
          </cell>
        </row>
        <row r="338">
          <cell r="H338">
            <v>439000</v>
          </cell>
          <cell r="J338" t="str">
            <v>Power &amp; Fuel</v>
          </cell>
          <cell r="M338" t="e">
            <v>#N/A</v>
          </cell>
          <cell r="N338" t="e">
            <v>#REF!</v>
          </cell>
          <cell r="O338" t="str">
            <v>E</v>
          </cell>
          <cell r="P338">
            <v>0</v>
          </cell>
          <cell r="Q338">
            <v>162612745</v>
          </cell>
          <cell r="R338">
            <v>158558959</v>
          </cell>
          <cell r="T338">
            <v>0</v>
          </cell>
          <cell r="U338">
            <v>32026619</v>
          </cell>
          <cell r="V338">
            <v>36204102</v>
          </cell>
          <cell r="X338">
            <v>0</v>
          </cell>
          <cell r="Y338">
            <v>86109144</v>
          </cell>
          <cell r="Z338">
            <v>88100397</v>
          </cell>
          <cell r="AB338">
            <v>0</v>
          </cell>
          <cell r="AC338">
            <v>23621369</v>
          </cell>
          <cell r="AD338">
            <v>19100929</v>
          </cell>
          <cell r="AF338">
            <v>0</v>
          </cell>
          <cell r="AG338">
            <v>20855613</v>
          </cell>
          <cell r="AH338">
            <v>15153531</v>
          </cell>
        </row>
        <row r="339">
          <cell r="H339">
            <v>440000</v>
          </cell>
          <cell r="J339" t="str">
            <v>Screen Printing Charges</v>
          </cell>
          <cell r="M339" t="e">
            <v>#N/A</v>
          </cell>
          <cell r="N339" t="e">
            <v>#REF!</v>
          </cell>
          <cell r="O339" t="str">
            <v>E</v>
          </cell>
          <cell r="Q339">
            <v>0</v>
          </cell>
          <cell r="R339">
            <v>0</v>
          </cell>
        </row>
        <row r="340">
          <cell r="G340">
            <v>13704</v>
          </cell>
          <cell r="H340">
            <v>441000</v>
          </cell>
          <cell r="I340" t="str">
            <v>6230</v>
          </cell>
          <cell r="L340" t="str">
            <v>Screen Printing Charges</v>
          </cell>
          <cell r="M340" t="str">
            <v>SCREEN PRINTING CHARGES (6230)</v>
          </cell>
          <cell r="N340" t="e">
            <v>#REF!</v>
          </cell>
          <cell r="O340" t="str">
            <v>E</v>
          </cell>
          <cell r="Q340">
            <v>20182304</v>
          </cell>
          <cell r="R340">
            <v>17567056</v>
          </cell>
          <cell r="U340">
            <v>0</v>
          </cell>
          <cell r="V340">
            <v>0</v>
          </cell>
          <cell r="Y340">
            <v>18107275</v>
          </cell>
          <cell r="Z340">
            <v>15791566</v>
          </cell>
          <cell r="AC340">
            <v>2075029</v>
          </cell>
          <cell r="AD340">
            <v>1730292</v>
          </cell>
          <cell r="AG340">
            <v>0</v>
          </cell>
          <cell r="AH340">
            <v>45198</v>
          </cell>
        </row>
        <row r="341">
          <cell r="H341">
            <v>442000</v>
          </cell>
          <cell r="L341">
            <v>0</v>
          </cell>
          <cell r="M341" t="e">
            <v>#N/A</v>
          </cell>
          <cell r="N341" t="e">
            <v>#REF!</v>
          </cell>
          <cell r="O341" t="str">
            <v>E</v>
          </cell>
          <cell r="AC341">
            <v>0</v>
          </cell>
          <cell r="AD341">
            <v>0</v>
          </cell>
          <cell r="AG341">
            <v>0</v>
          </cell>
          <cell r="AH341">
            <v>0</v>
          </cell>
        </row>
        <row r="342">
          <cell r="H342">
            <v>443000</v>
          </cell>
          <cell r="J342" t="str">
            <v>Screen Printing Charges</v>
          </cell>
          <cell r="M342" t="e">
            <v>#N/A</v>
          </cell>
          <cell r="N342" t="e">
            <v>#REF!</v>
          </cell>
          <cell r="O342" t="str">
            <v>E</v>
          </cell>
          <cell r="P342">
            <v>0</v>
          </cell>
          <cell r="Q342">
            <v>20182304</v>
          </cell>
          <cell r="R342">
            <v>17567056</v>
          </cell>
          <cell r="T342">
            <v>0</v>
          </cell>
          <cell r="U342">
            <v>0</v>
          </cell>
          <cell r="V342">
            <v>0</v>
          </cell>
          <cell r="X342">
            <v>0</v>
          </cell>
          <cell r="Y342">
            <v>18107275</v>
          </cell>
          <cell r="Z342">
            <v>15791566</v>
          </cell>
          <cell r="AB342">
            <v>0</v>
          </cell>
          <cell r="AC342">
            <v>2075029</v>
          </cell>
          <cell r="AD342">
            <v>1730292</v>
          </cell>
          <cell r="AF342">
            <v>0</v>
          </cell>
          <cell r="AG342">
            <v>0</v>
          </cell>
          <cell r="AH342">
            <v>45198</v>
          </cell>
        </row>
        <row r="343">
          <cell r="H343">
            <v>444000</v>
          </cell>
          <cell r="J343" t="str">
            <v>Repairs</v>
          </cell>
          <cell r="M343" t="e">
            <v>#N/A</v>
          </cell>
          <cell r="N343" t="e">
            <v>#REF!</v>
          </cell>
          <cell r="O343" t="str">
            <v>E</v>
          </cell>
          <cell r="Q343">
            <v>0</v>
          </cell>
          <cell r="R343">
            <v>0</v>
          </cell>
        </row>
        <row r="344">
          <cell r="H344">
            <v>445000</v>
          </cell>
          <cell r="K344" t="str">
            <v>Plant and Machinery</v>
          </cell>
          <cell r="M344" t="e">
            <v>#N/A</v>
          </cell>
          <cell r="N344" t="e">
            <v>#REF!</v>
          </cell>
          <cell r="O344" t="str">
            <v>E</v>
          </cell>
          <cell r="AC344">
            <v>0</v>
          </cell>
          <cell r="AD344">
            <v>0</v>
          </cell>
          <cell r="AG344">
            <v>0</v>
          </cell>
          <cell r="AH344">
            <v>0</v>
          </cell>
        </row>
        <row r="345">
          <cell r="G345">
            <v>13132</v>
          </cell>
          <cell r="H345">
            <v>446000</v>
          </cell>
          <cell r="I345" t="str">
            <v>6310</v>
          </cell>
          <cell r="L345" t="str">
            <v>Repairs &amp; Maint + Plant &amp; Machinery</v>
          </cell>
          <cell r="M345" t="str">
            <v>REPAIRS &amp; MAINT - PLANT &amp; MACHINERY (6310)</v>
          </cell>
          <cell r="N345" t="e">
            <v>#REF!</v>
          </cell>
          <cell r="O345" t="str">
            <v>E</v>
          </cell>
          <cell r="Q345">
            <v>16235915</v>
          </cell>
          <cell r="R345">
            <v>11725239</v>
          </cell>
          <cell r="U345">
            <v>8306592</v>
          </cell>
          <cell r="V345">
            <v>6721099</v>
          </cell>
          <cell r="Y345">
            <v>5903692</v>
          </cell>
          <cell r="Z345">
            <v>3099758</v>
          </cell>
          <cell r="AC345">
            <v>922299</v>
          </cell>
          <cell r="AD345">
            <v>701692</v>
          </cell>
          <cell r="AG345">
            <v>1103332</v>
          </cell>
          <cell r="AH345">
            <v>1202690</v>
          </cell>
        </row>
        <row r="346">
          <cell r="H346">
            <v>447000</v>
          </cell>
          <cell r="L346">
            <v>0</v>
          </cell>
          <cell r="M346" t="e">
            <v>#N/A</v>
          </cell>
          <cell r="N346" t="e">
            <v>#REF!</v>
          </cell>
          <cell r="O346" t="str">
            <v>E</v>
          </cell>
          <cell r="AC346">
            <v>0</v>
          </cell>
          <cell r="AD346">
            <v>0</v>
          </cell>
          <cell r="AG346">
            <v>0</v>
          </cell>
          <cell r="AH346">
            <v>0</v>
          </cell>
        </row>
        <row r="347">
          <cell r="H347">
            <v>448000</v>
          </cell>
          <cell r="K347" t="str">
            <v>Plant and Machinery</v>
          </cell>
          <cell r="M347" t="e">
            <v>#N/A</v>
          </cell>
          <cell r="N347" t="e">
            <v>#REF!</v>
          </cell>
          <cell r="O347" t="str">
            <v>E</v>
          </cell>
          <cell r="P347">
            <v>0</v>
          </cell>
          <cell r="Q347">
            <v>16235915</v>
          </cell>
          <cell r="R347">
            <v>11725239</v>
          </cell>
          <cell r="T347">
            <v>0</v>
          </cell>
          <cell r="U347">
            <v>8306592</v>
          </cell>
          <cell r="V347">
            <v>6721099</v>
          </cell>
          <cell r="X347">
            <v>0</v>
          </cell>
          <cell r="Y347">
            <v>5903692</v>
          </cell>
          <cell r="Z347">
            <v>3099758</v>
          </cell>
          <cell r="AB347">
            <v>0</v>
          </cell>
          <cell r="AC347">
            <v>922299</v>
          </cell>
          <cell r="AD347">
            <v>701692</v>
          </cell>
          <cell r="AF347">
            <v>0</v>
          </cell>
          <cell r="AG347">
            <v>1103332</v>
          </cell>
          <cell r="AH347">
            <v>1202690</v>
          </cell>
        </row>
        <row r="348">
          <cell r="H348">
            <v>449000</v>
          </cell>
          <cell r="K348" t="str">
            <v>Buildings</v>
          </cell>
          <cell r="M348" t="e">
            <v>#N/A</v>
          </cell>
          <cell r="N348" t="e">
            <v>#REF!</v>
          </cell>
          <cell r="O348" t="str">
            <v>E</v>
          </cell>
          <cell r="Q348">
            <v>0</v>
          </cell>
          <cell r="R348">
            <v>0</v>
          </cell>
        </row>
        <row r="349">
          <cell r="G349">
            <v>13137</v>
          </cell>
          <cell r="H349">
            <v>450000</v>
          </cell>
          <cell r="I349" t="str">
            <v>6320</v>
          </cell>
          <cell r="L349" t="str">
            <v>Repairs &amp; Maint + Building/Flat</v>
          </cell>
          <cell r="M349" t="str">
            <v>REPAIRS &amp; MAINT - BUILDING (6320)</v>
          </cell>
          <cell r="N349" t="e">
            <v>#REF!</v>
          </cell>
          <cell r="O349" t="str">
            <v>E</v>
          </cell>
          <cell r="Q349">
            <v>4933591</v>
          </cell>
          <cell r="R349">
            <v>8595988</v>
          </cell>
          <cell r="U349">
            <v>2076844</v>
          </cell>
          <cell r="V349">
            <v>4124189</v>
          </cell>
          <cell r="Y349">
            <v>2669364</v>
          </cell>
          <cell r="Z349">
            <v>3787639</v>
          </cell>
          <cell r="AC349">
            <v>47398</v>
          </cell>
          <cell r="AD349">
            <v>135672</v>
          </cell>
          <cell r="AG349">
            <v>139985</v>
          </cell>
          <cell r="AH349">
            <v>548488</v>
          </cell>
        </row>
        <row r="350">
          <cell r="G350">
            <v>13139</v>
          </cell>
          <cell r="H350">
            <v>451000</v>
          </cell>
          <cell r="I350" t="str">
            <v>7473</v>
          </cell>
          <cell r="L350" t="str">
            <v>Garden Maint.</v>
          </cell>
          <cell r="M350" t="str">
            <v>GARDEN MAINT.(7473)</v>
          </cell>
          <cell r="N350" t="e">
            <v>#REF!</v>
          </cell>
          <cell r="O350" t="str">
            <v>E</v>
          </cell>
          <cell r="Q350">
            <v>204884</v>
          </cell>
          <cell r="R350">
            <v>380920</v>
          </cell>
          <cell r="U350">
            <v>103765</v>
          </cell>
          <cell r="V350">
            <v>152594</v>
          </cell>
          <cell r="Y350">
            <v>240</v>
          </cell>
          <cell r="Z350">
            <v>118700</v>
          </cell>
          <cell r="AC350">
            <v>900</v>
          </cell>
          <cell r="AD350">
            <v>736</v>
          </cell>
          <cell r="AG350">
            <v>99979</v>
          </cell>
          <cell r="AH350">
            <v>108890</v>
          </cell>
        </row>
        <row r="351">
          <cell r="H351">
            <v>452000</v>
          </cell>
          <cell r="K351" t="str">
            <v>Buildings</v>
          </cell>
          <cell r="M351" t="e">
            <v>#N/A</v>
          </cell>
          <cell r="N351" t="e">
            <v>#REF!</v>
          </cell>
          <cell r="O351" t="str">
            <v>E</v>
          </cell>
          <cell r="P351">
            <v>0</v>
          </cell>
          <cell r="Q351">
            <v>5138475</v>
          </cell>
          <cell r="R351">
            <v>8976908</v>
          </cell>
          <cell r="T351">
            <v>0</v>
          </cell>
          <cell r="U351">
            <v>2180609</v>
          </cell>
          <cell r="V351">
            <v>4276783</v>
          </cell>
          <cell r="X351">
            <v>0</v>
          </cell>
          <cell r="Y351">
            <v>2669604</v>
          </cell>
          <cell r="Z351">
            <v>3906339</v>
          </cell>
          <cell r="AB351">
            <v>0</v>
          </cell>
          <cell r="AC351">
            <v>48298</v>
          </cell>
          <cell r="AD351">
            <v>136408</v>
          </cell>
          <cell r="AF351">
            <v>0</v>
          </cell>
          <cell r="AG351">
            <v>239964</v>
          </cell>
          <cell r="AH351">
            <v>657378</v>
          </cell>
        </row>
        <row r="352">
          <cell r="H352">
            <v>453000</v>
          </cell>
          <cell r="K352" t="str">
            <v>Others</v>
          </cell>
          <cell r="M352" t="e">
            <v>#N/A</v>
          </cell>
          <cell r="N352" t="e">
            <v>#REF!</v>
          </cell>
          <cell r="O352" t="str">
            <v>E</v>
          </cell>
          <cell r="Q352">
            <v>0</v>
          </cell>
          <cell r="R352">
            <v>0</v>
          </cell>
        </row>
        <row r="353">
          <cell r="G353">
            <v>13141</v>
          </cell>
          <cell r="H353">
            <v>454000</v>
          </cell>
          <cell r="I353" t="str">
            <v>6315</v>
          </cell>
          <cell r="L353" t="str">
            <v>Repairs To Furniture /Equipment</v>
          </cell>
          <cell r="M353" t="str">
            <v>REPAIRS TO FURNITURE /EQUIPMENT(6315)</v>
          </cell>
          <cell r="N353" t="e">
            <v>#REF!</v>
          </cell>
          <cell r="O353" t="str">
            <v>E</v>
          </cell>
          <cell r="Q353">
            <v>238497</v>
          </cell>
          <cell r="R353">
            <v>106639</v>
          </cell>
          <cell r="U353">
            <v>141137</v>
          </cell>
          <cell r="V353">
            <v>52149</v>
          </cell>
          <cell r="Y353">
            <v>14980</v>
          </cell>
          <cell r="Z353">
            <v>20641</v>
          </cell>
          <cell r="AC353">
            <v>0</v>
          </cell>
          <cell r="AD353">
            <v>0</v>
          </cell>
          <cell r="AG353">
            <v>82380</v>
          </cell>
          <cell r="AH353">
            <v>33849</v>
          </cell>
        </row>
        <row r="354">
          <cell r="G354">
            <v>13146</v>
          </cell>
          <cell r="H354">
            <v>455000</v>
          </cell>
          <cell r="I354" t="str">
            <v>6330</v>
          </cell>
          <cell r="L354" t="str">
            <v>Repairs &amp; Maint - Electricals</v>
          </cell>
          <cell r="M354" t="str">
            <v>REPAIRS &amp; MAINT - ELECTRICALS (6330)</v>
          </cell>
          <cell r="N354" t="e">
            <v>#REF!</v>
          </cell>
          <cell r="O354" t="str">
            <v>E</v>
          </cell>
          <cell r="Q354">
            <v>199814</v>
          </cell>
          <cell r="R354">
            <v>242697</v>
          </cell>
          <cell r="U354">
            <v>2880</v>
          </cell>
          <cell r="V354">
            <v>21551</v>
          </cell>
          <cell r="Y354">
            <v>45106</v>
          </cell>
          <cell r="Z354">
            <v>15273</v>
          </cell>
          <cell r="AC354">
            <v>151528</v>
          </cell>
          <cell r="AD354">
            <v>198241</v>
          </cell>
          <cell r="AG354">
            <v>300</v>
          </cell>
          <cell r="AH354">
            <v>7632</v>
          </cell>
        </row>
        <row r="355">
          <cell r="G355">
            <v>13148</v>
          </cell>
          <cell r="H355">
            <v>456000</v>
          </cell>
          <cell r="I355" t="str">
            <v>6340</v>
          </cell>
          <cell r="L355" t="str">
            <v>Repairs &amp; Maint - Others</v>
          </cell>
          <cell r="M355" t="str">
            <v>REPAIRS &amp; MAINT - OTHERS (6340)</v>
          </cell>
          <cell r="N355" t="e">
            <v>#REF!</v>
          </cell>
          <cell r="O355" t="str">
            <v>E</v>
          </cell>
          <cell r="Q355">
            <v>418945</v>
          </cell>
          <cell r="R355">
            <v>324395</v>
          </cell>
          <cell r="U355">
            <v>227755</v>
          </cell>
          <cell r="V355">
            <v>169834</v>
          </cell>
          <cell r="Y355">
            <v>178034</v>
          </cell>
          <cell r="Z355">
            <v>70227</v>
          </cell>
          <cell r="AC355">
            <v>1200</v>
          </cell>
          <cell r="AD355">
            <v>40470</v>
          </cell>
          <cell r="AG355">
            <v>11956</v>
          </cell>
          <cell r="AH355">
            <v>43864</v>
          </cell>
        </row>
        <row r="356">
          <cell r="H356">
            <v>457000</v>
          </cell>
          <cell r="K356" t="str">
            <v>Others</v>
          </cell>
          <cell r="M356" t="e">
            <v>#N/A</v>
          </cell>
          <cell r="N356" t="e">
            <v>#REF!</v>
          </cell>
          <cell r="O356" t="str">
            <v>E</v>
          </cell>
          <cell r="P356">
            <v>0</v>
          </cell>
          <cell r="Q356">
            <v>857256</v>
          </cell>
          <cell r="R356">
            <v>673731</v>
          </cell>
          <cell r="T356">
            <v>0</v>
          </cell>
          <cell r="U356">
            <v>371772</v>
          </cell>
          <cell r="V356">
            <v>243534</v>
          </cell>
          <cell r="X356">
            <v>0</v>
          </cell>
          <cell r="Y356">
            <v>238120</v>
          </cell>
          <cell r="Z356">
            <v>106141</v>
          </cell>
          <cell r="AB356">
            <v>0</v>
          </cell>
          <cell r="AC356">
            <v>152728</v>
          </cell>
          <cell r="AD356">
            <v>238711</v>
          </cell>
          <cell r="AF356">
            <v>0</v>
          </cell>
          <cell r="AG356">
            <v>94636</v>
          </cell>
          <cell r="AH356">
            <v>85345</v>
          </cell>
        </row>
        <row r="357">
          <cell r="H357">
            <v>458000</v>
          </cell>
          <cell r="J357" t="str">
            <v>Directors Seeting Fees</v>
          </cell>
          <cell r="M357" t="e">
            <v>#N/A</v>
          </cell>
          <cell r="N357" t="e">
            <v>#REF!</v>
          </cell>
          <cell r="O357" t="str">
            <v>E</v>
          </cell>
          <cell r="Q357">
            <v>0</v>
          </cell>
          <cell r="R357">
            <v>0</v>
          </cell>
        </row>
        <row r="358">
          <cell r="G358">
            <v>13470</v>
          </cell>
          <cell r="H358">
            <v>459000</v>
          </cell>
          <cell r="L358" t="str">
            <v>Directors Seeting Fees</v>
          </cell>
          <cell r="M358" t="e">
            <v>#N/A</v>
          </cell>
          <cell r="N358" t="e">
            <v>#REF!</v>
          </cell>
          <cell r="O358" t="str">
            <v>E</v>
          </cell>
          <cell r="Q358">
            <v>200000</v>
          </cell>
          <cell r="R358">
            <v>0</v>
          </cell>
          <cell r="U358">
            <v>200000</v>
          </cell>
          <cell r="V358">
            <v>0</v>
          </cell>
          <cell r="Y358">
            <v>0</v>
          </cell>
          <cell r="Z358">
            <v>0</v>
          </cell>
          <cell r="AC358">
            <v>0</v>
          </cell>
          <cell r="AD358">
            <v>0</v>
          </cell>
          <cell r="AG358">
            <v>0</v>
          </cell>
          <cell r="AH358">
            <v>0</v>
          </cell>
        </row>
        <row r="359">
          <cell r="H359">
            <v>460000</v>
          </cell>
          <cell r="L359">
            <v>0</v>
          </cell>
          <cell r="M359" t="e">
            <v>#N/A</v>
          </cell>
          <cell r="N359" t="e">
            <v>#REF!</v>
          </cell>
          <cell r="O359" t="str">
            <v>E</v>
          </cell>
        </row>
        <row r="360">
          <cell r="H360">
            <v>461000</v>
          </cell>
          <cell r="J360" t="str">
            <v>Directors Seeting Fees</v>
          </cell>
          <cell r="M360" t="e">
            <v>#N/A</v>
          </cell>
          <cell r="N360" t="e">
            <v>#REF!</v>
          </cell>
          <cell r="O360" t="str">
            <v>E</v>
          </cell>
          <cell r="P360">
            <v>0</v>
          </cell>
          <cell r="Q360">
            <v>200000</v>
          </cell>
          <cell r="R360">
            <v>0</v>
          </cell>
          <cell r="T360">
            <v>0</v>
          </cell>
          <cell r="U360">
            <v>200000</v>
          </cell>
          <cell r="V360">
            <v>0</v>
          </cell>
          <cell r="X360">
            <v>0</v>
          </cell>
          <cell r="Y360">
            <v>0</v>
          </cell>
          <cell r="Z360">
            <v>0</v>
          </cell>
          <cell r="AB360">
            <v>0</v>
          </cell>
          <cell r="AC360">
            <v>0</v>
          </cell>
          <cell r="AD360">
            <v>0</v>
          </cell>
          <cell r="AF360">
            <v>0</v>
          </cell>
          <cell r="AG360">
            <v>0</v>
          </cell>
          <cell r="AH360">
            <v>0</v>
          </cell>
        </row>
        <row r="361">
          <cell r="H361">
            <v>458000</v>
          </cell>
          <cell r="J361" t="str">
            <v>Rent</v>
          </cell>
          <cell r="M361" t="e">
            <v>#N/A</v>
          </cell>
          <cell r="N361" t="e">
            <v>#REF!</v>
          </cell>
          <cell r="O361" t="str">
            <v>E</v>
          </cell>
          <cell r="Q361">
            <v>0</v>
          </cell>
          <cell r="R361">
            <v>0</v>
          </cell>
        </row>
        <row r="362">
          <cell r="G362">
            <v>13381</v>
          </cell>
          <cell r="H362">
            <v>459000</v>
          </cell>
          <cell r="I362" t="str">
            <v>7100</v>
          </cell>
          <cell r="L362" t="str">
            <v>Rent</v>
          </cell>
          <cell r="M362" t="str">
            <v>RENT (7100)</v>
          </cell>
          <cell r="N362" t="e">
            <v>#REF!</v>
          </cell>
          <cell r="O362" t="str">
            <v>E</v>
          </cell>
          <cell r="Q362">
            <v>1422342</v>
          </cell>
          <cell r="R362">
            <v>3311245</v>
          </cell>
          <cell r="U362">
            <v>299079</v>
          </cell>
          <cell r="V362">
            <v>517009</v>
          </cell>
          <cell r="Y362">
            <v>593480</v>
          </cell>
          <cell r="Z362">
            <v>802290</v>
          </cell>
          <cell r="AC362">
            <v>134283</v>
          </cell>
          <cell r="AD362">
            <v>821651</v>
          </cell>
          <cell r="AG362">
            <v>395500</v>
          </cell>
          <cell r="AH362">
            <v>1170295</v>
          </cell>
        </row>
        <row r="363">
          <cell r="H363">
            <v>460000</v>
          </cell>
          <cell r="L363">
            <v>0</v>
          </cell>
          <cell r="M363" t="e">
            <v>#N/A</v>
          </cell>
          <cell r="N363" t="e">
            <v>#REF!</v>
          </cell>
          <cell r="O363" t="str">
            <v>E</v>
          </cell>
        </row>
        <row r="364">
          <cell r="H364">
            <v>461000</v>
          </cell>
          <cell r="J364" t="str">
            <v>Rent</v>
          </cell>
          <cell r="M364" t="e">
            <v>#N/A</v>
          </cell>
          <cell r="N364" t="e">
            <v>#REF!</v>
          </cell>
          <cell r="O364" t="str">
            <v>E</v>
          </cell>
          <cell r="P364">
            <v>0</v>
          </cell>
          <cell r="Q364">
            <v>1422342</v>
          </cell>
          <cell r="R364">
            <v>3311245</v>
          </cell>
          <cell r="T364">
            <v>0</v>
          </cell>
          <cell r="U364">
            <v>299079</v>
          </cell>
          <cell r="V364">
            <v>517009</v>
          </cell>
          <cell r="X364">
            <v>0</v>
          </cell>
          <cell r="Y364">
            <v>593480</v>
          </cell>
          <cell r="Z364">
            <v>802290</v>
          </cell>
          <cell r="AB364">
            <v>0</v>
          </cell>
          <cell r="AC364">
            <v>134283</v>
          </cell>
          <cell r="AD364">
            <v>821651</v>
          </cell>
          <cell r="AF364">
            <v>0</v>
          </cell>
          <cell r="AG364">
            <v>395500</v>
          </cell>
          <cell r="AH364">
            <v>1170295</v>
          </cell>
        </row>
        <row r="365">
          <cell r="H365">
            <v>462000</v>
          </cell>
          <cell r="J365" t="str">
            <v>Rates &amp; Taxes</v>
          </cell>
          <cell r="M365" t="e">
            <v>#N/A</v>
          </cell>
          <cell r="N365" t="e">
            <v>#REF!</v>
          </cell>
          <cell r="O365" t="str">
            <v>E</v>
          </cell>
          <cell r="Q365">
            <v>0</v>
          </cell>
          <cell r="R365">
            <v>0</v>
          </cell>
        </row>
        <row r="366">
          <cell r="G366">
            <v>13385</v>
          </cell>
          <cell r="H366">
            <v>463000</v>
          </cell>
          <cell r="I366" t="str">
            <v>7110</v>
          </cell>
          <cell r="L366" t="str">
            <v>Rates &amp; Taxes</v>
          </cell>
          <cell r="M366" t="str">
            <v>RATES &amp; TAXES (7110)</v>
          </cell>
          <cell r="N366" t="e">
            <v>#REF!</v>
          </cell>
          <cell r="O366" t="str">
            <v>E</v>
          </cell>
          <cell r="P366">
            <v>0</v>
          </cell>
          <cell r="Q366">
            <v>8102462</v>
          </cell>
          <cell r="R366">
            <v>4318246</v>
          </cell>
          <cell r="T366">
            <v>0</v>
          </cell>
          <cell r="U366">
            <v>492907</v>
          </cell>
          <cell r="V366">
            <v>3242162</v>
          </cell>
          <cell r="X366">
            <v>0</v>
          </cell>
          <cell r="Y366">
            <v>7144770</v>
          </cell>
          <cell r="Z366">
            <v>828880</v>
          </cell>
          <cell r="AB366">
            <v>0</v>
          </cell>
          <cell r="AC366">
            <v>430131</v>
          </cell>
          <cell r="AD366">
            <v>186281</v>
          </cell>
          <cell r="AF366">
            <v>0</v>
          </cell>
          <cell r="AG366">
            <v>34654</v>
          </cell>
          <cell r="AH366">
            <v>60923</v>
          </cell>
        </row>
        <row r="367">
          <cell r="G367">
            <v>13386</v>
          </cell>
          <cell r="H367">
            <v>464000</v>
          </cell>
          <cell r="I367" t="str">
            <v>7111</v>
          </cell>
          <cell r="L367" t="str">
            <v>Service Tax On Transport</v>
          </cell>
          <cell r="M367" t="str">
            <v>SERVICE TAX ON TRANSPORT (GTO) (7111)</v>
          </cell>
          <cell r="N367" t="e">
            <v>#REF!</v>
          </cell>
          <cell r="O367" t="str">
            <v>E</v>
          </cell>
          <cell r="P367">
            <v>0</v>
          </cell>
          <cell r="Q367">
            <v>3672226</v>
          </cell>
          <cell r="R367">
            <v>1104042</v>
          </cell>
          <cell r="T367">
            <v>0</v>
          </cell>
          <cell r="U367">
            <v>35875</v>
          </cell>
          <cell r="V367">
            <v>-422413</v>
          </cell>
          <cell r="X367">
            <v>0</v>
          </cell>
          <cell r="Y367">
            <v>2091752</v>
          </cell>
          <cell r="Z367">
            <v>677205</v>
          </cell>
          <cell r="AB367">
            <v>0</v>
          </cell>
          <cell r="AC367">
            <v>689245</v>
          </cell>
          <cell r="AD367">
            <v>373860</v>
          </cell>
          <cell r="AF367">
            <v>0</v>
          </cell>
          <cell r="AG367">
            <v>855354</v>
          </cell>
          <cell r="AH367">
            <v>475390</v>
          </cell>
        </row>
        <row r="368">
          <cell r="G368">
            <v>13387</v>
          </cell>
          <cell r="H368">
            <v>465000</v>
          </cell>
          <cell r="I368" t="str">
            <v>7120</v>
          </cell>
          <cell r="L368" t="str">
            <v>Professional Tax</v>
          </cell>
          <cell r="M368" t="str">
            <v>PROFESSIONAL TAX (COMPANY) (</v>
          </cell>
          <cell r="N368" t="e">
            <v>#REF!</v>
          </cell>
          <cell r="O368" t="str">
            <v>E</v>
          </cell>
          <cell r="P368">
            <v>0</v>
          </cell>
          <cell r="Q368">
            <v>0</v>
          </cell>
          <cell r="R368">
            <v>0</v>
          </cell>
          <cell r="T368">
            <v>0</v>
          </cell>
          <cell r="U368">
            <v>0</v>
          </cell>
          <cell r="V368">
            <v>0</v>
          </cell>
          <cell r="X368">
            <v>0</v>
          </cell>
          <cell r="Y368">
            <v>0</v>
          </cell>
          <cell r="Z368">
            <v>0</v>
          </cell>
          <cell r="AB368">
            <v>0</v>
          </cell>
          <cell r="AC368">
            <v>0</v>
          </cell>
          <cell r="AD368">
            <v>0</v>
          </cell>
          <cell r="AF368">
            <v>0</v>
          </cell>
          <cell r="AG368">
            <v>0</v>
          </cell>
          <cell r="AH368">
            <v>0</v>
          </cell>
        </row>
        <row r="369">
          <cell r="I369" t="str">
            <v>7130</v>
          </cell>
          <cell r="L369" t="str">
            <v>Works Contract Tax</v>
          </cell>
          <cell r="Q369">
            <v>5949</v>
          </cell>
          <cell r="R369">
            <v>-5949</v>
          </cell>
          <cell r="U369">
            <v>0</v>
          </cell>
          <cell r="V369">
            <v>0</v>
          </cell>
          <cell r="Y369">
            <v>0</v>
          </cell>
          <cell r="Z369">
            <v>0</v>
          </cell>
          <cell r="AC369">
            <v>0</v>
          </cell>
          <cell r="AD369">
            <v>0</v>
          </cell>
          <cell r="AG369">
            <v>5949</v>
          </cell>
          <cell r="AH369">
            <v>-5949</v>
          </cell>
        </row>
        <row r="370">
          <cell r="H370">
            <v>466000</v>
          </cell>
          <cell r="J370" t="str">
            <v>Rates &amp; Taxes</v>
          </cell>
          <cell r="M370" t="e">
            <v>#N/A</v>
          </cell>
          <cell r="N370" t="e">
            <v>#REF!</v>
          </cell>
          <cell r="O370" t="str">
            <v>E</v>
          </cell>
          <cell r="P370">
            <v>0</v>
          </cell>
          <cell r="Q370">
            <v>11780637</v>
          </cell>
          <cell r="R370">
            <v>5416339</v>
          </cell>
          <cell r="T370">
            <v>0</v>
          </cell>
          <cell r="U370">
            <v>528782</v>
          </cell>
          <cell r="V370">
            <v>2819749</v>
          </cell>
          <cell r="W370">
            <v>0</v>
          </cell>
          <cell r="X370">
            <v>0</v>
          </cell>
          <cell r="Y370">
            <v>9236522</v>
          </cell>
          <cell r="Z370">
            <v>1506085</v>
          </cell>
          <cell r="AA370">
            <v>0</v>
          </cell>
          <cell r="AB370">
            <v>0</v>
          </cell>
          <cell r="AC370">
            <v>1119376</v>
          </cell>
          <cell r="AD370">
            <v>560141</v>
          </cell>
          <cell r="AE370">
            <v>0</v>
          </cell>
          <cell r="AF370">
            <v>0</v>
          </cell>
          <cell r="AG370">
            <v>895957</v>
          </cell>
          <cell r="AH370">
            <v>530364</v>
          </cell>
        </row>
        <row r="371">
          <cell r="H371">
            <v>467000</v>
          </cell>
          <cell r="J371" t="str">
            <v>Bank Charges</v>
          </cell>
          <cell r="M371" t="e">
            <v>#N/A</v>
          </cell>
          <cell r="N371" t="e">
            <v>#REF!</v>
          </cell>
          <cell r="O371" t="str">
            <v>E</v>
          </cell>
          <cell r="Q371">
            <v>0</v>
          </cell>
          <cell r="R371">
            <v>0</v>
          </cell>
        </row>
        <row r="372">
          <cell r="G372">
            <v>13773</v>
          </cell>
          <cell r="H372">
            <v>468000</v>
          </cell>
          <cell r="I372" t="str">
            <v>7520</v>
          </cell>
          <cell r="L372" t="str">
            <v>Bank Charges L/C &amp; Bg</v>
          </cell>
          <cell r="M372" t="str">
            <v>BANK CHARGES (7520-22)</v>
          </cell>
          <cell r="N372" t="e">
            <v>#REF!</v>
          </cell>
          <cell r="O372" t="str">
            <v>E</v>
          </cell>
          <cell r="Q372">
            <v>2606196</v>
          </cell>
          <cell r="R372">
            <v>4912823</v>
          </cell>
          <cell r="U372">
            <v>2231378</v>
          </cell>
          <cell r="V372">
            <v>2365881</v>
          </cell>
          <cell r="Y372">
            <v>374073</v>
          </cell>
          <cell r="Z372">
            <v>2497543</v>
          </cell>
          <cell r="AC372">
            <v>745</v>
          </cell>
          <cell r="AD372">
            <v>48837</v>
          </cell>
          <cell r="AG372">
            <v>0</v>
          </cell>
          <cell r="AH372">
            <v>562</v>
          </cell>
        </row>
        <row r="373">
          <cell r="H373">
            <v>469000</v>
          </cell>
          <cell r="I373" t="str">
            <v>7522</v>
          </cell>
          <cell r="L373" t="str">
            <v>Other Bank Charges</v>
          </cell>
          <cell r="M373" t="e">
            <v>#N/A</v>
          </cell>
          <cell r="N373" t="e">
            <v>#REF!</v>
          </cell>
          <cell r="O373" t="str">
            <v>E</v>
          </cell>
          <cell r="Q373">
            <v>259406</v>
          </cell>
          <cell r="R373">
            <v>111345</v>
          </cell>
          <cell r="U373">
            <v>0</v>
          </cell>
          <cell r="V373">
            <v>0</v>
          </cell>
          <cell r="Y373">
            <v>0</v>
          </cell>
          <cell r="Z373">
            <v>0</v>
          </cell>
          <cell r="AC373">
            <v>254880</v>
          </cell>
          <cell r="AD373">
            <v>108195</v>
          </cell>
          <cell r="AG373">
            <v>4526</v>
          </cell>
          <cell r="AH373">
            <v>3150</v>
          </cell>
        </row>
        <row r="374">
          <cell r="H374">
            <v>470000</v>
          </cell>
          <cell r="J374" t="str">
            <v>Bank Charges</v>
          </cell>
          <cell r="M374" t="e">
            <v>#N/A</v>
          </cell>
          <cell r="N374" t="e">
            <v>#REF!</v>
          </cell>
          <cell r="O374" t="str">
            <v>E</v>
          </cell>
          <cell r="P374">
            <v>0</v>
          </cell>
          <cell r="Q374">
            <v>2865602</v>
          </cell>
          <cell r="R374">
            <v>5024168</v>
          </cell>
          <cell r="T374">
            <v>0</v>
          </cell>
          <cell r="U374">
            <v>2231378</v>
          </cell>
          <cell r="V374">
            <v>2365881</v>
          </cell>
          <cell r="X374">
            <v>0</v>
          </cell>
          <cell r="Y374">
            <v>374073</v>
          </cell>
          <cell r="Z374">
            <v>2497543</v>
          </cell>
          <cell r="AB374">
            <v>0</v>
          </cell>
          <cell r="AC374">
            <v>255625</v>
          </cell>
          <cell r="AD374">
            <v>157032</v>
          </cell>
          <cell r="AF374">
            <v>0</v>
          </cell>
          <cell r="AG374">
            <v>4526</v>
          </cell>
          <cell r="AH374">
            <v>3712</v>
          </cell>
        </row>
        <row r="375">
          <cell r="H375">
            <v>471000</v>
          </cell>
          <cell r="J375" t="str">
            <v>Insurance</v>
          </cell>
          <cell r="M375" t="e">
            <v>#N/A</v>
          </cell>
          <cell r="N375" t="e">
            <v>#REF!</v>
          </cell>
          <cell r="O375" t="str">
            <v>E</v>
          </cell>
          <cell r="Q375">
            <v>0</v>
          </cell>
          <cell r="R375">
            <v>0</v>
          </cell>
        </row>
        <row r="376">
          <cell r="G376">
            <v>13393</v>
          </cell>
          <cell r="H376">
            <v>472000</v>
          </cell>
          <cell r="I376" t="str">
            <v>7160</v>
          </cell>
          <cell r="L376" t="str">
            <v>Insurance</v>
          </cell>
          <cell r="M376" t="str">
            <v>INSURANCE (7160)</v>
          </cell>
          <cell r="N376" t="e">
            <v>#REF!</v>
          </cell>
          <cell r="O376" t="str">
            <v>E</v>
          </cell>
          <cell r="Q376">
            <v>2482352</v>
          </cell>
          <cell r="R376">
            <v>2109606</v>
          </cell>
          <cell r="U376">
            <v>966987</v>
          </cell>
          <cell r="V376">
            <v>1026675</v>
          </cell>
          <cell r="Y376">
            <v>1003039</v>
          </cell>
          <cell r="Z376">
            <v>725145</v>
          </cell>
          <cell r="AC376">
            <v>278897</v>
          </cell>
          <cell r="AD376">
            <v>194150</v>
          </cell>
          <cell r="AG376">
            <v>233429</v>
          </cell>
          <cell r="AH376">
            <v>163636</v>
          </cell>
        </row>
        <row r="377">
          <cell r="H377">
            <v>473000</v>
          </cell>
          <cell r="I377" t="str">
            <v>FOR MIS</v>
          </cell>
          <cell r="L377">
            <v>0</v>
          </cell>
          <cell r="M377" t="e">
            <v>#N/A</v>
          </cell>
          <cell r="N377" t="e">
            <v>#REF!</v>
          </cell>
          <cell r="O377" t="str">
            <v>E</v>
          </cell>
          <cell r="R377">
            <v>0</v>
          </cell>
          <cell r="U377">
            <v>0</v>
          </cell>
          <cell r="V377">
            <v>0</v>
          </cell>
          <cell r="Y377">
            <v>0</v>
          </cell>
          <cell r="Z377">
            <v>0</v>
          </cell>
          <cell r="AC377">
            <v>0</v>
          </cell>
          <cell r="AD377">
            <v>0</v>
          </cell>
          <cell r="AG377">
            <v>0</v>
          </cell>
        </row>
        <row r="378">
          <cell r="H378">
            <v>474000</v>
          </cell>
          <cell r="L378" t="str">
            <v>Sub-Total</v>
          </cell>
          <cell r="M378" t="e">
            <v>#N/A</v>
          </cell>
          <cell r="N378" t="e">
            <v>#REF!</v>
          </cell>
          <cell r="O378" t="str">
            <v>E</v>
          </cell>
          <cell r="P378">
            <v>0</v>
          </cell>
          <cell r="Q378">
            <v>2482352</v>
          </cell>
          <cell r="R378">
            <v>2109606</v>
          </cell>
          <cell r="T378">
            <v>0</v>
          </cell>
          <cell r="U378">
            <v>966987</v>
          </cell>
          <cell r="V378">
            <v>1026675</v>
          </cell>
          <cell r="X378">
            <v>0</v>
          </cell>
          <cell r="Y378">
            <v>1003039</v>
          </cell>
          <cell r="Z378">
            <v>725145</v>
          </cell>
          <cell r="AB378">
            <v>0</v>
          </cell>
          <cell r="AC378">
            <v>278897</v>
          </cell>
          <cell r="AD378">
            <v>194150</v>
          </cell>
          <cell r="AF378">
            <v>0</v>
          </cell>
          <cell r="AG378">
            <v>233429</v>
          </cell>
          <cell r="AH378">
            <v>163636</v>
          </cell>
        </row>
        <row r="379">
          <cell r="H379">
            <v>475000</v>
          </cell>
          <cell r="J379" t="str">
            <v>Communication Charges (Telephone , Telex &amp; Fax Expenses)</v>
          </cell>
          <cell r="M379" t="e">
            <v>#N/A</v>
          </cell>
          <cell r="N379" t="e">
            <v>#REF!</v>
          </cell>
          <cell r="O379" t="str">
            <v>E</v>
          </cell>
          <cell r="Q379">
            <v>0</v>
          </cell>
          <cell r="R379">
            <v>0</v>
          </cell>
        </row>
        <row r="380">
          <cell r="G380">
            <v>13563</v>
          </cell>
          <cell r="H380">
            <v>476000</v>
          </cell>
          <cell r="I380" t="str">
            <v>7500</v>
          </cell>
          <cell r="L380" t="str">
            <v>Telephone, Telex &amp; Fax Expenses</v>
          </cell>
          <cell r="M380" t="str">
            <v>TELEPHONE, TELEX &amp; FAX EXPENSES (7500)</v>
          </cell>
          <cell r="N380" t="e">
            <v>#REF!</v>
          </cell>
          <cell r="O380" t="str">
            <v>E</v>
          </cell>
          <cell r="Q380">
            <v>1851698</v>
          </cell>
          <cell r="R380">
            <v>1674979</v>
          </cell>
          <cell r="U380">
            <v>1008660</v>
          </cell>
          <cell r="V380">
            <v>1026354</v>
          </cell>
          <cell r="Y380">
            <v>368890</v>
          </cell>
          <cell r="Z380">
            <v>295987</v>
          </cell>
          <cell r="AC380">
            <v>300737</v>
          </cell>
          <cell r="AD380">
            <v>203960</v>
          </cell>
          <cell r="AG380">
            <v>173411</v>
          </cell>
          <cell r="AH380">
            <v>148678</v>
          </cell>
        </row>
        <row r="381">
          <cell r="H381">
            <v>477000</v>
          </cell>
          <cell r="L381">
            <v>0</v>
          </cell>
          <cell r="M381" t="e">
            <v>#N/A</v>
          </cell>
          <cell r="N381" t="e">
            <v>#REF!</v>
          </cell>
          <cell r="O381" t="str">
            <v>E</v>
          </cell>
          <cell r="AC381">
            <v>0</v>
          </cell>
          <cell r="AG381">
            <v>0</v>
          </cell>
        </row>
        <row r="382">
          <cell r="H382">
            <v>478000</v>
          </cell>
          <cell r="J382" t="str">
            <v>Communication Charges (Telephone , Telex &amp; Fax Expenses)</v>
          </cell>
          <cell r="M382" t="e">
            <v>#N/A</v>
          </cell>
          <cell r="N382" t="e">
            <v>#REF!</v>
          </cell>
          <cell r="O382" t="str">
            <v>E</v>
          </cell>
          <cell r="P382">
            <v>0</v>
          </cell>
          <cell r="Q382">
            <v>1851698</v>
          </cell>
          <cell r="R382">
            <v>1674979</v>
          </cell>
          <cell r="T382">
            <v>0</v>
          </cell>
          <cell r="U382">
            <v>1008660</v>
          </cell>
          <cell r="V382">
            <v>1026354</v>
          </cell>
          <cell r="X382">
            <v>0</v>
          </cell>
          <cell r="Y382">
            <v>368890</v>
          </cell>
          <cell r="Z382">
            <v>295987</v>
          </cell>
          <cell r="AB382">
            <v>0</v>
          </cell>
          <cell r="AC382">
            <v>300737</v>
          </cell>
          <cell r="AD382">
            <v>203960</v>
          </cell>
          <cell r="AF382">
            <v>0</v>
          </cell>
          <cell r="AG382">
            <v>173411</v>
          </cell>
          <cell r="AH382">
            <v>148678</v>
          </cell>
        </row>
        <row r="383">
          <cell r="H383">
            <v>479000</v>
          </cell>
          <cell r="J383" t="str">
            <v>Printing &amp; Stationery Expenses</v>
          </cell>
          <cell r="M383" t="e">
            <v>#N/A</v>
          </cell>
          <cell r="N383" t="e">
            <v>#REF!</v>
          </cell>
          <cell r="O383" t="str">
            <v>E</v>
          </cell>
          <cell r="Q383">
            <v>0</v>
          </cell>
          <cell r="R383">
            <v>0</v>
          </cell>
        </row>
        <row r="384">
          <cell r="G384">
            <v>13558</v>
          </cell>
          <cell r="H384">
            <v>480000</v>
          </cell>
          <cell r="I384" t="str">
            <v>7460</v>
          </cell>
          <cell r="L384" t="str">
            <v>Printing &amp; Stationery</v>
          </cell>
          <cell r="M384" t="str">
            <v>PRINTING &amp; STATIONERY (7460,7461)</v>
          </cell>
          <cell r="N384" t="e">
            <v>#REF!</v>
          </cell>
          <cell r="O384" t="str">
            <v>E</v>
          </cell>
          <cell r="Q384">
            <v>1516684</v>
          </cell>
          <cell r="R384">
            <v>1098534</v>
          </cell>
          <cell r="U384">
            <v>592817</v>
          </cell>
          <cell r="V384">
            <v>540163</v>
          </cell>
          <cell r="Y384">
            <v>616485</v>
          </cell>
          <cell r="Z384">
            <v>387472</v>
          </cell>
          <cell r="AC384">
            <v>111907</v>
          </cell>
          <cell r="AD384">
            <v>75414</v>
          </cell>
          <cell r="AG384">
            <v>195475</v>
          </cell>
          <cell r="AH384">
            <v>95485</v>
          </cell>
        </row>
        <row r="385">
          <cell r="H385">
            <v>481000</v>
          </cell>
          <cell r="I385" t="str">
            <v>7461</v>
          </cell>
          <cell r="L385" t="str">
            <v>Computer Stationery</v>
          </cell>
          <cell r="M385" t="e">
            <v>#N/A</v>
          </cell>
          <cell r="N385" t="e">
            <v>#REF!</v>
          </cell>
          <cell r="O385" t="str">
            <v>E</v>
          </cell>
          <cell r="Q385">
            <v>3836</v>
          </cell>
          <cell r="R385">
            <v>22930</v>
          </cell>
          <cell r="U385">
            <v>0</v>
          </cell>
          <cell r="V385">
            <v>0</v>
          </cell>
          <cell r="Y385">
            <v>0</v>
          </cell>
          <cell r="Z385">
            <v>0</v>
          </cell>
          <cell r="AC385">
            <v>0</v>
          </cell>
          <cell r="AD385">
            <v>0</v>
          </cell>
          <cell r="AG385">
            <v>3836</v>
          </cell>
          <cell r="AH385">
            <v>22930</v>
          </cell>
        </row>
        <row r="386">
          <cell r="G386">
            <v>13559</v>
          </cell>
          <cell r="H386">
            <v>482000</v>
          </cell>
          <cell r="I386" t="str">
            <v>7495</v>
          </cell>
          <cell r="L386" t="str">
            <v>Photo Copying Expenses</v>
          </cell>
          <cell r="M386" t="str">
            <v>PHOTO COPYING EXPENSES (7495)</v>
          </cell>
          <cell r="N386" t="e">
            <v>#REF!</v>
          </cell>
          <cell r="O386" t="str">
            <v>E</v>
          </cell>
          <cell r="Q386">
            <v>85077</v>
          </cell>
          <cell r="R386">
            <v>73968</v>
          </cell>
          <cell r="U386">
            <v>69584</v>
          </cell>
          <cell r="V386">
            <v>57363</v>
          </cell>
          <cell r="Y386">
            <v>11581</v>
          </cell>
          <cell r="Z386">
            <v>10644</v>
          </cell>
          <cell r="AC386">
            <v>3912</v>
          </cell>
          <cell r="AD386">
            <v>5961</v>
          </cell>
          <cell r="AG386">
            <v>0</v>
          </cell>
          <cell r="AH386">
            <v>0</v>
          </cell>
        </row>
        <row r="387">
          <cell r="H387">
            <v>483000</v>
          </cell>
          <cell r="J387" t="str">
            <v>Printing &amp; Stationery Expenses</v>
          </cell>
          <cell r="M387" t="e">
            <v>#N/A</v>
          </cell>
          <cell r="N387" t="e">
            <v>#REF!</v>
          </cell>
          <cell r="O387" t="str">
            <v>E</v>
          </cell>
          <cell r="P387">
            <v>0</v>
          </cell>
          <cell r="Q387">
            <v>1605597</v>
          </cell>
          <cell r="R387">
            <v>1195432</v>
          </cell>
          <cell r="T387">
            <v>0</v>
          </cell>
          <cell r="U387">
            <v>662401</v>
          </cell>
          <cell r="V387">
            <v>597526</v>
          </cell>
          <cell r="X387">
            <v>0</v>
          </cell>
          <cell r="Y387">
            <v>628066</v>
          </cell>
          <cell r="Z387">
            <v>398116</v>
          </cell>
          <cell r="AB387">
            <v>0</v>
          </cell>
          <cell r="AC387">
            <v>115819</v>
          </cell>
          <cell r="AD387">
            <v>81375</v>
          </cell>
          <cell r="AF387">
            <v>0</v>
          </cell>
          <cell r="AG387">
            <v>199311</v>
          </cell>
          <cell r="AH387">
            <v>118415</v>
          </cell>
        </row>
        <row r="388">
          <cell r="H388">
            <v>484000</v>
          </cell>
          <cell r="J388" t="str">
            <v>System and Software Expenses</v>
          </cell>
          <cell r="M388" t="e">
            <v>#N/A</v>
          </cell>
          <cell r="N388" t="e">
            <v>#REF!</v>
          </cell>
          <cell r="O388" t="str">
            <v>E</v>
          </cell>
          <cell r="Q388">
            <v>0</v>
          </cell>
          <cell r="R388">
            <v>0</v>
          </cell>
        </row>
        <row r="389">
          <cell r="G389">
            <v>13606</v>
          </cell>
          <cell r="H389">
            <v>485000</v>
          </cell>
          <cell r="I389" t="str">
            <v>7445</v>
          </cell>
          <cell r="L389" t="str">
            <v>System Expenses</v>
          </cell>
          <cell r="M389" t="str">
            <v>SYSTEM EXPENSES (7445)</v>
          </cell>
          <cell r="N389" t="e">
            <v>#REF!</v>
          </cell>
          <cell r="O389" t="str">
            <v>E</v>
          </cell>
          <cell r="Q389">
            <v>2530930</v>
          </cell>
          <cell r="R389">
            <v>3205839</v>
          </cell>
          <cell r="U389">
            <v>2091390</v>
          </cell>
          <cell r="V389">
            <v>2906799</v>
          </cell>
          <cell r="Y389">
            <v>69775</v>
          </cell>
          <cell r="Z389">
            <v>98248</v>
          </cell>
          <cell r="AC389">
            <v>209299</v>
          </cell>
          <cell r="AD389">
            <v>134491</v>
          </cell>
          <cell r="AG389">
            <v>160466</v>
          </cell>
          <cell r="AH389">
            <v>66301</v>
          </cell>
        </row>
        <row r="390">
          <cell r="H390">
            <v>486000</v>
          </cell>
          <cell r="L390">
            <v>0</v>
          </cell>
          <cell r="M390" t="e">
            <v>#N/A</v>
          </cell>
          <cell r="N390" t="e">
            <v>#REF!</v>
          </cell>
          <cell r="O390" t="str">
            <v>E</v>
          </cell>
        </row>
        <row r="391">
          <cell r="H391">
            <v>487000</v>
          </cell>
          <cell r="J391" t="str">
            <v>System and Software Expenses</v>
          </cell>
          <cell r="M391" t="e">
            <v>#N/A</v>
          </cell>
          <cell r="N391" t="e">
            <v>#REF!</v>
          </cell>
          <cell r="O391" t="str">
            <v>E</v>
          </cell>
          <cell r="P391">
            <v>0</v>
          </cell>
          <cell r="Q391">
            <v>2530930</v>
          </cell>
          <cell r="R391">
            <v>3205839</v>
          </cell>
          <cell r="T391">
            <v>0</v>
          </cell>
          <cell r="U391">
            <v>2091390</v>
          </cell>
          <cell r="V391">
            <v>2906799</v>
          </cell>
          <cell r="X391">
            <v>0</v>
          </cell>
          <cell r="Y391">
            <v>69775</v>
          </cell>
          <cell r="Z391">
            <v>98248</v>
          </cell>
          <cell r="AB391">
            <v>0</v>
          </cell>
          <cell r="AC391">
            <v>209299</v>
          </cell>
          <cell r="AD391">
            <v>134491</v>
          </cell>
          <cell r="AF391">
            <v>0</v>
          </cell>
          <cell r="AG391">
            <v>160466</v>
          </cell>
          <cell r="AH391">
            <v>66301</v>
          </cell>
        </row>
        <row r="392">
          <cell r="H392">
            <v>488000</v>
          </cell>
          <cell r="J392" t="str">
            <v>Travelling, Conveyance and Car Expenses</v>
          </cell>
          <cell r="M392" t="e">
            <v>#N/A</v>
          </cell>
          <cell r="N392" t="e">
            <v>#REF!</v>
          </cell>
          <cell r="O392" t="str">
            <v>E</v>
          </cell>
          <cell r="Q392">
            <v>0</v>
          </cell>
          <cell r="R392">
            <v>0</v>
          </cell>
        </row>
        <row r="393">
          <cell r="H393">
            <v>489000</v>
          </cell>
          <cell r="K393" t="str">
            <v>Travelling Expenses</v>
          </cell>
          <cell r="M393" t="e">
            <v>#N/A</v>
          </cell>
          <cell r="N393" t="e">
            <v>#REF!</v>
          </cell>
          <cell r="O393" t="str">
            <v>E</v>
          </cell>
        </row>
        <row r="394">
          <cell r="G394">
            <v>13448</v>
          </cell>
          <cell r="H394">
            <v>490000</v>
          </cell>
          <cell r="I394" t="str">
            <v>7210</v>
          </cell>
          <cell r="L394" t="str">
            <v>Trav Exp -Foreign/Local  (  )</v>
          </cell>
          <cell r="M394" t="str">
            <v>FOREIGN TRAV)EL EXP. (7211)</v>
          </cell>
          <cell r="N394" t="e">
            <v>#REF!</v>
          </cell>
          <cell r="O394" t="str">
            <v>E</v>
          </cell>
          <cell r="Q394">
            <v>2029143</v>
          </cell>
          <cell r="R394">
            <v>955231</v>
          </cell>
          <cell r="U394">
            <v>1631425</v>
          </cell>
          <cell r="V394">
            <v>666420</v>
          </cell>
          <cell r="Y394">
            <v>340614</v>
          </cell>
          <cell r="Z394">
            <v>288811</v>
          </cell>
          <cell r="AC394">
            <v>18154</v>
          </cell>
          <cell r="AD394">
            <v>0</v>
          </cell>
          <cell r="AG394">
            <v>38950</v>
          </cell>
          <cell r="AH394">
            <v>0</v>
          </cell>
        </row>
        <row r="395">
          <cell r="G395">
            <v>13446</v>
          </cell>
          <cell r="H395">
            <v>491000</v>
          </cell>
          <cell r="L395" t="str">
            <v>Directors Travelling Exps.</v>
          </cell>
          <cell r="M395" t="str">
            <v>DIRECTOR'S TRAVELLING EXP. (7210)</v>
          </cell>
          <cell r="N395" t="e">
            <v>#REF!</v>
          </cell>
          <cell r="O395" t="str">
            <v>E</v>
          </cell>
          <cell r="Q395">
            <v>6836371</v>
          </cell>
          <cell r="R395">
            <v>3690660</v>
          </cell>
          <cell r="U395">
            <v>6836371</v>
          </cell>
          <cell r="V395">
            <v>3690660</v>
          </cell>
          <cell r="Y395">
            <v>0</v>
          </cell>
          <cell r="Z395">
            <v>0</v>
          </cell>
          <cell r="AC395">
            <v>0</v>
          </cell>
          <cell r="AD395">
            <v>0</v>
          </cell>
          <cell r="AG395">
            <v>0</v>
          </cell>
          <cell r="AH395">
            <v>0</v>
          </cell>
        </row>
        <row r="396">
          <cell r="G396">
            <v>13447</v>
          </cell>
          <cell r="H396">
            <v>492000</v>
          </cell>
          <cell r="I396" t="str">
            <v>7211</v>
          </cell>
          <cell r="L396" t="str">
            <v>Foreigner'S Travelling Exps.</v>
          </cell>
          <cell r="M396" t="str">
            <v>FOREIGNER'S TRAVELLING EXP. (7210)</v>
          </cell>
          <cell r="N396" t="e">
            <v>#REF!</v>
          </cell>
          <cell r="O396" t="str">
            <v>E</v>
          </cell>
          <cell r="Q396">
            <v>5381499</v>
          </cell>
          <cell r="R396">
            <v>4160424</v>
          </cell>
          <cell r="U396">
            <v>5258300</v>
          </cell>
          <cell r="V396">
            <v>3756771</v>
          </cell>
          <cell r="Y396">
            <v>47794</v>
          </cell>
          <cell r="Z396">
            <v>403653</v>
          </cell>
          <cell r="AC396">
            <v>0</v>
          </cell>
          <cell r="AD396">
            <v>0</v>
          </cell>
          <cell r="AG396">
            <v>75405</v>
          </cell>
          <cell r="AH396">
            <v>0</v>
          </cell>
        </row>
        <row r="397">
          <cell r="H397">
            <v>493000</v>
          </cell>
          <cell r="I397" t="str">
            <v>7212</v>
          </cell>
          <cell r="L397" t="str">
            <v>Trav. Exp Employes Tour</v>
          </cell>
          <cell r="M397" t="e">
            <v>#N/A</v>
          </cell>
          <cell r="N397" t="e">
            <v>#REF!</v>
          </cell>
          <cell r="O397" t="str">
            <v>E</v>
          </cell>
          <cell r="Q397">
            <v>520354</v>
          </cell>
          <cell r="R397">
            <v>508664</v>
          </cell>
          <cell r="U397">
            <v>0</v>
          </cell>
          <cell r="V397">
            <v>0</v>
          </cell>
          <cell r="Y397">
            <v>0</v>
          </cell>
          <cell r="Z397">
            <v>0</v>
          </cell>
          <cell r="AC397">
            <v>0</v>
          </cell>
          <cell r="AD397">
            <v>0</v>
          </cell>
          <cell r="AG397">
            <v>520354</v>
          </cell>
          <cell r="AH397">
            <v>508664</v>
          </cell>
        </row>
        <row r="398">
          <cell r="G398">
            <v>13449</v>
          </cell>
          <cell r="H398">
            <v>494000</v>
          </cell>
          <cell r="I398" t="str">
            <v>7220</v>
          </cell>
          <cell r="L398" t="str">
            <v>Trav. Exp. Off. - Ticket</v>
          </cell>
          <cell r="M398" t="str">
            <v>LOCAL TRAVELLING (7212/ 7220)</v>
          </cell>
          <cell r="N398" t="e">
            <v>#REF!</v>
          </cell>
          <cell r="O398" t="str">
            <v>E</v>
          </cell>
          <cell r="Q398">
            <v>3288747</v>
          </cell>
          <cell r="R398">
            <v>2936704</v>
          </cell>
          <cell r="U398">
            <v>1871194</v>
          </cell>
          <cell r="V398">
            <v>1795834</v>
          </cell>
          <cell r="Y398">
            <v>1398246</v>
          </cell>
          <cell r="Z398">
            <v>1069995</v>
          </cell>
          <cell r="AC398">
            <v>19307</v>
          </cell>
          <cell r="AD398">
            <v>70875</v>
          </cell>
          <cell r="AG398">
            <v>0</v>
          </cell>
          <cell r="AH398">
            <v>0</v>
          </cell>
        </row>
        <row r="399">
          <cell r="H399">
            <v>495000</v>
          </cell>
          <cell r="I399" t="str">
            <v>7221</v>
          </cell>
          <cell r="L399" t="str">
            <v>Trav. Exp. Off. - Others</v>
          </cell>
          <cell r="M399" t="e">
            <v>#N/A</v>
          </cell>
          <cell r="N399" t="e">
            <v>#REF!</v>
          </cell>
          <cell r="O399" t="str">
            <v>E</v>
          </cell>
          <cell r="Q399">
            <v>240552</v>
          </cell>
          <cell r="R399">
            <v>20261</v>
          </cell>
          <cell r="U399">
            <v>0</v>
          </cell>
          <cell r="V399">
            <v>0</v>
          </cell>
          <cell r="Y399">
            <v>0</v>
          </cell>
          <cell r="Z399">
            <v>0</v>
          </cell>
          <cell r="AC399">
            <v>227034</v>
          </cell>
          <cell r="AD399">
            <v>5380</v>
          </cell>
          <cell r="AG399">
            <v>13518</v>
          </cell>
          <cell r="AH399">
            <v>14881</v>
          </cell>
        </row>
        <row r="400">
          <cell r="H400">
            <v>496000</v>
          </cell>
          <cell r="I400" t="str">
            <v>7230</v>
          </cell>
          <cell r="L400" t="str">
            <v>Trav. Exp. Others - Tkt</v>
          </cell>
          <cell r="M400" t="e">
            <v>#N/A</v>
          </cell>
          <cell r="N400" t="e">
            <v>#REF!</v>
          </cell>
          <cell r="O400" t="str">
            <v>E</v>
          </cell>
          <cell r="Q400">
            <v>27739</v>
          </cell>
          <cell r="R400">
            <v>23185</v>
          </cell>
          <cell r="U400">
            <v>0</v>
          </cell>
          <cell r="V400">
            <v>0</v>
          </cell>
          <cell r="Y400">
            <v>0</v>
          </cell>
          <cell r="Z400">
            <v>0</v>
          </cell>
          <cell r="AC400">
            <v>27739</v>
          </cell>
          <cell r="AD400">
            <v>23185</v>
          </cell>
          <cell r="AG400">
            <v>0</v>
          </cell>
          <cell r="AH400">
            <v>0</v>
          </cell>
        </row>
        <row r="401">
          <cell r="H401">
            <v>497000</v>
          </cell>
          <cell r="I401" t="str">
            <v>7231</v>
          </cell>
          <cell r="L401" t="str">
            <v>Trav. Exp. Others - Others</v>
          </cell>
          <cell r="M401" t="e">
            <v>#N/A</v>
          </cell>
          <cell r="N401" t="e">
            <v>#REF!</v>
          </cell>
          <cell r="O401" t="str">
            <v>E</v>
          </cell>
          <cell r="Q401">
            <v>381256</v>
          </cell>
          <cell r="R401">
            <v>108295</v>
          </cell>
          <cell r="U401">
            <v>0</v>
          </cell>
          <cell r="V401">
            <v>0</v>
          </cell>
          <cell r="Y401">
            <v>0</v>
          </cell>
          <cell r="Z401">
            <v>0</v>
          </cell>
          <cell r="AC401">
            <v>381256</v>
          </cell>
          <cell r="AD401">
            <v>88187</v>
          </cell>
          <cell r="AG401">
            <v>0</v>
          </cell>
          <cell r="AH401">
            <v>20108</v>
          </cell>
        </row>
        <row r="402">
          <cell r="G402">
            <v>13450</v>
          </cell>
          <cell r="H402">
            <v>498000</v>
          </cell>
          <cell r="I402" t="str">
            <v>7240</v>
          </cell>
          <cell r="L402" t="str">
            <v>Trav. Exp. - Conveyance</v>
          </cell>
          <cell r="M402" t="str">
            <v>CONVENYANCE EXPENSES (LOCAL) (3316)</v>
          </cell>
          <cell r="N402" t="e">
            <v>#REF!</v>
          </cell>
          <cell r="O402" t="str">
            <v>E</v>
          </cell>
          <cell r="Q402">
            <v>2058320</v>
          </cell>
          <cell r="R402">
            <v>2683717</v>
          </cell>
          <cell r="U402">
            <v>1065315</v>
          </cell>
          <cell r="V402">
            <v>1765256</v>
          </cell>
          <cell r="Y402">
            <v>538121</v>
          </cell>
          <cell r="Z402">
            <v>433273</v>
          </cell>
          <cell r="AC402">
            <v>148633</v>
          </cell>
          <cell r="AD402">
            <v>151860</v>
          </cell>
          <cell r="AG402">
            <v>306251</v>
          </cell>
          <cell r="AH402">
            <v>333328</v>
          </cell>
        </row>
        <row r="403">
          <cell r="H403">
            <v>499000</v>
          </cell>
          <cell r="I403" t="str">
            <v>7250</v>
          </cell>
          <cell r="L403" t="str">
            <v>Trav. Exp. - Car / Bus Hire Charges</v>
          </cell>
          <cell r="M403" t="e">
            <v>#N/A</v>
          </cell>
          <cell r="N403" t="e">
            <v>#REF!</v>
          </cell>
          <cell r="O403" t="str">
            <v>E</v>
          </cell>
          <cell r="Q403">
            <v>243220</v>
          </cell>
          <cell r="R403">
            <v>262676</v>
          </cell>
          <cell r="U403">
            <v>0</v>
          </cell>
          <cell r="V403">
            <v>0</v>
          </cell>
          <cell r="Y403">
            <v>0</v>
          </cell>
          <cell r="Z403">
            <v>0</v>
          </cell>
          <cell r="AC403">
            <v>69258</v>
          </cell>
          <cell r="AD403">
            <v>123529</v>
          </cell>
          <cell r="AG403">
            <v>173962</v>
          </cell>
          <cell r="AH403">
            <v>139147</v>
          </cell>
        </row>
        <row r="404">
          <cell r="H404">
            <v>500000</v>
          </cell>
          <cell r="K404" t="str">
            <v>Travelling Expenses</v>
          </cell>
          <cell r="M404" t="e">
            <v>#N/A</v>
          </cell>
          <cell r="N404" t="e">
            <v>#REF!</v>
          </cell>
          <cell r="O404" t="str">
            <v>E</v>
          </cell>
          <cell r="P404">
            <v>0</v>
          </cell>
          <cell r="Q404">
            <v>21007201</v>
          </cell>
          <cell r="R404">
            <v>15349817</v>
          </cell>
          <cell r="T404">
            <v>0</v>
          </cell>
          <cell r="U404">
            <v>16662605</v>
          </cell>
          <cell r="V404">
            <v>11674941</v>
          </cell>
          <cell r="X404">
            <v>0</v>
          </cell>
          <cell r="Y404">
            <v>2324775</v>
          </cell>
          <cell r="Z404">
            <v>2195732</v>
          </cell>
          <cell r="AB404">
            <v>0</v>
          </cell>
          <cell r="AC404">
            <v>891381</v>
          </cell>
          <cell r="AD404">
            <v>463016</v>
          </cell>
          <cell r="AF404">
            <v>0</v>
          </cell>
          <cell r="AG404">
            <v>1128440</v>
          </cell>
          <cell r="AH404">
            <v>1016128</v>
          </cell>
        </row>
        <row r="405">
          <cell r="H405">
            <v>501000</v>
          </cell>
          <cell r="K405" t="str">
            <v>Car Expenses</v>
          </cell>
          <cell r="M405" t="e">
            <v>#N/A</v>
          </cell>
          <cell r="N405" t="e">
            <v>#REF!</v>
          </cell>
          <cell r="O405" t="str">
            <v>E</v>
          </cell>
          <cell r="Q405">
            <v>0</v>
          </cell>
          <cell r="R405">
            <v>0</v>
          </cell>
        </row>
        <row r="406">
          <cell r="G406">
            <v>13573</v>
          </cell>
          <cell r="H406">
            <v>502000</v>
          </cell>
          <cell r="I406" t="str">
            <v>7650</v>
          </cell>
          <cell r="L406" t="str">
            <v>Car Expenses -  Petrol</v>
          </cell>
          <cell r="M406" t="str">
            <v>CAR EXPENSES [COMPANY CARS] (7650-53)</v>
          </cell>
          <cell r="N406" t="e">
            <v>#REF!</v>
          </cell>
          <cell r="O406" t="str">
            <v>E</v>
          </cell>
          <cell r="Q406">
            <v>1349987</v>
          </cell>
          <cell r="R406">
            <v>1603835</v>
          </cell>
          <cell r="U406">
            <v>1026811</v>
          </cell>
          <cell r="V406">
            <v>1134060</v>
          </cell>
          <cell r="Y406">
            <v>0</v>
          </cell>
          <cell r="Z406">
            <v>116293</v>
          </cell>
          <cell r="AC406">
            <v>191676</v>
          </cell>
          <cell r="AD406">
            <v>205082</v>
          </cell>
          <cell r="AG406">
            <v>131500</v>
          </cell>
          <cell r="AH406">
            <v>148400</v>
          </cell>
        </row>
        <row r="407">
          <cell r="H407">
            <v>503000</v>
          </cell>
          <cell r="I407" t="str">
            <v>7651</v>
          </cell>
          <cell r="L407" t="str">
            <v>Car Expenses -  Repairs</v>
          </cell>
          <cell r="M407" t="e">
            <v>#N/A</v>
          </cell>
          <cell r="N407" t="e">
            <v>#REF!</v>
          </cell>
          <cell r="O407" t="str">
            <v>E</v>
          </cell>
          <cell r="Q407">
            <v>171430</v>
          </cell>
          <cell r="R407">
            <v>157224</v>
          </cell>
          <cell r="U407">
            <v>0</v>
          </cell>
          <cell r="V407">
            <v>0</v>
          </cell>
          <cell r="Y407">
            <v>0</v>
          </cell>
          <cell r="Z407">
            <v>0</v>
          </cell>
          <cell r="AC407">
            <v>119730</v>
          </cell>
          <cell r="AD407">
            <v>81991</v>
          </cell>
          <cell r="AG407">
            <v>51700</v>
          </cell>
          <cell r="AH407">
            <v>75233</v>
          </cell>
        </row>
        <row r="408">
          <cell r="H408">
            <v>504000</v>
          </cell>
          <cell r="I408" t="str">
            <v>7652</v>
          </cell>
          <cell r="L408" t="str">
            <v>Car Expenses -  Driver'S Salary</v>
          </cell>
          <cell r="M408" t="e">
            <v>#N/A</v>
          </cell>
          <cell r="N408" t="e">
            <v>#REF!</v>
          </cell>
          <cell r="O408" t="str">
            <v>E</v>
          </cell>
          <cell r="Q408">
            <v>0</v>
          </cell>
          <cell r="R408">
            <v>0</v>
          </cell>
          <cell r="U408">
            <v>0</v>
          </cell>
          <cell r="V408">
            <v>0</v>
          </cell>
          <cell r="Y408">
            <v>0</v>
          </cell>
          <cell r="Z408">
            <v>0</v>
          </cell>
          <cell r="AC408">
            <v>0</v>
          </cell>
          <cell r="AD408">
            <v>0</v>
          </cell>
          <cell r="AG408">
            <v>0</v>
          </cell>
          <cell r="AH408">
            <v>0</v>
          </cell>
        </row>
        <row r="409">
          <cell r="H409">
            <v>505000</v>
          </cell>
          <cell r="I409" t="str">
            <v>7653</v>
          </cell>
          <cell r="L409" t="str">
            <v>Car Expenses -  Others ( Tax/Insu/Pass/Parking)</v>
          </cell>
          <cell r="M409" t="e">
            <v>#N/A</v>
          </cell>
          <cell r="N409" t="e">
            <v>#REF!</v>
          </cell>
          <cell r="O409" t="str">
            <v>E</v>
          </cell>
          <cell r="Q409">
            <v>35532</v>
          </cell>
          <cell r="R409">
            <v>38475</v>
          </cell>
          <cell r="U409">
            <v>0</v>
          </cell>
          <cell r="V409">
            <v>0</v>
          </cell>
          <cell r="Y409">
            <v>0</v>
          </cell>
          <cell r="Z409">
            <v>0</v>
          </cell>
          <cell r="AC409">
            <v>15481</v>
          </cell>
          <cell r="AD409">
            <v>11601</v>
          </cell>
          <cell r="AG409">
            <v>20051</v>
          </cell>
          <cell r="AH409">
            <v>26874</v>
          </cell>
        </row>
        <row r="410">
          <cell r="H410">
            <v>506000</v>
          </cell>
          <cell r="K410" t="str">
            <v>Car Expenses</v>
          </cell>
          <cell r="M410" t="e">
            <v>#N/A</v>
          </cell>
          <cell r="N410" t="e">
            <v>#REF!</v>
          </cell>
          <cell r="O410" t="str">
            <v>E</v>
          </cell>
          <cell r="P410">
            <v>0</v>
          </cell>
          <cell r="Q410">
            <v>1556949</v>
          </cell>
          <cell r="R410">
            <v>1799534</v>
          </cell>
          <cell r="T410">
            <v>0</v>
          </cell>
          <cell r="U410">
            <v>1026811</v>
          </cell>
          <cell r="V410">
            <v>1134060</v>
          </cell>
          <cell r="X410">
            <v>0</v>
          </cell>
          <cell r="Y410">
            <v>0</v>
          </cell>
          <cell r="Z410">
            <v>116293</v>
          </cell>
          <cell r="AB410">
            <v>0</v>
          </cell>
          <cell r="AC410">
            <v>326887</v>
          </cell>
          <cell r="AD410">
            <v>298674</v>
          </cell>
          <cell r="AF410">
            <v>0</v>
          </cell>
          <cell r="AG410">
            <v>203251</v>
          </cell>
          <cell r="AH410">
            <v>250507</v>
          </cell>
        </row>
        <row r="411">
          <cell r="H411">
            <v>507000</v>
          </cell>
          <cell r="J411" t="str">
            <v>Travelling, Conveyance and Car Expenses</v>
          </cell>
          <cell r="M411" t="e">
            <v>#N/A</v>
          </cell>
          <cell r="N411" t="e">
            <v>#REF!</v>
          </cell>
          <cell r="O411" t="str">
            <v>E</v>
          </cell>
          <cell r="Q411">
            <v>22564150</v>
          </cell>
          <cell r="R411">
            <v>17149351</v>
          </cell>
          <cell r="T411">
            <v>0</v>
          </cell>
          <cell r="U411">
            <v>17689416</v>
          </cell>
          <cell r="V411">
            <v>12809001</v>
          </cell>
          <cell r="X411">
            <v>0</v>
          </cell>
          <cell r="Y411">
            <v>2324775</v>
          </cell>
          <cell r="Z411">
            <v>2312025</v>
          </cell>
          <cell r="AB411">
            <v>0</v>
          </cell>
          <cell r="AC411">
            <v>1218268</v>
          </cell>
          <cell r="AD411">
            <v>761690</v>
          </cell>
          <cell r="AF411">
            <v>0</v>
          </cell>
          <cell r="AG411">
            <v>1331691</v>
          </cell>
          <cell r="AH411">
            <v>1266635</v>
          </cell>
        </row>
        <row r="412">
          <cell r="H412">
            <v>508000</v>
          </cell>
          <cell r="J412" t="str">
            <v>Security , Safety &amp; Sanitation</v>
          </cell>
          <cell r="M412" t="e">
            <v>#N/A</v>
          </cell>
          <cell r="N412" t="e">
            <v>#REF!</v>
          </cell>
          <cell r="O412" t="str">
            <v>E</v>
          </cell>
          <cell r="Q412">
            <v>0</v>
          </cell>
          <cell r="R412">
            <v>0</v>
          </cell>
        </row>
        <row r="413">
          <cell r="G413">
            <v>13428</v>
          </cell>
          <cell r="H413">
            <v>509000</v>
          </cell>
          <cell r="I413" t="str">
            <v>7360</v>
          </cell>
          <cell r="L413" t="str">
            <v>Security</v>
          </cell>
          <cell r="M413" t="str">
            <v>SECURITY (7360)</v>
          </cell>
          <cell r="N413" t="e">
            <v>#REF!</v>
          </cell>
          <cell r="O413" t="str">
            <v>E</v>
          </cell>
          <cell r="Q413">
            <v>6056506</v>
          </cell>
          <cell r="R413">
            <v>5922546</v>
          </cell>
          <cell r="U413">
            <v>1829199</v>
          </cell>
          <cell r="V413">
            <v>1792700</v>
          </cell>
          <cell r="Y413">
            <v>2125237</v>
          </cell>
          <cell r="Z413">
            <v>2116548</v>
          </cell>
          <cell r="AC413">
            <v>1251106</v>
          </cell>
          <cell r="AD413">
            <v>1219108</v>
          </cell>
          <cell r="AG413">
            <v>850964</v>
          </cell>
          <cell r="AH413">
            <v>794190</v>
          </cell>
        </row>
        <row r="414">
          <cell r="G414">
            <v>13429</v>
          </cell>
          <cell r="H414">
            <v>510000</v>
          </cell>
          <cell r="I414" t="str">
            <v>7370</v>
          </cell>
          <cell r="L414" t="str">
            <v>Safety &amp; Sanitation</v>
          </cell>
          <cell r="M414" t="str">
            <v>SAFETY &amp; SANITATION (7370)</v>
          </cell>
          <cell r="N414" t="e">
            <v>#REF!</v>
          </cell>
          <cell r="O414" t="str">
            <v>E</v>
          </cell>
          <cell r="Q414">
            <v>574969</v>
          </cell>
          <cell r="R414">
            <v>487576</v>
          </cell>
          <cell r="U414">
            <v>257061</v>
          </cell>
          <cell r="V414">
            <v>240850</v>
          </cell>
          <cell r="Y414">
            <v>150452</v>
          </cell>
          <cell r="Z414">
            <v>131146</v>
          </cell>
          <cell r="AC414">
            <v>122247</v>
          </cell>
          <cell r="AD414">
            <v>95391</v>
          </cell>
          <cell r="AG414">
            <v>45209</v>
          </cell>
          <cell r="AH414">
            <v>20189</v>
          </cell>
        </row>
        <row r="415">
          <cell r="H415">
            <v>511000</v>
          </cell>
          <cell r="L415">
            <v>0</v>
          </cell>
          <cell r="M415" t="e">
            <v>#N/A</v>
          </cell>
          <cell r="N415" t="e">
            <v>#REF!</v>
          </cell>
          <cell r="O415" t="str">
            <v>E</v>
          </cell>
          <cell r="Q415">
            <v>0</v>
          </cell>
          <cell r="R415">
            <v>0</v>
          </cell>
          <cell r="U415">
            <v>0</v>
          </cell>
          <cell r="V415">
            <v>0</v>
          </cell>
          <cell r="Y415">
            <v>0</v>
          </cell>
          <cell r="Z415">
            <v>0</v>
          </cell>
        </row>
        <row r="416">
          <cell r="H416">
            <v>512000</v>
          </cell>
          <cell r="J416" t="str">
            <v>Security , Safety &amp; Sanitation</v>
          </cell>
          <cell r="M416" t="e">
            <v>#N/A</v>
          </cell>
          <cell r="N416" t="e">
            <v>#REF!</v>
          </cell>
          <cell r="O416" t="str">
            <v>E</v>
          </cell>
          <cell r="P416">
            <v>0</v>
          </cell>
          <cell r="Q416">
            <v>6631475</v>
          </cell>
          <cell r="R416">
            <v>6410122</v>
          </cell>
          <cell r="T416">
            <v>0</v>
          </cell>
          <cell r="U416">
            <v>2086260</v>
          </cell>
          <cell r="V416">
            <v>2033550</v>
          </cell>
          <cell r="X416">
            <v>0</v>
          </cell>
          <cell r="Y416">
            <v>2275689</v>
          </cell>
          <cell r="Z416">
            <v>2247694</v>
          </cell>
          <cell r="AB416">
            <v>0</v>
          </cell>
          <cell r="AC416">
            <v>1373353</v>
          </cell>
          <cell r="AD416">
            <v>1314499</v>
          </cell>
          <cell r="AF416">
            <v>0</v>
          </cell>
          <cell r="AG416">
            <v>896173</v>
          </cell>
          <cell r="AH416">
            <v>814379</v>
          </cell>
        </row>
        <row r="417">
          <cell r="H417">
            <v>513000</v>
          </cell>
          <cell r="J417" t="str">
            <v>Legal, Professional &amp; Secreterial Exp.</v>
          </cell>
          <cell r="M417" t="e">
            <v>#N/A</v>
          </cell>
          <cell r="N417" t="e">
            <v>#REF!</v>
          </cell>
          <cell r="O417" t="str">
            <v>E</v>
          </cell>
          <cell r="Q417">
            <v>0</v>
          </cell>
          <cell r="R417">
            <v>0</v>
          </cell>
        </row>
        <row r="418">
          <cell r="G418">
            <v>13539</v>
          </cell>
          <cell r="H418">
            <v>514000</v>
          </cell>
          <cell r="I418" t="str">
            <v>7260</v>
          </cell>
          <cell r="L418" t="str">
            <v>Legal Expenses</v>
          </cell>
          <cell r="M418" t="str">
            <v>LEGAL EXPENSES (7260)</v>
          </cell>
          <cell r="N418" t="e">
            <v>#REF!</v>
          </cell>
          <cell r="O418" t="str">
            <v>E</v>
          </cell>
          <cell r="Q418">
            <v>57310</v>
          </cell>
          <cell r="R418">
            <v>71710</v>
          </cell>
          <cell r="U418">
            <v>45010</v>
          </cell>
          <cell r="V418">
            <v>70900</v>
          </cell>
          <cell r="Y418">
            <v>12300</v>
          </cell>
          <cell r="Z418">
            <v>810</v>
          </cell>
          <cell r="AC418">
            <v>0</v>
          </cell>
          <cell r="AD418">
            <v>0</v>
          </cell>
          <cell r="AG418">
            <v>0</v>
          </cell>
          <cell r="AH418">
            <v>0</v>
          </cell>
        </row>
        <row r="419">
          <cell r="G419">
            <v>13540</v>
          </cell>
          <cell r="H419">
            <v>515000</v>
          </cell>
          <cell r="I419" t="str">
            <v>7265</v>
          </cell>
          <cell r="L419" t="str">
            <v>Professional Expenses</v>
          </cell>
          <cell r="M419" t="str">
            <v>PROFESSIONAL EXPENSES (7265)</v>
          </cell>
          <cell r="N419" t="e">
            <v>#REF!</v>
          </cell>
          <cell r="O419" t="str">
            <v>E</v>
          </cell>
          <cell r="Q419">
            <v>21331194</v>
          </cell>
          <cell r="R419">
            <v>7607310</v>
          </cell>
          <cell r="U419">
            <v>19738394</v>
          </cell>
          <cell r="V419">
            <v>4614507</v>
          </cell>
          <cell r="Y419">
            <v>486387</v>
          </cell>
          <cell r="Z419">
            <v>2598919</v>
          </cell>
          <cell r="AC419">
            <v>44414</v>
          </cell>
          <cell r="AD419">
            <v>30042</v>
          </cell>
          <cell r="AG419">
            <v>1061999</v>
          </cell>
          <cell r="AH419">
            <v>363842</v>
          </cell>
        </row>
        <row r="420">
          <cell r="G420">
            <v>13542</v>
          </cell>
          <cell r="H420">
            <v>516000</v>
          </cell>
          <cell r="I420" t="str">
            <v>7271</v>
          </cell>
          <cell r="L420" t="str">
            <v>Secretarial Expenses - Postage</v>
          </cell>
          <cell r="M420" t="str">
            <v>SECRETARIAL EXPENSES (7271,7272,7273)</v>
          </cell>
          <cell r="N420" t="e">
            <v>#REF!</v>
          </cell>
          <cell r="O420" t="str">
            <v>E</v>
          </cell>
          <cell r="Q420">
            <v>1016524</v>
          </cell>
          <cell r="R420">
            <v>781213</v>
          </cell>
          <cell r="U420">
            <v>1016524</v>
          </cell>
          <cell r="V420">
            <v>781213</v>
          </cell>
          <cell r="Y420">
            <v>0</v>
          </cell>
          <cell r="Z420">
            <v>0</v>
          </cell>
          <cell r="AC420">
            <v>0</v>
          </cell>
          <cell r="AD420">
            <v>0</v>
          </cell>
          <cell r="AG420">
            <v>0</v>
          </cell>
          <cell r="AH420">
            <v>0</v>
          </cell>
        </row>
        <row r="421">
          <cell r="H421">
            <v>517000</v>
          </cell>
          <cell r="J421" t="str">
            <v>Legal, Professional &amp; Secreterial Exp.</v>
          </cell>
          <cell r="M421" t="e">
            <v>#N/A</v>
          </cell>
          <cell r="N421" t="e">
            <v>#REF!</v>
          </cell>
          <cell r="O421" t="str">
            <v>E</v>
          </cell>
          <cell r="P421">
            <v>0</v>
          </cell>
          <cell r="Q421">
            <v>22405028</v>
          </cell>
          <cell r="R421">
            <v>8460233</v>
          </cell>
          <cell r="T421">
            <v>0</v>
          </cell>
          <cell r="U421">
            <v>20799928</v>
          </cell>
          <cell r="V421">
            <v>5466620</v>
          </cell>
          <cell r="X421">
            <v>0</v>
          </cell>
          <cell r="Y421">
            <v>498687</v>
          </cell>
          <cell r="Z421">
            <v>2599729</v>
          </cell>
          <cell r="AB421">
            <v>0</v>
          </cell>
          <cell r="AC421">
            <v>44414</v>
          </cell>
          <cell r="AD421">
            <v>30042</v>
          </cell>
          <cell r="AF421">
            <v>0</v>
          </cell>
          <cell r="AG421">
            <v>1061999</v>
          </cell>
          <cell r="AH421">
            <v>363842</v>
          </cell>
        </row>
        <row r="422">
          <cell r="H422">
            <v>513000</v>
          </cell>
          <cell r="J422" t="str">
            <v>Corporate Social Responsibility</v>
          </cell>
          <cell r="M422" t="e">
            <v>#N/A</v>
          </cell>
          <cell r="N422" t="e">
            <v>#REF!</v>
          </cell>
          <cell r="O422" t="str">
            <v>E</v>
          </cell>
          <cell r="Q422">
            <v>0</v>
          </cell>
          <cell r="R422">
            <v>0</v>
          </cell>
        </row>
        <row r="423">
          <cell r="G423">
            <v>18000</v>
          </cell>
          <cell r="H423">
            <v>514000</v>
          </cell>
          <cell r="L423" t="str">
            <v>Csr Expenses</v>
          </cell>
          <cell r="M423" t="str">
            <v>CORPORATE SOCIAL RESPONSIBILITY</v>
          </cell>
          <cell r="N423" t="e">
            <v>#REF!</v>
          </cell>
          <cell r="O423" t="str">
            <v>E</v>
          </cell>
          <cell r="Q423">
            <v>1535000</v>
          </cell>
          <cell r="R423">
            <v>0</v>
          </cell>
          <cell r="U423">
            <v>1535000</v>
          </cell>
          <cell r="V423">
            <v>0</v>
          </cell>
          <cell r="Y423">
            <v>0</v>
          </cell>
          <cell r="Z423">
            <v>0</v>
          </cell>
          <cell r="AC423">
            <v>0</v>
          </cell>
          <cell r="AD423">
            <v>0</v>
          </cell>
          <cell r="AG423">
            <v>0</v>
          </cell>
          <cell r="AH423">
            <v>0</v>
          </cell>
        </row>
        <row r="424">
          <cell r="H424">
            <v>515000</v>
          </cell>
          <cell r="M424" t="e">
            <v>#N/A</v>
          </cell>
          <cell r="N424" t="e">
            <v>#REF!</v>
          </cell>
          <cell r="O424" t="str">
            <v>E</v>
          </cell>
          <cell r="Q424">
            <v>0</v>
          </cell>
          <cell r="R424">
            <v>0</v>
          </cell>
          <cell r="U424">
            <v>0</v>
          </cell>
          <cell r="V424">
            <v>0</v>
          </cell>
          <cell r="Y424">
            <v>0</v>
          </cell>
          <cell r="Z424">
            <v>0</v>
          </cell>
          <cell r="AC424">
            <v>0</v>
          </cell>
          <cell r="AD424">
            <v>0</v>
          </cell>
          <cell r="AG424">
            <v>0</v>
          </cell>
          <cell r="AH424">
            <v>0</v>
          </cell>
        </row>
        <row r="425">
          <cell r="H425">
            <v>516000</v>
          </cell>
          <cell r="M425" t="e">
            <v>#N/A</v>
          </cell>
          <cell r="N425" t="e">
            <v>#REF!</v>
          </cell>
          <cell r="O425" t="str">
            <v>E</v>
          </cell>
          <cell r="Q425">
            <v>0</v>
          </cell>
          <cell r="R425">
            <v>0</v>
          </cell>
          <cell r="U425">
            <v>0</v>
          </cell>
          <cell r="V425">
            <v>0</v>
          </cell>
          <cell r="Y425">
            <v>0</v>
          </cell>
          <cell r="Z425">
            <v>0</v>
          </cell>
          <cell r="AC425">
            <v>0</v>
          </cell>
          <cell r="AD425">
            <v>0</v>
          </cell>
          <cell r="AG425">
            <v>0</v>
          </cell>
          <cell r="AH425">
            <v>0</v>
          </cell>
        </row>
        <row r="426">
          <cell r="H426">
            <v>517000</v>
          </cell>
          <cell r="J426" t="str">
            <v>Corporate Social Responsibility</v>
          </cell>
          <cell r="M426" t="e">
            <v>#N/A</v>
          </cell>
          <cell r="N426" t="e">
            <v>#REF!</v>
          </cell>
          <cell r="O426" t="str">
            <v>E</v>
          </cell>
          <cell r="P426">
            <v>0</v>
          </cell>
          <cell r="Q426">
            <v>1535000</v>
          </cell>
          <cell r="R426">
            <v>0</v>
          </cell>
          <cell r="T426">
            <v>0</v>
          </cell>
          <cell r="U426">
            <v>1535000</v>
          </cell>
          <cell r="V426">
            <v>0</v>
          </cell>
          <cell r="X426">
            <v>0</v>
          </cell>
          <cell r="Y426">
            <v>0</v>
          </cell>
          <cell r="Z426">
            <v>0</v>
          </cell>
          <cell r="AB426">
            <v>0</v>
          </cell>
          <cell r="AC426">
            <v>0</v>
          </cell>
          <cell r="AD426">
            <v>0</v>
          </cell>
          <cell r="AF426">
            <v>0</v>
          </cell>
          <cell r="AG426">
            <v>0</v>
          </cell>
          <cell r="AH426">
            <v>0</v>
          </cell>
        </row>
        <row r="427">
          <cell r="H427">
            <v>518000</v>
          </cell>
          <cell r="J427" t="str">
            <v>Freight &amp; transport expenses</v>
          </cell>
          <cell r="M427" t="e">
            <v>#N/A</v>
          </cell>
          <cell r="N427" t="e">
            <v>#REF!</v>
          </cell>
          <cell r="O427" t="str">
            <v>E</v>
          </cell>
          <cell r="Q427">
            <v>0</v>
          </cell>
          <cell r="R427">
            <v>0</v>
          </cell>
        </row>
        <row r="428">
          <cell r="H428">
            <v>519000</v>
          </cell>
          <cell r="K428" t="str">
            <v>Expense</v>
          </cell>
          <cell r="M428" t="e">
            <v>#N/A</v>
          </cell>
          <cell r="N428" t="e">
            <v>#REF!</v>
          </cell>
          <cell r="O428" t="str">
            <v>E</v>
          </cell>
        </row>
        <row r="429">
          <cell r="G429">
            <v>13475</v>
          </cell>
          <cell r="H429">
            <v>520000</v>
          </cell>
          <cell r="I429" t="str">
            <v>7285</v>
          </cell>
          <cell r="L429" t="str">
            <v>Freight &amp; Transport - Local</v>
          </cell>
          <cell r="M429" t="str">
            <v>FREIGHT &amp; TRANSPORT - LOCAL SALES (7285)</v>
          </cell>
          <cell r="N429" t="e">
            <v>#REF!</v>
          </cell>
          <cell r="O429" t="str">
            <v>E</v>
          </cell>
          <cell r="Q429">
            <v>92380220</v>
          </cell>
          <cell r="R429">
            <v>86191831</v>
          </cell>
          <cell r="U429">
            <v>3413029</v>
          </cell>
          <cell r="V429">
            <v>3903975</v>
          </cell>
          <cell r="Y429">
            <v>50714499</v>
          </cell>
          <cell r="Z429">
            <v>53888862</v>
          </cell>
          <cell r="AC429">
            <v>16504285</v>
          </cell>
          <cell r="AD429">
            <v>13433598</v>
          </cell>
          <cell r="AG429">
            <v>21748407</v>
          </cell>
          <cell r="AH429">
            <v>14965396</v>
          </cell>
        </row>
        <row r="430">
          <cell r="G430">
            <v>13476</v>
          </cell>
          <cell r="H430">
            <v>521000</v>
          </cell>
          <cell r="I430" t="str">
            <v>7286</v>
          </cell>
          <cell r="L430" t="str">
            <v>Loading &amp; Unloading Exp</v>
          </cell>
          <cell r="M430" t="str">
            <v>LOADING &amp; UNLOADING EXPENSE (7286)</v>
          </cell>
          <cell r="N430" t="e">
            <v>#REF!</v>
          </cell>
          <cell r="O430" t="str">
            <v>E</v>
          </cell>
          <cell r="Q430">
            <v>14533931</v>
          </cell>
          <cell r="R430">
            <v>16296983</v>
          </cell>
          <cell r="U430">
            <v>-2051</v>
          </cell>
          <cell r="V430">
            <v>57041</v>
          </cell>
          <cell r="Y430">
            <v>13166034</v>
          </cell>
          <cell r="Z430">
            <v>15221093</v>
          </cell>
          <cell r="AC430">
            <v>503072</v>
          </cell>
          <cell r="AD430">
            <v>388890</v>
          </cell>
          <cell r="AG430">
            <v>866876</v>
          </cell>
          <cell r="AH430">
            <v>629959</v>
          </cell>
        </row>
        <row r="431">
          <cell r="H431">
            <v>522000</v>
          </cell>
          <cell r="I431" t="str">
            <v>7287</v>
          </cell>
          <cell r="L431" t="str">
            <v>Freight Detention Chgs</v>
          </cell>
          <cell r="M431" t="e">
            <v>#N/A</v>
          </cell>
          <cell r="N431" t="e">
            <v>#REF!</v>
          </cell>
          <cell r="O431" t="str">
            <v>E</v>
          </cell>
          <cell r="Q431">
            <v>49300</v>
          </cell>
          <cell r="R431">
            <v>39400</v>
          </cell>
          <cell r="U431">
            <v>0</v>
          </cell>
          <cell r="V431">
            <v>0</v>
          </cell>
          <cell r="Y431">
            <v>0</v>
          </cell>
          <cell r="Z431">
            <v>0</v>
          </cell>
          <cell r="AC431">
            <v>0</v>
          </cell>
          <cell r="AD431">
            <v>0</v>
          </cell>
          <cell r="AG431">
            <v>49300</v>
          </cell>
          <cell r="AH431">
            <v>39400</v>
          </cell>
        </row>
        <row r="432">
          <cell r="G432">
            <v>13478</v>
          </cell>
          <cell r="H432">
            <v>523000</v>
          </cell>
          <cell r="I432" t="str">
            <v>7288</v>
          </cell>
          <cell r="L432" t="str">
            <v>Freight On Rejected Drums</v>
          </cell>
          <cell r="M432" t="str">
            <v>FREIGHT ON REJECTED DRUMS</v>
          </cell>
          <cell r="N432" t="e">
            <v>#REF!</v>
          </cell>
          <cell r="O432" t="str">
            <v>E</v>
          </cell>
          <cell r="Q432">
            <v>35292</v>
          </cell>
          <cell r="R432">
            <v>3082</v>
          </cell>
          <cell r="U432">
            <v>8954</v>
          </cell>
          <cell r="V432">
            <v>0</v>
          </cell>
          <cell r="Y432">
            <v>26338</v>
          </cell>
          <cell r="Z432">
            <v>3082</v>
          </cell>
          <cell r="AC432">
            <v>0</v>
          </cell>
          <cell r="AD432">
            <v>0</v>
          </cell>
          <cell r="AG432">
            <v>0</v>
          </cell>
          <cell r="AH432">
            <v>0</v>
          </cell>
        </row>
        <row r="433">
          <cell r="G433">
            <v>13479</v>
          </cell>
          <cell r="H433">
            <v>524000</v>
          </cell>
          <cell r="I433" t="str">
            <v>7289</v>
          </cell>
          <cell r="L433" t="str">
            <v>Freight - Thanpi &amp; Toll Charges</v>
          </cell>
          <cell r="M433" t="str">
            <v>FREIGHT - THAPI &amp; TOLL CHARGES</v>
          </cell>
          <cell r="N433" t="e">
            <v>#REF!</v>
          </cell>
          <cell r="O433" t="str">
            <v>E</v>
          </cell>
          <cell r="Q433">
            <v>3220</v>
          </cell>
          <cell r="R433">
            <v>2530</v>
          </cell>
          <cell r="U433">
            <v>820</v>
          </cell>
          <cell r="V433">
            <v>2530</v>
          </cell>
          <cell r="Y433">
            <v>2400</v>
          </cell>
          <cell r="Z433">
            <v>0</v>
          </cell>
          <cell r="AC433">
            <v>0</v>
          </cell>
          <cell r="AD433">
            <v>0</v>
          </cell>
          <cell r="AG433">
            <v>0</v>
          </cell>
          <cell r="AH433">
            <v>0</v>
          </cell>
        </row>
        <row r="434">
          <cell r="G434">
            <v>13485</v>
          </cell>
          <cell r="H434">
            <v>525000</v>
          </cell>
          <cell r="I434" t="str">
            <v>7295</v>
          </cell>
          <cell r="L434" t="str">
            <v>Freight &amp; Transport  -  Exports</v>
          </cell>
          <cell r="M434" t="str">
            <v>FREIGHT &amp; TRANSPORT - EXPORTS SALES (7295)</v>
          </cell>
          <cell r="N434" t="e">
            <v>#REF!</v>
          </cell>
          <cell r="O434" t="str">
            <v>E</v>
          </cell>
          <cell r="Q434">
            <v>8030927</v>
          </cell>
          <cell r="R434">
            <v>16007026</v>
          </cell>
          <cell r="U434">
            <v>6211053</v>
          </cell>
          <cell r="V434">
            <v>5829279</v>
          </cell>
          <cell r="Y434">
            <v>1819874</v>
          </cell>
          <cell r="Z434">
            <v>10177747</v>
          </cell>
          <cell r="AC434">
            <v>0</v>
          </cell>
          <cell r="AD434">
            <v>0</v>
          </cell>
          <cell r="AG434">
            <v>0</v>
          </cell>
          <cell r="AH434">
            <v>0</v>
          </cell>
        </row>
        <row r="435">
          <cell r="G435">
            <v>13480</v>
          </cell>
          <cell r="H435">
            <v>526000</v>
          </cell>
          <cell r="I435" t="str">
            <v>7310</v>
          </cell>
          <cell r="L435" t="str">
            <v>Octroi -  Paid/Purchase</v>
          </cell>
          <cell r="M435" t="str">
            <v>OCTROI - PAID (7310)</v>
          </cell>
          <cell r="N435" t="e">
            <v>#REF!</v>
          </cell>
          <cell r="O435" t="str">
            <v>E</v>
          </cell>
          <cell r="Q435">
            <v>-5390279</v>
          </cell>
          <cell r="R435">
            <v>-4253549</v>
          </cell>
          <cell r="U435">
            <v>115803</v>
          </cell>
          <cell r="V435">
            <v>516644</v>
          </cell>
          <cell r="Y435">
            <v>-5506082</v>
          </cell>
          <cell r="Z435">
            <v>-4770193</v>
          </cell>
          <cell r="AC435">
            <v>0</v>
          </cell>
          <cell r="AD435">
            <v>0</v>
          </cell>
          <cell r="AG435">
            <v>0</v>
          </cell>
          <cell r="AH435">
            <v>0</v>
          </cell>
        </row>
        <row r="436">
          <cell r="H436">
            <v>527000</v>
          </cell>
          <cell r="K436" t="str">
            <v>Expense</v>
          </cell>
          <cell r="L436">
            <v>-64618508</v>
          </cell>
          <cell r="M436" t="e">
            <v>#N/A</v>
          </cell>
          <cell r="N436" t="e">
            <v>#REF!</v>
          </cell>
          <cell r="O436" t="str">
            <v>E</v>
          </cell>
          <cell r="Q436">
            <v>109642611</v>
          </cell>
          <cell r="R436">
            <v>114287303</v>
          </cell>
          <cell r="T436">
            <v>0</v>
          </cell>
          <cell r="U436">
            <v>9747608</v>
          </cell>
          <cell r="V436">
            <v>10309469</v>
          </cell>
          <cell r="X436">
            <v>0</v>
          </cell>
          <cell r="Y436">
            <v>60223063</v>
          </cell>
          <cell r="Z436">
            <v>74520591</v>
          </cell>
          <cell r="AB436">
            <v>0</v>
          </cell>
          <cell r="AC436">
            <v>17007357</v>
          </cell>
          <cell r="AD436">
            <v>13822488</v>
          </cell>
          <cell r="AF436">
            <v>0</v>
          </cell>
          <cell r="AG436">
            <v>22664583</v>
          </cell>
          <cell r="AH436">
            <v>15634755</v>
          </cell>
        </row>
        <row r="437">
          <cell r="H437">
            <v>528000</v>
          </cell>
          <cell r="K437" t="str">
            <v>Recovery</v>
          </cell>
          <cell r="M437" t="e">
            <v>#N/A</v>
          </cell>
          <cell r="N437" t="e">
            <v>#REF!</v>
          </cell>
          <cell r="O437" t="str">
            <v>E</v>
          </cell>
          <cell r="Q437">
            <v>0</v>
          </cell>
          <cell r="R437">
            <v>0</v>
          </cell>
        </row>
        <row r="438">
          <cell r="G438">
            <v>13483</v>
          </cell>
          <cell r="H438">
            <v>529000</v>
          </cell>
          <cell r="I438" t="str">
            <v>7290</v>
          </cell>
          <cell r="L438" t="str">
            <v>Freight &amp; Transport Recovered - Local</v>
          </cell>
          <cell r="M438" t="str">
            <v>FREIGHT &amp; TRANSPORT - RECOVERED LOCAL (7290)</v>
          </cell>
          <cell r="N438" t="e">
            <v>#REF!</v>
          </cell>
          <cell r="O438" t="str">
            <v>E</v>
          </cell>
          <cell r="Q438">
            <v>-59228229</v>
          </cell>
          <cell r="R438">
            <v>-56081225</v>
          </cell>
          <cell r="U438">
            <v>-4142522</v>
          </cell>
          <cell r="V438">
            <v>-4724279</v>
          </cell>
          <cell r="Y438">
            <v>-33332153</v>
          </cell>
          <cell r="Z438">
            <v>-33606173</v>
          </cell>
          <cell r="AC438">
            <v>-6039509</v>
          </cell>
          <cell r="AD438">
            <v>-4768519</v>
          </cell>
          <cell r="AG438">
            <v>-15714045</v>
          </cell>
          <cell r="AH438">
            <v>-12982254</v>
          </cell>
        </row>
        <row r="439">
          <cell r="G439">
            <v>13486</v>
          </cell>
          <cell r="H439">
            <v>530000</v>
          </cell>
          <cell r="I439" t="str">
            <v>7300</v>
          </cell>
          <cell r="L439" t="str">
            <v>Freight &amp; Transport Recovered - Exports</v>
          </cell>
          <cell r="M439" t="str">
            <v>FREIGHT &amp; TRANSPORT - RECOVERED- EXPORTS (7300)</v>
          </cell>
          <cell r="N439" t="e">
            <v>#REF!</v>
          </cell>
          <cell r="O439" t="str">
            <v>E</v>
          </cell>
          <cell r="Q439">
            <v>0</v>
          </cell>
          <cell r="R439">
            <v>0</v>
          </cell>
          <cell r="U439">
            <v>0</v>
          </cell>
          <cell r="V439">
            <v>0</v>
          </cell>
          <cell r="Y439">
            <v>0</v>
          </cell>
          <cell r="Z439">
            <v>0</v>
          </cell>
          <cell r="AC439">
            <v>0</v>
          </cell>
          <cell r="AD439">
            <v>0</v>
          </cell>
          <cell r="AG439">
            <v>0</v>
          </cell>
          <cell r="AH439">
            <v>0</v>
          </cell>
        </row>
        <row r="440">
          <cell r="G440">
            <v>13484</v>
          </cell>
          <cell r="H440">
            <v>531000</v>
          </cell>
          <cell r="I440" t="str">
            <v>7315</v>
          </cell>
          <cell r="L440" t="str">
            <v>Octroi -  Recovered</v>
          </cell>
          <cell r="M440" t="str">
            <v>OCTROI - RECOVERED (7315)</v>
          </cell>
          <cell r="N440" t="e">
            <v>#REF!</v>
          </cell>
          <cell r="O440" t="str">
            <v>E</v>
          </cell>
          <cell r="Q440">
            <v>5544780</v>
          </cell>
          <cell r="R440">
            <v>4367098</v>
          </cell>
          <cell r="U440">
            <v>0</v>
          </cell>
          <cell r="V440">
            <v>-440836</v>
          </cell>
          <cell r="Y440">
            <v>5544780</v>
          </cell>
          <cell r="Z440">
            <v>4807934</v>
          </cell>
          <cell r="AC440">
            <v>0</v>
          </cell>
          <cell r="AD440">
            <v>0</v>
          </cell>
          <cell r="AG440">
            <v>0</v>
          </cell>
          <cell r="AH440">
            <v>0</v>
          </cell>
        </row>
        <row r="441">
          <cell r="H441">
            <v>532000</v>
          </cell>
          <cell r="K441" t="str">
            <v>Recovery</v>
          </cell>
          <cell r="M441" t="e">
            <v>#N/A</v>
          </cell>
          <cell r="N441" t="e">
            <v>#REF!</v>
          </cell>
          <cell r="O441" t="str">
            <v>E</v>
          </cell>
          <cell r="Q441">
            <v>-53683449</v>
          </cell>
          <cell r="R441">
            <v>-51714127</v>
          </cell>
          <cell r="T441">
            <v>0</v>
          </cell>
          <cell r="U441">
            <v>-4142522</v>
          </cell>
          <cell r="V441">
            <v>-5165115</v>
          </cell>
          <cell r="X441">
            <v>0</v>
          </cell>
          <cell r="Y441">
            <v>-27787373</v>
          </cell>
          <cell r="Z441">
            <v>-28798239</v>
          </cell>
          <cell r="AB441">
            <v>0</v>
          </cell>
          <cell r="AC441">
            <v>-6039509</v>
          </cell>
          <cell r="AD441">
            <v>-4768519</v>
          </cell>
          <cell r="AF441">
            <v>0</v>
          </cell>
          <cell r="AG441">
            <v>-15714045</v>
          </cell>
          <cell r="AH441">
            <v>-12982254</v>
          </cell>
        </row>
        <row r="442">
          <cell r="H442">
            <v>533000</v>
          </cell>
          <cell r="J442" t="str">
            <v>Freight &amp; transport expenses</v>
          </cell>
          <cell r="M442" t="e">
            <v>#N/A</v>
          </cell>
          <cell r="N442" t="e">
            <v>#REF!</v>
          </cell>
          <cell r="O442" t="str">
            <v>E</v>
          </cell>
          <cell r="P442">
            <v>0</v>
          </cell>
          <cell r="Q442">
            <v>55959162</v>
          </cell>
          <cell r="R442">
            <v>62573176</v>
          </cell>
          <cell r="T442">
            <v>0</v>
          </cell>
          <cell r="U442">
            <v>5605086</v>
          </cell>
          <cell r="V442">
            <v>5144354</v>
          </cell>
          <cell r="X442">
            <v>0</v>
          </cell>
          <cell r="Y442">
            <v>32435690</v>
          </cell>
          <cell r="Z442">
            <v>45722352</v>
          </cell>
          <cell r="AB442">
            <v>0</v>
          </cell>
          <cell r="AC442">
            <v>10967848</v>
          </cell>
          <cell r="AD442">
            <v>9053969</v>
          </cell>
          <cell r="AF442">
            <v>0</v>
          </cell>
          <cell r="AG442">
            <v>6950538</v>
          </cell>
          <cell r="AH442">
            <v>2652501</v>
          </cell>
        </row>
        <row r="443">
          <cell r="H443">
            <v>534000</v>
          </cell>
          <cell r="J443" t="str">
            <v>Commission on Sales</v>
          </cell>
          <cell r="M443" t="e">
            <v>#N/A</v>
          </cell>
          <cell r="N443" t="e">
            <v>#REF!</v>
          </cell>
          <cell r="O443" t="str">
            <v>E</v>
          </cell>
          <cell r="Q443">
            <v>0</v>
          </cell>
          <cell r="R443">
            <v>0</v>
          </cell>
        </row>
        <row r="444">
          <cell r="G444">
            <v>13412</v>
          </cell>
          <cell r="H444">
            <v>535000</v>
          </cell>
          <cell r="I444" t="str">
            <v>7170</v>
          </cell>
          <cell r="L444" t="str">
            <v>Commission On Sale</v>
          </cell>
          <cell r="M444" t="str">
            <v>COMMISSION ON SALE (7170)</v>
          </cell>
          <cell r="N444" t="e">
            <v>#REF!</v>
          </cell>
          <cell r="O444" t="str">
            <v>E</v>
          </cell>
          <cell r="Q444">
            <v>16000324</v>
          </cell>
          <cell r="R444">
            <v>18687197</v>
          </cell>
          <cell r="U444">
            <v>14883175</v>
          </cell>
          <cell r="V444">
            <v>15637144</v>
          </cell>
          <cell r="Y444">
            <v>985086</v>
          </cell>
          <cell r="Z444">
            <v>2950656</v>
          </cell>
          <cell r="AC444">
            <v>132063</v>
          </cell>
          <cell r="AD444">
            <v>99397</v>
          </cell>
          <cell r="AG444">
            <v>0</v>
          </cell>
          <cell r="AH444">
            <v>0</v>
          </cell>
        </row>
        <row r="445">
          <cell r="H445">
            <v>536000</v>
          </cell>
          <cell r="L445">
            <v>0</v>
          </cell>
          <cell r="M445" t="e">
            <v>#N/A</v>
          </cell>
          <cell r="N445" t="e">
            <v>#REF!</v>
          </cell>
          <cell r="O445" t="str">
            <v>E</v>
          </cell>
        </row>
        <row r="446">
          <cell r="H446">
            <v>537000</v>
          </cell>
          <cell r="J446" t="str">
            <v>Commission on Sales</v>
          </cell>
          <cell r="M446" t="e">
            <v>#N/A</v>
          </cell>
          <cell r="N446" t="e">
            <v>#REF!</v>
          </cell>
          <cell r="O446" t="str">
            <v>E</v>
          </cell>
          <cell r="P446">
            <v>0</v>
          </cell>
          <cell r="Q446">
            <v>16000324</v>
          </cell>
          <cell r="R446">
            <v>18687197</v>
          </cell>
          <cell r="T446">
            <v>0</v>
          </cell>
          <cell r="U446">
            <v>14883175</v>
          </cell>
          <cell r="V446">
            <v>15637144</v>
          </cell>
          <cell r="X446">
            <v>0</v>
          </cell>
          <cell r="Y446">
            <v>985086</v>
          </cell>
          <cell r="Z446">
            <v>2950656</v>
          </cell>
          <cell r="AB446">
            <v>0</v>
          </cell>
          <cell r="AC446">
            <v>132063</v>
          </cell>
          <cell r="AD446">
            <v>99397</v>
          </cell>
          <cell r="AF446">
            <v>0</v>
          </cell>
          <cell r="AG446">
            <v>0</v>
          </cell>
          <cell r="AH446">
            <v>0</v>
          </cell>
        </row>
        <row r="447">
          <cell r="H447">
            <v>538000</v>
          </cell>
          <cell r="J447" t="str">
            <v>Loss on Foreign Exchange (Net)</v>
          </cell>
          <cell r="M447" t="e">
            <v>#N/A</v>
          </cell>
          <cell r="N447" t="e">
            <v>#REF!</v>
          </cell>
          <cell r="O447" t="str">
            <v>E</v>
          </cell>
          <cell r="Q447">
            <v>0</v>
          </cell>
          <cell r="R447">
            <v>0</v>
          </cell>
        </row>
        <row r="448">
          <cell r="G448">
            <v>13738</v>
          </cell>
          <cell r="H448">
            <v>539000</v>
          </cell>
          <cell r="I448" t="str">
            <v>5195</v>
          </cell>
          <cell r="L448" t="str">
            <v>Realised  Gain/ Loss  On Exchange</v>
          </cell>
          <cell r="M448" t="str">
            <v>REALISED GAIN/LOSS ON EXCHANGE (5195)</v>
          </cell>
          <cell r="N448" t="e">
            <v>#REF!</v>
          </cell>
          <cell r="O448" t="str">
            <v>E</v>
          </cell>
          <cell r="Q448">
            <v>4247895</v>
          </cell>
          <cell r="R448">
            <v>-322959</v>
          </cell>
          <cell r="U448">
            <v>-3475490</v>
          </cell>
          <cell r="V448">
            <v>-4108063</v>
          </cell>
          <cell r="Y448">
            <v>6656857</v>
          </cell>
          <cell r="Z448">
            <v>2931237</v>
          </cell>
          <cell r="AC448">
            <v>1036038</v>
          </cell>
          <cell r="AD448">
            <v>516019</v>
          </cell>
          <cell r="AG448">
            <v>30490</v>
          </cell>
          <cell r="AH448">
            <v>337848</v>
          </cell>
        </row>
        <row r="449">
          <cell r="G449">
            <v>13739</v>
          </cell>
          <cell r="H449">
            <v>540000</v>
          </cell>
          <cell r="I449" t="str">
            <v>5200</v>
          </cell>
          <cell r="L449" t="str">
            <v>Unrealised  Gain/Loss  On Exchange</v>
          </cell>
          <cell r="M449" t="str">
            <v>UNREALISED GAIN/LOSS ON EXCHANGE (5200)</v>
          </cell>
          <cell r="N449" t="e">
            <v>#REF!</v>
          </cell>
          <cell r="O449" t="str">
            <v>E</v>
          </cell>
          <cell r="Q449">
            <v>-1190005</v>
          </cell>
          <cell r="R449">
            <v>1073269</v>
          </cell>
          <cell r="U449">
            <v>1038899</v>
          </cell>
          <cell r="V449">
            <v>-103278</v>
          </cell>
          <cell r="Y449">
            <v>-2079159</v>
          </cell>
          <cell r="Z449">
            <v>965467</v>
          </cell>
          <cell r="AC449">
            <v>-45405</v>
          </cell>
          <cell r="AD449">
            <v>211080</v>
          </cell>
          <cell r="AG449">
            <v>-104340</v>
          </cell>
          <cell r="AH449">
            <v>0</v>
          </cell>
        </row>
        <row r="450">
          <cell r="G450">
            <v>14305</v>
          </cell>
          <cell r="H450">
            <v>541000</v>
          </cell>
          <cell r="I450" t="str">
            <v>7375</v>
          </cell>
          <cell r="L450" t="str">
            <v>PREMIUM ON FORWARD CONTRACT ACCOUNT</v>
          </cell>
          <cell r="M450" t="str">
            <v>PREMIUM ON FORWARD CONTRACT ACCOUNT</v>
          </cell>
          <cell r="N450" t="e">
            <v>#REF!</v>
          </cell>
          <cell r="O450" t="str">
            <v>E</v>
          </cell>
          <cell r="Q450">
            <v>6620270</v>
          </cell>
          <cell r="R450">
            <v>6821257</v>
          </cell>
          <cell r="U450">
            <v>0</v>
          </cell>
          <cell r="V450">
            <v>0</v>
          </cell>
          <cell r="Y450">
            <v>5910925</v>
          </cell>
          <cell r="Z450">
            <v>5880970</v>
          </cell>
          <cell r="AC450">
            <v>709345</v>
          </cell>
          <cell r="AD450">
            <v>548125</v>
          </cell>
          <cell r="AG450">
            <v>0</v>
          </cell>
          <cell r="AH450">
            <v>392162</v>
          </cell>
        </row>
        <row r="451">
          <cell r="H451">
            <v>542000</v>
          </cell>
          <cell r="J451" t="str">
            <v>Loss on Foreign Exchange (Net)</v>
          </cell>
          <cell r="M451" t="e">
            <v>#N/A</v>
          </cell>
          <cell r="N451" t="e">
            <v>#REF!</v>
          </cell>
          <cell r="O451" t="str">
            <v>E</v>
          </cell>
          <cell r="P451">
            <v>0</v>
          </cell>
          <cell r="Q451">
            <v>9678160</v>
          </cell>
          <cell r="R451">
            <v>7571567</v>
          </cell>
          <cell r="T451">
            <v>0</v>
          </cell>
          <cell r="U451">
            <v>-2436591</v>
          </cell>
          <cell r="V451">
            <v>-4211341</v>
          </cell>
          <cell r="X451">
            <v>0</v>
          </cell>
          <cell r="Y451">
            <v>10488623</v>
          </cell>
          <cell r="Z451">
            <v>9777674</v>
          </cell>
          <cell r="AB451">
            <v>0</v>
          </cell>
          <cell r="AC451">
            <v>1699978</v>
          </cell>
          <cell r="AD451">
            <v>1275224</v>
          </cell>
          <cell r="AF451">
            <v>0</v>
          </cell>
          <cell r="AG451">
            <v>-73850</v>
          </cell>
          <cell r="AH451">
            <v>730010</v>
          </cell>
        </row>
        <row r="452">
          <cell r="H452">
            <v>543000</v>
          </cell>
          <cell r="J452" t="str">
            <v>Provision For Doubtful Debts</v>
          </cell>
          <cell r="M452" t="e">
            <v>#N/A</v>
          </cell>
          <cell r="N452" t="e">
            <v>#REF!</v>
          </cell>
          <cell r="O452" t="str">
            <v>E</v>
          </cell>
        </row>
        <row r="453">
          <cell r="G453">
            <v>13526</v>
          </cell>
          <cell r="H453">
            <v>544000</v>
          </cell>
          <cell r="I453" t="str">
            <v>7355</v>
          </cell>
          <cell r="L453" t="str">
            <v>Provision &amp; Doubtful Debts/Advance</v>
          </cell>
          <cell r="M453" t="str">
            <v>PROVISION FOR DOUBTFUL DEBTS/ADVANCE (7355)</v>
          </cell>
          <cell r="N453" t="e">
            <v>#REF!</v>
          </cell>
          <cell r="O453" t="str">
            <v>E</v>
          </cell>
          <cell r="Q453">
            <v>2168621</v>
          </cell>
          <cell r="R453">
            <v>0</v>
          </cell>
          <cell r="U453">
            <v>2168621</v>
          </cell>
          <cell r="V453">
            <v>0</v>
          </cell>
          <cell r="Y453">
            <v>0</v>
          </cell>
          <cell r="Z453">
            <v>0</v>
          </cell>
          <cell r="AC453">
            <v>0</v>
          </cell>
          <cell r="AD453">
            <v>0</v>
          </cell>
          <cell r="AG453">
            <v>0</v>
          </cell>
          <cell r="AH453">
            <v>0</v>
          </cell>
        </row>
        <row r="454">
          <cell r="H454">
            <v>545000</v>
          </cell>
          <cell r="I454" t="str">
            <v>7351</v>
          </cell>
          <cell r="L454" t="str">
            <v>Adv. Wirtten Off</v>
          </cell>
          <cell r="M454" t="e">
            <v>#N/A</v>
          </cell>
          <cell r="N454" t="e">
            <v>#REF!</v>
          </cell>
          <cell r="O454" t="str">
            <v>E</v>
          </cell>
          <cell r="Q454">
            <v>596065</v>
          </cell>
          <cell r="R454">
            <v>0</v>
          </cell>
          <cell r="U454">
            <v>0</v>
          </cell>
          <cell r="V454">
            <v>0</v>
          </cell>
          <cell r="Y454">
            <v>0</v>
          </cell>
          <cell r="Z454">
            <v>0</v>
          </cell>
          <cell r="AC454">
            <v>596065</v>
          </cell>
          <cell r="AD454">
            <v>0</v>
          </cell>
          <cell r="AG454">
            <v>0</v>
          </cell>
          <cell r="AH454">
            <v>0</v>
          </cell>
        </row>
        <row r="455">
          <cell r="H455">
            <v>546000</v>
          </cell>
          <cell r="L455">
            <v>0</v>
          </cell>
          <cell r="M455" t="e">
            <v>#N/A</v>
          </cell>
          <cell r="N455" t="e">
            <v>#REF!</v>
          </cell>
          <cell r="O455" t="str">
            <v>E</v>
          </cell>
          <cell r="Q455">
            <v>-596065</v>
          </cell>
          <cell r="AC455">
            <v>-596065</v>
          </cell>
          <cell r="AD455">
            <v>0</v>
          </cell>
          <cell r="AG455">
            <v>0</v>
          </cell>
          <cell r="AH455">
            <v>0</v>
          </cell>
        </row>
        <row r="456">
          <cell r="H456">
            <v>547000</v>
          </cell>
          <cell r="J456" t="str">
            <v>Provision For Doubtful Debts</v>
          </cell>
          <cell r="M456" t="e">
            <v>#N/A</v>
          </cell>
          <cell r="N456" t="e">
            <v>#REF!</v>
          </cell>
          <cell r="O456" t="str">
            <v>E</v>
          </cell>
          <cell r="P456">
            <v>0</v>
          </cell>
          <cell r="Q456">
            <v>2168621</v>
          </cell>
          <cell r="R456">
            <v>0</v>
          </cell>
          <cell r="T456">
            <v>0</v>
          </cell>
          <cell r="U456">
            <v>2168621</v>
          </cell>
          <cell r="V456">
            <v>0</v>
          </cell>
          <cell r="X456">
            <v>0</v>
          </cell>
          <cell r="Y456">
            <v>0</v>
          </cell>
          <cell r="Z456">
            <v>0</v>
          </cell>
          <cell r="AB456">
            <v>0</v>
          </cell>
          <cell r="AC456">
            <v>0</v>
          </cell>
          <cell r="AD456">
            <v>0</v>
          </cell>
          <cell r="AF456">
            <v>0</v>
          </cell>
          <cell r="AG456">
            <v>0</v>
          </cell>
          <cell r="AH456">
            <v>0</v>
          </cell>
        </row>
        <row r="457">
          <cell r="H457">
            <v>548000</v>
          </cell>
          <cell r="J457" t="str">
            <v>Bad Debts</v>
          </cell>
          <cell r="M457" t="e">
            <v>#N/A</v>
          </cell>
          <cell r="N457" t="e">
            <v>#REF!</v>
          </cell>
          <cell r="O457" t="str">
            <v>E</v>
          </cell>
          <cell r="Q457">
            <v>0</v>
          </cell>
          <cell r="R457">
            <v>0</v>
          </cell>
        </row>
        <row r="458">
          <cell r="G458">
            <v>13506</v>
          </cell>
          <cell r="H458">
            <v>549000</v>
          </cell>
          <cell r="I458" t="str">
            <v>7350</v>
          </cell>
          <cell r="L458" t="str">
            <v>Bad Debts</v>
          </cell>
          <cell r="M458" t="str">
            <v>BAD DEBTS (7350)</v>
          </cell>
          <cell r="N458" t="e">
            <v>#REF!</v>
          </cell>
          <cell r="O458" t="str">
            <v>E</v>
          </cell>
          <cell r="Q458">
            <v>106379</v>
          </cell>
          <cell r="R458">
            <v>1218546</v>
          </cell>
          <cell r="U458">
            <v>0</v>
          </cell>
          <cell r="V458">
            <v>66707</v>
          </cell>
          <cell r="Y458">
            <v>54155</v>
          </cell>
          <cell r="Z458">
            <v>1151839</v>
          </cell>
          <cell r="AC458">
            <v>52224</v>
          </cell>
          <cell r="AD458">
            <v>0</v>
          </cell>
          <cell r="AG458">
            <v>0</v>
          </cell>
          <cell r="AH458">
            <v>0</v>
          </cell>
        </row>
        <row r="459">
          <cell r="G459">
            <v>13507</v>
          </cell>
          <cell r="H459">
            <v>550000</v>
          </cell>
          <cell r="L459" t="str">
            <v>Adv. Wirtten Off</v>
          </cell>
          <cell r="M459" t="str">
            <v>ADV. WIRTTEN OFF</v>
          </cell>
          <cell r="N459" t="e">
            <v>#REF!</v>
          </cell>
          <cell r="O459" t="str">
            <v>E</v>
          </cell>
          <cell r="Q459">
            <v>914255</v>
          </cell>
          <cell r="R459">
            <v>1054352</v>
          </cell>
          <cell r="U459">
            <v>914255</v>
          </cell>
          <cell r="V459">
            <v>114840</v>
          </cell>
          <cell r="Y459">
            <v>0</v>
          </cell>
          <cell r="Z459">
            <v>939512</v>
          </cell>
          <cell r="AC459">
            <v>0</v>
          </cell>
          <cell r="AD459">
            <v>0</v>
          </cell>
          <cell r="AG459">
            <v>0</v>
          </cell>
          <cell r="AH459">
            <v>0</v>
          </cell>
        </row>
        <row r="460">
          <cell r="L460" t="str">
            <v>Regrouped from Other Income</v>
          </cell>
          <cell r="Q460">
            <v>596065</v>
          </cell>
          <cell r="R460">
            <v>-1812800</v>
          </cell>
          <cell r="U460">
            <v>0</v>
          </cell>
          <cell r="V460">
            <v>0</v>
          </cell>
          <cell r="W460">
            <v>0</v>
          </cell>
          <cell r="X460">
            <v>0</v>
          </cell>
          <cell r="Y460">
            <v>0</v>
          </cell>
          <cell r="Z460">
            <v>-1812800</v>
          </cell>
          <cell r="AC460">
            <v>596065</v>
          </cell>
        </row>
        <row r="461">
          <cell r="H461">
            <v>551000</v>
          </cell>
          <cell r="J461" t="str">
            <v>Bad Debts</v>
          </cell>
          <cell r="L461" t="str">
            <v>Sub-Total</v>
          </cell>
          <cell r="M461" t="e">
            <v>#N/A</v>
          </cell>
          <cell r="N461" t="e">
            <v>#REF!</v>
          </cell>
          <cell r="O461" t="str">
            <v>E</v>
          </cell>
          <cell r="P461">
            <v>0</v>
          </cell>
          <cell r="Q461">
            <v>1616699</v>
          </cell>
          <cell r="R461">
            <v>460098</v>
          </cell>
          <cell r="T461">
            <v>0</v>
          </cell>
          <cell r="U461">
            <v>914255</v>
          </cell>
          <cell r="V461">
            <v>181547</v>
          </cell>
          <cell r="W461">
            <v>0</v>
          </cell>
          <cell r="X461">
            <v>0</v>
          </cell>
          <cell r="Y461">
            <v>54155</v>
          </cell>
          <cell r="Z461">
            <v>278551</v>
          </cell>
          <cell r="AA461">
            <v>0</v>
          </cell>
          <cell r="AB461">
            <v>0</v>
          </cell>
          <cell r="AC461">
            <v>648289</v>
          </cell>
          <cell r="AD461">
            <v>0</v>
          </cell>
          <cell r="AE461">
            <v>0</v>
          </cell>
          <cell r="AF461">
            <v>0</v>
          </cell>
          <cell r="AG461">
            <v>0</v>
          </cell>
          <cell r="AH461">
            <v>0</v>
          </cell>
        </row>
        <row r="462">
          <cell r="H462">
            <v>552000</v>
          </cell>
          <cell r="J462" t="str">
            <v>Miscellaneous Expenses</v>
          </cell>
          <cell r="M462" t="e">
            <v>#N/A</v>
          </cell>
          <cell r="N462" t="e">
            <v>#REF!</v>
          </cell>
          <cell r="O462" t="str">
            <v>E</v>
          </cell>
          <cell r="Q462">
            <v>0</v>
          </cell>
          <cell r="R462">
            <v>0</v>
          </cell>
        </row>
        <row r="463">
          <cell r="H463">
            <v>553000</v>
          </cell>
          <cell r="I463" t="str">
            <v>7380</v>
          </cell>
          <cell r="L463" t="str">
            <v>Business Development Exp</v>
          </cell>
          <cell r="M463" t="e">
            <v>#N/A</v>
          </cell>
          <cell r="N463" t="e">
            <v>#REF!</v>
          </cell>
          <cell r="O463" t="str">
            <v>E</v>
          </cell>
          <cell r="Q463">
            <v>149485</v>
          </cell>
          <cell r="R463">
            <v>-51096</v>
          </cell>
          <cell r="U463">
            <v>0</v>
          </cell>
          <cell r="V463">
            <v>0</v>
          </cell>
          <cell r="Y463">
            <v>0</v>
          </cell>
          <cell r="Z463">
            <v>0</v>
          </cell>
          <cell r="AC463">
            <v>149485</v>
          </cell>
          <cell r="AD463">
            <v>-51096</v>
          </cell>
          <cell r="AG463">
            <v>0</v>
          </cell>
          <cell r="AH463">
            <v>0</v>
          </cell>
        </row>
        <row r="464">
          <cell r="G464">
            <v>13596</v>
          </cell>
          <cell r="H464">
            <v>554000</v>
          </cell>
          <cell r="I464" t="str">
            <v>7390</v>
          </cell>
          <cell r="L464" t="str">
            <v>Books , News Papers And Periodicals</v>
          </cell>
          <cell r="M464" t="str">
            <v>BOOKS , NEWS PAPERS AND PERIODICALS (7390)</v>
          </cell>
          <cell r="N464" t="e">
            <v>#REF!</v>
          </cell>
          <cell r="O464" t="str">
            <v>E</v>
          </cell>
          <cell r="Q464">
            <v>121060</v>
          </cell>
          <cell r="R464">
            <v>114984</v>
          </cell>
          <cell r="U464">
            <v>102772</v>
          </cell>
          <cell r="V464">
            <v>74191</v>
          </cell>
          <cell r="Y464">
            <v>13500</v>
          </cell>
          <cell r="Z464">
            <v>35750</v>
          </cell>
          <cell r="AC464">
            <v>0</v>
          </cell>
          <cell r="AD464">
            <v>0</v>
          </cell>
          <cell r="AG464">
            <v>4788</v>
          </cell>
          <cell r="AH464">
            <v>5043</v>
          </cell>
        </row>
        <row r="465">
          <cell r="G465">
            <v>13599</v>
          </cell>
          <cell r="H465">
            <v>555000</v>
          </cell>
          <cell r="I465" t="str">
            <v>7400</v>
          </cell>
          <cell r="L465" t="str">
            <v>Subscription - Club/ Inst</v>
          </cell>
          <cell r="M465" t="str">
            <v>SUBSCRIPTION - OTHERS (7400,7405)</v>
          </cell>
          <cell r="N465" t="e">
            <v>#REF!</v>
          </cell>
          <cell r="O465" t="str">
            <v>E</v>
          </cell>
          <cell r="Q465">
            <v>640185</v>
          </cell>
          <cell r="R465">
            <v>705956</v>
          </cell>
          <cell r="U465">
            <v>373168</v>
          </cell>
          <cell r="V465">
            <v>674539</v>
          </cell>
          <cell r="Y465">
            <v>267017</v>
          </cell>
          <cell r="Z465">
            <v>31417</v>
          </cell>
          <cell r="AC465">
            <v>0</v>
          </cell>
          <cell r="AD465">
            <v>0</v>
          </cell>
          <cell r="AG465">
            <v>0</v>
          </cell>
          <cell r="AH465">
            <v>0</v>
          </cell>
        </row>
        <row r="466">
          <cell r="H466">
            <v>556000</v>
          </cell>
          <cell r="I466" t="str">
            <v>7405</v>
          </cell>
          <cell r="L466" t="str">
            <v>Subscription - Others</v>
          </cell>
          <cell r="M466" t="e">
            <v>#N/A</v>
          </cell>
          <cell r="N466" t="e">
            <v>#REF!</v>
          </cell>
          <cell r="O466" t="str">
            <v>E</v>
          </cell>
          <cell r="Q466">
            <v>10000</v>
          </cell>
          <cell r="R466">
            <v>20000</v>
          </cell>
          <cell r="U466">
            <v>0</v>
          </cell>
          <cell r="V466">
            <v>0</v>
          </cell>
          <cell r="Y466">
            <v>0</v>
          </cell>
          <cell r="Z466">
            <v>0</v>
          </cell>
          <cell r="AC466">
            <v>0</v>
          </cell>
          <cell r="AD466">
            <v>0</v>
          </cell>
          <cell r="AG466">
            <v>10000</v>
          </cell>
          <cell r="AH466">
            <v>20000</v>
          </cell>
        </row>
        <row r="467">
          <cell r="G467">
            <v>13600</v>
          </cell>
          <cell r="H467">
            <v>557000</v>
          </cell>
          <cell r="I467" t="str">
            <v>7410</v>
          </cell>
          <cell r="L467" t="str">
            <v>Postage/Telegram/Courier</v>
          </cell>
          <cell r="M467" t="str">
            <v>POSTAGE/ TELEGRAM/ COURIER (7410)</v>
          </cell>
          <cell r="N467" t="e">
            <v>#REF!</v>
          </cell>
          <cell r="O467" t="str">
            <v>E</v>
          </cell>
          <cell r="Q467">
            <v>1078096</v>
          </cell>
          <cell r="R467">
            <v>530445</v>
          </cell>
          <cell r="U467">
            <v>956373</v>
          </cell>
          <cell r="V467">
            <v>451251</v>
          </cell>
          <cell r="Y467">
            <v>37571</v>
          </cell>
          <cell r="Z467">
            <v>12758</v>
          </cell>
          <cell r="AC467">
            <v>17897</v>
          </cell>
          <cell r="AD467">
            <v>16187</v>
          </cell>
          <cell r="AG467">
            <v>66255</v>
          </cell>
          <cell r="AH467">
            <v>50249</v>
          </cell>
        </row>
        <row r="468">
          <cell r="G468">
            <v>13601</v>
          </cell>
          <cell r="H468">
            <v>558000</v>
          </cell>
          <cell r="I468" t="str">
            <v>7415</v>
          </cell>
          <cell r="L468" t="str">
            <v>Export Documentation Expenses</v>
          </cell>
          <cell r="M468" t="str">
            <v>EXPORT EXPENSES (7415)</v>
          </cell>
          <cell r="N468" t="e">
            <v>#REF!</v>
          </cell>
          <cell r="O468" t="str">
            <v>E</v>
          </cell>
          <cell r="Q468">
            <v>221562</v>
          </cell>
          <cell r="R468">
            <v>1280373</v>
          </cell>
          <cell r="U468">
            <v>200562</v>
          </cell>
          <cell r="V468">
            <v>1151872</v>
          </cell>
          <cell r="Y468">
            <v>21000</v>
          </cell>
          <cell r="Z468">
            <v>128501</v>
          </cell>
          <cell r="AC468">
            <v>0</v>
          </cell>
          <cell r="AD468">
            <v>0</v>
          </cell>
          <cell r="AG468">
            <v>0</v>
          </cell>
          <cell r="AH468">
            <v>0</v>
          </cell>
        </row>
        <row r="469">
          <cell r="G469">
            <v>13602</v>
          </cell>
          <cell r="H469">
            <v>559000</v>
          </cell>
          <cell r="I469" t="str">
            <v>7420</v>
          </cell>
          <cell r="L469" t="str">
            <v>Selling Expenses (Samples)</v>
          </cell>
          <cell r="M469" t="str">
            <v>SELLING EXPENSES (SAMPLES) (7420)</v>
          </cell>
          <cell r="N469" t="e">
            <v>#REF!</v>
          </cell>
          <cell r="O469" t="str">
            <v>E</v>
          </cell>
          <cell r="Q469">
            <v>12298342</v>
          </cell>
          <cell r="R469">
            <v>2301479</v>
          </cell>
          <cell r="U469">
            <v>10390695</v>
          </cell>
          <cell r="V469">
            <v>882677</v>
          </cell>
          <cell r="Y469">
            <v>1200394</v>
          </cell>
          <cell r="Z469">
            <v>975939</v>
          </cell>
          <cell r="AC469">
            <v>550559</v>
          </cell>
          <cell r="AD469">
            <v>412812</v>
          </cell>
          <cell r="AG469">
            <v>156694</v>
          </cell>
          <cell r="AH469">
            <v>30051</v>
          </cell>
        </row>
        <row r="470">
          <cell r="H470">
            <v>560000</v>
          </cell>
          <cell r="I470" t="str">
            <v>7425</v>
          </cell>
          <cell r="L470" t="str">
            <v>Admn Charges On Pf</v>
          </cell>
          <cell r="M470" t="e">
            <v>#N/A</v>
          </cell>
          <cell r="N470" t="e">
            <v>#REF!</v>
          </cell>
          <cell r="O470" t="str">
            <v>E</v>
          </cell>
          <cell r="Q470">
            <v>74069</v>
          </cell>
          <cell r="R470">
            <v>74042</v>
          </cell>
          <cell r="U470">
            <v>0</v>
          </cell>
          <cell r="V470">
            <v>0</v>
          </cell>
          <cell r="Y470">
            <v>0</v>
          </cell>
          <cell r="Z470">
            <v>0</v>
          </cell>
          <cell r="AC470">
            <v>43731</v>
          </cell>
          <cell r="AD470">
            <v>44259</v>
          </cell>
          <cell r="AG470">
            <v>30338</v>
          </cell>
          <cell r="AH470">
            <v>29783</v>
          </cell>
        </row>
        <row r="471">
          <cell r="G471">
            <v>13603</v>
          </cell>
          <cell r="H471">
            <v>561000</v>
          </cell>
          <cell r="I471" t="str">
            <v>7430</v>
          </cell>
          <cell r="L471" t="str">
            <v>Advertisement</v>
          </cell>
          <cell r="M471" t="str">
            <v>ADVERTISEMENT (7430)</v>
          </cell>
          <cell r="N471" t="e">
            <v>#REF!</v>
          </cell>
          <cell r="O471" t="str">
            <v>E</v>
          </cell>
          <cell r="Q471">
            <v>35000</v>
          </cell>
          <cell r="R471">
            <v>44540</v>
          </cell>
          <cell r="U471">
            <v>10000</v>
          </cell>
          <cell r="V471">
            <v>44540</v>
          </cell>
          <cell r="Y471">
            <v>15000</v>
          </cell>
          <cell r="Z471">
            <v>0</v>
          </cell>
          <cell r="AC471">
            <v>10000</v>
          </cell>
          <cell r="AD471">
            <v>0</v>
          </cell>
          <cell r="AG471">
            <v>0</v>
          </cell>
          <cell r="AH471">
            <v>0</v>
          </cell>
        </row>
        <row r="472">
          <cell r="G472">
            <v>13604</v>
          </cell>
          <cell r="H472">
            <v>562000</v>
          </cell>
          <cell r="I472" t="str">
            <v>7435</v>
          </cell>
          <cell r="L472" t="str">
            <v>Meeting &amp; Conference Expenses</v>
          </cell>
          <cell r="M472" t="str">
            <v>MEETING &amp; CONFERENCE EXPENSES (7435)</v>
          </cell>
          <cell r="N472" t="e">
            <v>#REF!</v>
          </cell>
          <cell r="O472" t="str">
            <v>E</v>
          </cell>
          <cell r="Q472">
            <v>877550</v>
          </cell>
          <cell r="R472">
            <v>742666</v>
          </cell>
          <cell r="U472">
            <v>849169</v>
          </cell>
          <cell r="V472">
            <v>707201</v>
          </cell>
          <cell r="Y472">
            <v>28381</v>
          </cell>
          <cell r="Z472">
            <v>32094</v>
          </cell>
          <cell r="AC472">
            <v>0</v>
          </cell>
          <cell r="AD472">
            <v>3371</v>
          </cell>
          <cell r="AG472">
            <v>0</v>
          </cell>
          <cell r="AH472">
            <v>0</v>
          </cell>
        </row>
        <row r="473">
          <cell r="G473">
            <v>13605</v>
          </cell>
          <cell r="H473">
            <v>563000</v>
          </cell>
          <cell r="I473" t="str">
            <v>7440</v>
          </cell>
          <cell r="L473" t="str">
            <v>Entertainment Expenses</v>
          </cell>
          <cell r="M473" t="str">
            <v>ENTERTAINMENT EXPENSES (7440)</v>
          </cell>
          <cell r="N473" t="e">
            <v>#REF!</v>
          </cell>
          <cell r="O473" t="str">
            <v>E</v>
          </cell>
          <cell r="Q473">
            <v>179958</v>
          </cell>
          <cell r="R473">
            <v>96046</v>
          </cell>
          <cell r="U473">
            <v>77784</v>
          </cell>
          <cell r="V473">
            <v>31345</v>
          </cell>
          <cell r="Y473">
            <v>26366</v>
          </cell>
          <cell r="Z473">
            <v>64701</v>
          </cell>
          <cell r="AC473">
            <v>0</v>
          </cell>
          <cell r="AD473">
            <v>0</v>
          </cell>
          <cell r="AG473">
            <v>75808</v>
          </cell>
          <cell r="AH473">
            <v>0</v>
          </cell>
        </row>
        <row r="474">
          <cell r="G474">
            <v>13607</v>
          </cell>
          <cell r="H474">
            <v>564000</v>
          </cell>
          <cell r="I474" t="str">
            <v>7455</v>
          </cell>
          <cell r="L474" t="str">
            <v>Iso Expenses</v>
          </cell>
          <cell r="M474" t="str">
            <v>ISO EXPENSES (7455)</v>
          </cell>
          <cell r="N474" t="e">
            <v>#REF!</v>
          </cell>
          <cell r="O474" t="str">
            <v>E</v>
          </cell>
          <cell r="Q474">
            <v>123421</v>
          </cell>
          <cell r="R474">
            <v>193452</v>
          </cell>
          <cell r="U474">
            <v>23800</v>
          </cell>
          <cell r="V474">
            <v>118052</v>
          </cell>
          <cell r="Y474">
            <v>99621</v>
          </cell>
          <cell r="Z474">
            <v>75400</v>
          </cell>
          <cell r="AC474">
            <v>0</v>
          </cell>
          <cell r="AD474">
            <v>0</v>
          </cell>
          <cell r="AG474">
            <v>0</v>
          </cell>
          <cell r="AH474">
            <v>0</v>
          </cell>
        </row>
        <row r="475">
          <cell r="H475">
            <v>565000</v>
          </cell>
          <cell r="I475" t="str">
            <v>7469</v>
          </cell>
          <cell r="L475" t="str">
            <v>Discount  (Premium  F/Cover)</v>
          </cell>
          <cell r="M475" t="e">
            <v>#N/A</v>
          </cell>
          <cell r="N475" t="e">
            <v>#REF!</v>
          </cell>
          <cell r="O475" t="str">
            <v>E</v>
          </cell>
          <cell r="Q475">
            <v>0</v>
          </cell>
          <cell r="R475">
            <v>0</v>
          </cell>
          <cell r="U475">
            <v>0</v>
          </cell>
          <cell r="V475">
            <v>0</v>
          </cell>
          <cell r="Y475">
            <v>0</v>
          </cell>
          <cell r="Z475">
            <v>0</v>
          </cell>
          <cell r="AC475">
            <v>0</v>
          </cell>
          <cell r="AD475">
            <v>0</v>
          </cell>
          <cell r="AG475">
            <v>0</v>
          </cell>
          <cell r="AH475">
            <v>0</v>
          </cell>
        </row>
        <row r="476">
          <cell r="G476">
            <v>13608</v>
          </cell>
          <cell r="H476">
            <v>566000</v>
          </cell>
          <cell r="I476" t="str">
            <v>7470</v>
          </cell>
          <cell r="J476" t="str">
            <v>7470</v>
          </cell>
          <cell r="L476" t="str">
            <v>General Expenses - Office</v>
          </cell>
          <cell r="M476" t="str">
            <v>GENERAL EXPENSES (7470-71)</v>
          </cell>
          <cell r="N476" t="e">
            <v>#REF!</v>
          </cell>
          <cell r="O476" t="str">
            <v>E</v>
          </cell>
          <cell r="Q476">
            <v>3215052</v>
          </cell>
          <cell r="R476">
            <v>2635970</v>
          </cell>
          <cell r="U476">
            <v>1831166</v>
          </cell>
          <cell r="V476">
            <v>1559562</v>
          </cell>
          <cell r="Y476">
            <v>1368700</v>
          </cell>
          <cell r="Z476">
            <v>1065193</v>
          </cell>
          <cell r="AC476">
            <v>490</v>
          </cell>
          <cell r="AD476">
            <v>0</v>
          </cell>
          <cell r="AG476">
            <v>14696</v>
          </cell>
          <cell r="AH476">
            <v>11215</v>
          </cell>
        </row>
        <row r="477">
          <cell r="H477">
            <v>567000</v>
          </cell>
          <cell r="I477" t="str">
            <v>7471</v>
          </cell>
          <cell r="L477" t="str">
            <v>General Expenses - Factory</v>
          </cell>
          <cell r="M477" t="e">
            <v>#N/A</v>
          </cell>
          <cell r="N477" t="e">
            <v>#REF!</v>
          </cell>
          <cell r="O477" t="str">
            <v>E</v>
          </cell>
          <cell r="Q477">
            <v>215543</v>
          </cell>
          <cell r="R477">
            <v>302454</v>
          </cell>
          <cell r="U477">
            <v>0</v>
          </cell>
          <cell r="V477">
            <v>0</v>
          </cell>
          <cell r="Y477">
            <v>0</v>
          </cell>
          <cell r="Z477">
            <v>0</v>
          </cell>
          <cell r="AC477">
            <v>90048</v>
          </cell>
          <cell r="AD477">
            <v>82945</v>
          </cell>
          <cell r="AG477">
            <v>125495</v>
          </cell>
          <cell r="AH477">
            <v>219509</v>
          </cell>
        </row>
        <row r="478">
          <cell r="G478">
            <v>13609</v>
          </cell>
          <cell r="H478">
            <v>568000</v>
          </cell>
          <cell r="I478" t="str">
            <v>7472</v>
          </cell>
          <cell r="L478" t="str">
            <v>Gift &amp; Presentation - Others</v>
          </cell>
          <cell r="M478" t="str">
            <v>GIFT &amp; PRESENTATION (7472-74)</v>
          </cell>
          <cell r="N478" t="e">
            <v>#REF!</v>
          </cell>
          <cell r="O478" t="str">
            <v>E</v>
          </cell>
          <cell r="Q478">
            <v>645402</v>
          </cell>
          <cell r="R478">
            <v>171145</v>
          </cell>
          <cell r="U478">
            <v>146510</v>
          </cell>
          <cell r="V478">
            <v>32045</v>
          </cell>
          <cell r="Y478">
            <v>353090</v>
          </cell>
          <cell r="Z478">
            <v>16650</v>
          </cell>
          <cell r="AC478">
            <v>0</v>
          </cell>
          <cell r="AD478">
            <v>0</v>
          </cell>
          <cell r="AG478">
            <v>145802</v>
          </cell>
          <cell r="AH478">
            <v>122450</v>
          </cell>
        </row>
        <row r="479">
          <cell r="H479">
            <v>569000</v>
          </cell>
          <cell r="I479" t="str">
            <v>7474</v>
          </cell>
          <cell r="L479" t="str">
            <v>Gift  &amp; Presentation - Employees</v>
          </cell>
          <cell r="M479" t="e">
            <v>#N/A</v>
          </cell>
          <cell r="N479" t="e">
            <v>#REF!</v>
          </cell>
          <cell r="O479" t="str">
            <v>E</v>
          </cell>
          <cell r="Q479">
            <v>0</v>
          </cell>
          <cell r="R479">
            <v>0</v>
          </cell>
          <cell r="U479">
            <v>0</v>
          </cell>
          <cell r="V479">
            <v>0</v>
          </cell>
          <cell r="Y479">
            <v>0</v>
          </cell>
          <cell r="Z479">
            <v>0</v>
          </cell>
          <cell r="AC479">
            <v>0</v>
          </cell>
          <cell r="AD479">
            <v>0</v>
          </cell>
          <cell r="AG479">
            <v>0</v>
          </cell>
          <cell r="AH479">
            <v>0</v>
          </cell>
        </row>
        <row r="480">
          <cell r="G480">
            <v>13610</v>
          </cell>
          <cell r="H480">
            <v>570000</v>
          </cell>
          <cell r="I480" t="str">
            <v>7475</v>
          </cell>
          <cell r="L480" t="str">
            <v>Corporate Expenses (Central Services)</v>
          </cell>
          <cell r="M480" t="str">
            <v>CORPORATE EXPENSES (CENTRAL SERVICES) (7475)</v>
          </cell>
          <cell r="N480" t="e">
            <v>#REF!</v>
          </cell>
          <cell r="O480" t="str">
            <v>E</v>
          </cell>
          <cell r="Q480">
            <v>0</v>
          </cell>
          <cell r="R480">
            <v>0</v>
          </cell>
          <cell r="U480">
            <v>-39465000</v>
          </cell>
          <cell r="V480">
            <v>-29120000</v>
          </cell>
          <cell r="Y480">
            <v>27183000</v>
          </cell>
          <cell r="Z480">
            <v>20450000</v>
          </cell>
          <cell r="AC480">
            <v>5745000</v>
          </cell>
          <cell r="AD480">
            <v>4220000</v>
          </cell>
          <cell r="AG480">
            <v>6537000</v>
          </cell>
          <cell r="AH480">
            <v>4450000</v>
          </cell>
        </row>
        <row r="481">
          <cell r="G481">
            <v>13611</v>
          </cell>
          <cell r="H481">
            <v>571000</v>
          </cell>
          <cell r="I481" t="str">
            <v>7480</v>
          </cell>
          <cell r="L481" t="str">
            <v>Staff Training (Other Than Fees)</v>
          </cell>
          <cell r="M481" t="str">
            <v>STAFF TRAINING (7480)</v>
          </cell>
          <cell r="N481" t="e">
            <v>#REF!</v>
          </cell>
          <cell r="O481" t="str">
            <v>E</v>
          </cell>
          <cell r="Q481">
            <v>444350</v>
          </cell>
          <cell r="R481">
            <v>163467</v>
          </cell>
          <cell r="U481">
            <v>433850</v>
          </cell>
          <cell r="V481">
            <v>97462</v>
          </cell>
          <cell r="Y481">
            <v>10500</v>
          </cell>
          <cell r="Z481">
            <v>66005</v>
          </cell>
          <cell r="AC481">
            <v>0</v>
          </cell>
          <cell r="AD481">
            <v>0</v>
          </cell>
          <cell r="AG481">
            <v>0</v>
          </cell>
          <cell r="AH481">
            <v>0</v>
          </cell>
        </row>
        <row r="482">
          <cell r="G482">
            <v>13612</v>
          </cell>
          <cell r="H482">
            <v>572000</v>
          </cell>
          <cell r="I482" t="str">
            <v>7485</v>
          </cell>
          <cell r="L482" t="str">
            <v>Recruitment Expenses</v>
          </cell>
          <cell r="M482" t="str">
            <v>RECRUITMENT EXPENSES (7485)</v>
          </cell>
          <cell r="N482" t="e">
            <v>#REF!</v>
          </cell>
          <cell r="O482" t="str">
            <v>E</v>
          </cell>
          <cell r="Q482">
            <v>243658</v>
          </cell>
          <cell r="R482">
            <v>129438</v>
          </cell>
          <cell r="U482">
            <v>40511</v>
          </cell>
          <cell r="V482">
            <v>30620</v>
          </cell>
          <cell r="Y482">
            <v>92905</v>
          </cell>
          <cell r="Z482">
            <v>63000</v>
          </cell>
          <cell r="AC482">
            <v>0</v>
          </cell>
          <cell r="AD482">
            <v>0</v>
          </cell>
          <cell r="AG482">
            <v>110242</v>
          </cell>
          <cell r="AH482">
            <v>35818</v>
          </cell>
        </row>
        <row r="483">
          <cell r="G483">
            <v>13613</v>
          </cell>
          <cell r="H483">
            <v>573000</v>
          </cell>
          <cell r="I483" t="str">
            <v>7490</v>
          </cell>
          <cell r="L483" t="str">
            <v>Courses And Conferences (Fees)</v>
          </cell>
          <cell r="M483" t="str">
            <v>COURSES &amp; CONFERENCE EXP (7490)</v>
          </cell>
          <cell r="N483" t="e">
            <v>#REF!</v>
          </cell>
          <cell r="O483" t="str">
            <v>E</v>
          </cell>
          <cell r="Q483">
            <v>1957496</v>
          </cell>
          <cell r="R483">
            <v>664712</v>
          </cell>
          <cell r="U483">
            <v>677839</v>
          </cell>
          <cell r="V483">
            <v>522380</v>
          </cell>
          <cell r="Y483">
            <v>1222304</v>
          </cell>
          <cell r="Z483">
            <v>119380</v>
          </cell>
          <cell r="AC483">
            <v>0</v>
          </cell>
          <cell r="AD483">
            <v>11476</v>
          </cell>
          <cell r="AG483">
            <v>57353</v>
          </cell>
          <cell r="AH483">
            <v>11476</v>
          </cell>
        </row>
        <row r="484">
          <cell r="G484">
            <v>13639</v>
          </cell>
          <cell r="H484">
            <v>574000</v>
          </cell>
          <cell r="I484" t="str">
            <v>7505</v>
          </cell>
          <cell r="L484" t="str">
            <v>Donations</v>
          </cell>
          <cell r="M484" t="str">
            <v>DONATIONS (7505)</v>
          </cell>
          <cell r="N484" t="e">
            <v>#REF!</v>
          </cell>
          <cell r="O484" t="str">
            <v>E</v>
          </cell>
          <cell r="Q484">
            <v>502100</v>
          </cell>
          <cell r="R484">
            <v>30000</v>
          </cell>
          <cell r="U484">
            <v>500000</v>
          </cell>
          <cell r="V484">
            <v>5000</v>
          </cell>
          <cell r="Y484">
            <v>0</v>
          </cell>
          <cell r="Z484">
            <v>10000</v>
          </cell>
          <cell r="AC484">
            <v>0</v>
          </cell>
          <cell r="AD484">
            <v>15000</v>
          </cell>
          <cell r="AG484">
            <v>2100</v>
          </cell>
          <cell r="AH484">
            <v>0</v>
          </cell>
        </row>
        <row r="485">
          <cell r="H485" t="str">
            <v>FOR BL ROW TO BE DELETED INSERTED FOR MIS</v>
          </cell>
          <cell r="O485" t="str">
            <v>E</v>
          </cell>
          <cell r="Q485">
            <v>0</v>
          </cell>
          <cell r="R485">
            <v>0</v>
          </cell>
          <cell r="V485">
            <v>0</v>
          </cell>
          <cell r="Y485">
            <v>0</v>
          </cell>
          <cell r="Z485">
            <v>0</v>
          </cell>
          <cell r="AC485">
            <v>0</v>
          </cell>
          <cell r="AD485">
            <v>0</v>
          </cell>
          <cell r="AG485">
            <v>0</v>
          </cell>
          <cell r="AH485">
            <v>0</v>
          </cell>
        </row>
        <row r="486">
          <cell r="H486">
            <v>575000</v>
          </cell>
          <cell r="L486">
            <v>0</v>
          </cell>
          <cell r="M486" t="e">
            <v>#N/A</v>
          </cell>
          <cell r="N486" t="e">
            <v>#REF!</v>
          </cell>
          <cell r="O486" t="str">
            <v>E</v>
          </cell>
          <cell r="Q486">
            <v>889</v>
          </cell>
          <cell r="R486">
            <v>4</v>
          </cell>
          <cell r="U486">
            <v>896</v>
          </cell>
          <cell r="V486">
            <v>4</v>
          </cell>
          <cell r="Y486">
            <v>-7</v>
          </cell>
        </row>
        <row r="487">
          <cell r="H487">
            <v>576000</v>
          </cell>
          <cell r="J487" t="str">
            <v>Miscellaneous Expenses</v>
          </cell>
          <cell r="M487" t="e">
            <v>#N/A</v>
          </cell>
          <cell r="N487" t="e">
            <v>#REF!</v>
          </cell>
          <cell r="O487" t="str">
            <v>E</v>
          </cell>
          <cell r="P487">
            <v>0</v>
          </cell>
          <cell r="Q487">
            <v>23033218</v>
          </cell>
          <cell r="R487">
            <v>10150077</v>
          </cell>
          <cell r="T487">
            <v>0</v>
          </cell>
          <cell r="U487">
            <v>-22849905</v>
          </cell>
          <cell r="V487">
            <v>-22737259</v>
          </cell>
          <cell r="X487">
            <v>0</v>
          </cell>
          <cell r="Y487">
            <v>31939342</v>
          </cell>
          <cell r="Z487">
            <v>23146788</v>
          </cell>
          <cell r="AB487">
            <v>0</v>
          </cell>
          <cell r="AC487">
            <v>6607210</v>
          </cell>
          <cell r="AD487">
            <v>4754954</v>
          </cell>
          <cell r="AF487">
            <v>0</v>
          </cell>
          <cell r="AG487">
            <v>7336571</v>
          </cell>
          <cell r="AH487">
            <v>4985594</v>
          </cell>
        </row>
        <row r="488">
          <cell r="H488">
            <v>577000</v>
          </cell>
          <cell r="J488" t="str">
            <v>OTHER EXPENSES</v>
          </cell>
          <cell r="M488" t="e">
            <v>#N/A</v>
          </cell>
          <cell r="N488" t="e">
            <v>#REF!</v>
          </cell>
          <cell r="O488" t="str">
            <v>E</v>
          </cell>
          <cell r="P488">
            <v>0</v>
          </cell>
          <cell r="Q488">
            <v>479436908</v>
          </cell>
          <cell r="R488">
            <v>424391910</v>
          </cell>
          <cell r="T488">
            <v>0</v>
          </cell>
          <cell r="U488">
            <v>127749004</v>
          </cell>
          <cell r="V488">
            <v>109502437</v>
          </cell>
          <cell r="W488">
            <v>0</v>
          </cell>
          <cell r="X488">
            <v>0</v>
          </cell>
          <cell r="Y488">
            <v>249529525</v>
          </cell>
          <cell r="Z488">
            <v>238789300</v>
          </cell>
          <cell r="AA488">
            <v>0</v>
          </cell>
          <cell r="AB488">
            <v>0</v>
          </cell>
          <cell r="AC488">
            <v>54696506</v>
          </cell>
          <cell r="AD488">
            <v>42271110</v>
          </cell>
          <cell r="AE488">
            <v>0</v>
          </cell>
          <cell r="AF488">
            <v>0</v>
          </cell>
          <cell r="AG488">
            <v>47461873</v>
          </cell>
          <cell r="AH488">
            <v>33829063</v>
          </cell>
        </row>
        <row r="489">
          <cell r="H489">
            <v>578000</v>
          </cell>
          <cell r="J489" t="str">
            <v>EXPENDITURE</v>
          </cell>
          <cell r="M489" t="e">
            <v>#N/A</v>
          </cell>
          <cell r="N489" t="e">
            <v>#REF!</v>
          </cell>
          <cell r="O489" t="str">
            <v>E</v>
          </cell>
          <cell r="P489" t="e">
            <v>#REF!</v>
          </cell>
          <cell r="Q489">
            <v>2618748495</v>
          </cell>
          <cell r="R489">
            <v>2706839999</v>
          </cell>
          <cell r="T489">
            <v>0</v>
          </cell>
          <cell r="U489">
            <v>633773105</v>
          </cell>
          <cell r="V489">
            <v>687139284</v>
          </cell>
          <cell r="X489">
            <v>0</v>
          </cell>
          <cell r="Y489">
            <v>1313982073</v>
          </cell>
          <cell r="Z489">
            <v>1418340712</v>
          </cell>
          <cell r="AB489">
            <v>0</v>
          </cell>
          <cell r="AC489">
            <v>338768765</v>
          </cell>
          <cell r="AD489">
            <v>332939250</v>
          </cell>
          <cell r="AF489">
            <v>0</v>
          </cell>
          <cell r="AG489">
            <v>332224552</v>
          </cell>
          <cell r="AH489">
            <v>268420753</v>
          </cell>
        </row>
        <row r="490">
          <cell r="H490">
            <v>579000</v>
          </cell>
          <cell r="J490" t="str">
            <v>Net Profit Before Tax Expense</v>
          </cell>
          <cell r="M490" t="e">
            <v>#N/A</v>
          </cell>
          <cell r="N490" t="e">
            <v>#REF!</v>
          </cell>
          <cell r="O490" t="str">
            <v>E</v>
          </cell>
          <cell r="P490" t="e">
            <v>#REF!</v>
          </cell>
          <cell r="Q490">
            <v>147298333</v>
          </cell>
          <cell r="R490">
            <v>79117202</v>
          </cell>
          <cell r="T490">
            <v>0</v>
          </cell>
          <cell r="U490">
            <v>59271453</v>
          </cell>
          <cell r="V490">
            <v>43673415</v>
          </cell>
          <cell r="X490">
            <v>0</v>
          </cell>
          <cell r="Y490">
            <v>84900489</v>
          </cell>
          <cell r="Z490">
            <v>39870078</v>
          </cell>
          <cell r="AB490">
            <v>0</v>
          </cell>
          <cell r="AC490">
            <v>-11047177</v>
          </cell>
          <cell r="AD490">
            <v>-15216722</v>
          </cell>
          <cell r="AF490">
            <v>0</v>
          </cell>
          <cell r="AG490">
            <v>14173568</v>
          </cell>
          <cell r="AH490">
            <v>10790431</v>
          </cell>
        </row>
        <row r="491">
          <cell r="H491">
            <v>580000</v>
          </cell>
          <cell r="O491" t="str">
            <v>E</v>
          </cell>
        </row>
        <row r="492">
          <cell r="H492">
            <v>581000</v>
          </cell>
          <cell r="J492" t="str">
            <v>Tax Expense</v>
          </cell>
          <cell r="M492" t="e">
            <v>#N/A</v>
          </cell>
          <cell r="N492" t="e">
            <v>#REF!</v>
          </cell>
          <cell r="O492" t="str">
            <v>E</v>
          </cell>
        </row>
        <row r="493">
          <cell r="G493">
            <v>13920</v>
          </cell>
          <cell r="H493">
            <v>582000</v>
          </cell>
          <cell r="I493" t="str">
            <v>8910</v>
          </cell>
          <cell r="L493" t="str">
            <v>Income Tax</v>
          </cell>
          <cell r="M493" t="str">
            <v>INCOME TAX (8910)</v>
          </cell>
          <cell r="N493" t="e">
            <v>#REF!</v>
          </cell>
          <cell r="O493" t="str">
            <v>S</v>
          </cell>
          <cell r="Q493">
            <v>36300000</v>
          </cell>
          <cell r="R493">
            <v>29900000</v>
          </cell>
          <cell r="U493">
            <v>36300000</v>
          </cell>
          <cell r="V493">
            <v>29900000</v>
          </cell>
          <cell r="Y493">
            <v>0</v>
          </cell>
          <cell r="Z493">
            <v>0</v>
          </cell>
          <cell r="AC493">
            <v>0</v>
          </cell>
          <cell r="AD493">
            <v>0</v>
          </cell>
          <cell r="AG493">
            <v>0</v>
          </cell>
          <cell r="AH493">
            <v>0</v>
          </cell>
        </row>
        <row r="494">
          <cell r="H494">
            <v>583000</v>
          </cell>
          <cell r="I494" t="str">
            <v>8911</v>
          </cell>
          <cell r="L494" t="str">
            <v>Wealth Tax</v>
          </cell>
          <cell r="M494" t="e">
            <v>#N/A</v>
          </cell>
          <cell r="N494" t="e">
            <v>#REF!</v>
          </cell>
          <cell r="O494" t="str">
            <v>S</v>
          </cell>
          <cell r="Q494">
            <v>0</v>
          </cell>
          <cell r="R494">
            <v>0</v>
          </cell>
          <cell r="U494">
            <v>0</v>
          </cell>
          <cell r="V494">
            <v>0</v>
          </cell>
          <cell r="Y494">
            <v>0</v>
          </cell>
          <cell r="Z494">
            <v>0</v>
          </cell>
          <cell r="AC494">
            <v>0</v>
          </cell>
          <cell r="AD494">
            <v>0</v>
          </cell>
          <cell r="AG494">
            <v>0</v>
          </cell>
          <cell r="AH494">
            <v>0</v>
          </cell>
        </row>
        <row r="495">
          <cell r="G495">
            <v>13929</v>
          </cell>
          <cell r="H495">
            <v>584000</v>
          </cell>
          <cell r="I495" t="str">
            <v>8912</v>
          </cell>
          <cell r="L495" t="str">
            <v>Deffered Tax  (P&amp;L)</v>
          </cell>
          <cell r="M495" t="str">
            <v>DEFFERED TAX (P&amp;L) (8912)</v>
          </cell>
          <cell r="N495" t="e">
            <v>#REF!</v>
          </cell>
          <cell r="O495" t="str">
            <v>S</v>
          </cell>
          <cell r="Q495">
            <v>904252</v>
          </cell>
          <cell r="R495">
            <v>-3164491</v>
          </cell>
          <cell r="U495">
            <v>904252</v>
          </cell>
          <cell r="V495">
            <v>-3164491</v>
          </cell>
          <cell r="Y495">
            <v>0</v>
          </cell>
          <cell r="Z495">
            <v>0</v>
          </cell>
          <cell r="AC495">
            <v>0</v>
          </cell>
          <cell r="AD495">
            <v>0</v>
          </cell>
          <cell r="AG495">
            <v>0</v>
          </cell>
          <cell r="AH495">
            <v>0</v>
          </cell>
        </row>
        <row r="496">
          <cell r="H496">
            <v>585000</v>
          </cell>
          <cell r="J496" t="str">
            <v>Tax Expense</v>
          </cell>
          <cell r="M496" t="e">
            <v>#N/A</v>
          </cell>
          <cell r="N496" t="e">
            <v>#REF!</v>
          </cell>
          <cell r="O496" t="str">
            <v>S</v>
          </cell>
          <cell r="P496">
            <v>0</v>
          </cell>
          <cell r="Q496">
            <v>37204252</v>
          </cell>
          <cell r="R496">
            <v>26735509</v>
          </cell>
          <cell r="T496">
            <v>0</v>
          </cell>
          <cell r="U496">
            <v>37204252</v>
          </cell>
          <cell r="V496">
            <v>26735509</v>
          </cell>
          <cell r="X496">
            <v>0</v>
          </cell>
          <cell r="Y496">
            <v>0</v>
          </cell>
          <cell r="Z496">
            <v>0</v>
          </cell>
          <cell r="AB496">
            <v>0</v>
          </cell>
          <cell r="AC496">
            <v>0</v>
          </cell>
          <cell r="AD496">
            <v>0</v>
          </cell>
          <cell r="AF496">
            <v>0</v>
          </cell>
          <cell r="AG496">
            <v>0</v>
          </cell>
          <cell r="AH496">
            <v>0</v>
          </cell>
        </row>
        <row r="497">
          <cell r="H497">
            <v>586000</v>
          </cell>
          <cell r="J497" t="str">
            <v>Net Profit After Tax Expense</v>
          </cell>
          <cell r="M497" t="e">
            <v>#N/A</v>
          </cell>
          <cell r="N497" t="e">
            <v>#REF!</v>
          </cell>
          <cell r="O497" t="str">
            <v>E</v>
          </cell>
          <cell r="P497" t="e">
            <v>#REF!</v>
          </cell>
          <cell r="Q497">
            <v>110094081</v>
          </cell>
          <cell r="R497">
            <v>52381693</v>
          </cell>
          <cell r="T497">
            <v>0</v>
          </cell>
          <cell r="U497">
            <v>22067201</v>
          </cell>
          <cell r="V497">
            <v>16937906</v>
          </cell>
          <cell r="X497">
            <v>0</v>
          </cell>
          <cell r="Y497">
            <v>84900489</v>
          </cell>
          <cell r="Z497">
            <v>39870078</v>
          </cell>
          <cell r="AB497">
            <v>0</v>
          </cell>
          <cell r="AC497">
            <v>-11047177</v>
          </cell>
          <cell r="AD497">
            <v>-15216722</v>
          </cell>
          <cell r="AF497">
            <v>0</v>
          </cell>
          <cell r="AG497">
            <v>14173568</v>
          </cell>
          <cell r="AH497">
            <v>10790431</v>
          </cell>
        </row>
        <row r="498">
          <cell r="H498">
            <v>587000</v>
          </cell>
          <cell r="M498" t="e">
            <v>#N/A</v>
          </cell>
          <cell r="N498" t="e">
            <v>#REF!</v>
          </cell>
          <cell r="O498" t="str">
            <v/>
          </cell>
          <cell r="Q498">
            <v>0</v>
          </cell>
          <cell r="R498">
            <v>0</v>
          </cell>
        </row>
        <row r="499">
          <cell r="H499">
            <v>599000</v>
          </cell>
          <cell r="J499" t="str">
            <v>BALANCE SHEET</v>
          </cell>
          <cell r="M499" t="e">
            <v>#N/A</v>
          </cell>
          <cell r="N499" t="e">
            <v>#REF!</v>
          </cell>
          <cell r="O499" t="str">
            <v/>
          </cell>
        </row>
        <row r="500">
          <cell r="H500">
            <v>600000</v>
          </cell>
          <cell r="J500" t="str">
            <v>Shareholder's Fund</v>
          </cell>
          <cell r="M500" t="e">
            <v>#N/A</v>
          </cell>
          <cell r="N500" t="e">
            <v>#REF!</v>
          </cell>
          <cell r="O500" t="str">
            <v/>
          </cell>
        </row>
        <row r="501">
          <cell r="H501">
            <v>601000</v>
          </cell>
          <cell r="J501" t="str">
            <v>(A) Share Capital</v>
          </cell>
          <cell r="M501" t="e">
            <v>#N/A</v>
          </cell>
          <cell r="N501" t="e">
            <v>#REF!</v>
          </cell>
          <cell r="O501" t="str">
            <v/>
          </cell>
        </row>
        <row r="502">
          <cell r="H502">
            <v>602000</v>
          </cell>
          <cell r="K502" t="str">
            <v>Subscribed And Paid Up Capital</v>
          </cell>
          <cell r="M502" t="e">
            <v>#N/A</v>
          </cell>
          <cell r="N502" t="e">
            <v>#REF!</v>
          </cell>
          <cell r="O502" t="str">
            <v/>
          </cell>
        </row>
        <row r="503">
          <cell r="G503">
            <v>14005</v>
          </cell>
          <cell r="H503">
            <v>603000</v>
          </cell>
          <cell r="I503" t="str">
            <v>1000</v>
          </cell>
          <cell r="L503" t="str">
            <v>Share Capital</v>
          </cell>
          <cell r="M503" t="str">
            <v>SHARE CAPITAL (1000)</v>
          </cell>
          <cell r="N503" t="e">
            <v>#REF!</v>
          </cell>
          <cell r="O503" t="str">
            <v>L</v>
          </cell>
          <cell r="Q503">
            <v>179520140</v>
          </cell>
          <cell r="R503">
            <v>179520140</v>
          </cell>
          <cell r="U503">
            <v>179520140</v>
          </cell>
          <cell r="V503">
            <v>179520140</v>
          </cell>
          <cell r="Y503">
            <v>0</v>
          </cell>
          <cell r="Z503">
            <v>0</v>
          </cell>
          <cell r="AC503">
            <v>0</v>
          </cell>
          <cell r="AD503">
            <v>0</v>
          </cell>
          <cell r="AG503">
            <v>0</v>
          </cell>
          <cell r="AH503">
            <v>0</v>
          </cell>
        </row>
        <row r="504">
          <cell r="G504">
            <v>14006</v>
          </cell>
          <cell r="H504">
            <v>604000</v>
          </cell>
          <cell r="I504" t="str">
            <v>1004</v>
          </cell>
          <cell r="L504" t="str">
            <v>Forefited Shares</v>
          </cell>
          <cell r="M504" t="str">
            <v>FOREFITED SHARES (1004)</v>
          </cell>
          <cell r="N504" t="e">
            <v>#REF!</v>
          </cell>
          <cell r="O504" t="str">
            <v>L</v>
          </cell>
          <cell r="Q504">
            <v>114000</v>
          </cell>
          <cell r="R504">
            <v>114000</v>
          </cell>
          <cell r="U504">
            <v>114000</v>
          </cell>
          <cell r="V504">
            <v>114000</v>
          </cell>
          <cell r="Y504">
            <v>0</v>
          </cell>
          <cell r="Z504">
            <v>0</v>
          </cell>
          <cell r="AC504">
            <v>0</v>
          </cell>
          <cell r="AD504">
            <v>0</v>
          </cell>
          <cell r="AG504">
            <v>0</v>
          </cell>
          <cell r="AH504">
            <v>0</v>
          </cell>
        </row>
        <row r="505">
          <cell r="H505">
            <v>605000</v>
          </cell>
          <cell r="J505" t="str">
            <v>(A) Share Capital</v>
          </cell>
          <cell r="M505" t="e">
            <v>#N/A</v>
          </cell>
          <cell r="N505" t="e">
            <v>#REF!</v>
          </cell>
          <cell r="O505" t="str">
            <v>L</v>
          </cell>
          <cell r="P505">
            <v>0</v>
          </cell>
          <cell r="Q505">
            <v>179634140</v>
          </cell>
          <cell r="R505">
            <v>179634140</v>
          </cell>
          <cell r="T505">
            <v>0</v>
          </cell>
          <cell r="U505">
            <v>179634140</v>
          </cell>
          <cell r="V505">
            <v>179634140</v>
          </cell>
          <cell r="X505">
            <v>0</v>
          </cell>
          <cell r="Y505">
            <v>0</v>
          </cell>
          <cell r="Z505">
            <v>0</v>
          </cell>
          <cell r="AB505">
            <v>0</v>
          </cell>
          <cell r="AC505">
            <v>0</v>
          </cell>
          <cell r="AD505">
            <v>0</v>
          </cell>
          <cell r="AF505">
            <v>0</v>
          </cell>
          <cell r="AG505">
            <v>0</v>
          </cell>
          <cell r="AH505">
            <v>0</v>
          </cell>
        </row>
        <row r="506">
          <cell r="H506">
            <v>606000</v>
          </cell>
          <cell r="J506" t="str">
            <v>(b) Reserves and Surplus</v>
          </cell>
          <cell r="M506" t="e">
            <v>#N/A</v>
          </cell>
          <cell r="N506" t="e">
            <v>#REF!</v>
          </cell>
          <cell r="O506" t="str">
            <v>L</v>
          </cell>
        </row>
        <row r="507">
          <cell r="H507">
            <v>607000</v>
          </cell>
          <cell r="I507" t="str">
            <v>1014</v>
          </cell>
          <cell r="K507" t="str">
            <v>Capital Reserve</v>
          </cell>
          <cell r="M507" t="e">
            <v>#N/A</v>
          </cell>
          <cell r="N507" t="e">
            <v>#REF!</v>
          </cell>
          <cell r="O507" t="str">
            <v>L</v>
          </cell>
          <cell r="AC507">
            <v>0</v>
          </cell>
          <cell r="AD507">
            <v>0</v>
          </cell>
        </row>
        <row r="508">
          <cell r="G508">
            <v>14015</v>
          </cell>
          <cell r="H508">
            <v>608000</v>
          </cell>
          <cell r="I508" t="str">
            <v>1015</v>
          </cell>
          <cell r="L508" t="str">
            <v>Capital Reserve</v>
          </cell>
          <cell r="M508" t="str">
            <v>CAPITAL RESERVE (1015)</v>
          </cell>
          <cell r="N508" t="e">
            <v>#REF!</v>
          </cell>
          <cell r="O508" t="str">
            <v>L</v>
          </cell>
          <cell r="Q508">
            <v>720125</v>
          </cell>
          <cell r="R508">
            <v>720125</v>
          </cell>
          <cell r="U508">
            <v>720125</v>
          </cell>
          <cell r="V508">
            <v>720125</v>
          </cell>
          <cell r="Y508">
            <v>0</v>
          </cell>
          <cell r="Z508">
            <v>0</v>
          </cell>
          <cell r="AC508">
            <v>0</v>
          </cell>
          <cell r="AD508">
            <v>0</v>
          </cell>
          <cell r="AG508">
            <v>0</v>
          </cell>
          <cell r="AH508">
            <v>0</v>
          </cell>
        </row>
        <row r="509">
          <cell r="I509" t="str">
            <v xml:space="preserve">1014           </v>
          </cell>
          <cell r="Q509">
            <v>3000000</v>
          </cell>
          <cell r="R509">
            <v>3000000</v>
          </cell>
          <cell r="U509">
            <v>0</v>
          </cell>
          <cell r="V509">
            <v>0</v>
          </cell>
          <cell r="Y509">
            <v>0</v>
          </cell>
          <cell r="Z509">
            <v>0</v>
          </cell>
          <cell r="AC509">
            <v>0</v>
          </cell>
          <cell r="AD509">
            <v>0</v>
          </cell>
          <cell r="AG509">
            <v>3000000</v>
          </cell>
          <cell r="AH509">
            <v>3000000</v>
          </cell>
        </row>
        <row r="510">
          <cell r="H510">
            <v>609000</v>
          </cell>
          <cell r="K510" t="str">
            <v>Capital Reserve</v>
          </cell>
          <cell r="M510" t="e">
            <v>#N/A</v>
          </cell>
          <cell r="N510" t="e">
            <v>#REF!</v>
          </cell>
          <cell r="O510" t="str">
            <v>L</v>
          </cell>
          <cell r="P510">
            <v>0</v>
          </cell>
          <cell r="Q510">
            <v>3720125</v>
          </cell>
          <cell r="R510">
            <v>3720125</v>
          </cell>
          <cell r="T510">
            <v>0</v>
          </cell>
          <cell r="U510">
            <v>720125</v>
          </cell>
          <cell r="V510">
            <v>720125</v>
          </cell>
          <cell r="W510">
            <v>0</v>
          </cell>
          <cell r="X510">
            <v>0</v>
          </cell>
          <cell r="Y510">
            <v>0</v>
          </cell>
          <cell r="Z510">
            <v>0</v>
          </cell>
          <cell r="AA510">
            <v>0</v>
          </cell>
          <cell r="AB510">
            <v>0</v>
          </cell>
          <cell r="AC510">
            <v>0</v>
          </cell>
          <cell r="AD510">
            <v>0</v>
          </cell>
          <cell r="AE510">
            <v>0</v>
          </cell>
          <cell r="AF510">
            <v>0</v>
          </cell>
          <cell r="AG510">
            <v>3000000</v>
          </cell>
          <cell r="AH510">
            <v>3000000</v>
          </cell>
        </row>
        <row r="511">
          <cell r="H511">
            <v>610000</v>
          </cell>
          <cell r="K511" t="str">
            <v>Securities Premium</v>
          </cell>
          <cell r="M511" t="e">
            <v>#N/A</v>
          </cell>
          <cell r="N511" t="e">
            <v>#REF!</v>
          </cell>
          <cell r="O511" t="str">
            <v>L</v>
          </cell>
        </row>
        <row r="512">
          <cell r="G512">
            <v>14018</v>
          </cell>
          <cell r="H512">
            <v>611000</v>
          </cell>
          <cell r="I512" t="str">
            <v>1030</v>
          </cell>
          <cell r="L512" t="str">
            <v>Share Premium</v>
          </cell>
          <cell r="M512" t="str">
            <v>SHARE PREMIUM (1030)</v>
          </cell>
          <cell r="N512" t="e">
            <v>#REF!</v>
          </cell>
          <cell r="O512" t="str">
            <v>L</v>
          </cell>
          <cell r="Q512">
            <v>321591975</v>
          </cell>
          <cell r="R512">
            <v>321591975</v>
          </cell>
          <cell r="U512">
            <v>321591975</v>
          </cell>
          <cell r="V512">
            <v>321591975</v>
          </cell>
          <cell r="Y512">
            <v>0</v>
          </cell>
          <cell r="Z512">
            <v>0</v>
          </cell>
          <cell r="AC512">
            <v>0</v>
          </cell>
          <cell r="AD512">
            <v>0</v>
          </cell>
          <cell r="AG512">
            <v>0</v>
          </cell>
          <cell r="AH512">
            <v>0</v>
          </cell>
        </row>
        <row r="513">
          <cell r="G513">
            <v>14019</v>
          </cell>
          <cell r="H513">
            <v>612000</v>
          </cell>
          <cell r="I513" t="str">
            <v>1032</v>
          </cell>
          <cell r="L513" t="str">
            <v>Forefited Share Premium Account</v>
          </cell>
          <cell r="M513" t="str">
            <v>FOREFITED SHARE PREMIUM ACCOUNT (1032)</v>
          </cell>
          <cell r="N513" t="e">
            <v>#REF!</v>
          </cell>
          <cell r="O513" t="str">
            <v>L</v>
          </cell>
          <cell r="Q513">
            <v>171000</v>
          </cell>
          <cell r="R513">
            <v>171000</v>
          </cell>
          <cell r="U513">
            <v>171000</v>
          </cell>
          <cell r="V513">
            <v>171000</v>
          </cell>
          <cell r="Y513">
            <v>0</v>
          </cell>
          <cell r="Z513">
            <v>0</v>
          </cell>
          <cell r="AC513">
            <v>0</v>
          </cell>
          <cell r="AD513">
            <v>0</v>
          </cell>
          <cell r="AG513">
            <v>0</v>
          </cell>
          <cell r="AH513">
            <v>0</v>
          </cell>
        </row>
        <row r="514">
          <cell r="H514">
            <v>613000</v>
          </cell>
          <cell r="K514" t="str">
            <v>Securities Premium</v>
          </cell>
          <cell r="M514" t="e">
            <v>#N/A</v>
          </cell>
          <cell r="N514" t="e">
            <v>#REF!</v>
          </cell>
          <cell r="O514" t="str">
            <v>L</v>
          </cell>
          <cell r="P514">
            <v>0</v>
          </cell>
          <cell r="Q514">
            <v>321762975</v>
          </cell>
          <cell r="R514">
            <v>321762975</v>
          </cell>
          <cell r="T514">
            <v>0</v>
          </cell>
          <cell r="U514">
            <v>321762975</v>
          </cell>
          <cell r="V514">
            <v>321762975</v>
          </cell>
          <cell r="X514">
            <v>0</v>
          </cell>
          <cell r="Y514">
            <v>0</v>
          </cell>
          <cell r="Z514">
            <v>0</v>
          </cell>
          <cell r="AB514">
            <v>0</v>
          </cell>
          <cell r="AC514">
            <v>0</v>
          </cell>
          <cell r="AD514">
            <v>0</v>
          </cell>
          <cell r="AF514">
            <v>0</v>
          </cell>
          <cell r="AG514">
            <v>0</v>
          </cell>
          <cell r="AH514">
            <v>0</v>
          </cell>
        </row>
        <row r="515">
          <cell r="H515">
            <v>614000</v>
          </cell>
          <cell r="K515" t="str">
            <v>General Reserve</v>
          </cell>
          <cell r="M515" t="e">
            <v>#N/A</v>
          </cell>
          <cell r="N515" t="e">
            <v>#REF!</v>
          </cell>
          <cell r="O515" t="str">
            <v>L</v>
          </cell>
        </row>
        <row r="516">
          <cell r="G516">
            <v>14026</v>
          </cell>
          <cell r="H516">
            <v>615000</v>
          </cell>
          <cell r="I516" t="str">
            <v>1010</v>
          </cell>
          <cell r="L516" t="str">
            <v>General Reserve</v>
          </cell>
          <cell r="M516" t="str">
            <v>GENERAL RESERVE (1010)</v>
          </cell>
          <cell r="N516" t="e">
            <v>#REF!</v>
          </cell>
          <cell r="O516" t="str">
            <v>L</v>
          </cell>
          <cell r="Q516">
            <v>32840480</v>
          </cell>
          <cell r="R516">
            <v>28890480</v>
          </cell>
          <cell r="U516">
            <v>32840480</v>
          </cell>
          <cell r="V516">
            <v>28890480</v>
          </cell>
          <cell r="Y516">
            <v>0</v>
          </cell>
          <cell r="Z516">
            <v>0</v>
          </cell>
          <cell r="AC516">
            <v>0</v>
          </cell>
          <cell r="AD516">
            <v>0</v>
          </cell>
          <cell r="AG516">
            <v>0</v>
          </cell>
          <cell r="AH516">
            <v>0</v>
          </cell>
        </row>
        <row r="517">
          <cell r="H517">
            <v>616000</v>
          </cell>
          <cell r="L517" t="str">
            <v>Trf during the Year</v>
          </cell>
          <cell r="M517" t="e">
            <v>#N/A</v>
          </cell>
          <cell r="N517" t="e">
            <v>#REF!</v>
          </cell>
          <cell r="O517" t="str">
            <v>L</v>
          </cell>
          <cell r="Q517">
            <v>0</v>
          </cell>
          <cell r="R517">
            <v>3950000</v>
          </cell>
          <cell r="V517">
            <v>3950000</v>
          </cell>
          <cell r="AC517">
            <v>0</v>
          </cell>
          <cell r="AD517">
            <v>0</v>
          </cell>
          <cell r="AG517">
            <v>0</v>
          </cell>
          <cell r="AH517">
            <v>0</v>
          </cell>
        </row>
        <row r="518">
          <cell r="H518">
            <v>617000</v>
          </cell>
          <cell r="K518" t="str">
            <v>General Reserve</v>
          </cell>
          <cell r="M518" t="e">
            <v>#N/A</v>
          </cell>
          <cell r="N518" t="e">
            <v>#REF!</v>
          </cell>
          <cell r="O518" t="str">
            <v>L</v>
          </cell>
          <cell r="P518">
            <v>0</v>
          </cell>
          <cell r="Q518">
            <v>32840480</v>
          </cell>
          <cell r="R518">
            <v>32840480</v>
          </cell>
          <cell r="T518">
            <v>0</v>
          </cell>
          <cell r="U518">
            <v>32840480</v>
          </cell>
          <cell r="V518">
            <v>32840480</v>
          </cell>
          <cell r="X518">
            <v>0</v>
          </cell>
          <cell r="Y518">
            <v>0</v>
          </cell>
          <cell r="Z518">
            <v>0</v>
          </cell>
          <cell r="AB518">
            <v>0</v>
          </cell>
          <cell r="AC518">
            <v>0</v>
          </cell>
          <cell r="AD518">
            <v>0</v>
          </cell>
          <cell r="AF518">
            <v>0</v>
          </cell>
          <cell r="AG518">
            <v>0</v>
          </cell>
          <cell r="AH518">
            <v>0</v>
          </cell>
        </row>
        <row r="519">
          <cell r="H519">
            <v>618000</v>
          </cell>
          <cell r="K519" t="str">
            <v>Surplus In Statement Of Profit And Loss</v>
          </cell>
          <cell r="M519" t="e">
            <v>#N/A</v>
          </cell>
          <cell r="N519" t="e">
            <v>#REF!</v>
          </cell>
          <cell r="O519" t="str">
            <v>S</v>
          </cell>
          <cell r="U519">
            <v>0</v>
          </cell>
          <cell r="Y519">
            <v>0</v>
          </cell>
        </row>
        <row r="520">
          <cell r="G520">
            <v>14033</v>
          </cell>
          <cell r="H520">
            <v>619000</v>
          </cell>
          <cell r="I520" t="str">
            <v>1050</v>
          </cell>
          <cell r="L520" t="str">
            <v>Profit &amp; Loss A/C</v>
          </cell>
          <cell r="M520" t="str">
            <v>PROFIT AND LOSS ACCOUNT (1050)</v>
          </cell>
          <cell r="N520" t="e">
            <v>#REF!</v>
          </cell>
          <cell r="O520" t="str">
            <v>S</v>
          </cell>
          <cell r="Q520">
            <v>318052623</v>
          </cell>
          <cell r="R520">
            <v>381667939</v>
          </cell>
          <cell r="U520">
            <v>209007110</v>
          </cell>
          <cell r="V520">
            <v>247377920</v>
          </cell>
          <cell r="X520" t="e">
            <v>#REF!</v>
          </cell>
          <cell r="Y520">
            <v>191686752</v>
          </cell>
          <cell r="Z520">
            <v>212504969</v>
          </cell>
          <cell r="AB520" t="e">
            <v>#REF!</v>
          </cell>
          <cell r="AC520">
            <v>-90765825</v>
          </cell>
          <cell r="AD520">
            <v>-75549106</v>
          </cell>
          <cell r="AF520" t="e">
            <v>#REF!</v>
          </cell>
          <cell r="AG520">
            <v>8124586</v>
          </cell>
          <cell r="AH520">
            <v>-2665844</v>
          </cell>
        </row>
        <row r="521">
          <cell r="G521">
            <v>14034</v>
          </cell>
          <cell r="H521">
            <v>620000</v>
          </cell>
          <cell r="L521" t="str">
            <v>Year End Results</v>
          </cell>
          <cell r="M521" t="str">
            <v>YEAR END RESULTS</v>
          </cell>
          <cell r="N521" t="e">
            <v>#REF!</v>
          </cell>
          <cell r="O521" t="str">
            <v>S</v>
          </cell>
          <cell r="Q521">
            <v>68630065</v>
          </cell>
          <cell r="R521">
            <v>52381693</v>
          </cell>
          <cell r="U521">
            <v>7941770</v>
          </cell>
          <cell r="V521">
            <v>16937906</v>
          </cell>
          <cell r="Y521">
            <v>60688295</v>
          </cell>
          <cell r="Z521">
            <v>39870078</v>
          </cell>
          <cell r="AC521">
            <v>0</v>
          </cell>
          <cell r="AD521">
            <v>-15216722</v>
          </cell>
          <cell r="AG521">
            <v>0</v>
          </cell>
          <cell r="AH521">
            <v>10790431</v>
          </cell>
        </row>
        <row r="522">
          <cell r="H522">
            <v>621000</v>
          </cell>
          <cell r="K522" t="str">
            <v>Appropriation</v>
          </cell>
          <cell r="M522" t="e">
            <v>#N/A</v>
          </cell>
          <cell r="N522" t="e">
            <v>#REF!</v>
          </cell>
          <cell r="O522" t="str">
            <v>S</v>
          </cell>
          <cell r="Q522">
            <v>110094081</v>
          </cell>
          <cell r="R522">
            <v>0</v>
          </cell>
          <cell r="U522">
            <v>22067201</v>
          </cell>
          <cell r="Y522">
            <v>84900489</v>
          </cell>
          <cell r="AC522">
            <v>-11047177</v>
          </cell>
          <cell r="AD522">
            <v>0</v>
          </cell>
          <cell r="AG522">
            <v>14173568</v>
          </cell>
          <cell r="AH522">
            <v>0</v>
          </cell>
        </row>
        <row r="523">
          <cell r="G523">
            <v>13962</v>
          </cell>
          <cell r="H523">
            <v>622000</v>
          </cell>
          <cell r="L523" t="str">
            <v>Proposed Dividend</v>
          </cell>
          <cell r="M523" t="str">
            <v>PROPOSED DIVIDEND (8000)</v>
          </cell>
          <cell r="N523" t="e">
            <v>#REF!</v>
          </cell>
          <cell r="O523" t="str">
            <v>S</v>
          </cell>
          <cell r="Q523">
            <v>0</v>
          </cell>
          <cell r="R523">
            <v>-35904028</v>
          </cell>
          <cell r="U523">
            <v>0</v>
          </cell>
          <cell r="V523">
            <v>-35904028</v>
          </cell>
          <cell r="Z523">
            <v>0</v>
          </cell>
          <cell r="AC523">
            <v>0</v>
          </cell>
          <cell r="AD523">
            <v>0</v>
          </cell>
          <cell r="AG523">
            <v>0</v>
          </cell>
          <cell r="AH523">
            <v>0</v>
          </cell>
        </row>
        <row r="524">
          <cell r="G524">
            <v>13963</v>
          </cell>
          <cell r="H524">
            <v>623000</v>
          </cell>
          <cell r="L524" t="str">
            <v>Distribution Tax</v>
          </cell>
          <cell r="M524" t="str">
            <v>DISTRIBUTION TAX (8050)</v>
          </cell>
          <cell r="N524" t="e">
            <v>#REF!</v>
          </cell>
          <cell r="O524" t="str">
            <v>S</v>
          </cell>
          <cell r="Q524">
            <v>0</v>
          </cell>
          <cell r="R524">
            <v>-7512918</v>
          </cell>
          <cell r="U524">
            <v>0</v>
          </cell>
          <cell r="V524">
            <v>-7512918</v>
          </cell>
          <cell r="Y524">
            <v>0</v>
          </cell>
          <cell r="Z524">
            <v>0</v>
          </cell>
          <cell r="AC524">
            <v>0</v>
          </cell>
          <cell r="AD524">
            <v>0</v>
          </cell>
          <cell r="AG524">
            <v>0</v>
          </cell>
          <cell r="AH524">
            <v>0</v>
          </cell>
        </row>
        <row r="525">
          <cell r="H525">
            <v>624000</v>
          </cell>
          <cell r="L525" t="str">
            <v>To Gr</v>
          </cell>
          <cell r="M525" t="e">
            <v>#N/A</v>
          </cell>
          <cell r="N525" t="e">
            <v>#REF!</v>
          </cell>
          <cell r="O525" t="str">
            <v>S</v>
          </cell>
          <cell r="Q525">
            <v>0</v>
          </cell>
          <cell r="R525">
            <v>-3950000</v>
          </cell>
          <cell r="U525">
            <v>0</v>
          </cell>
          <cell r="V525">
            <v>-3950000</v>
          </cell>
          <cell r="Y525">
            <v>0</v>
          </cell>
          <cell r="Z525">
            <v>0</v>
          </cell>
          <cell r="AC525">
            <v>0</v>
          </cell>
          <cell r="AD525">
            <v>0</v>
          </cell>
          <cell r="AG525">
            <v>0</v>
          </cell>
          <cell r="AH525">
            <v>0</v>
          </cell>
        </row>
        <row r="526">
          <cell r="H526">
            <v>625000</v>
          </cell>
          <cell r="L526">
            <v>19.999400000000001</v>
          </cell>
          <cell r="M526" t="e">
            <v>#N/A</v>
          </cell>
          <cell r="N526" t="e">
            <v>#REF!</v>
          </cell>
          <cell r="O526" t="str">
            <v>S</v>
          </cell>
          <cell r="Q526">
            <v>0</v>
          </cell>
          <cell r="R526">
            <v>0</v>
          </cell>
          <cell r="Y526">
            <v>0</v>
          </cell>
          <cell r="Z526">
            <v>0</v>
          </cell>
          <cell r="AC526">
            <v>0</v>
          </cell>
          <cell r="AD526">
            <v>0</v>
          </cell>
          <cell r="AG526">
            <v>0</v>
          </cell>
          <cell r="AH526">
            <v>0</v>
          </cell>
        </row>
        <row r="527">
          <cell r="H527">
            <v>626000</v>
          </cell>
          <cell r="L527">
            <v>20.925000392713596</v>
          </cell>
          <cell r="M527" t="e">
            <v>#N/A</v>
          </cell>
          <cell r="N527" t="e">
            <v>#REF!</v>
          </cell>
          <cell r="O527" t="str">
            <v>S</v>
          </cell>
          <cell r="Q527">
            <v>0</v>
          </cell>
          <cell r="R527">
            <v>0</v>
          </cell>
          <cell r="U527">
            <v>0</v>
          </cell>
          <cell r="V527">
            <v>0</v>
          </cell>
          <cell r="Y527">
            <v>0</v>
          </cell>
          <cell r="Z527">
            <v>0</v>
          </cell>
          <cell r="AC527">
            <v>0</v>
          </cell>
          <cell r="AD527">
            <v>0</v>
          </cell>
          <cell r="AG527">
            <v>0</v>
          </cell>
          <cell r="AH527">
            <v>0</v>
          </cell>
        </row>
        <row r="528">
          <cell r="H528">
            <v>627000</v>
          </cell>
          <cell r="M528" t="e">
            <v>#N/A</v>
          </cell>
          <cell r="N528" t="e">
            <v>#REF!</v>
          </cell>
          <cell r="O528" t="str">
            <v>S</v>
          </cell>
          <cell r="Q528">
            <v>0</v>
          </cell>
          <cell r="R528">
            <v>0</v>
          </cell>
          <cell r="U528">
            <v>0</v>
          </cell>
          <cell r="V528">
            <v>0</v>
          </cell>
          <cell r="Z528">
            <v>0</v>
          </cell>
          <cell r="AC528">
            <v>0</v>
          </cell>
          <cell r="AD528">
            <v>0</v>
          </cell>
          <cell r="AG528">
            <v>0</v>
          </cell>
          <cell r="AH528">
            <v>0</v>
          </cell>
        </row>
        <row r="529">
          <cell r="H529">
            <v>628000</v>
          </cell>
          <cell r="K529" t="str">
            <v>Surplus In Statement Of Profit And Loss</v>
          </cell>
          <cell r="M529" t="e">
            <v>#N/A</v>
          </cell>
          <cell r="N529" t="e">
            <v>#REF!</v>
          </cell>
          <cell r="O529" t="str">
            <v>S</v>
          </cell>
          <cell r="P529">
            <v>0</v>
          </cell>
          <cell r="Q529">
            <v>496776769</v>
          </cell>
          <cell r="R529">
            <v>386682686</v>
          </cell>
          <cell r="T529">
            <v>0</v>
          </cell>
          <cell r="U529">
            <v>239016081</v>
          </cell>
          <cell r="V529">
            <v>216948880</v>
          </cell>
          <cell r="X529" t="e">
            <v>#REF!</v>
          </cell>
          <cell r="Y529">
            <v>337275536</v>
          </cell>
          <cell r="Z529">
            <v>252375047</v>
          </cell>
          <cell r="AB529" t="e">
            <v>#REF!</v>
          </cell>
          <cell r="AC529">
            <v>-101813002</v>
          </cell>
          <cell r="AD529">
            <v>-90765828</v>
          </cell>
          <cell r="AF529" t="e">
            <v>#REF!</v>
          </cell>
          <cell r="AG529">
            <v>22298154</v>
          </cell>
          <cell r="AH529">
            <v>8124587</v>
          </cell>
        </row>
        <row r="530">
          <cell r="H530">
            <v>629000</v>
          </cell>
          <cell r="J530" t="str">
            <v>(b) Reserves and Surplus</v>
          </cell>
          <cell r="M530" t="e">
            <v>#N/A</v>
          </cell>
          <cell r="N530" t="e">
            <v>#REF!</v>
          </cell>
          <cell r="O530" t="str">
            <v>L</v>
          </cell>
          <cell r="P530">
            <v>0</v>
          </cell>
          <cell r="Q530">
            <v>855100349</v>
          </cell>
          <cell r="R530">
            <v>745006266</v>
          </cell>
          <cell r="T530">
            <v>0</v>
          </cell>
          <cell r="U530">
            <v>594339661</v>
          </cell>
          <cell r="V530">
            <v>572272460</v>
          </cell>
          <cell r="X530" t="e">
            <v>#REF!</v>
          </cell>
          <cell r="Y530">
            <v>337275536</v>
          </cell>
          <cell r="Z530">
            <v>252375047</v>
          </cell>
          <cell r="AB530" t="e">
            <v>#REF!</v>
          </cell>
          <cell r="AC530">
            <v>-101813002</v>
          </cell>
          <cell r="AD530">
            <v>-90765828</v>
          </cell>
          <cell r="AF530" t="e">
            <v>#REF!</v>
          </cell>
          <cell r="AG530">
            <v>25298154</v>
          </cell>
          <cell r="AH530">
            <v>11124587</v>
          </cell>
        </row>
        <row r="531">
          <cell r="H531">
            <v>630000</v>
          </cell>
          <cell r="O531" t="str">
            <v>L</v>
          </cell>
          <cell r="Q531">
            <v>-2</v>
          </cell>
          <cell r="R531">
            <v>0</v>
          </cell>
          <cell r="U531">
            <v>0</v>
          </cell>
          <cell r="Y531">
            <v>0</v>
          </cell>
          <cell r="AC531">
            <v>-3</v>
          </cell>
          <cell r="AG531">
            <v>1</v>
          </cell>
        </row>
        <row r="532">
          <cell r="H532">
            <v>631000</v>
          </cell>
          <cell r="J532" t="str">
            <v>Shareholder's Fund</v>
          </cell>
          <cell r="M532" t="e">
            <v>#N/A</v>
          </cell>
          <cell r="N532" t="e">
            <v>#REF!</v>
          </cell>
          <cell r="O532" t="str">
            <v>L</v>
          </cell>
          <cell r="P532">
            <v>0</v>
          </cell>
          <cell r="Q532">
            <v>1034734489</v>
          </cell>
          <cell r="R532">
            <v>924640406</v>
          </cell>
          <cell r="T532">
            <v>0</v>
          </cell>
          <cell r="U532">
            <v>773973801</v>
          </cell>
          <cell r="V532">
            <v>751906600</v>
          </cell>
          <cell r="X532" t="e">
            <v>#REF!</v>
          </cell>
          <cell r="Y532">
            <v>337275536</v>
          </cell>
          <cell r="Z532">
            <v>252375047</v>
          </cell>
          <cell r="AB532" t="e">
            <v>#REF!</v>
          </cell>
          <cell r="AC532">
            <v>-101813002</v>
          </cell>
          <cell r="AD532">
            <v>-90765828</v>
          </cell>
          <cell r="AF532" t="e">
            <v>#REF!</v>
          </cell>
          <cell r="AG532">
            <v>25298154</v>
          </cell>
          <cell r="AH532">
            <v>11124587</v>
          </cell>
        </row>
        <row r="533">
          <cell r="H533">
            <v>650000</v>
          </cell>
          <cell r="J533" t="str">
            <v>NON-CURRENT LIABILITIES</v>
          </cell>
          <cell r="M533" t="e">
            <v>#N/A</v>
          </cell>
          <cell r="N533" t="e">
            <v>#REF!</v>
          </cell>
          <cell r="O533" t="str">
            <v>L</v>
          </cell>
          <cell r="R533">
            <v>0</v>
          </cell>
        </row>
        <row r="534">
          <cell r="H534">
            <v>651000</v>
          </cell>
          <cell r="J534" t="str">
            <v>LONG TERM BORROWINGS</v>
          </cell>
          <cell r="M534" t="e">
            <v>#N/A</v>
          </cell>
          <cell r="N534" t="e">
            <v>#REF!</v>
          </cell>
          <cell r="O534" t="str">
            <v>L</v>
          </cell>
        </row>
        <row r="535">
          <cell r="H535">
            <v>652000</v>
          </cell>
          <cell r="J535" t="str">
            <v>Secured Loans</v>
          </cell>
          <cell r="M535" t="e">
            <v>#N/A</v>
          </cell>
          <cell r="N535" t="e">
            <v>#REF!</v>
          </cell>
          <cell r="O535" t="str">
            <v>L</v>
          </cell>
        </row>
        <row r="536">
          <cell r="H536">
            <v>653000</v>
          </cell>
          <cell r="K536" t="str">
            <v>Loan From A Banks</v>
          </cell>
          <cell r="M536" t="e">
            <v>#N/A</v>
          </cell>
          <cell r="N536" t="e">
            <v>#REF!</v>
          </cell>
          <cell r="O536" t="str">
            <v>L</v>
          </cell>
          <cell r="AC536">
            <v>0</v>
          </cell>
          <cell r="AD536">
            <v>0</v>
          </cell>
          <cell r="AG536">
            <v>0</v>
          </cell>
          <cell r="AH536">
            <v>0</v>
          </cell>
        </row>
        <row r="537">
          <cell r="G537">
            <v>14114</v>
          </cell>
          <cell r="H537">
            <v>654000</v>
          </cell>
          <cell r="I537" t="str">
            <v>0810</v>
          </cell>
          <cell r="L537" t="str">
            <v>Loan From Banks</v>
          </cell>
          <cell r="M537" t="str">
            <v>TERM LOAN (0810, 0815)</v>
          </cell>
          <cell r="N537" t="e">
            <v>#REF!</v>
          </cell>
          <cell r="O537" t="str">
            <v>L</v>
          </cell>
          <cell r="Q537">
            <v>47523810</v>
          </cell>
          <cell r="R537">
            <v>80851414</v>
          </cell>
          <cell r="U537">
            <v>17523812</v>
          </cell>
          <cell r="V537">
            <v>44170296</v>
          </cell>
          <cell r="Y537">
            <v>29999998</v>
          </cell>
          <cell r="Z537">
            <v>29999998</v>
          </cell>
          <cell r="AC537">
            <v>0</v>
          </cell>
          <cell r="AD537">
            <v>0</v>
          </cell>
          <cell r="AG537">
            <v>0</v>
          </cell>
          <cell r="AH537">
            <v>6681120</v>
          </cell>
        </row>
        <row r="538">
          <cell r="H538">
            <v>655000</v>
          </cell>
          <cell r="I538" t="str">
            <v xml:space="preserve">00811 </v>
          </cell>
          <cell r="L538" t="str">
            <v>Loan From J &amp; K Bank</v>
          </cell>
          <cell r="M538" t="e">
            <v>#N/A</v>
          </cell>
          <cell r="N538" t="e">
            <v>#REF!</v>
          </cell>
          <cell r="O538" t="str">
            <v>L</v>
          </cell>
          <cell r="Q538">
            <v>0</v>
          </cell>
          <cell r="R538">
            <v>0</v>
          </cell>
          <cell r="U538">
            <v>0</v>
          </cell>
          <cell r="V538">
            <v>0</v>
          </cell>
          <cell r="Y538">
            <v>0</v>
          </cell>
          <cell r="Z538">
            <v>0</v>
          </cell>
          <cell r="AC538">
            <v>0</v>
          </cell>
          <cell r="AD538">
            <v>0</v>
          </cell>
          <cell r="AG538">
            <v>0</v>
          </cell>
          <cell r="AH538">
            <v>0</v>
          </cell>
        </row>
        <row r="539">
          <cell r="H539">
            <v>656000</v>
          </cell>
          <cell r="I539" t="str">
            <v xml:space="preserve">0815 </v>
          </cell>
          <cell r="L539" t="str">
            <v>Loan From Hsbc</v>
          </cell>
          <cell r="M539" t="e">
            <v>#N/A</v>
          </cell>
          <cell r="N539" t="e">
            <v>#REF!</v>
          </cell>
          <cell r="O539" t="str">
            <v>L</v>
          </cell>
          <cell r="Q539">
            <v>0</v>
          </cell>
          <cell r="R539">
            <v>0</v>
          </cell>
          <cell r="U539">
            <v>0</v>
          </cell>
          <cell r="V539">
            <v>0</v>
          </cell>
          <cell r="Y539">
            <v>0</v>
          </cell>
          <cell r="Z539">
            <v>0</v>
          </cell>
          <cell r="AC539">
            <v>0</v>
          </cell>
          <cell r="AD539">
            <v>0</v>
          </cell>
          <cell r="AG539">
            <v>0</v>
          </cell>
          <cell r="AH539">
            <v>0</v>
          </cell>
        </row>
        <row r="540">
          <cell r="H540">
            <v>657000</v>
          </cell>
          <cell r="I540" t="str">
            <v xml:space="preserve">0817 </v>
          </cell>
          <cell r="L540" t="str">
            <v>Loan From Scb</v>
          </cell>
          <cell r="M540" t="e">
            <v>#N/A</v>
          </cell>
          <cell r="N540" t="e">
            <v>#REF!</v>
          </cell>
          <cell r="O540" t="str">
            <v>L</v>
          </cell>
          <cell r="Q540">
            <v>0</v>
          </cell>
          <cell r="R540">
            <v>0</v>
          </cell>
          <cell r="U540">
            <v>0</v>
          </cell>
          <cell r="V540">
            <v>0</v>
          </cell>
          <cell r="Y540">
            <v>0</v>
          </cell>
          <cell r="Z540">
            <v>0</v>
          </cell>
          <cell r="AC540">
            <v>0</v>
          </cell>
          <cell r="AD540">
            <v>0</v>
          </cell>
          <cell r="AG540">
            <v>0</v>
          </cell>
          <cell r="AH540">
            <v>0</v>
          </cell>
        </row>
        <row r="541">
          <cell r="H541">
            <v>658000</v>
          </cell>
          <cell r="I541" t="str">
            <v xml:space="preserve">0814 </v>
          </cell>
          <cell r="L541" t="str">
            <v>Loan From Icici Bank</v>
          </cell>
          <cell r="M541" t="e">
            <v>#N/A</v>
          </cell>
          <cell r="N541" t="e">
            <v>#REF!</v>
          </cell>
          <cell r="O541" t="str">
            <v>L</v>
          </cell>
          <cell r="Q541">
            <v>0</v>
          </cell>
          <cell r="R541">
            <v>0</v>
          </cell>
          <cell r="U541">
            <v>0</v>
          </cell>
          <cell r="V541">
            <v>0</v>
          </cell>
          <cell r="Y541">
            <v>0</v>
          </cell>
          <cell r="Z541">
            <v>0</v>
          </cell>
          <cell r="AC541">
            <v>0</v>
          </cell>
          <cell r="AD541">
            <v>0</v>
          </cell>
          <cell r="AG541">
            <v>0</v>
          </cell>
          <cell r="AH541">
            <v>0</v>
          </cell>
        </row>
        <row r="542">
          <cell r="H542">
            <v>659000</v>
          </cell>
          <cell r="L542" t="str">
            <v>Regrouping to Short Term Loans</v>
          </cell>
          <cell r="M542" t="e">
            <v>#N/A</v>
          </cell>
          <cell r="N542" t="e">
            <v>#REF!</v>
          </cell>
          <cell r="O542" t="str">
            <v>L</v>
          </cell>
          <cell r="Q542">
            <v>0</v>
          </cell>
          <cell r="R542">
            <v>-30000000</v>
          </cell>
          <cell r="U542">
            <v>0</v>
          </cell>
          <cell r="V542">
            <v>0</v>
          </cell>
          <cell r="Z542">
            <v>-30000000</v>
          </cell>
          <cell r="AC542">
            <v>0</v>
          </cell>
          <cell r="AG542">
            <v>0</v>
          </cell>
        </row>
        <row r="543">
          <cell r="H543">
            <v>660000</v>
          </cell>
          <cell r="K543" t="str">
            <v>Loan From A Banks</v>
          </cell>
          <cell r="M543" t="e">
            <v>#N/A</v>
          </cell>
          <cell r="N543" t="e">
            <v>#REF!</v>
          </cell>
          <cell r="O543" t="str">
            <v>L</v>
          </cell>
          <cell r="P543">
            <v>0</v>
          </cell>
          <cell r="Q543">
            <v>47523810</v>
          </cell>
          <cell r="R543">
            <v>50851414</v>
          </cell>
          <cell r="T543">
            <v>0</v>
          </cell>
          <cell r="U543">
            <v>17523812</v>
          </cell>
          <cell r="V543">
            <v>44170296</v>
          </cell>
          <cell r="X543">
            <v>0</v>
          </cell>
          <cell r="Y543">
            <v>29999998</v>
          </cell>
          <cell r="Z543">
            <v>-2</v>
          </cell>
          <cell r="AB543">
            <v>0</v>
          </cell>
          <cell r="AC543">
            <v>0</v>
          </cell>
          <cell r="AD543">
            <v>0</v>
          </cell>
          <cell r="AF543">
            <v>0</v>
          </cell>
          <cell r="AG543">
            <v>0</v>
          </cell>
          <cell r="AH543">
            <v>6681120</v>
          </cell>
        </row>
        <row r="544">
          <cell r="H544">
            <v>661000</v>
          </cell>
          <cell r="K544" t="str">
            <v>Car Loan</v>
          </cell>
          <cell r="M544" t="e">
            <v>#N/A</v>
          </cell>
          <cell r="N544" t="e">
            <v>#REF!</v>
          </cell>
          <cell r="O544" t="str">
            <v>L</v>
          </cell>
        </row>
        <row r="545">
          <cell r="H545">
            <v>662000</v>
          </cell>
          <cell r="I545" t="str">
            <v>0812</v>
          </cell>
          <cell r="L545" t="str">
            <v>Loan From Bank Of India - Car Loan</v>
          </cell>
          <cell r="M545" t="e">
            <v>#N/A</v>
          </cell>
          <cell r="N545" t="e">
            <v>#REF!</v>
          </cell>
          <cell r="O545" t="str">
            <v>L</v>
          </cell>
          <cell r="Q545">
            <v>0</v>
          </cell>
          <cell r="R545">
            <v>0</v>
          </cell>
          <cell r="U545">
            <v>0</v>
          </cell>
          <cell r="V545">
            <v>0</v>
          </cell>
          <cell r="Y545">
            <v>0</v>
          </cell>
          <cell r="Z545">
            <v>0</v>
          </cell>
          <cell r="AC545">
            <v>0</v>
          </cell>
          <cell r="AD545">
            <v>0</v>
          </cell>
          <cell r="AG545">
            <v>0</v>
          </cell>
          <cell r="AH545">
            <v>0</v>
          </cell>
        </row>
        <row r="546">
          <cell r="G546">
            <v>14142</v>
          </cell>
          <cell r="H546">
            <v>663000</v>
          </cell>
          <cell r="I546" t="str">
            <v>0813</v>
          </cell>
          <cell r="J546" t="str">
            <v>813</v>
          </cell>
          <cell r="L546" t="str">
            <v>Loan From Bank Of India - Car Loan</v>
          </cell>
          <cell r="M546" t="str">
            <v>VEHICLE LOAN FROM BANK (0813)</v>
          </cell>
          <cell r="N546" t="e">
            <v>#REF!</v>
          </cell>
          <cell r="O546" t="str">
            <v>L</v>
          </cell>
          <cell r="Q546">
            <v>2774181</v>
          </cell>
          <cell r="R546">
            <v>1566446</v>
          </cell>
          <cell r="U546">
            <v>1881213</v>
          </cell>
          <cell r="V546">
            <v>1249058</v>
          </cell>
          <cell r="Y546">
            <v>-117609</v>
          </cell>
          <cell r="Z546">
            <v>-105334</v>
          </cell>
          <cell r="AC546">
            <v>700000</v>
          </cell>
          <cell r="AD546">
            <v>0</v>
          </cell>
          <cell r="AG546">
            <v>310577</v>
          </cell>
          <cell r="AH546">
            <v>422722</v>
          </cell>
        </row>
        <row r="547">
          <cell r="H547">
            <v>664000</v>
          </cell>
          <cell r="M547" t="e">
            <v>#N/A</v>
          </cell>
          <cell r="N547" t="e">
            <v>#REF!</v>
          </cell>
          <cell r="O547" t="str">
            <v>L</v>
          </cell>
          <cell r="AC547">
            <v>0</v>
          </cell>
          <cell r="AD547">
            <v>0</v>
          </cell>
          <cell r="AG547">
            <v>0</v>
          </cell>
          <cell r="AH547">
            <v>0</v>
          </cell>
        </row>
        <row r="548">
          <cell r="H548">
            <v>665000</v>
          </cell>
          <cell r="K548" t="str">
            <v>Car Loan</v>
          </cell>
          <cell r="M548" t="e">
            <v>#N/A</v>
          </cell>
          <cell r="N548" t="e">
            <v>#REF!</v>
          </cell>
          <cell r="O548" t="str">
            <v>L</v>
          </cell>
          <cell r="P548">
            <v>0</v>
          </cell>
          <cell r="Q548">
            <v>2774181</v>
          </cell>
          <cell r="R548">
            <v>1566446</v>
          </cell>
          <cell r="T548">
            <v>0</v>
          </cell>
          <cell r="U548">
            <v>1881213</v>
          </cell>
          <cell r="V548">
            <v>1249058</v>
          </cell>
          <cell r="X548">
            <v>0</v>
          </cell>
          <cell r="Y548">
            <v>-117609</v>
          </cell>
          <cell r="Z548">
            <v>-105334</v>
          </cell>
          <cell r="AB548">
            <v>0</v>
          </cell>
          <cell r="AC548">
            <v>700000</v>
          </cell>
          <cell r="AD548">
            <v>0</v>
          </cell>
          <cell r="AF548">
            <v>0</v>
          </cell>
          <cell r="AG548">
            <v>310577</v>
          </cell>
          <cell r="AH548">
            <v>422722</v>
          </cell>
        </row>
        <row r="549">
          <cell r="H549">
            <v>666000</v>
          </cell>
          <cell r="K549" t="str">
            <v>Loan For Investment In Tsl From Bl</v>
          </cell>
          <cell r="M549" t="e">
            <v>#N/A</v>
          </cell>
          <cell r="N549" t="e">
            <v>#REF!</v>
          </cell>
          <cell r="O549" t="str">
            <v>L</v>
          </cell>
        </row>
        <row r="550">
          <cell r="G550">
            <v>14126</v>
          </cell>
          <cell r="H550">
            <v>667000</v>
          </cell>
          <cell r="I550" t="str">
            <v>1225</v>
          </cell>
          <cell r="L550" t="str">
            <v xml:space="preserve">Loan From - Bl &amp; Co. </v>
          </cell>
          <cell r="M550" t="str">
            <v>LOAN FROM - BL &amp; CO. (1225)</v>
          </cell>
          <cell r="N550" t="e">
            <v>#REF!</v>
          </cell>
          <cell r="O550" t="str">
            <v>L</v>
          </cell>
          <cell r="Q550">
            <v>181791984</v>
          </cell>
          <cell r="R550">
            <v>181791984</v>
          </cell>
          <cell r="U550">
            <v>181791984</v>
          </cell>
          <cell r="V550">
            <v>181791984</v>
          </cell>
          <cell r="Y550">
            <v>0</v>
          </cell>
          <cell r="Z550">
            <v>0</v>
          </cell>
          <cell r="AC550">
            <v>0</v>
          </cell>
          <cell r="AD550">
            <v>0</v>
          </cell>
          <cell r="AG550">
            <v>0</v>
          </cell>
          <cell r="AH550">
            <v>0</v>
          </cell>
        </row>
        <row r="551">
          <cell r="H551">
            <v>668000</v>
          </cell>
          <cell r="K551" t="str">
            <v>Loan For Investment In Tsl From Bl</v>
          </cell>
          <cell r="M551" t="e">
            <v>#N/A</v>
          </cell>
          <cell r="N551" t="e">
            <v>#REF!</v>
          </cell>
          <cell r="O551" t="str">
            <v>L</v>
          </cell>
          <cell r="P551">
            <v>0</v>
          </cell>
          <cell r="Q551">
            <v>181791984</v>
          </cell>
          <cell r="R551">
            <v>181791984</v>
          </cell>
          <cell r="T551">
            <v>0</v>
          </cell>
          <cell r="U551">
            <v>181791984</v>
          </cell>
          <cell r="V551">
            <v>181791984</v>
          </cell>
          <cell r="X551">
            <v>0</v>
          </cell>
          <cell r="Y551">
            <v>0</v>
          </cell>
          <cell r="Z551">
            <v>0</v>
          </cell>
          <cell r="AB551">
            <v>0</v>
          </cell>
          <cell r="AC551">
            <v>0</v>
          </cell>
          <cell r="AD551">
            <v>0</v>
          </cell>
          <cell r="AF551">
            <v>0</v>
          </cell>
          <cell r="AG551">
            <v>0</v>
          </cell>
          <cell r="AH551">
            <v>0</v>
          </cell>
        </row>
        <row r="552">
          <cell r="H552">
            <v>669000</v>
          </cell>
          <cell r="J552" t="str">
            <v>Secured Loans</v>
          </cell>
          <cell r="M552" t="e">
            <v>#N/A</v>
          </cell>
          <cell r="N552" t="e">
            <v>#REF!</v>
          </cell>
          <cell r="O552" t="str">
            <v>L</v>
          </cell>
          <cell r="P552">
            <v>0</v>
          </cell>
          <cell r="Q552">
            <v>232089975</v>
          </cell>
          <cell r="R552">
            <v>234209844</v>
          </cell>
          <cell r="T552">
            <v>0</v>
          </cell>
          <cell r="U552">
            <v>201197009</v>
          </cell>
          <cell r="V552">
            <v>227211338</v>
          </cell>
          <cell r="X552">
            <v>0</v>
          </cell>
          <cell r="Y552">
            <v>29882389</v>
          </cell>
          <cell r="Z552">
            <v>-105336</v>
          </cell>
          <cell r="AB552">
            <v>0</v>
          </cell>
          <cell r="AC552">
            <v>700000</v>
          </cell>
          <cell r="AD552">
            <v>0</v>
          </cell>
          <cell r="AF552">
            <v>0</v>
          </cell>
          <cell r="AG552">
            <v>310577</v>
          </cell>
          <cell r="AH552">
            <v>7103842</v>
          </cell>
        </row>
        <row r="553">
          <cell r="H553">
            <v>670000</v>
          </cell>
          <cell r="J553" t="str">
            <v>Unsecured Loans</v>
          </cell>
          <cell r="M553" t="e">
            <v>#N/A</v>
          </cell>
          <cell r="N553" t="e">
            <v>#REF!</v>
          </cell>
          <cell r="O553" t="str">
            <v>L</v>
          </cell>
        </row>
        <row r="554">
          <cell r="H554">
            <v>671000</v>
          </cell>
          <cell r="K554" t="str">
            <v>Loan from Vl &amp; Others</v>
          </cell>
          <cell r="M554" t="e">
            <v>#N/A</v>
          </cell>
          <cell r="N554" t="e">
            <v>#REF!</v>
          </cell>
          <cell r="O554" t="str">
            <v>L</v>
          </cell>
          <cell r="AC554">
            <v>0</v>
          </cell>
          <cell r="AD554">
            <v>0</v>
          </cell>
          <cell r="AG554">
            <v>0</v>
          </cell>
          <cell r="AH554">
            <v>0</v>
          </cell>
        </row>
        <row r="555">
          <cell r="G555">
            <v>14233</v>
          </cell>
          <cell r="H555">
            <v>672000</v>
          </cell>
          <cell r="I555" t="str">
            <v>1220</v>
          </cell>
          <cell r="L555" t="str">
            <v>Loan From - Vl Netherlands</v>
          </cell>
          <cell r="M555" t="str">
            <v>LOAN FROM -GREIF (1220)</v>
          </cell>
          <cell r="N555" t="e">
            <v>#REF!</v>
          </cell>
          <cell r="O555" t="str">
            <v>L</v>
          </cell>
          <cell r="Q555">
            <v>0</v>
          </cell>
          <cell r="R555">
            <v>26250000</v>
          </cell>
          <cell r="U555">
            <v>0</v>
          </cell>
          <cell r="V555">
            <v>26250000</v>
          </cell>
          <cell r="Y555">
            <v>0</v>
          </cell>
          <cell r="Z555">
            <v>0</v>
          </cell>
          <cell r="AC555">
            <v>0</v>
          </cell>
          <cell r="AD555">
            <v>0</v>
          </cell>
          <cell r="AG555">
            <v>0</v>
          </cell>
          <cell r="AH555">
            <v>0</v>
          </cell>
        </row>
        <row r="556">
          <cell r="G556">
            <v>14236</v>
          </cell>
          <cell r="H556">
            <v>673000</v>
          </cell>
          <cell r="L556" t="str">
            <v>Loan From Others (Unsecured)</v>
          </cell>
          <cell r="M556" t="str">
            <v>LOAN FROM OTHERS (UNSECURED)</v>
          </cell>
          <cell r="N556" t="e">
            <v>#REF!</v>
          </cell>
          <cell r="O556" t="str">
            <v>L</v>
          </cell>
          <cell r="Q556">
            <v>0</v>
          </cell>
          <cell r="R556">
            <v>0</v>
          </cell>
          <cell r="AC556">
            <v>0</v>
          </cell>
          <cell r="AD556">
            <v>0</v>
          </cell>
          <cell r="AG556">
            <v>0</v>
          </cell>
          <cell r="AH556">
            <v>0</v>
          </cell>
        </row>
        <row r="557">
          <cell r="H557">
            <v>674000</v>
          </cell>
          <cell r="K557" t="str">
            <v>Loan from Vl &amp; Others</v>
          </cell>
          <cell r="M557" t="e">
            <v>#N/A</v>
          </cell>
          <cell r="N557" t="e">
            <v>#REF!</v>
          </cell>
          <cell r="O557" t="str">
            <v>L</v>
          </cell>
          <cell r="P557">
            <v>0</v>
          </cell>
          <cell r="Q557">
            <v>0</v>
          </cell>
          <cell r="R557">
            <v>26250000</v>
          </cell>
          <cell r="T557">
            <v>0</v>
          </cell>
          <cell r="U557">
            <v>0</v>
          </cell>
          <cell r="V557">
            <v>26250000</v>
          </cell>
          <cell r="X557">
            <v>0</v>
          </cell>
          <cell r="Y557">
            <v>0</v>
          </cell>
          <cell r="Z557">
            <v>0</v>
          </cell>
          <cell r="AB557">
            <v>0</v>
          </cell>
          <cell r="AC557">
            <v>0</v>
          </cell>
          <cell r="AD557">
            <v>0</v>
          </cell>
          <cell r="AF557">
            <v>0</v>
          </cell>
          <cell r="AG557">
            <v>0</v>
          </cell>
          <cell r="AH557">
            <v>0</v>
          </cell>
        </row>
        <row r="558">
          <cell r="H558">
            <v>675000</v>
          </cell>
          <cell r="K558" t="str">
            <v>Def. Sales Tax Liability</v>
          </cell>
          <cell r="M558" t="e">
            <v>#N/A</v>
          </cell>
          <cell r="N558" t="e">
            <v>#REF!</v>
          </cell>
          <cell r="O558" t="str">
            <v>L</v>
          </cell>
        </row>
        <row r="559">
          <cell r="H559">
            <v>676000</v>
          </cell>
          <cell r="I559" t="str">
            <v>1230</v>
          </cell>
          <cell r="L559" t="str">
            <v>Def. Sales Tax Liability</v>
          </cell>
          <cell r="M559" t="e">
            <v>#N/A</v>
          </cell>
          <cell r="N559" t="e">
            <v>#REF!</v>
          </cell>
          <cell r="O559" t="str">
            <v>L</v>
          </cell>
          <cell r="Q559">
            <v>0</v>
          </cell>
          <cell r="R559">
            <v>0</v>
          </cell>
          <cell r="AC559">
            <v>0</v>
          </cell>
          <cell r="AD559">
            <v>0</v>
          </cell>
          <cell r="AG559">
            <v>0</v>
          </cell>
          <cell r="AH559">
            <v>0</v>
          </cell>
        </row>
        <row r="560">
          <cell r="H560">
            <v>677000</v>
          </cell>
          <cell r="K560" t="str">
            <v>Def. Sales Tax Liability</v>
          </cell>
          <cell r="M560" t="e">
            <v>#N/A</v>
          </cell>
          <cell r="N560" t="e">
            <v>#REF!</v>
          </cell>
          <cell r="O560" t="str">
            <v>L</v>
          </cell>
          <cell r="P560">
            <v>0</v>
          </cell>
          <cell r="Q560">
            <v>0</v>
          </cell>
          <cell r="R560">
            <v>0</v>
          </cell>
          <cell r="T560">
            <v>0</v>
          </cell>
          <cell r="U560">
            <v>0</v>
          </cell>
          <cell r="V560">
            <v>0</v>
          </cell>
          <cell r="X560">
            <v>0</v>
          </cell>
          <cell r="Y560">
            <v>0</v>
          </cell>
          <cell r="Z560">
            <v>0</v>
          </cell>
          <cell r="AB560">
            <v>0</v>
          </cell>
          <cell r="AC560">
            <v>0</v>
          </cell>
          <cell r="AD560">
            <v>0</v>
          </cell>
          <cell r="AF560">
            <v>0</v>
          </cell>
          <cell r="AG560">
            <v>0</v>
          </cell>
          <cell r="AH560">
            <v>0</v>
          </cell>
        </row>
        <row r="561">
          <cell r="H561">
            <v>678000</v>
          </cell>
          <cell r="J561" t="str">
            <v>Unsecured Loans</v>
          </cell>
          <cell r="M561" t="e">
            <v>#N/A</v>
          </cell>
          <cell r="N561" t="e">
            <v>#REF!</v>
          </cell>
          <cell r="O561" t="str">
            <v>L</v>
          </cell>
          <cell r="P561">
            <v>0</v>
          </cell>
          <cell r="Q561">
            <v>0</v>
          </cell>
          <cell r="R561">
            <v>26250000</v>
          </cell>
          <cell r="T561">
            <v>0</v>
          </cell>
          <cell r="U561">
            <v>0</v>
          </cell>
          <cell r="V561">
            <v>26250000</v>
          </cell>
          <cell r="X561">
            <v>0</v>
          </cell>
          <cell r="Y561">
            <v>0</v>
          </cell>
          <cell r="Z561">
            <v>0</v>
          </cell>
          <cell r="AB561">
            <v>0</v>
          </cell>
          <cell r="AC561">
            <v>0</v>
          </cell>
          <cell r="AD561">
            <v>0</v>
          </cell>
          <cell r="AF561">
            <v>0</v>
          </cell>
          <cell r="AG561">
            <v>0</v>
          </cell>
          <cell r="AH561">
            <v>0</v>
          </cell>
        </row>
        <row r="562">
          <cell r="H562">
            <v>679000</v>
          </cell>
          <cell r="J562" t="str">
            <v>LONG TERM ORROWINGS (TB/ GROSS)</v>
          </cell>
          <cell r="M562" t="e">
            <v>#N/A</v>
          </cell>
          <cell r="N562" t="e">
            <v>#REF!</v>
          </cell>
          <cell r="O562" t="str">
            <v>L</v>
          </cell>
          <cell r="P562">
            <v>0</v>
          </cell>
          <cell r="Q562">
            <v>232089975</v>
          </cell>
          <cell r="R562">
            <v>260459844</v>
          </cell>
          <cell r="T562">
            <v>0</v>
          </cell>
          <cell r="U562">
            <v>201197009</v>
          </cell>
          <cell r="V562">
            <v>253461338</v>
          </cell>
          <cell r="X562">
            <v>0</v>
          </cell>
          <cell r="Y562">
            <v>29882389</v>
          </cell>
          <cell r="Z562">
            <v>-105336</v>
          </cell>
          <cell r="AB562">
            <v>0</v>
          </cell>
          <cell r="AC562">
            <v>700000</v>
          </cell>
          <cell r="AD562">
            <v>0</v>
          </cell>
          <cell r="AF562">
            <v>0</v>
          </cell>
          <cell r="AG562">
            <v>310577</v>
          </cell>
          <cell r="AH562">
            <v>7103842</v>
          </cell>
        </row>
        <row r="563">
          <cell r="H563">
            <v>680000</v>
          </cell>
          <cell r="M563" t="e">
            <v>#N/A</v>
          </cell>
          <cell r="N563" t="e">
            <v>#REF!</v>
          </cell>
          <cell r="O563" t="str">
            <v>L</v>
          </cell>
        </row>
        <row r="564">
          <cell r="H564">
            <v>681000</v>
          </cell>
          <cell r="J564" t="str">
            <v>CURRENT MATURITIES OF LONG TERM BORROWINGS</v>
          </cell>
          <cell r="M564" t="e">
            <v>#N/A</v>
          </cell>
          <cell r="N564" t="e">
            <v>#REF!</v>
          </cell>
          <cell r="O564" t="str">
            <v>L</v>
          </cell>
        </row>
        <row r="565">
          <cell r="H565">
            <v>682000</v>
          </cell>
          <cell r="L565" t="str">
            <v>Bank Loans</v>
          </cell>
          <cell r="M565" t="e">
            <v>#N/A</v>
          </cell>
          <cell r="N565" t="e">
            <v>#REF!</v>
          </cell>
          <cell r="O565" t="str">
            <v>L</v>
          </cell>
          <cell r="Q565">
            <v>16790584</v>
          </cell>
          <cell r="R565">
            <v>23327604</v>
          </cell>
          <cell r="U565">
            <v>16790584</v>
          </cell>
          <cell r="V565">
            <v>23327604</v>
          </cell>
        </row>
        <row r="566">
          <cell r="H566">
            <v>683000</v>
          </cell>
          <cell r="L566" t="str">
            <v>Other Loans</v>
          </cell>
          <cell r="M566" t="e">
            <v>#N/A</v>
          </cell>
          <cell r="N566" t="e">
            <v>#REF!</v>
          </cell>
          <cell r="O566" t="str">
            <v>L</v>
          </cell>
          <cell r="Q566">
            <v>0</v>
          </cell>
          <cell r="R566">
            <v>655284</v>
          </cell>
          <cell r="U566">
            <v>0</v>
          </cell>
          <cell r="V566">
            <v>655284</v>
          </cell>
        </row>
        <row r="567">
          <cell r="H567">
            <v>684000</v>
          </cell>
          <cell r="L567">
            <v>0</v>
          </cell>
          <cell r="M567" t="e">
            <v>#N/A</v>
          </cell>
          <cell r="N567" t="e">
            <v>#REF!</v>
          </cell>
          <cell r="O567" t="str">
            <v>L</v>
          </cell>
          <cell r="Q567">
            <v>0</v>
          </cell>
          <cell r="R567">
            <v>0</v>
          </cell>
        </row>
        <row r="568">
          <cell r="H568">
            <v>685000</v>
          </cell>
          <cell r="J568" t="str">
            <v>CURRENT MATURITIES OF LONG TERM BORROWINGS</v>
          </cell>
          <cell r="M568" t="e">
            <v>#N/A</v>
          </cell>
          <cell r="N568" t="e">
            <v>#REF!</v>
          </cell>
          <cell r="O568" t="str">
            <v>L</v>
          </cell>
          <cell r="P568">
            <v>0</v>
          </cell>
          <cell r="Q568">
            <v>16790584</v>
          </cell>
          <cell r="R568">
            <v>23982888</v>
          </cell>
          <cell r="T568">
            <v>0</v>
          </cell>
          <cell r="U568">
            <v>16790584</v>
          </cell>
          <cell r="V568">
            <v>23982888</v>
          </cell>
          <cell r="X568">
            <v>0</v>
          </cell>
          <cell r="Y568">
            <v>0</v>
          </cell>
          <cell r="Z568">
            <v>0</v>
          </cell>
          <cell r="AB568">
            <v>0</v>
          </cell>
          <cell r="AC568">
            <v>0</v>
          </cell>
          <cell r="AD568">
            <v>0</v>
          </cell>
          <cell r="AF568">
            <v>0</v>
          </cell>
          <cell r="AG568">
            <v>0</v>
          </cell>
          <cell r="AH568">
            <v>0</v>
          </cell>
        </row>
        <row r="569">
          <cell r="H569">
            <v>686000</v>
          </cell>
          <cell r="J569" t="str">
            <v>LONG TERM BORROWINGS (NON CURRENT)</v>
          </cell>
          <cell r="M569" t="e">
            <v>#N/A</v>
          </cell>
          <cell r="N569" t="e">
            <v>#REF!</v>
          </cell>
          <cell r="O569" t="str">
            <v>L</v>
          </cell>
          <cell r="P569">
            <v>0</v>
          </cell>
          <cell r="Q569">
            <v>215299391</v>
          </cell>
          <cell r="R569">
            <v>236476956</v>
          </cell>
          <cell r="T569">
            <v>0</v>
          </cell>
          <cell r="U569">
            <v>184406425</v>
          </cell>
          <cell r="V569">
            <v>229478450</v>
          </cell>
          <cell r="X569">
            <v>0</v>
          </cell>
          <cell r="Y569">
            <v>29882389</v>
          </cell>
          <cell r="Z569">
            <v>-105336</v>
          </cell>
          <cell r="AB569">
            <v>0</v>
          </cell>
          <cell r="AC569">
            <v>700000</v>
          </cell>
          <cell r="AD569">
            <v>0</v>
          </cell>
          <cell r="AF569">
            <v>0</v>
          </cell>
          <cell r="AG569">
            <v>310577</v>
          </cell>
          <cell r="AH569">
            <v>7103842</v>
          </cell>
        </row>
        <row r="570">
          <cell r="M570" t="e">
            <v>#N/A</v>
          </cell>
          <cell r="N570" t="e">
            <v>#REF!</v>
          </cell>
          <cell r="O570" t="str">
            <v>L</v>
          </cell>
          <cell r="Q570">
            <v>0</v>
          </cell>
          <cell r="R570">
            <v>0</v>
          </cell>
        </row>
        <row r="571">
          <cell r="H571">
            <v>687000</v>
          </cell>
          <cell r="J571" t="str">
            <v>DEFERRED TAX LIABILITIES (NET)</v>
          </cell>
          <cell r="M571" t="e">
            <v>#N/A</v>
          </cell>
          <cell r="N571" t="e">
            <v>#REF!</v>
          </cell>
          <cell r="O571" t="str">
            <v>L</v>
          </cell>
        </row>
        <row r="572">
          <cell r="G572">
            <v>14287</v>
          </cell>
          <cell r="H572">
            <v>688000</v>
          </cell>
          <cell r="I572" t="str">
            <v>2031</v>
          </cell>
          <cell r="L572" t="str">
            <v>Provision For Deffered Tax (Liab)</v>
          </cell>
          <cell r="M572" t="str">
            <v>DEFFERED TAX (LIAB) (</v>
          </cell>
          <cell r="N572" t="e">
            <v>#REF!</v>
          </cell>
          <cell r="O572" t="str">
            <v>s</v>
          </cell>
          <cell r="Q572">
            <v>42014536</v>
          </cell>
          <cell r="R572">
            <v>46411900</v>
          </cell>
          <cell r="U572">
            <v>42014536</v>
          </cell>
          <cell r="V572">
            <v>46411900</v>
          </cell>
          <cell r="Y572">
            <v>0</v>
          </cell>
          <cell r="Z572">
            <v>0</v>
          </cell>
          <cell r="AC572">
            <v>0</v>
          </cell>
          <cell r="AD572">
            <v>0</v>
          </cell>
          <cell r="AG572">
            <v>0</v>
          </cell>
          <cell r="AH572">
            <v>0</v>
          </cell>
        </row>
        <row r="573">
          <cell r="G573">
            <v>14288</v>
          </cell>
          <cell r="H573">
            <v>689000</v>
          </cell>
          <cell r="I573" t="str">
            <v>4900</v>
          </cell>
          <cell r="L573" t="str">
            <v>Deffered Tax Assets</v>
          </cell>
          <cell r="M573" t="str">
            <v>DEFFERED TAX ASSETS</v>
          </cell>
          <cell r="N573" t="e">
            <v>#REF!</v>
          </cell>
          <cell r="O573" t="str">
            <v>s</v>
          </cell>
          <cell r="Q573">
            <v>-14822407</v>
          </cell>
          <cell r="R573">
            <v>-20124025</v>
          </cell>
          <cell r="U573">
            <v>-14822407</v>
          </cell>
          <cell r="V573">
            <v>-20124025</v>
          </cell>
          <cell r="Y573">
            <v>0</v>
          </cell>
          <cell r="Z573">
            <v>0</v>
          </cell>
          <cell r="AC573">
            <v>0</v>
          </cell>
          <cell r="AD573">
            <v>0</v>
          </cell>
          <cell r="AG573">
            <v>0</v>
          </cell>
          <cell r="AH573">
            <v>0</v>
          </cell>
        </row>
        <row r="574">
          <cell r="H574">
            <v>690000</v>
          </cell>
          <cell r="L574">
            <v>0</v>
          </cell>
          <cell r="M574" t="e">
            <v>#N/A</v>
          </cell>
          <cell r="N574" t="e">
            <v>#REF!</v>
          </cell>
          <cell r="O574" t="str">
            <v>s</v>
          </cell>
          <cell r="Q574">
            <v>0</v>
          </cell>
          <cell r="R574">
            <v>0</v>
          </cell>
          <cell r="Y574">
            <v>0</v>
          </cell>
          <cell r="Z574">
            <v>0</v>
          </cell>
        </row>
        <row r="575">
          <cell r="H575">
            <v>691000</v>
          </cell>
          <cell r="J575" t="str">
            <v>DEFERRED TAX LIABILITIES (NET)</v>
          </cell>
          <cell r="M575" t="e">
            <v>#N/A</v>
          </cell>
          <cell r="N575" t="e">
            <v>#REF!</v>
          </cell>
          <cell r="O575" t="str">
            <v>s</v>
          </cell>
          <cell r="P575">
            <v>0</v>
          </cell>
          <cell r="Q575">
            <v>27192129</v>
          </cell>
          <cell r="R575">
            <v>26287875</v>
          </cell>
          <cell r="T575">
            <v>0</v>
          </cell>
          <cell r="U575">
            <v>27192129</v>
          </cell>
          <cell r="V575">
            <v>26287875</v>
          </cell>
          <cell r="X575">
            <v>0</v>
          </cell>
          <cell r="Y575">
            <v>0</v>
          </cell>
          <cell r="Z575">
            <v>0</v>
          </cell>
          <cell r="AB575">
            <v>0</v>
          </cell>
          <cell r="AC575">
            <v>0</v>
          </cell>
          <cell r="AD575">
            <v>0</v>
          </cell>
          <cell r="AF575">
            <v>0</v>
          </cell>
          <cell r="AG575">
            <v>0</v>
          </cell>
          <cell r="AH575">
            <v>0</v>
          </cell>
        </row>
        <row r="576">
          <cell r="H576">
            <v>699000</v>
          </cell>
          <cell r="M576" t="e">
            <v>#N/A</v>
          </cell>
          <cell r="N576" t="e">
            <v>#REF!</v>
          </cell>
          <cell r="O576" t="str">
            <v>L</v>
          </cell>
          <cell r="R576">
            <v>1</v>
          </cell>
          <cell r="U576">
            <v>904254</v>
          </cell>
        </row>
        <row r="577">
          <cell r="H577">
            <v>700000</v>
          </cell>
          <cell r="J577" t="str">
            <v>LONG TERM PROVISION</v>
          </cell>
          <cell r="M577" t="e">
            <v>#N/A</v>
          </cell>
          <cell r="N577" t="e">
            <v>#REF!</v>
          </cell>
          <cell r="O577" t="str">
            <v>L</v>
          </cell>
        </row>
        <row r="578">
          <cell r="H578">
            <v>701000</v>
          </cell>
          <cell r="K578" t="str">
            <v>Provision For Employee Benefits</v>
          </cell>
          <cell r="M578" t="e">
            <v>#N/A</v>
          </cell>
          <cell r="N578" t="e">
            <v>#REF!</v>
          </cell>
          <cell r="O578" t="str">
            <v>L</v>
          </cell>
        </row>
        <row r="579">
          <cell r="H579">
            <v>702000</v>
          </cell>
          <cell r="L579" t="str">
            <v>Provision For Gratuity</v>
          </cell>
          <cell r="M579" t="e">
            <v>#N/A</v>
          </cell>
          <cell r="N579" t="e">
            <v>#REF!</v>
          </cell>
          <cell r="O579" t="str">
            <v>L</v>
          </cell>
          <cell r="Q579">
            <v>0</v>
          </cell>
          <cell r="R579">
            <v>0</v>
          </cell>
          <cell r="U579">
            <v>0</v>
          </cell>
          <cell r="V579">
            <v>0</v>
          </cell>
          <cell r="Y579">
            <v>0</v>
          </cell>
          <cell r="Z579">
            <v>0</v>
          </cell>
          <cell r="AC579">
            <v>0</v>
          </cell>
          <cell r="AD579">
            <v>0</v>
          </cell>
          <cell r="AG579">
            <v>0</v>
          </cell>
          <cell r="AH579">
            <v>0</v>
          </cell>
        </row>
        <row r="580">
          <cell r="H580">
            <v>703000</v>
          </cell>
          <cell r="L580" t="str">
            <v>Provision For Compensated Absances</v>
          </cell>
          <cell r="M580" t="e">
            <v>#N/A</v>
          </cell>
          <cell r="N580" t="e">
            <v>#REF!</v>
          </cell>
          <cell r="O580" t="str">
            <v>L</v>
          </cell>
          <cell r="Q580">
            <v>18889776</v>
          </cell>
          <cell r="R580">
            <v>15923622</v>
          </cell>
          <cell r="U580">
            <v>18889776</v>
          </cell>
          <cell r="V580">
            <v>15923622</v>
          </cell>
        </row>
        <row r="581">
          <cell r="H581">
            <v>704000</v>
          </cell>
          <cell r="K581" t="str">
            <v>Provision For Employee Benefits</v>
          </cell>
          <cell r="M581" t="e">
            <v>#N/A</v>
          </cell>
          <cell r="N581" t="e">
            <v>#REF!</v>
          </cell>
          <cell r="O581" t="str">
            <v>L</v>
          </cell>
          <cell r="P581">
            <v>0</v>
          </cell>
          <cell r="Q581">
            <v>18889776</v>
          </cell>
          <cell r="R581">
            <v>15923622</v>
          </cell>
          <cell r="T581">
            <v>0</v>
          </cell>
          <cell r="U581">
            <v>18889776</v>
          </cell>
          <cell r="V581">
            <v>15923622</v>
          </cell>
          <cell r="X581">
            <v>0</v>
          </cell>
          <cell r="Y581">
            <v>0</v>
          </cell>
          <cell r="Z581">
            <v>0</v>
          </cell>
          <cell r="AB581">
            <v>0</v>
          </cell>
          <cell r="AC581">
            <v>0</v>
          </cell>
          <cell r="AD581">
            <v>0</v>
          </cell>
          <cell r="AF581">
            <v>0</v>
          </cell>
          <cell r="AG581">
            <v>0</v>
          </cell>
          <cell r="AH581">
            <v>0</v>
          </cell>
        </row>
        <row r="582">
          <cell r="H582">
            <v>705000</v>
          </cell>
          <cell r="K582" t="str">
            <v>Provision for Indirect Taxes</v>
          </cell>
          <cell r="M582" t="e">
            <v>#N/A</v>
          </cell>
          <cell r="N582" t="e">
            <v>#REF!</v>
          </cell>
          <cell r="O582" t="str">
            <v>L</v>
          </cell>
        </row>
        <row r="583">
          <cell r="G583">
            <v>15526</v>
          </cell>
          <cell r="H583">
            <v>706000</v>
          </cell>
          <cell r="L583" t="str">
            <v>Liabilities Towards Sales Tax</v>
          </cell>
          <cell r="M583" t="str">
            <v>LIABILITES TOWARDS SALES TAX</v>
          </cell>
          <cell r="N583" t="e">
            <v>#REF!</v>
          </cell>
          <cell r="O583" t="str">
            <v>L</v>
          </cell>
          <cell r="Q583">
            <v>19781972</v>
          </cell>
          <cell r="R583">
            <v>16343036</v>
          </cell>
          <cell r="U583">
            <v>6313860</v>
          </cell>
          <cell r="V583">
            <v>7564199</v>
          </cell>
          <cell r="Y583">
            <v>13468112</v>
          </cell>
          <cell r="Z583">
            <v>8778837</v>
          </cell>
          <cell r="AC583">
            <v>0</v>
          </cell>
          <cell r="AD583">
            <v>0</v>
          </cell>
          <cell r="AG583">
            <v>0</v>
          </cell>
          <cell r="AH583">
            <v>0</v>
          </cell>
        </row>
        <row r="584">
          <cell r="H584">
            <v>707000</v>
          </cell>
          <cell r="L584">
            <v>0</v>
          </cell>
          <cell r="M584" t="e">
            <v>#N/A</v>
          </cell>
          <cell r="N584" t="e">
            <v>#REF!</v>
          </cell>
          <cell r="O584" t="str">
            <v>L</v>
          </cell>
          <cell r="Q584">
            <v>0</v>
          </cell>
          <cell r="R584">
            <v>0</v>
          </cell>
          <cell r="T584" t="e">
            <v>#REF!</v>
          </cell>
        </row>
        <row r="585">
          <cell r="H585">
            <v>708000</v>
          </cell>
          <cell r="K585" t="str">
            <v>Provision for Indirect Taxes</v>
          </cell>
          <cell r="M585" t="e">
            <v>#N/A</v>
          </cell>
          <cell r="N585" t="e">
            <v>#REF!</v>
          </cell>
          <cell r="O585" t="str">
            <v>L</v>
          </cell>
          <cell r="P585">
            <v>0</v>
          </cell>
          <cell r="Q585">
            <v>19781972</v>
          </cell>
          <cell r="R585">
            <v>16343036</v>
          </cell>
          <cell r="T585" t="e">
            <v>#REF!</v>
          </cell>
          <cell r="U585">
            <v>6313860</v>
          </cell>
          <cell r="V585">
            <v>7564199</v>
          </cell>
          <cell r="X585">
            <v>0</v>
          </cell>
          <cell r="Y585">
            <v>13468112</v>
          </cell>
          <cell r="Z585">
            <v>8778837</v>
          </cell>
          <cell r="AB585">
            <v>0</v>
          </cell>
          <cell r="AC585">
            <v>0</v>
          </cell>
          <cell r="AD585">
            <v>0</v>
          </cell>
          <cell r="AF585">
            <v>0</v>
          </cell>
          <cell r="AG585">
            <v>0</v>
          </cell>
          <cell r="AH585">
            <v>0</v>
          </cell>
        </row>
        <row r="586">
          <cell r="H586">
            <v>709000</v>
          </cell>
          <cell r="J586" t="str">
            <v>LONG TERM PROVISION</v>
          </cell>
          <cell r="M586" t="e">
            <v>#N/A</v>
          </cell>
          <cell r="N586" t="e">
            <v>#REF!</v>
          </cell>
          <cell r="O586" t="str">
            <v>L</v>
          </cell>
          <cell r="P586">
            <v>0</v>
          </cell>
          <cell r="Q586">
            <v>38671748</v>
          </cell>
          <cell r="R586">
            <v>32266658</v>
          </cell>
          <cell r="T586" t="e">
            <v>#REF!</v>
          </cell>
          <cell r="U586">
            <v>25203636</v>
          </cell>
          <cell r="V586">
            <v>23487821</v>
          </cell>
          <cell r="X586">
            <v>0</v>
          </cell>
          <cell r="Y586">
            <v>13468112</v>
          </cell>
          <cell r="Z586">
            <v>8778837</v>
          </cell>
          <cell r="AB586">
            <v>0</v>
          </cell>
          <cell r="AC586">
            <v>0</v>
          </cell>
          <cell r="AD586">
            <v>0</v>
          </cell>
          <cell r="AF586">
            <v>0</v>
          </cell>
          <cell r="AG586">
            <v>0</v>
          </cell>
          <cell r="AH586">
            <v>0</v>
          </cell>
        </row>
        <row r="587">
          <cell r="H587">
            <v>710000</v>
          </cell>
          <cell r="J587" t="str">
            <v>NON-CURRENT LIABILITIES</v>
          </cell>
          <cell r="M587" t="e">
            <v>#N/A</v>
          </cell>
          <cell r="N587" t="e">
            <v>#REF!</v>
          </cell>
          <cell r="O587" t="str">
            <v>L</v>
          </cell>
          <cell r="P587">
            <v>0</v>
          </cell>
          <cell r="Q587">
            <v>281163268</v>
          </cell>
          <cell r="R587">
            <v>295031489</v>
          </cell>
          <cell r="T587" t="e">
            <v>#REF!</v>
          </cell>
          <cell r="U587">
            <v>236802190</v>
          </cell>
          <cell r="V587">
            <v>279254146</v>
          </cell>
          <cell r="X587">
            <v>0</v>
          </cell>
          <cell r="Y587">
            <v>43350501</v>
          </cell>
          <cell r="Z587">
            <v>8673501</v>
          </cell>
          <cell r="AB587">
            <v>0</v>
          </cell>
          <cell r="AC587">
            <v>700000</v>
          </cell>
          <cell r="AD587">
            <v>0</v>
          </cell>
          <cell r="AF587">
            <v>0</v>
          </cell>
          <cell r="AG587">
            <v>310577</v>
          </cell>
          <cell r="AH587">
            <v>7103842</v>
          </cell>
        </row>
        <row r="588">
          <cell r="H588">
            <v>711000</v>
          </cell>
          <cell r="O588" t="str">
            <v>L</v>
          </cell>
        </row>
        <row r="589">
          <cell r="H589">
            <v>715000</v>
          </cell>
          <cell r="J589" t="str">
            <v>SHORT TERM BOROWINGS</v>
          </cell>
          <cell r="M589" t="e">
            <v>#N/A</v>
          </cell>
          <cell r="N589" t="e">
            <v>#REF!</v>
          </cell>
          <cell r="O589" t="str">
            <v>L</v>
          </cell>
        </row>
        <row r="590">
          <cell r="H590">
            <v>716000</v>
          </cell>
          <cell r="J590" t="str">
            <v>Secured</v>
          </cell>
          <cell r="M590" t="e">
            <v>#N/A</v>
          </cell>
          <cell r="N590" t="e">
            <v>#REF!</v>
          </cell>
          <cell r="O590" t="str">
            <v>L</v>
          </cell>
        </row>
        <row r="591">
          <cell r="H591">
            <v>717000</v>
          </cell>
          <cell r="K591" t="str">
            <v>Cash Credit From Bank</v>
          </cell>
          <cell r="M591" t="e">
            <v>#N/A</v>
          </cell>
          <cell r="N591" t="e">
            <v>#REF!</v>
          </cell>
          <cell r="O591" t="str">
            <v>L</v>
          </cell>
        </row>
        <row r="592">
          <cell r="G592">
            <v>14070</v>
          </cell>
          <cell r="H592">
            <v>718000</v>
          </cell>
          <cell r="I592" t="str">
            <v>0510</v>
          </cell>
          <cell r="L592" t="str">
            <v>Cash Credit - Stock [Boi]</v>
          </cell>
          <cell r="M592" t="str">
            <v>CASH CREDIT - BOI (21049) (0510)</v>
          </cell>
          <cell r="N592" t="e">
            <v>#REF!</v>
          </cell>
          <cell r="O592" t="str">
            <v>L</v>
          </cell>
          <cell r="Q592">
            <v>46546346</v>
          </cell>
          <cell r="R592">
            <v>77755305</v>
          </cell>
          <cell r="U592">
            <v>-1139365900</v>
          </cell>
          <cell r="V592">
            <v>-492602184</v>
          </cell>
          <cell r="Y592">
            <v>1185912246</v>
          </cell>
          <cell r="Z592">
            <v>570357489</v>
          </cell>
          <cell r="AC592">
            <v>0</v>
          </cell>
          <cell r="AD592">
            <v>0</v>
          </cell>
          <cell r="AG592">
            <v>0</v>
          </cell>
          <cell r="AH592">
            <v>0</v>
          </cell>
        </row>
        <row r="593">
          <cell r="I593" t="str">
            <v>511</v>
          </cell>
          <cell r="L593" t="str">
            <v>Cash Credit - Kotak Bank [A/c - 131158650]</v>
          </cell>
          <cell r="Q593">
            <v>2753788</v>
          </cell>
          <cell r="R593">
            <v>0</v>
          </cell>
          <cell r="U593">
            <v>0</v>
          </cell>
          <cell r="V593">
            <v>0</v>
          </cell>
          <cell r="Y593">
            <v>0</v>
          </cell>
          <cell r="Z593">
            <v>0</v>
          </cell>
          <cell r="AC593">
            <v>0</v>
          </cell>
          <cell r="AD593">
            <v>0</v>
          </cell>
          <cell r="AG593">
            <v>2753788</v>
          </cell>
          <cell r="AH593">
            <v>0</v>
          </cell>
        </row>
        <row r="594">
          <cell r="G594">
            <v>14072</v>
          </cell>
          <cell r="H594">
            <v>719000</v>
          </cell>
          <cell r="I594" t="str">
            <v>0520</v>
          </cell>
          <cell r="L594" t="str">
            <v>Packing Credit [Boi]</v>
          </cell>
          <cell r="M594" t="str">
            <v>PACKING CREDIT [BOI] (0520)</v>
          </cell>
          <cell r="N594" t="e">
            <v>#REF!</v>
          </cell>
          <cell r="O594" t="str">
            <v>L</v>
          </cell>
          <cell r="Q594">
            <v>7750000</v>
          </cell>
          <cell r="R594">
            <v>13923291</v>
          </cell>
          <cell r="U594">
            <v>7750000</v>
          </cell>
          <cell r="V594">
            <v>13923291</v>
          </cell>
          <cell r="Y594">
            <v>0</v>
          </cell>
          <cell r="Z594">
            <v>0</v>
          </cell>
          <cell r="AC594">
            <v>0</v>
          </cell>
          <cell r="AD594">
            <v>0</v>
          </cell>
          <cell r="AG594">
            <v>0</v>
          </cell>
          <cell r="AH594">
            <v>0</v>
          </cell>
        </row>
        <row r="595">
          <cell r="H595">
            <v>720000</v>
          </cell>
          <cell r="I595" t="str">
            <v>05201</v>
          </cell>
          <cell r="L595" t="str">
            <v>Boi - Packing Credit</v>
          </cell>
          <cell r="M595" t="e">
            <v>#N/A</v>
          </cell>
          <cell r="N595" t="e">
            <v>#REF!</v>
          </cell>
          <cell r="O595" t="str">
            <v>L</v>
          </cell>
          <cell r="Q595">
            <v>0</v>
          </cell>
          <cell r="R595">
            <v>0</v>
          </cell>
          <cell r="U595">
            <v>0</v>
          </cell>
          <cell r="V595">
            <v>0</v>
          </cell>
          <cell r="Y595">
            <v>0</v>
          </cell>
          <cell r="Z595">
            <v>0</v>
          </cell>
          <cell r="AC595">
            <v>0</v>
          </cell>
          <cell r="AD595">
            <v>0</v>
          </cell>
          <cell r="AG595">
            <v>0</v>
          </cell>
          <cell r="AH595">
            <v>0</v>
          </cell>
        </row>
        <row r="596">
          <cell r="G596">
            <v>14079</v>
          </cell>
          <cell r="H596">
            <v>721000</v>
          </cell>
          <cell r="I596" t="str">
            <v>0600</v>
          </cell>
          <cell r="L596" t="str">
            <v>Current Account - Hsbc (Cbr)</v>
          </cell>
          <cell r="M596" t="str">
            <v>CASH CREDIT - HSBC (005-464698-001) (0600)</v>
          </cell>
          <cell r="N596" t="e">
            <v>#REF!</v>
          </cell>
          <cell r="O596" t="str">
            <v>L</v>
          </cell>
          <cell r="Q596">
            <v>8781024</v>
          </cell>
          <cell r="R596">
            <v>8251160</v>
          </cell>
          <cell r="U596">
            <v>31157387</v>
          </cell>
          <cell r="V596">
            <v>8251160</v>
          </cell>
          <cell r="Y596">
            <v>-22376363</v>
          </cell>
          <cell r="Z596">
            <v>0</v>
          </cell>
          <cell r="AC596">
            <v>0</v>
          </cell>
          <cell r="AD596">
            <v>0</v>
          </cell>
          <cell r="AG596">
            <v>0</v>
          </cell>
          <cell r="AH596">
            <v>0</v>
          </cell>
        </row>
        <row r="597">
          <cell r="H597">
            <v>722000</v>
          </cell>
          <cell r="I597" t="str">
            <v>0603</v>
          </cell>
          <cell r="L597" t="str">
            <v>Hsbc - Bill Discounting</v>
          </cell>
          <cell r="M597" t="e">
            <v>#N/A</v>
          </cell>
          <cell r="N597" t="e">
            <v>#REF!</v>
          </cell>
          <cell r="O597" t="str">
            <v>L</v>
          </cell>
          <cell r="Q597">
            <v>0</v>
          </cell>
          <cell r="R597">
            <v>0</v>
          </cell>
          <cell r="U597">
            <v>0</v>
          </cell>
          <cell r="V597">
            <v>0</v>
          </cell>
          <cell r="Y597">
            <v>0</v>
          </cell>
          <cell r="Z597">
            <v>0</v>
          </cell>
          <cell r="AC597">
            <v>0</v>
          </cell>
          <cell r="AD597">
            <v>0</v>
          </cell>
          <cell r="AG597">
            <v>0</v>
          </cell>
          <cell r="AH597">
            <v>0</v>
          </cell>
        </row>
        <row r="598">
          <cell r="G598">
            <v>14080</v>
          </cell>
          <cell r="H598">
            <v>723000</v>
          </cell>
          <cell r="I598" t="str">
            <v>0608</v>
          </cell>
          <cell r="L598" t="str">
            <v>Current Account - Hsbc (Vlx)</v>
          </cell>
          <cell r="M598" t="str">
            <v>CASH CREDIT - HSBC (005-464698-002)</v>
          </cell>
          <cell r="N598" t="e">
            <v>#REF!</v>
          </cell>
          <cell r="O598" t="str">
            <v>L</v>
          </cell>
          <cell r="Q598">
            <v>8188897</v>
          </cell>
          <cell r="R598">
            <v>6112927</v>
          </cell>
          <cell r="U598">
            <v>230131376</v>
          </cell>
          <cell r="V598">
            <v>-122916106</v>
          </cell>
          <cell r="Y598">
            <v>-221942479</v>
          </cell>
          <cell r="Z598">
            <v>129029033</v>
          </cell>
          <cell r="AC598">
            <v>0</v>
          </cell>
          <cell r="AD598">
            <v>0</v>
          </cell>
          <cell r="AG598">
            <v>0</v>
          </cell>
          <cell r="AH598">
            <v>0</v>
          </cell>
        </row>
        <row r="599">
          <cell r="G599">
            <v>14083</v>
          </cell>
          <cell r="H599">
            <v>724000</v>
          </cell>
          <cell r="I599" t="str">
            <v>0610</v>
          </cell>
          <cell r="L599" t="str">
            <v>Packing Credit - Hsbc</v>
          </cell>
          <cell r="M599" t="str">
            <v>PACKING CREDIT - HSBC (0610)</v>
          </cell>
          <cell r="N599" t="e">
            <v>#REF!</v>
          </cell>
          <cell r="O599" t="str">
            <v>L</v>
          </cell>
          <cell r="Q599">
            <v>24522617</v>
          </cell>
          <cell r="R599">
            <v>37944303</v>
          </cell>
          <cell r="U599">
            <v>24522617</v>
          </cell>
          <cell r="V599">
            <v>37944303</v>
          </cell>
          <cell r="Y599">
            <v>0</v>
          </cell>
          <cell r="Z599">
            <v>0</v>
          </cell>
          <cell r="AC599">
            <v>0</v>
          </cell>
          <cell r="AD599">
            <v>0</v>
          </cell>
          <cell r="AG599">
            <v>0</v>
          </cell>
          <cell r="AH599">
            <v>0</v>
          </cell>
        </row>
        <row r="600">
          <cell r="G600">
            <v>14082</v>
          </cell>
          <cell r="H600">
            <v>725000</v>
          </cell>
          <cell r="I600" t="str">
            <v>0630</v>
          </cell>
          <cell r="L600" t="str">
            <v>Demand Loan - Hsbc</v>
          </cell>
          <cell r="M600" t="str">
            <v>DEMAND LOAN - HSBC (0630)</v>
          </cell>
          <cell r="N600" t="e">
            <v>#REF!</v>
          </cell>
          <cell r="O600" t="str">
            <v>L</v>
          </cell>
          <cell r="Q600">
            <v>190000000</v>
          </cell>
          <cell r="R600">
            <v>95000000</v>
          </cell>
          <cell r="U600">
            <v>190000000</v>
          </cell>
          <cell r="V600">
            <v>95000000</v>
          </cell>
          <cell r="Y600">
            <v>0</v>
          </cell>
          <cell r="Z600">
            <v>0</v>
          </cell>
          <cell r="AC600">
            <v>0</v>
          </cell>
          <cell r="AD600">
            <v>0</v>
          </cell>
          <cell r="AG600">
            <v>0</v>
          </cell>
          <cell r="AH600">
            <v>0</v>
          </cell>
        </row>
        <row r="601">
          <cell r="H601">
            <v>726000</v>
          </cell>
          <cell r="L601" t="str">
            <v>Debit Balance regouped in Cash &amp; Bank</v>
          </cell>
          <cell r="M601" t="e">
            <v>#N/A</v>
          </cell>
          <cell r="N601" t="e">
            <v>#REF!</v>
          </cell>
          <cell r="O601" t="str">
            <v>L</v>
          </cell>
          <cell r="Q601">
            <v>0</v>
          </cell>
          <cell r="R601">
            <v>0</v>
          </cell>
          <cell r="Y601">
            <v>0</v>
          </cell>
          <cell r="Z601">
            <v>0</v>
          </cell>
          <cell r="AC601">
            <v>0</v>
          </cell>
          <cell r="AD601">
            <v>0</v>
          </cell>
          <cell r="AG601">
            <v>0</v>
          </cell>
          <cell r="AH601">
            <v>0</v>
          </cell>
        </row>
        <row r="602">
          <cell r="H602">
            <v>727000</v>
          </cell>
          <cell r="K602" t="str">
            <v>Cash Credit From Bank</v>
          </cell>
          <cell r="M602" t="e">
            <v>#N/A</v>
          </cell>
          <cell r="N602" t="e">
            <v>#REF!</v>
          </cell>
          <cell r="O602" t="str">
            <v>L</v>
          </cell>
          <cell r="P602">
            <v>0</v>
          </cell>
          <cell r="Q602">
            <v>288542672</v>
          </cell>
          <cell r="R602">
            <v>238986986</v>
          </cell>
          <cell r="T602">
            <v>0</v>
          </cell>
          <cell r="U602">
            <v>-655804520</v>
          </cell>
          <cell r="V602">
            <v>-460399536</v>
          </cell>
          <cell r="X602">
            <v>0</v>
          </cell>
          <cell r="Y602">
            <v>941593404</v>
          </cell>
          <cell r="Z602">
            <v>699386522</v>
          </cell>
          <cell r="AB602">
            <v>0</v>
          </cell>
          <cell r="AC602">
            <v>0</v>
          </cell>
          <cell r="AD602">
            <v>0</v>
          </cell>
          <cell r="AF602">
            <v>0</v>
          </cell>
          <cell r="AG602">
            <v>2753788</v>
          </cell>
          <cell r="AH602">
            <v>0</v>
          </cell>
        </row>
        <row r="603">
          <cell r="H603">
            <v>728000</v>
          </cell>
          <cell r="J603" t="str">
            <v>Unsecured</v>
          </cell>
          <cell r="M603" t="e">
            <v>#N/A</v>
          </cell>
          <cell r="N603" t="e">
            <v>#REF!</v>
          </cell>
          <cell r="O603" t="str">
            <v>L</v>
          </cell>
        </row>
        <row r="604">
          <cell r="H604">
            <v>729000</v>
          </cell>
          <cell r="K604" t="str">
            <v>Overdraft With Bank</v>
          </cell>
          <cell r="M604" t="e">
            <v>#N/A</v>
          </cell>
          <cell r="N604" t="e">
            <v>#REF!</v>
          </cell>
          <cell r="O604" t="str">
            <v>L</v>
          </cell>
          <cell r="AC604">
            <v>0</v>
          </cell>
          <cell r="AD604">
            <v>0</v>
          </cell>
          <cell r="AG604">
            <v>0</v>
          </cell>
          <cell r="AH604">
            <v>0</v>
          </cell>
        </row>
        <row r="605">
          <cell r="G605">
            <v>14235</v>
          </cell>
          <cell r="H605">
            <v>730000</v>
          </cell>
          <cell r="I605" t="str">
            <v>1226</v>
          </cell>
          <cell r="L605" t="str">
            <v>Loan From -Rbs</v>
          </cell>
          <cell r="M605" t="str">
            <v>LOAN FROM BANKS (UNSECURED-RBS) (1226)</v>
          </cell>
          <cell r="N605" t="e">
            <v>#REF!</v>
          </cell>
          <cell r="O605" t="str">
            <v>L</v>
          </cell>
          <cell r="Q605">
            <v>0</v>
          </cell>
          <cell r="R605">
            <v>120037397</v>
          </cell>
          <cell r="U605">
            <v>0</v>
          </cell>
          <cell r="V605">
            <v>120037397</v>
          </cell>
          <cell r="Y605">
            <v>0</v>
          </cell>
          <cell r="Z605">
            <v>0</v>
          </cell>
          <cell r="AC605">
            <v>0</v>
          </cell>
          <cell r="AD605">
            <v>0</v>
          </cell>
          <cell r="AG605">
            <v>0</v>
          </cell>
          <cell r="AH605">
            <v>0</v>
          </cell>
        </row>
        <row r="606">
          <cell r="G606">
            <v>15163</v>
          </cell>
          <cell r="H606">
            <v>731000</v>
          </cell>
          <cell r="I606" t="str">
            <v>0612</v>
          </cell>
          <cell r="L606" t="str">
            <v>Rbs - Bank Account</v>
          </cell>
          <cell r="M606" t="str">
            <v>RBS BANK</v>
          </cell>
          <cell r="N606" t="e">
            <v>#REF!</v>
          </cell>
          <cell r="O606" t="str">
            <v>L</v>
          </cell>
          <cell r="Q606">
            <v>48977106</v>
          </cell>
          <cell r="R606">
            <v>-60601460</v>
          </cell>
          <cell r="U606">
            <v>48977106</v>
          </cell>
          <cell r="V606">
            <v>-60601460</v>
          </cell>
          <cell r="Y606">
            <v>0</v>
          </cell>
          <cell r="Z606">
            <v>0</v>
          </cell>
          <cell r="AC606">
            <v>0</v>
          </cell>
          <cell r="AD606">
            <v>0</v>
          </cell>
          <cell r="AG606">
            <v>0</v>
          </cell>
          <cell r="AH606">
            <v>0</v>
          </cell>
        </row>
        <row r="607">
          <cell r="H607">
            <v>732000</v>
          </cell>
          <cell r="K607" t="str">
            <v>Overdraft With Bank</v>
          </cell>
          <cell r="M607" t="e">
            <v>#N/A</v>
          </cell>
          <cell r="N607" t="e">
            <v>#REF!</v>
          </cell>
          <cell r="O607" t="str">
            <v>L</v>
          </cell>
          <cell r="P607">
            <v>0</v>
          </cell>
          <cell r="Q607">
            <v>48977106</v>
          </cell>
          <cell r="R607">
            <v>59435937</v>
          </cell>
          <cell r="T607">
            <v>0</v>
          </cell>
          <cell r="U607">
            <v>48977106</v>
          </cell>
          <cell r="V607">
            <v>59435937</v>
          </cell>
          <cell r="X607">
            <v>0</v>
          </cell>
          <cell r="Y607">
            <v>0</v>
          </cell>
          <cell r="Z607">
            <v>0</v>
          </cell>
          <cell r="AB607">
            <v>0</v>
          </cell>
          <cell r="AC607">
            <v>0</v>
          </cell>
          <cell r="AD607">
            <v>0</v>
          </cell>
          <cell r="AF607">
            <v>0</v>
          </cell>
          <cell r="AG607">
            <v>0</v>
          </cell>
          <cell r="AH607">
            <v>0</v>
          </cell>
        </row>
        <row r="608">
          <cell r="H608">
            <v>733000</v>
          </cell>
          <cell r="L608" t="str">
            <v>Regrouping to Short Term Loans</v>
          </cell>
          <cell r="O608" t="str">
            <v>L</v>
          </cell>
          <cell r="Q608">
            <v>0</v>
          </cell>
          <cell r="R608">
            <v>30000000</v>
          </cell>
          <cell r="U608">
            <v>0</v>
          </cell>
          <cell r="V608">
            <v>0</v>
          </cell>
          <cell r="X608">
            <v>0</v>
          </cell>
          <cell r="Y608">
            <v>0</v>
          </cell>
          <cell r="Z608">
            <v>30000000</v>
          </cell>
          <cell r="AB608">
            <v>0</v>
          </cell>
          <cell r="AC608">
            <v>0</v>
          </cell>
          <cell r="AD608">
            <v>0</v>
          </cell>
          <cell r="AF608">
            <v>0</v>
          </cell>
          <cell r="AG608">
            <v>0</v>
          </cell>
          <cell r="AH608">
            <v>0</v>
          </cell>
        </row>
        <row r="609">
          <cell r="H609">
            <v>734000</v>
          </cell>
          <cell r="J609" t="str">
            <v>SHORT TERM BOROWINGS</v>
          </cell>
          <cell r="M609" t="e">
            <v>#N/A</v>
          </cell>
          <cell r="N609" t="e">
            <v>#REF!</v>
          </cell>
          <cell r="O609" t="str">
            <v>L</v>
          </cell>
          <cell r="P609">
            <v>0</v>
          </cell>
          <cell r="Q609">
            <v>337519778</v>
          </cell>
          <cell r="R609">
            <v>328422923</v>
          </cell>
          <cell r="T609">
            <v>0</v>
          </cell>
          <cell r="U609">
            <v>-606827414</v>
          </cell>
          <cell r="V609">
            <v>-400963599</v>
          </cell>
          <cell r="X609">
            <v>0</v>
          </cell>
          <cell r="Y609">
            <v>941593404</v>
          </cell>
          <cell r="Z609">
            <v>729386522</v>
          </cell>
          <cell r="AB609">
            <v>0</v>
          </cell>
          <cell r="AC609">
            <v>0</v>
          </cell>
          <cell r="AD609">
            <v>0</v>
          </cell>
          <cell r="AF609">
            <v>0</v>
          </cell>
          <cell r="AG609">
            <v>2753788</v>
          </cell>
          <cell r="AH609">
            <v>0</v>
          </cell>
        </row>
        <row r="610">
          <cell r="H610">
            <v>735000</v>
          </cell>
          <cell r="M610" t="e">
            <v>#N/A</v>
          </cell>
          <cell r="N610" t="e">
            <v>#REF!</v>
          </cell>
          <cell r="O610" t="str">
            <v>L</v>
          </cell>
        </row>
        <row r="611">
          <cell r="H611">
            <v>750000</v>
          </cell>
          <cell r="J611" t="str">
            <v>TRADE PAYABLES</v>
          </cell>
          <cell r="M611" t="e">
            <v>#N/A</v>
          </cell>
          <cell r="N611" t="e">
            <v>#REF!</v>
          </cell>
          <cell r="O611" t="str">
            <v>L</v>
          </cell>
          <cell r="R611">
            <v>0</v>
          </cell>
        </row>
        <row r="612">
          <cell r="H612">
            <v>751000</v>
          </cell>
          <cell r="K612" t="str">
            <v>Sundry  Creditors</v>
          </cell>
          <cell r="M612" t="e">
            <v>#N/A</v>
          </cell>
          <cell r="N612" t="e">
            <v>#REF!</v>
          </cell>
          <cell r="O612" t="str">
            <v>L</v>
          </cell>
        </row>
        <row r="613">
          <cell r="G613">
            <v>15427</v>
          </cell>
          <cell r="H613">
            <v>752000</v>
          </cell>
          <cell r="I613" t="str">
            <v>1510</v>
          </cell>
          <cell r="L613" t="str">
            <v>Sundry Creditors Domestic/ Control A/c</v>
          </cell>
          <cell r="M613" t="str">
            <v>SUNDRY CREDITORS DOMESTIC</v>
          </cell>
          <cell r="N613" t="e">
            <v>#REF!</v>
          </cell>
          <cell r="O613" t="str">
            <v>L</v>
          </cell>
          <cell r="Q613">
            <v>68991424</v>
          </cell>
          <cell r="R613">
            <v>104425506</v>
          </cell>
          <cell r="U613">
            <v>17734424</v>
          </cell>
          <cell r="V613">
            <v>43869432</v>
          </cell>
          <cell r="Y613">
            <v>20539402</v>
          </cell>
          <cell r="Z613">
            <v>17432815</v>
          </cell>
          <cell r="AC613">
            <v>29428005</v>
          </cell>
          <cell r="AD613">
            <v>37597415</v>
          </cell>
          <cell r="AG613">
            <v>1289593</v>
          </cell>
          <cell r="AH613">
            <v>5525844</v>
          </cell>
        </row>
        <row r="614">
          <cell r="G614">
            <v>15428</v>
          </cell>
          <cell r="H614">
            <v>755000</v>
          </cell>
          <cell r="L614" t="str">
            <v>Sundry Creditors Foreign</v>
          </cell>
          <cell r="M614" t="str">
            <v>SUNDRY CREDITORS FOREIGN</v>
          </cell>
          <cell r="N614" t="e">
            <v>#REF!</v>
          </cell>
          <cell r="O614" t="str">
            <v>L</v>
          </cell>
          <cell r="Q614">
            <v>209673888</v>
          </cell>
          <cell r="R614">
            <v>118862008</v>
          </cell>
          <cell r="U614">
            <v>13331099</v>
          </cell>
          <cell r="V614">
            <v>3258778</v>
          </cell>
          <cell r="Y614">
            <v>196342789</v>
          </cell>
          <cell r="Z614">
            <v>115603230</v>
          </cell>
          <cell r="AC614">
            <v>0</v>
          </cell>
          <cell r="AD614">
            <v>0</v>
          </cell>
          <cell r="AG614">
            <v>0</v>
          </cell>
          <cell r="AH614">
            <v>0</v>
          </cell>
        </row>
        <row r="615">
          <cell r="G615">
            <v>15434</v>
          </cell>
          <cell r="H615">
            <v>756000</v>
          </cell>
          <cell r="L615" t="str">
            <v>Creditors For Expenses (Service Providers)</v>
          </cell>
          <cell r="M615" t="str">
            <v>CREDITORS FOR EXPENSES (SERVICE PROVIDERS)</v>
          </cell>
          <cell r="N615" t="e">
            <v>#REF!</v>
          </cell>
          <cell r="O615" t="str">
            <v>L</v>
          </cell>
          <cell r="Q615">
            <v>8592952</v>
          </cell>
          <cell r="R615">
            <v>9070691</v>
          </cell>
          <cell r="U615">
            <v>-169252</v>
          </cell>
          <cell r="V615">
            <v>958457</v>
          </cell>
          <cell r="Y615">
            <v>8762204</v>
          </cell>
          <cell r="Z615">
            <v>8112234</v>
          </cell>
          <cell r="AC615">
            <v>0</v>
          </cell>
          <cell r="AD615">
            <v>0</v>
          </cell>
          <cell r="AG615">
            <v>0</v>
          </cell>
          <cell r="AH615">
            <v>0</v>
          </cell>
        </row>
        <row r="616">
          <cell r="G616">
            <v>15078</v>
          </cell>
          <cell r="H616">
            <v>753000</v>
          </cell>
          <cell r="L616" t="str">
            <v>Purchase, Packing Slip (Pending Grn)(Net Off With 15429)</v>
          </cell>
          <cell r="M616" t="str">
            <v>PURCHASE, PACKING SLIP (PENDING GRN)(NET OFF WITH 15429)</v>
          </cell>
          <cell r="N616" t="e">
            <v>#REF!</v>
          </cell>
          <cell r="O616" t="str">
            <v>L</v>
          </cell>
          <cell r="Q616">
            <v>-1081811</v>
          </cell>
          <cell r="R616">
            <v>-1107173</v>
          </cell>
          <cell r="U616">
            <v>-1005299</v>
          </cell>
          <cell r="V616">
            <v>-1025861</v>
          </cell>
          <cell r="Y616">
            <v>-76512</v>
          </cell>
          <cell r="Z616">
            <v>-81312</v>
          </cell>
          <cell r="AC616">
            <v>0</v>
          </cell>
          <cell r="AD616">
            <v>0</v>
          </cell>
          <cell r="AG616">
            <v>0</v>
          </cell>
          <cell r="AH616">
            <v>0</v>
          </cell>
        </row>
        <row r="617">
          <cell r="G617">
            <v>15297</v>
          </cell>
          <cell r="H617">
            <v>754000</v>
          </cell>
          <cell r="L617" t="str">
            <v>PROVISION FOR PENDING GRN (PURCHASE PACKING SLIP OFFSET AC)</v>
          </cell>
          <cell r="M617" t="str">
            <v>PROVISION FOR PENDING GRN (PURCHASE PACKING SLIP OFFSET AC)</v>
          </cell>
          <cell r="N617" t="e">
            <v>#REF!</v>
          </cell>
          <cell r="O617" t="str">
            <v>L</v>
          </cell>
          <cell r="Q617">
            <v>0</v>
          </cell>
          <cell r="R617">
            <v>0</v>
          </cell>
          <cell r="U617">
            <v>0</v>
          </cell>
          <cell r="V617">
            <v>0</v>
          </cell>
          <cell r="Y617">
            <v>0</v>
          </cell>
          <cell r="Z617">
            <v>0</v>
          </cell>
          <cell r="AC617">
            <v>0</v>
          </cell>
          <cell r="AD617">
            <v>0</v>
          </cell>
          <cell r="AG617">
            <v>0</v>
          </cell>
          <cell r="AH617">
            <v>0</v>
          </cell>
        </row>
        <row r="618">
          <cell r="G618">
            <v>15429</v>
          </cell>
          <cell r="H618">
            <v>754000</v>
          </cell>
          <cell r="L618" t="str">
            <v>Provision For Pending Grn (Purc Pack Slip Offset Net W15078)</v>
          </cell>
          <cell r="M618" t="str">
            <v>PROVISION FOR PENDING GRN (PURC PACK SLIP OFFSET NET W15078)</v>
          </cell>
          <cell r="N618" t="e">
            <v>#REF!</v>
          </cell>
          <cell r="O618" t="str">
            <v>L</v>
          </cell>
          <cell r="Q618">
            <v>1082591</v>
          </cell>
          <cell r="R618">
            <v>1107953</v>
          </cell>
          <cell r="U618">
            <v>1006079</v>
          </cell>
          <cell r="V618">
            <v>1026641</v>
          </cell>
          <cell r="Y618">
            <v>76512</v>
          </cell>
          <cell r="Z618">
            <v>81312</v>
          </cell>
          <cell r="AC618">
            <v>0</v>
          </cell>
          <cell r="AD618">
            <v>0</v>
          </cell>
          <cell r="AG618">
            <v>0</v>
          </cell>
          <cell r="AH618">
            <v>0</v>
          </cell>
        </row>
        <row r="619">
          <cell r="Q619">
            <v>287259044</v>
          </cell>
          <cell r="R619">
            <v>232358985</v>
          </cell>
          <cell r="S619">
            <v>0</v>
          </cell>
          <cell r="T619">
            <v>0</v>
          </cell>
          <cell r="U619">
            <v>30897051</v>
          </cell>
          <cell r="V619">
            <v>48087447</v>
          </cell>
          <cell r="W619">
            <v>0</v>
          </cell>
          <cell r="X619">
            <v>0</v>
          </cell>
          <cell r="Y619">
            <v>225644395</v>
          </cell>
          <cell r="Z619">
            <v>141148279</v>
          </cell>
          <cell r="AA619">
            <v>0</v>
          </cell>
          <cell r="AB619">
            <v>0</v>
          </cell>
          <cell r="AC619">
            <v>29428005</v>
          </cell>
          <cell r="AD619">
            <v>37597415</v>
          </cell>
          <cell r="AE619">
            <v>0</v>
          </cell>
          <cell r="AF619">
            <v>0</v>
          </cell>
          <cell r="AG619">
            <v>1289593</v>
          </cell>
          <cell r="AH619">
            <v>5525844</v>
          </cell>
        </row>
        <row r="620">
          <cell r="G620">
            <v>15433</v>
          </cell>
          <cell r="H620">
            <v>757000</v>
          </cell>
          <cell r="I620" t="str">
            <v>0451</v>
          </cell>
          <cell r="J620" t="str">
            <v>451</v>
          </cell>
          <cell r="L620" t="str">
            <v>Cheques  Adj.A/C (Stale Cheque)</v>
          </cell>
          <cell r="M620" t="str">
            <v>STALE CHEQUE A/C</v>
          </cell>
          <cell r="N620" t="e">
            <v>#REF!</v>
          </cell>
          <cell r="O620" t="str">
            <v>L</v>
          </cell>
          <cell r="Q620">
            <v>1479223</v>
          </cell>
          <cell r="R620">
            <v>2158513</v>
          </cell>
          <cell r="U620">
            <v>696204</v>
          </cell>
          <cell r="V620">
            <v>625859</v>
          </cell>
          <cell r="Y620">
            <v>597448</v>
          </cell>
          <cell r="Z620">
            <v>1301715</v>
          </cell>
          <cell r="AC620">
            <v>167317</v>
          </cell>
          <cell r="AD620">
            <v>212685</v>
          </cell>
          <cell r="AG620">
            <v>18254</v>
          </cell>
          <cell r="AH620">
            <v>18254</v>
          </cell>
        </row>
        <row r="621">
          <cell r="L621" t="str">
            <v>Credtiors dr balance</v>
          </cell>
          <cell r="O621" t="str">
            <v>L</v>
          </cell>
          <cell r="Q621">
            <v>13397890</v>
          </cell>
          <cell r="R621">
            <v>23134729</v>
          </cell>
          <cell r="U621">
            <v>11514015</v>
          </cell>
          <cell r="V621">
            <v>14044380</v>
          </cell>
          <cell r="Y621">
            <v>1539961</v>
          </cell>
          <cell r="Z621">
            <v>6927578</v>
          </cell>
          <cell r="AC621">
            <v>343914</v>
          </cell>
          <cell r="AD621">
            <v>830288</v>
          </cell>
          <cell r="AH621">
            <v>1332483</v>
          </cell>
        </row>
        <row r="622">
          <cell r="L622" t="str">
            <v>Advance Capex</v>
          </cell>
          <cell r="Q622">
            <v>15873383</v>
          </cell>
          <cell r="R622">
            <v>0</v>
          </cell>
          <cell r="U622">
            <v>4396556</v>
          </cell>
          <cell r="Y622">
            <v>1728060</v>
          </cell>
          <cell r="AC622">
            <v>1153237</v>
          </cell>
          <cell r="AG622">
            <v>8595530</v>
          </cell>
        </row>
        <row r="623">
          <cell r="H623">
            <v>758000</v>
          </cell>
          <cell r="L623" t="str">
            <v>Payable to Fixed Assets</v>
          </cell>
          <cell r="O623" t="str">
            <v>L</v>
          </cell>
          <cell r="Q623">
            <v>2955392</v>
          </cell>
          <cell r="R623">
            <v>15561162</v>
          </cell>
          <cell r="U623">
            <v>1817827</v>
          </cell>
          <cell r="V623">
            <v>1223622</v>
          </cell>
          <cell r="Y623">
            <v>1137565</v>
          </cell>
          <cell r="Z623">
            <v>14337540</v>
          </cell>
          <cell r="AC623">
            <v>0</v>
          </cell>
          <cell r="AG623">
            <v>0</v>
          </cell>
        </row>
        <row r="624">
          <cell r="H624">
            <v>759000</v>
          </cell>
          <cell r="O624" t="str">
            <v>L</v>
          </cell>
          <cell r="Q624">
            <v>0</v>
          </cell>
          <cell r="R624">
            <v>38429</v>
          </cell>
          <cell r="AD624">
            <v>38429</v>
          </cell>
        </row>
        <row r="625">
          <cell r="H625">
            <v>760000</v>
          </cell>
          <cell r="J625" t="str">
            <v>TRADE PAYABLES</v>
          </cell>
          <cell r="M625" t="e">
            <v>#N/A</v>
          </cell>
          <cell r="N625" t="e">
            <v>#REF!</v>
          </cell>
          <cell r="O625" t="str">
            <v>L</v>
          </cell>
          <cell r="P625">
            <v>0</v>
          </cell>
          <cell r="Q625">
            <v>320964932</v>
          </cell>
          <cell r="R625">
            <v>273251818</v>
          </cell>
          <cell r="S625">
            <v>0</v>
          </cell>
          <cell r="T625">
            <v>0</v>
          </cell>
          <cell r="U625">
            <v>49321653</v>
          </cell>
          <cell r="V625">
            <v>63981308</v>
          </cell>
          <cell r="W625">
            <v>0</v>
          </cell>
          <cell r="X625">
            <v>0</v>
          </cell>
          <cell r="Y625">
            <v>230647429</v>
          </cell>
          <cell r="Z625">
            <v>163715112</v>
          </cell>
          <cell r="AA625">
            <v>0</v>
          </cell>
          <cell r="AB625">
            <v>0</v>
          </cell>
          <cell r="AC625">
            <v>31092473</v>
          </cell>
          <cell r="AD625">
            <v>38678817</v>
          </cell>
          <cell r="AE625">
            <v>0</v>
          </cell>
          <cell r="AF625">
            <v>0</v>
          </cell>
          <cell r="AG625">
            <v>9903377</v>
          </cell>
          <cell r="AH625">
            <v>6876581</v>
          </cell>
        </row>
        <row r="627">
          <cell r="H627">
            <v>761000</v>
          </cell>
          <cell r="J627" t="str">
            <v>OTHER CURRENT LIABILITIES</v>
          </cell>
          <cell r="M627" t="e">
            <v>#N/A</v>
          </cell>
          <cell r="N627" t="e">
            <v>#REF!</v>
          </cell>
          <cell r="O627" t="str">
            <v>L</v>
          </cell>
          <cell r="Q627">
            <v>290213655</v>
          </cell>
          <cell r="U627">
            <v>38391184</v>
          </cell>
          <cell r="Y627">
            <v>221104873</v>
          </cell>
          <cell r="AC627">
            <v>29428005</v>
          </cell>
          <cell r="AD627">
            <v>0</v>
          </cell>
          <cell r="AG627">
            <v>1289593</v>
          </cell>
        </row>
        <row r="628">
          <cell r="H628">
            <v>762000</v>
          </cell>
          <cell r="K628" t="str">
            <v>Current Maturities Of Long Term Boirrowings</v>
          </cell>
          <cell r="M628" t="e">
            <v>#N/A</v>
          </cell>
          <cell r="N628" t="e">
            <v>#REF!</v>
          </cell>
          <cell r="O628" t="str">
            <v>L</v>
          </cell>
        </row>
        <row r="629">
          <cell r="H629">
            <v>763000</v>
          </cell>
          <cell r="L629" t="str">
            <v>Current Maturities Of Long Term Boirrowings</v>
          </cell>
          <cell r="M629" t="e">
            <v>#N/A</v>
          </cell>
          <cell r="N629" t="e">
            <v>#REF!</v>
          </cell>
          <cell r="O629" t="str">
            <v>L</v>
          </cell>
          <cell r="Q629">
            <v>16790584</v>
          </cell>
          <cell r="R629">
            <v>23982888</v>
          </cell>
          <cell r="U629">
            <v>16790584</v>
          </cell>
          <cell r="V629">
            <v>23982888</v>
          </cell>
          <cell r="X629">
            <v>0</v>
          </cell>
          <cell r="Y629">
            <v>0</v>
          </cell>
          <cell r="Z629">
            <v>0</v>
          </cell>
          <cell r="AB629">
            <v>0</v>
          </cell>
          <cell r="AC629">
            <v>0</v>
          </cell>
          <cell r="AD629">
            <v>0</v>
          </cell>
          <cell r="AF629">
            <v>0</v>
          </cell>
          <cell r="AG629">
            <v>0</v>
          </cell>
          <cell r="AH629">
            <v>0</v>
          </cell>
        </row>
        <row r="630">
          <cell r="H630">
            <v>764000</v>
          </cell>
          <cell r="L630">
            <v>0</v>
          </cell>
          <cell r="M630" t="e">
            <v>#N/A</v>
          </cell>
          <cell r="N630" t="e">
            <v>#REF!</v>
          </cell>
          <cell r="O630" t="str">
            <v>L</v>
          </cell>
          <cell r="Q630">
            <v>0</v>
          </cell>
          <cell r="R630">
            <v>0</v>
          </cell>
        </row>
        <row r="631">
          <cell r="H631">
            <v>765000</v>
          </cell>
          <cell r="K631" t="str">
            <v>Current Maturities Of Long Term Boirrowings</v>
          </cell>
          <cell r="M631" t="e">
            <v>#N/A</v>
          </cell>
          <cell r="N631" t="e">
            <v>#REF!</v>
          </cell>
          <cell r="O631" t="str">
            <v>L</v>
          </cell>
          <cell r="P631">
            <v>0</v>
          </cell>
          <cell r="Q631">
            <v>16790584</v>
          </cell>
          <cell r="R631">
            <v>23982888</v>
          </cell>
          <cell r="T631">
            <v>0</v>
          </cell>
          <cell r="U631">
            <v>16790584</v>
          </cell>
          <cell r="V631">
            <v>23982888</v>
          </cell>
          <cell r="X631">
            <v>0</v>
          </cell>
          <cell r="Y631">
            <v>0</v>
          </cell>
          <cell r="Z631">
            <v>0</v>
          </cell>
          <cell r="AB631">
            <v>0</v>
          </cell>
          <cell r="AC631">
            <v>0</v>
          </cell>
          <cell r="AD631">
            <v>0</v>
          </cell>
          <cell r="AF631">
            <v>0</v>
          </cell>
          <cell r="AG631">
            <v>0</v>
          </cell>
          <cell r="AH631">
            <v>0</v>
          </cell>
        </row>
        <row r="632">
          <cell r="H632">
            <v>766000</v>
          </cell>
          <cell r="K632" t="str">
            <v>Interest Accrued But Not Due On Borrowings</v>
          </cell>
          <cell r="M632" t="e">
            <v>#N/A</v>
          </cell>
          <cell r="N632" t="e">
            <v>#REF!</v>
          </cell>
          <cell r="O632" t="str">
            <v>L</v>
          </cell>
        </row>
        <row r="633">
          <cell r="G633">
            <v>15474</v>
          </cell>
          <cell r="H633">
            <v>767000</v>
          </cell>
          <cell r="I633" t="str">
            <v>1660</v>
          </cell>
          <cell r="L633" t="str">
            <v>Int Accrued But Not Due On Loan</v>
          </cell>
          <cell r="M633" t="str">
            <v>INT ACCRUED BUT NOT DUE ON LOAN</v>
          </cell>
          <cell r="N633" t="e">
            <v>#REF!</v>
          </cell>
          <cell r="O633" t="str">
            <v>L</v>
          </cell>
          <cell r="Q633">
            <v>1301943</v>
          </cell>
          <cell r="R633">
            <v>847783</v>
          </cell>
          <cell r="U633">
            <v>1301943</v>
          </cell>
          <cell r="V633">
            <v>847783</v>
          </cell>
          <cell r="Y633">
            <v>0</v>
          </cell>
          <cell r="Z633">
            <v>0</v>
          </cell>
          <cell r="AC633">
            <v>0</v>
          </cell>
          <cell r="AD633">
            <v>0</v>
          </cell>
          <cell r="AG633">
            <v>0</v>
          </cell>
          <cell r="AH633">
            <v>0</v>
          </cell>
        </row>
        <row r="634">
          <cell r="G634">
            <v>14143</v>
          </cell>
          <cell r="H634">
            <v>768000</v>
          </cell>
          <cell r="I634" t="str">
            <v>1661</v>
          </cell>
          <cell r="L634" t="str">
            <v>Int Accrued &amp; Due On Loan</v>
          </cell>
          <cell r="M634" t="str">
            <v>INTEREST ACCRUED &amp; DUE ON LOAN</v>
          </cell>
          <cell r="N634" t="e">
            <v>#REF!</v>
          </cell>
          <cell r="O634" t="str">
            <v>L</v>
          </cell>
          <cell r="Q634">
            <v>0</v>
          </cell>
          <cell r="R634">
            <v>0</v>
          </cell>
          <cell r="U634">
            <v>0</v>
          </cell>
          <cell r="V634">
            <v>0</v>
          </cell>
          <cell r="Y634">
            <v>0</v>
          </cell>
          <cell r="Z634">
            <v>0</v>
          </cell>
          <cell r="AC634">
            <v>0</v>
          </cell>
          <cell r="AD634">
            <v>0</v>
          </cell>
          <cell r="AG634">
            <v>0</v>
          </cell>
          <cell r="AH634">
            <v>0</v>
          </cell>
        </row>
        <row r="635">
          <cell r="H635">
            <v>769000</v>
          </cell>
          <cell r="K635" t="str">
            <v>Interest Accrued But Not Due On Borrowings</v>
          </cell>
          <cell r="M635" t="e">
            <v>#N/A</v>
          </cell>
          <cell r="N635" t="e">
            <v>#REF!</v>
          </cell>
          <cell r="O635" t="str">
            <v>L</v>
          </cell>
          <cell r="P635">
            <v>0</v>
          </cell>
          <cell r="Q635">
            <v>1301943</v>
          </cell>
          <cell r="R635">
            <v>847783</v>
          </cell>
          <cell r="T635">
            <v>0</v>
          </cell>
          <cell r="U635">
            <v>1301943</v>
          </cell>
          <cell r="V635">
            <v>847783</v>
          </cell>
          <cell r="X635">
            <v>0</v>
          </cell>
          <cell r="Y635">
            <v>0</v>
          </cell>
          <cell r="Z635">
            <v>0</v>
          </cell>
          <cell r="AB635">
            <v>0</v>
          </cell>
          <cell r="AC635">
            <v>0</v>
          </cell>
          <cell r="AD635">
            <v>0</v>
          </cell>
          <cell r="AF635">
            <v>0</v>
          </cell>
          <cell r="AG635">
            <v>0</v>
          </cell>
          <cell r="AH635">
            <v>0</v>
          </cell>
        </row>
        <row r="636">
          <cell r="H636">
            <v>770000</v>
          </cell>
          <cell r="K636" t="str">
            <v>Unclaimed Dividend</v>
          </cell>
          <cell r="M636" t="e">
            <v>#N/A</v>
          </cell>
          <cell r="N636" t="e">
            <v>#REF!</v>
          </cell>
          <cell r="O636" t="str">
            <v>L</v>
          </cell>
        </row>
        <row r="637">
          <cell r="G637">
            <v>15489</v>
          </cell>
          <cell r="H637">
            <v>771000</v>
          </cell>
          <cell r="I637" t="str">
            <v>1734</v>
          </cell>
          <cell r="L637" t="str">
            <v>Dividend A/C</v>
          </cell>
          <cell r="M637" t="str">
            <v>DIVIDEND (LIAB) A/C (1734-1742)</v>
          </cell>
          <cell r="N637" t="e">
            <v>#REF!</v>
          </cell>
          <cell r="O637" t="str">
            <v>L</v>
          </cell>
          <cell r="Q637">
            <v>1671385</v>
          </cell>
          <cell r="R637">
            <v>1332130</v>
          </cell>
          <cell r="U637">
            <v>1671385</v>
          </cell>
          <cell r="V637">
            <v>1332130</v>
          </cell>
          <cell r="Y637">
            <v>0</v>
          </cell>
          <cell r="Z637">
            <v>0</v>
          </cell>
          <cell r="AC637">
            <v>0</v>
          </cell>
          <cell r="AD637">
            <v>0</v>
          </cell>
          <cell r="AG637">
            <v>0</v>
          </cell>
          <cell r="AH637">
            <v>0</v>
          </cell>
        </row>
        <row r="638">
          <cell r="H638">
            <v>772000</v>
          </cell>
          <cell r="L638">
            <v>0</v>
          </cell>
          <cell r="M638" t="e">
            <v>#N/A</v>
          </cell>
          <cell r="N638" t="e">
            <v>#REF!</v>
          </cell>
          <cell r="O638" t="str">
            <v>L</v>
          </cell>
        </row>
        <row r="639">
          <cell r="H639">
            <v>773000</v>
          </cell>
          <cell r="K639" t="str">
            <v>Unclaimed Dividend</v>
          </cell>
          <cell r="M639" t="e">
            <v>#N/A</v>
          </cell>
          <cell r="N639" t="e">
            <v>#REF!</v>
          </cell>
          <cell r="O639" t="str">
            <v>L</v>
          </cell>
          <cell r="P639">
            <v>0</v>
          </cell>
          <cell r="Q639">
            <v>1671385</v>
          </cell>
          <cell r="R639">
            <v>1332130</v>
          </cell>
          <cell r="T639">
            <v>0</v>
          </cell>
          <cell r="U639">
            <v>1671385</v>
          </cell>
          <cell r="V639">
            <v>1332130</v>
          </cell>
          <cell r="X639">
            <v>0</v>
          </cell>
          <cell r="Y639">
            <v>0</v>
          </cell>
          <cell r="Z639">
            <v>0</v>
          </cell>
          <cell r="AB639">
            <v>0</v>
          </cell>
          <cell r="AC639">
            <v>0</v>
          </cell>
          <cell r="AD639">
            <v>0</v>
          </cell>
          <cell r="AF639">
            <v>0</v>
          </cell>
          <cell r="AG639">
            <v>0</v>
          </cell>
          <cell r="AH639">
            <v>0</v>
          </cell>
        </row>
        <row r="640">
          <cell r="H640">
            <v>774000</v>
          </cell>
          <cell r="K640" t="str">
            <v>Deposits Received</v>
          </cell>
          <cell r="M640" t="e">
            <v>#N/A</v>
          </cell>
          <cell r="N640" t="e">
            <v>#REF!</v>
          </cell>
          <cell r="O640" t="str">
            <v>L</v>
          </cell>
        </row>
        <row r="641">
          <cell r="G641">
            <v>15497</v>
          </cell>
          <cell r="H641">
            <v>775000</v>
          </cell>
          <cell r="I641" t="str">
            <v>1810</v>
          </cell>
          <cell r="L641" t="str">
            <v>Deposit Received</v>
          </cell>
          <cell r="M641" t="str">
            <v>DEPOSIT RECEIVED</v>
          </cell>
          <cell r="N641" t="e">
            <v>#REF!</v>
          </cell>
          <cell r="O641" t="str">
            <v>L</v>
          </cell>
          <cell r="Q641">
            <v>10733115</v>
          </cell>
          <cell r="R641">
            <v>9307662</v>
          </cell>
          <cell r="U641">
            <v>1827671</v>
          </cell>
          <cell r="V641">
            <v>2295174</v>
          </cell>
          <cell r="Y641">
            <v>8905444</v>
          </cell>
          <cell r="Z641">
            <v>7012488</v>
          </cell>
          <cell r="AC641">
            <v>0</v>
          </cell>
          <cell r="AD641">
            <v>0</v>
          </cell>
          <cell r="AG641">
            <v>0</v>
          </cell>
          <cell r="AH641">
            <v>0</v>
          </cell>
        </row>
        <row r="642">
          <cell r="H642">
            <v>776000</v>
          </cell>
          <cell r="I642" t="str">
            <v>1811</v>
          </cell>
          <cell r="L642" t="str">
            <v>Deposit Recd From Contractor</v>
          </cell>
          <cell r="M642" t="e">
            <v>#N/A</v>
          </cell>
          <cell r="N642" t="e">
            <v>#REF!</v>
          </cell>
          <cell r="O642" t="str">
            <v>L</v>
          </cell>
          <cell r="Q642">
            <v>1231044</v>
          </cell>
          <cell r="R642">
            <v>804973</v>
          </cell>
          <cell r="U642">
            <v>0</v>
          </cell>
          <cell r="V642">
            <v>0</v>
          </cell>
          <cell r="Y642">
            <v>0</v>
          </cell>
          <cell r="Z642">
            <v>0</v>
          </cell>
          <cell r="AC642">
            <v>0</v>
          </cell>
          <cell r="AD642">
            <v>0</v>
          </cell>
          <cell r="AG642">
            <v>1231044</v>
          </cell>
          <cell r="AH642">
            <v>804973</v>
          </cell>
        </row>
        <row r="643">
          <cell r="G643">
            <v>15498</v>
          </cell>
          <cell r="H643">
            <v>777000</v>
          </cell>
          <cell r="I643" t="str">
            <v>1820</v>
          </cell>
          <cell r="L643" t="str">
            <v>Emd Received</v>
          </cell>
          <cell r="M643" t="str">
            <v>EMD RECEIVED</v>
          </cell>
          <cell r="N643" t="e">
            <v>#REF!</v>
          </cell>
          <cell r="O643" t="str">
            <v>L</v>
          </cell>
          <cell r="Q643">
            <v>0</v>
          </cell>
          <cell r="R643">
            <v>0</v>
          </cell>
          <cell r="U643">
            <v>0</v>
          </cell>
          <cell r="V643">
            <v>0</v>
          </cell>
          <cell r="Y643">
            <v>0</v>
          </cell>
          <cell r="Z643">
            <v>0</v>
          </cell>
          <cell r="AC643">
            <v>0</v>
          </cell>
          <cell r="AD643">
            <v>0</v>
          </cell>
          <cell r="AG643">
            <v>0</v>
          </cell>
          <cell r="AH643">
            <v>0</v>
          </cell>
        </row>
        <row r="644">
          <cell r="H644">
            <v>778000</v>
          </cell>
          <cell r="O644" t="str">
            <v>L</v>
          </cell>
        </row>
        <row r="645">
          <cell r="H645">
            <v>779000</v>
          </cell>
          <cell r="K645" t="str">
            <v>Deposits Received</v>
          </cell>
          <cell r="M645" t="e">
            <v>#N/A</v>
          </cell>
          <cell r="N645" t="e">
            <v>#REF!</v>
          </cell>
          <cell r="O645" t="str">
            <v>L</v>
          </cell>
          <cell r="P645">
            <v>0</v>
          </cell>
          <cell r="Q645">
            <v>11964159</v>
          </cell>
          <cell r="R645">
            <v>10112635</v>
          </cell>
          <cell r="T645">
            <v>0</v>
          </cell>
          <cell r="U645">
            <v>1827671</v>
          </cell>
          <cell r="V645">
            <v>2295174</v>
          </cell>
          <cell r="X645">
            <v>0</v>
          </cell>
          <cell r="Y645">
            <v>8905444</v>
          </cell>
          <cell r="Z645">
            <v>7012488</v>
          </cell>
          <cell r="AB645">
            <v>0</v>
          </cell>
          <cell r="AC645">
            <v>0</v>
          </cell>
          <cell r="AD645">
            <v>0</v>
          </cell>
          <cell r="AF645">
            <v>0</v>
          </cell>
          <cell r="AG645">
            <v>1231044</v>
          </cell>
          <cell r="AH645">
            <v>804973</v>
          </cell>
        </row>
        <row r="646">
          <cell r="H646">
            <v>780000</v>
          </cell>
          <cell r="K646" t="str">
            <v>Advances Received</v>
          </cell>
          <cell r="M646" t="e">
            <v>#N/A</v>
          </cell>
          <cell r="N646" t="e">
            <v>#REF!</v>
          </cell>
          <cell r="O646" t="str">
            <v>L</v>
          </cell>
        </row>
        <row r="647">
          <cell r="G647">
            <v>15499</v>
          </cell>
          <cell r="H647">
            <v>781000</v>
          </cell>
          <cell r="I647" t="str">
            <v>1840</v>
          </cell>
          <cell r="L647" t="str">
            <v>Advance Received From Cust</v>
          </cell>
          <cell r="M647" t="str">
            <v>ADVANCE RECEIVED FROM CUST</v>
          </cell>
          <cell r="N647" t="e">
            <v>#REF!</v>
          </cell>
          <cell r="O647" t="str">
            <v>L</v>
          </cell>
          <cell r="Q647">
            <v>7285460</v>
          </cell>
          <cell r="R647">
            <v>2038181</v>
          </cell>
          <cell r="U647">
            <v>7050328</v>
          </cell>
          <cell r="V647">
            <v>1673074</v>
          </cell>
          <cell r="Y647">
            <v>51463</v>
          </cell>
          <cell r="Z647">
            <v>51463</v>
          </cell>
          <cell r="AC647">
            <v>183669</v>
          </cell>
          <cell r="AD647">
            <v>313644</v>
          </cell>
          <cell r="AG647">
            <v>0</v>
          </cell>
          <cell r="AH647">
            <v>0</v>
          </cell>
        </row>
        <row r="648">
          <cell r="G648">
            <v>15500</v>
          </cell>
          <cell r="H648">
            <v>782000</v>
          </cell>
          <cell r="I648" t="str">
            <v>3301</v>
          </cell>
          <cell r="L648" t="str">
            <v>Debtors Cr, Bal</v>
          </cell>
          <cell r="M648" t="str">
            <v>DEBTORS CREDIT BALANCES (2010-11)</v>
          </cell>
          <cell r="N648" t="e">
            <v>#REF!</v>
          </cell>
          <cell r="O648" t="str">
            <v>L</v>
          </cell>
          <cell r="Q648">
            <v>4487892</v>
          </cell>
          <cell r="R648">
            <v>3114520</v>
          </cell>
          <cell r="U648">
            <v>1208257</v>
          </cell>
          <cell r="V648">
            <v>314894</v>
          </cell>
          <cell r="Y648">
            <v>3192158</v>
          </cell>
          <cell r="Z648">
            <v>2577836</v>
          </cell>
          <cell r="AC648">
            <v>87477</v>
          </cell>
          <cell r="AD648">
            <v>207834</v>
          </cell>
          <cell r="AG648">
            <v>0</v>
          </cell>
          <cell r="AH648">
            <v>13956</v>
          </cell>
        </row>
        <row r="649">
          <cell r="H649">
            <v>783000</v>
          </cell>
          <cell r="L649">
            <v>0</v>
          </cell>
          <cell r="M649" t="e">
            <v>#N/A</v>
          </cell>
          <cell r="N649" t="e">
            <v>#REF!</v>
          </cell>
          <cell r="O649" t="str">
            <v>L</v>
          </cell>
          <cell r="Q649">
            <v>0</v>
          </cell>
          <cell r="R649">
            <v>0</v>
          </cell>
        </row>
        <row r="650">
          <cell r="H650">
            <v>784000</v>
          </cell>
          <cell r="K650" t="str">
            <v>Advances Received</v>
          </cell>
          <cell r="M650" t="e">
            <v>#N/A</v>
          </cell>
          <cell r="N650" t="e">
            <v>#REF!</v>
          </cell>
          <cell r="O650" t="str">
            <v>L</v>
          </cell>
          <cell r="P650">
            <v>0</v>
          </cell>
          <cell r="Q650">
            <v>11773352</v>
          </cell>
          <cell r="R650">
            <v>5152701</v>
          </cell>
          <cell r="T650">
            <v>0</v>
          </cell>
          <cell r="U650">
            <v>8258585</v>
          </cell>
          <cell r="V650">
            <v>1987968</v>
          </cell>
          <cell r="X650">
            <v>0</v>
          </cell>
          <cell r="Y650">
            <v>3243621</v>
          </cell>
          <cell r="Z650">
            <v>2629299</v>
          </cell>
          <cell r="AB650">
            <v>0</v>
          </cell>
          <cell r="AC650">
            <v>271146</v>
          </cell>
          <cell r="AD650">
            <v>521478</v>
          </cell>
          <cell r="AF650">
            <v>0</v>
          </cell>
          <cell r="AG650">
            <v>0</v>
          </cell>
          <cell r="AH650">
            <v>13956</v>
          </cell>
        </row>
        <row r="651">
          <cell r="H651">
            <v>785000</v>
          </cell>
          <cell r="K651" t="str">
            <v>Employee Benefits Payable</v>
          </cell>
          <cell r="M651" t="e">
            <v>#N/A</v>
          </cell>
          <cell r="N651" t="e">
            <v>#REF!</v>
          </cell>
          <cell r="O651" t="str">
            <v>L</v>
          </cell>
        </row>
        <row r="652">
          <cell r="H652">
            <v>786000</v>
          </cell>
          <cell r="I652" t="str">
            <v>1600</v>
          </cell>
          <cell r="L652" t="str">
            <v>Laib For Exp Payroll Related</v>
          </cell>
          <cell r="M652" t="e">
            <v>#N/A</v>
          </cell>
          <cell r="N652" t="e">
            <v>#REF!</v>
          </cell>
          <cell r="O652" t="str">
            <v>L</v>
          </cell>
          <cell r="Q652">
            <v>0</v>
          </cell>
          <cell r="R652">
            <v>0</v>
          </cell>
          <cell r="U652">
            <v>0</v>
          </cell>
          <cell r="V652">
            <v>0</v>
          </cell>
          <cell r="Y652">
            <v>0</v>
          </cell>
          <cell r="Z652">
            <v>0</v>
          </cell>
          <cell r="AC652">
            <v>0</v>
          </cell>
          <cell r="AD652">
            <v>0</v>
          </cell>
          <cell r="AG652">
            <v>0</v>
          </cell>
          <cell r="AH652">
            <v>0</v>
          </cell>
        </row>
        <row r="653">
          <cell r="G653">
            <v>15441</v>
          </cell>
          <cell r="H653">
            <v>787000</v>
          </cell>
          <cell r="I653" t="str">
            <v>2618</v>
          </cell>
          <cell r="L653" t="str">
            <v>Superannuation Adjustable</v>
          </cell>
          <cell r="M653" t="str">
            <v>SUPERANNUATION ADJUSTABLE</v>
          </cell>
          <cell r="N653" t="e">
            <v>#REF!</v>
          </cell>
          <cell r="O653" t="str">
            <v>L</v>
          </cell>
          <cell r="Q653">
            <v>338600</v>
          </cell>
          <cell r="R653">
            <v>21701</v>
          </cell>
          <cell r="U653">
            <v>214821</v>
          </cell>
          <cell r="V653">
            <v>21701</v>
          </cell>
          <cell r="Y653">
            <v>123779</v>
          </cell>
          <cell r="Z653">
            <v>0</v>
          </cell>
          <cell r="AC653">
            <v>0</v>
          </cell>
          <cell r="AD653">
            <v>0</v>
          </cell>
          <cell r="AG653">
            <v>0</v>
          </cell>
          <cell r="AH653">
            <v>0</v>
          </cell>
        </row>
        <row r="654">
          <cell r="G654">
            <v>15442</v>
          </cell>
          <cell r="H654">
            <v>788000</v>
          </cell>
          <cell r="I654" t="str">
            <v>2650</v>
          </cell>
          <cell r="L654" t="str">
            <v>Welfare Fund Adjustable</v>
          </cell>
          <cell r="M654" t="str">
            <v>WELFARE FUND ADJUSTABLE</v>
          </cell>
          <cell r="N654" t="e">
            <v>#REF!</v>
          </cell>
          <cell r="O654" t="str">
            <v>L</v>
          </cell>
          <cell r="Q654">
            <v>0</v>
          </cell>
          <cell r="R654">
            <v>0</v>
          </cell>
          <cell r="U654">
            <v>-2814</v>
          </cell>
          <cell r="V654">
            <v>-2814</v>
          </cell>
          <cell r="Y654">
            <v>2814</v>
          </cell>
          <cell r="Z654">
            <v>2814</v>
          </cell>
          <cell r="AC654">
            <v>0</v>
          </cell>
          <cell r="AD654">
            <v>0</v>
          </cell>
          <cell r="AG654">
            <v>0</v>
          </cell>
          <cell r="AH654">
            <v>0</v>
          </cell>
        </row>
        <row r="655">
          <cell r="G655">
            <v>15448</v>
          </cell>
          <cell r="H655">
            <v>789000</v>
          </cell>
          <cell r="I655" t="str">
            <v>2720</v>
          </cell>
          <cell r="L655" t="str">
            <v>Unclaimed Salary\Wages</v>
          </cell>
          <cell r="M655" t="str">
            <v>UNCLAIMED SALARY/WAGES</v>
          </cell>
          <cell r="N655" t="e">
            <v>#REF!</v>
          </cell>
          <cell r="O655" t="str">
            <v>L</v>
          </cell>
          <cell r="Q655">
            <v>31221</v>
          </cell>
          <cell r="R655">
            <v>31221</v>
          </cell>
          <cell r="U655">
            <v>22791</v>
          </cell>
          <cell r="V655">
            <v>22791</v>
          </cell>
          <cell r="Y655">
            <v>0</v>
          </cell>
          <cell r="Z655">
            <v>0</v>
          </cell>
          <cell r="AC655">
            <v>8430</v>
          </cell>
          <cell r="AD655">
            <v>8430</v>
          </cell>
          <cell r="AG655">
            <v>0</v>
          </cell>
          <cell r="AH655">
            <v>0</v>
          </cell>
        </row>
        <row r="656">
          <cell r="G656">
            <v>15449</v>
          </cell>
          <cell r="H656">
            <v>790000</v>
          </cell>
          <cell r="I656" t="str">
            <v>2730</v>
          </cell>
          <cell r="L656" t="str">
            <v>Unclaimed Bonus</v>
          </cell>
          <cell r="M656" t="str">
            <v>UNCLAIMED BONUS</v>
          </cell>
          <cell r="N656" t="e">
            <v>#REF!</v>
          </cell>
          <cell r="O656" t="str">
            <v>L</v>
          </cell>
          <cell r="Q656">
            <v>14972</v>
          </cell>
          <cell r="R656">
            <v>14972</v>
          </cell>
          <cell r="U656">
            <v>11946</v>
          </cell>
          <cell r="V656">
            <v>11946</v>
          </cell>
          <cell r="Y656">
            <v>3026</v>
          </cell>
          <cell r="Z656">
            <v>3026</v>
          </cell>
          <cell r="AC656">
            <v>0</v>
          </cell>
          <cell r="AD656">
            <v>0</v>
          </cell>
          <cell r="AG656">
            <v>0</v>
          </cell>
          <cell r="AH656">
            <v>0</v>
          </cell>
        </row>
        <row r="657">
          <cell r="G657">
            <v>15440</v>
          </cell>
          <cell r="H657">
            <v>791000</v>
          </cell>
          <cell r="I657" t="str">
            <v>2600</v>
          </cell>
          <cell r="L657" t="str">
            <v>Net Salary Adjustable</v>
          </cell>
          <cell r="M657" t="str">
            <v>NET SALARY ADJUSTABLE</v>
          </cell>
          <cell r="N657" t="e">
            <v>#REF!</v>
          </cell>
          <cell r="O657" t="str">
            <v>L</v>
          </cell>
          <cell r="Q657">
            <v>10547852</v>
          </cell>
          <cell r="R657">
            <v>3316340</v>
          </cell>
          <cell r="U657">
            <v>5876510</v>
          </cell>
          <cell r="V657">
            <v>3395393</v>
          </cell>
          <cell r="Y657">
            <v>3333293</v>
          </cell>
          <cell r="Z657">
            <v>-519581</v>
          </cell>
          <cell r="AC657">
            <v>610857</v>
          </cell>
          <cell r="AD657">
            <v>431374</v>
          </cell>
          <cell r="AG657">
            <v>727192</v>
          </cell>
          <cell r="AH657">
            <v>9154</v>
          </cell>
        </row>
        <row r="658">
          <cell r="H658">
            <v>792000</v>
          </cell>
          <cell r="I658" t="str">
            <v>2601</v>
          </cell>
          <cell r="L658" t="str">
            <v>Net Salary Adjustable</v>
          </cell>
          <cell r="M658" t="e">
            <v>#N/A</v>
          </cell>
          <cell r="N658" t="e">
            <v>#REF!</v>
          </cell>
          <cell r="O658" t="str">
            <v>L</v>
          </cell>
          <cell r="Q658">
            <v>0</v>
          </cell>
          <cell r="R658">
            <v>0</v>
          </cell>
          <cell r="U658">
            <v>0</v>
          </cell>
          <cell r="V658">
            <v>0</v>
          </cell>
          <cell r="Y658">
            <v>0</v>
          </cell>
          <cell r="Z658">
            <v>0</v>
          </cell>
          <cell r="AC658">
            <v>0</v>
          </cell>
          <cell r="AD658">
            <v>0</v>
          </cell>
          <cell r="AG658">
            <v>0</v>
          </cell>
          <cell r="AH658">
            <v>0</v>
          </cell>
        </row>
        <row r="659">
          <cell r="G659">
            <v>15454</v>
          </cell>
          <cell r="H659">
            <v>793000</v>
          </cell>
          <cell r="I659" t="str">
            <v>2808</v>
          </cell>
          <cell r="L659" t="str">
            <v>Payable To Employees</v>
          </cell>
          <cell r="M659" t="str">
            <v>PAYABLE TO EMPLOYEES</v>
          </cell>
          <cell r="N659" t="e">
            <v>#REF!</v>
          </cell>
          <cell r="O659" t="str">
            <v>L</v>
          </cell>
          <cell r="Q659">
            <v>66507</v>
          </cell>
          <cell r="R659">
            <v>155346</v>
          </cell>
          <cell r="U659">
            <v>71665</v>
          </cell>
          <cell r="V659">
            <v>121596</v>
          </cell>
          <cell r="Y659">
            <v>-5158</v>
          </cell>
          <cell r="Z659">
            <v>33750</v>
          </cell>
          <cell r="AC659">
            <v>0</v>
          </cell>
          <cell r="AD659">
            <v>0</v>
          </cell>
          <cell r="AG659">
            <v>0</v>
          </cell>
          <cell r="AH659">
            <v>0</v>
          </cell>
        </row>
        <row r="660">
          <cell r="G660">
            <v>15452</v>
          </cell>
          <cell r="H660">
            <v>794000</v>
          </cell>
          <cell r="I660" t="str">
            <v>2161</v>
          </cell>
          <cell r="L660" t="str">
            <v>Pro. For Managerial Exp.</v>
          </cell>
          <cell r="M660" t="str">
            <v>PROVISION FOR MANAGERIAL EXP.</v>
          </cell>
          <cell r="N660" t="e">
            <v>#REF!</v>
          </cell>
          <cell r="O660" t="str">
            <v>L</v>
          </cell>
          <cell r="Q660">
            <v>-114516</v>
          </cell>
          <cell r="R660">
            <v>-114516</v>
          </cell>
          <cell r="U660">
            <v>-114516</v>
          </cell>
          <cell r="V660">
            <v>-114516</v>
          </cell>
          <cell r="Y660">
            <v>0</v>
          </cell>
          <cell r="Z660">
            <v>0</v>
          </cell>
          <cell r="AC660">
            <v>0</v>
          </cell>
          <cell r="AD660">
            <v>0</v>
          </cell>
          <cell r="AG660">
            <v>0</v>
          </cell>
          <cell r="AH660">
            <v>0</v>
          </cell>
        </row>
        <row r="661">
          <cell r="H661">
            <v>795000</v>
          </cell>
          <cell r="L661" t="str">
            <v>Excess Provision regrouped In payable to employees</v>
          </cell>
          <cell r="O661" t="str">
            <v>L</v>
          </cell>
          <cell r="Q661">
            <v>0</v>
          </cell>
          <cell r="R661">
            <v>0</v>
          </cell>
          <cell r="AC661">
            <v>0</v>
          </cell>
          <cell r="AG661">
            <v>0</v>
          </cell>
        </row>
        <row r="662">
          <cell r="H662">
            <v>796000</v>
          </cell>
          <cell r="L662" t="str">
            <v>Regrouping From Trade Paybles</v>
          </cell>
          <cell r="M662" t="e">
            <v>#N/A</v>
          </cell>
          <cell r="N662" t="e">
            <v>#REF!</v>
          </cell>
          <cell r="O662" t="str">
            <v>L</v>
          </cell>
          <cell r="Q662">
            <v>22845795</v>
          </cell>
          <cell r="R662">
            <v>12212023</v>
          </cell>
          <cell r="U662">
            <v>17875783</v>
          </cell>
          <cell r="V662">
            <v>12212023</v>
          </cell>
          <cell r="Y662">
            <v>4140287</v>
          </cell>
          <cell r="Z662">
            <v>0</v>
          </cell>
          <cell r="AC662">
            <v>428916</v>
          </cell>
          <cell r="AD662">
            <v>0</v>
          </cell>
          <cell r="AG662">
            <v>400809</v>
          </cell>
          <cell r="AH662">
            <v>0</v>
          </cell>
        </row>
        <row r="663">
          <cell r="H663">
            <v>797000</v>
          </cell>
          <cell r="K663" t="str">
            <v>Employee Benefits Payable</v>
          </cell>
          <cell r="M663" t="e">
            <v>#N/A</v>
          </cell>
          <cell r="N663" t="e">
            <v>#REF!</v>
          </cell>
          <cell r="O663" t="str">
            <v>L</v>
          </cell>
          <cell r="P663">
            <v>0</v>
          </cell>
          <cell r="Q663">
            <v>33730431</v>
          </cell>
          <cell r="R663">
            <v>15637087</v>
          </cell>
          <cell r="T663">
            <v>0</v>
          </cell>
          <cell r="U663">
            <v>23956186</v>
          </cell>
          <cell r="V663">
            <v>15668120</v>
          </cell>
          <cell r="X663">
            <v>0</v>
          </cell>
          <cell r="Y663">
            <v>7598041</v>
          </cell>
          <cell r="Z663">
            <v>-479991</v>
          </cell>
          <cell r="AB663">
            <v>0</v>
          </cell>
          <cell r="AC663">
            <v>1048203</v>
          </cell>
          <cell r="AD663">
            <v>439804</v>
          </cell>
          <cell r="AF663">
            <v>0</v>
          </cell>
          <cell r="AG663">
            <v>1128001</v>
          </cell>
          <cell r="AH663">
            <v>9154</v>
          </cell>
        </row>
        <row r="664">
          <cell r="H664">
            <v>798000</v>
          </cell>
          <cell r="K664" t="str">
            <v>Statutory Dues Payable</v>
          </cell>
          <cell r="M664" t="e">
            <v>#N/A</v>
          </cell>
          <cell r="N664" t="e">
            <v>#REF!</v>
          </cell>
          <cell r="O664" t="str">
            <v>L</v>
          </cell>
        </row>
        <row r="665">
          <cell r="H665">
            <v>799000</v>
          </cell>
          <cell r="I665" t="str">
            <v>2512</v>
          </cell>
          <cell r="L665" t="str">
            <v>Vat (Mst) -Sales</v>
          </cell>
          <cell r="M665" t="e">
            <v>#N/A</v>
          </cell>
          <cell r="N665" t="e">
            <v>#REF!</v>
          </cell>
          <cell r="O665" t="str">
            <v>L</v>
          </cell>
          <cell r="Q665">
            <v>1162660</v>
          </cell>
          <cell r="R665">
            <v>1275892</v>
          </cell>
          <cell r="U665">
            <v>0</v>
          </cell>
          <cell r="V665">
            <v>0</v>
          </cell>
          <cell r="Y665">
            <v>0</v>
          </cell>
          <cell r="Z665">
            <v>0</v>
          </cell>
          <cell r="AC665">
            <v>935670</v>
          </cell>
          <cell r="AD665">
            <v>1038782</v>
          </cell>
          <cell r="AG665">
            <v>226990</v>
          </cell>
          <cell r="AH665">
            <v>237110</v>
          </cell>
        </row>
        <row r="666">
          <cell r="H666">
            <v>800000</v>
          </cell>
          <cell r="I666" t="str">
            <v>2513</v>
          </cell>
          <cell r="L666" t="str">
            <v>Vat Mst - Purchase</v>
          </cell>
          <cell r="M666" t="e">
            <v>#N/A</v>
          </cell>
          <cell r="N666" t="e">
            <v>#REF!</v>
          </cell>
          <cell r="O666" t="str">
            <v>L</v>
          </cell>
          <cell r="Q666">
            <v>-569118</v>
          </cell>
          <cell r="R666">
            <v>-597398</v>
          </cell>
          <cell r="U666">
            <v>0</v>
          </cell>
          <cell r="V666">
            <v>0</v>
          </cell>
          <cell r="Y666">
            <v>0</v>
          </cell>
          <cell r="Z666">
            <v>0</v>
          </cell>
          <cell r="AC666">
            <v>-533685</v>
          </cell>
          <cell r="AD666">
            <v>-559651</v>
          </cell>
          <cell r="AG666">
            <v>-35433</v>
          </cell>
          <cell r="AH666">
            <v>-37747</v>
          </cell>
        </row>
        <row r="667">
          <cell r="G667">
            <v>15567</v>
          </cell>
          <cell r="L667" t="str">
            <v>Swachh Bharat Cess (Liab)</v>
          </cell>
          <cell r="O667" t="str">
            <v>L</v>
          </cell>
          <cell r="Q667">
            <v>62309</v>
          </cell>
          <cell r="R667">
            <v>0</v>
          </cell>
          <cell r="U667">
            <v>60536</v>
          </cell>
          <cell r="V667">
            <v>0</v>
          </cell>
          <cell r="Y667">
            <v>1773</v>
          </cell>
          <cell r="Z667">
            <v>0</v>
          </cell>
          <cell r="AC667">
            <v>0</v>
          </cell>
          <cell r="AD667">
            <v>0</v>
          </cell>
          <cell r="AG667">
            <v>0</v>
          </cell>
          <cell r="AH667">
            <v>0</v>
          </cell>
        </row>
        <row r="668">
          <cell r="G668">
            <v>15506</v>
          </cell>
          <cell r="H668">
            <v>801000</v>
          </cell>
          <cell r="I668" t="str">
            <v>2514</v>
          </cell>
          <cell r="L668" t="str">
            <v>Vat Payable</v>
          </cell>
          <cell r="M668" t="str">
            <v>VAT PAYABLE</v>
          </cell>
          <cell r="N668" t="e">
            <v>#REF!</v>
          </cell>
          <cell r="O668" t="str">
            <v>L</v>
          </cell>
          <cell r="Q668">
            <v>40381</v>
          </cell>
          <cell r="R668">
            <v>18919</v>
          </cell>
          <cell r="U668">
            <v>64</v>
          </cell>
          <cell r="V668">
            <v>64</v>
          </cell>
          <cell r="Y668">
            <v>0</v>
          </cell>
          <cell r="Z668">
            <v>0</v>
          </cell>
          <cell r="AC668">
            <v>40317</v>
          </cell>
          <cell r="AD668">
            <v>18855</v>
          </cell>
          <cell r="AG668">
            <v>0</v>
          </cell>
          <cell r="AH668">
            <v>0</v>
          </cell>
        </row>
        <row r="669">
          <cell r="G669">
            <v>15507</v>
          </cell>
          <cell r="H669">
            <v>802000</v>
          </cell>
          <cell r="L669" t="str">
            <v>Vat Receivable</v>
          </cell>
          <cell r="M669" t="str">
            <v>VAT RECEIVABLE</v>
          </cell>
          <cell r="N669" t="e">
            <v>#REF!</v>
          </cell>
          <cell r="O669" t="str">
            <v>L</v>
          </cell>
          <cell r="Q669">
            <v>-64</v>
          </cell>
          <cell r="R669">
            <v>-64</v>
          </cell>
          <cell r="U669">
            <v>-64</v>
          </cell>
          <cell r="V669">
            <v>-64</v>
          </cell>
          <cell r="Y669">
            <v>0</v>
          </cell>
          <cell r="Z669">
            <v>0</v>
          </cell>
          <cell r="AC669">
            <v>0</v>
          </cell>
          <cell r="AD669">
            <v>0</v>
          </cell>
          <cell r="AG669">
            <v>0</v>
          </cell>
          <cell r="AH669">
            <v>0</v>
          </cell>
        </row>
        <row r="670">
          <cell r="G670">
            <v>15511</v>
          </cell>
          <cell r="H670">
            <v>803000</v>
          </cell>
          <cell r="I670" t="str">
            <v>2520</v>
          </cell>
          <cell r="L670" t="str">
            <v>Cst Payable</v>
          </cell>
          <cell r="M670" t="str">
            <v>CST PAYABLE</v>
          </cell>
          <cell r="N670" t="e">
            <v>#REF!</v>
          </cell>
          <cell r="O670" t="str">
            <v>L</v>
          </cell>
          <cell r="Q670">
            <v>305162</v>
          </cell>
          <cell r="R670">
            <v>135442</v>
          </cell>
          <cell r="U670">
            <v>0</v>
          </cell>
          <cell r="V670">
            <v>0</v>
          </cell>
          <cell r="Y670">
            <v>0</v>
          </cell>
          <cell r="Z670">
            <v>0</v>
          </cell>
          <cell r="AC670">
            <v>305162</v>
          </cell>
          <cell r="AD670">
            <v>135442</v>
          </cell>
          <cell r="AG670">
            <v>0</v>
          </cell>
          <cell r="AH670">
            <v>0</v>
          </cell>
        </row>
        <row r="671">
          <cell r="H671">
            <v>804000</v>
          </cell>
          <cell r="I671" t="str">
            <v>2522</v>
          </cell>
          <cell r="L671" t="str">
            <v>Vat (Cst) -Sales</v>
          </cell>
          <cell r="M671" t="e">
            <v>#N/A</v>
          </cell>
          <cell r="N671" t="e">
            <v>#REF!</v>
          </cell>
          <cell r="O671" t="str">
            <v>L</v>
          </cell>
          <cell r="Q671">
            <v>592147</v>
          </cell>
          <cell r="R671">
            <v>521449</v>
          </cell>
          <cell r="U671">
            <v>0</v>
          </cell>
          <cell r="V671">
            <v>0</v>
          </cell>
          <cell r="Y671">
            <v>0</v>
          </cell>
          <cell r="Z671">
            <v>0</v>
          </cell>
          <cell r="AC671">
            <v>0</v>
          </cell>
          <cell r="AD671">
            <v>0</v>
          </cell>
          <cell r="AG671">
            <v>592147</v>
          </cell>
          <cell r="AH671">
            <v>521449</v>
          </cell>
        </row>
        <row r="672">
          <cell r="H672">
            <v>805000</v>
          </cell>
          <cell r="I672" t="str">
            <v>7113</v>
          </cell>
          <cell r="L672" t="str">
            <v>Surcharge On Mst</v>
          </cell>
          <cell r="M672" t="e">
            <v>#N/A</v>
          </cell>
          <cell r="N672" t="e">
            <v>#REF!</v>
          </cell>
          <cell r="O672" t="str">
            <v>L</v>
          </cell>
          <cell r="Q672">
            <v>88</v>
          </cell>
          <cell r="R672">
            <v>88</v>
          </cell>
          <cell r="U672">
            <v>0</v>
          </cell>
          <cell r="V672">
            <v>0</v>
          </cell>
          <cell r="Y672">
            <v>0</v>
          </cell>
          <cell r="Z672">
            <v>0</v>
          </cell>
          <cell r="AC672">
            <v>88</v>
          </cell>
          <cell r="AD672">
            <v>88</v>
          </cell>
          <cell r="AG672">
            <v>0</v>
          </cell>
          <cell r="AH672">
            <v>0</v>
          </cell>
        </row>
        <row r="673">
          <cell r="G673">
            <v>15544</v>
          </cell>
          <cell r="H673">
            <v>806000</v>
          </cell>
          <cell r="L673" t="str">
            <v>Tds-On Vat</v>
          </cell>
          <cell r="M673" t="str">
            <v>TDS - ON VAT</v>
          </cell>
          <cell r="N673" t="e">
            <v>#REF!</v>
          </cell>
          <cell r="O673" t="str">
            <v>L</v>
          </cell>
          <cell r="Q673">
            <v>0</v>
          </cell>
          <cell r="R673">
            <v>0</v>
          </cell>
          <cell r="U673">
            <v>0</v>
          </cell>
          <cell r="V673">
            <v>0</v>
          </cell>
          <cell r="Y673">
            <v>0</v>
          </cell>
          <cell r="Z673">
            <v>0</v>
          </cell>
          <cell r="AC673">
            <v>0</v>
          </cell>
          <cell r="AD673">
            <v>0</v>
          </cell>
          <cell r="AG673">
            <v>0</v>
          </cell>
          <cell r="AH673">
            <v>0</v>
          </cell>
        </row>
        <row r="674">
          <cell r="G674">
            <v>15546</v>
          </cell>
          <cell r="L674" t="str">
            <v>TDS- NRI</v>
          </cell>
          <cell r="Q674">
            <v>1446571</v>
          </cell>
          <cell r="R674">
            <v>0</v>
          </cell>
          <cell r="U674">
            <v>1211073</v>
          </cell>
          <cell r="V674">
            <v>0</v>
          </cell>
          <cell r="Y674">
            <v>235498</v>
          </cell>
          <cell r="Z674">
            <v>0</v>
          </cell>
          <cell r="AC674">
            <v>0</v>
          </cell>
          <cell r="AD674">
            <v>0</v>
          </cell>
          <cell r="AG674">
            <v>0</v>
          </cell>
          <cell r="AH674">
            <v>0</v>
          </cell>
        </row>
        <row r="675">
          <cell r="G675">
            <v>15522</v>
          </cell>
          <cell r="H675">
            <v>807000</v>
          </cell>
          <cell r="I675">
            <v>2560</v>
          </cell>
          <cell r="L675" t="str">
            <v>Cst Payable (Cochin)/Control A/c</v>
          </cell>
          <cell r="M675" t="str">
            <v>CST PAYABLE (COCHIN)</v>
          </cell>
          <cell r="N675" t="e">
            <v>#REF!</v>
          </cell>
          <cell r="O675" t="str">
            <v>L</v>
          </cell>
          <cell r="Q675">
            <v>7129</v>
          </cell>
          <cell r="R675">
            <v>3255</v>
          </cell>
          <cell r="U675">
            <v>0</v>
          </cell>
          <cell r="V675">
            <v>0</v>
          </cell>
          <cell r="Y675">
            <v>7129</v>
          </cell>
          <cell r="Z675">
            <v>3196</v>
          </cell>
          <cell r="AC675">
            <v>0</v>
          </cell>
          <cell r="AD675">
            <v>59</v>
          </cell>
          <cell r="AG675">
            <v>0</v>
          </cell>
        </row>
        <row r="676">
          <cell r="G676">
            <v>15518</v>
          </cell>
          <cell r="H676">
            <v>808000</v>
          </cell>
          <cell r="I676" t="str">
            <v>2515</v>
          </cell>
          <cell r="L676" t="str">
            <v>Cochin Vat Payable</v>
          </cell>
          <cell r="M676" t="str">
            <v>COCHIN VAT PAYABLE</v>
          </cell>
          <cell r="N676" t="e">
            <v>#REF!</v>
          </cell>
          <cell r="O676" t="str">
            <v>L</v>
          </cell>
          <cell r="Q676">
            <v>249621</v>
          </cell>
          <cell r="R676">
            <v>203619</v>
          </cell>
          <cell r="U676">
            <v>0</v>
          </cell>
          <cell r="V676">
            <v>0</v>
          </cell>
          <cell r="Y676">
            <v>249621</v>
          </cell>
          <cell r="Z676">
            <v>203619</v>
          </cell>
          <cell r="AC676">
            <v>0</v>
          </cell>
          <cell r="AD676">
            <v>0</v>
          </cell>
          <cell r="AG676">
            <v>0</v>
          </cell>
          <cell r="AH676">
            <v>0</v>
          </cell>
        </row>
        <row r="677">
          <cell r="H677">
            <v>809000</v>
          </cell>
          <cell r="I677" t="str">
            <v>2527</v>
          </cell>
          <cell r="L677" t="str">
            <v>Tds - Others</v>
          </cell>
          <cell r="M677" t="e">
            <v>#N/A</v>
          </cell>
          <cell r="N677" t="e">
            <v>#REF!</v>
          </cell>
          <cell r="O677" t="str">
            <v>L</v>
          </cell>
          <cell r="Q677">
            <v>41757</v>
          </cell>
          <cell r="R677">
            <v>11978</v>
          </cell>
          <cell r="U677">
            <v>0</v>
          </cell>
          <cell r="V677">
            <v>0</v>
          </cell>
          <cell r="Y677">
            <v>0</v>
          </cell>
          <cell r="Z677">
            <v>0</v>
          </cell>
          <cell r="AC677">
            <v>41757</v>
          </cell>
          <cell r="AD677">
            <v>11978</v>
          </cell>
          <cell r="AG677">
            <v>0</v>
          </cell>
          <cell r="AH677">
            <v>0</v>
          </cell>
        </row>
        <row r="678">
          <cell r="G678">
            <v>15535</v>
          </cell>
          <cell r="H678">
            <v>810000</v>
          </cell>
          <cell r="I678" t="str">
            <v>2528</v>
          </cell>
          <cell r="L678" t="str">
            <v>Tcs - Sale Of Scrap</v>
          </cell>
          <cell r="M678" t="str">
            <v>TCS - SCRAP SALES</v>
          </cell>
          <cell r="N678" t="e">
            <v>#REF!</v>
          </cell>
          <cell r="O678" t="str">
            <v>L</v>
          </cell>
          <cell r="Q678">
            <v>59782</v>
          </cell>
          <cell r="R678">
            <v>75704</v>
          </cell>
          <cell r="U678">
            <v>45053</v>
          </cell>
          <cell r="V678">
            <v>68750</v>
          </cell>
          <cell r="Y678">
            <v>5848</v>
          </cell>
          <cell r="Z678">
            <v>3237</v>
          </cell>
          <cell r="AC678">
            <v>8274</v>
          </cell>
          <cell r="AD678">
            <v>2943</v>
          </cell>
          <cell r="AG678">
            <v>607</v>
          </cell>
          <cell r="AH678">
            <v>774</v>
          </cell>
        </row>
        <row r="679">
          <cell r="G679">
            <v>15540</v>
          </cell>
          <cell r="H679">
            <v>811000</v>
          </cell>
          <cell r="I679" t="str">
            <v>2529</v>
          </cell>
          <cell r="L679" t="str">
            <v>Tds - Commission Agent</v>
          </cell>
          <cell r="M679" t="str">
            <v>TDS - COMMISSION/ BROKERAGE (195 H)</v>
          </cell>
          <cell r="N679" t="e">
            <v>#REF!</v>
          </cell>
          <cell r="O679" t="str">
            <v>L</v>
          </cell>
          <cell r="Q679">
            <v>18629</v>
          </cell>
          <cell r="R679">
            <v>197825</v>
          </cell>
          <cell r="U679">
            <v>-702165</v>
          </cell>
          <cell r="V679">
            <v>-702165</v>
          </cell>
          <cell r="Y679">
            <v>720794</v>
          </cell>
          <cell r="Z679">
            <v>899990</v>
          </cell>
          <cell r="AC679">
            <v>0</v>
          </cell>
          <cell r="AD679">
            <v>0</v>
          </cell>
          <cell r="AG679">
            <v>0</v>
          </cell>
          <cell r="AH679">
            <v>0</v>
          </cell>
        </row>
        <row r="680">
          <cell r="G680">
            <v>15537</v>
          </cell>
          <cell r="H680">
            <v>812000</v>
          </cell>
          <cell r="I680" t="str">
            <v>2660</v>
          </cell>
          <cell r="L680" t="str">
            <v>Income Tax Adjustable - Employees</v>
          </cell>
          <cell r="M680" t="str">
            <v>TDS - EMPLOYEES (192)</v>
          </cell>
          <cell r="N680" t="e">
            <v>#REF!</v>
          </cell>
          <cell r="O680" t="str">
            <v>L</v>
          </cell>
          <cell r="Q680">
            <v>1455095</v>
          </cell>
          <cell r="R680">
            <v>1591871</v>
          </cell>
          <cell r="U680">
            <v>979260</v>
          </cell>
          <cell r="V680">
            <v>930153</v>
          </cell>
          <cell r="Y680">
            <v>467862</v>
          </cell>
          <cell r="Z680">
            <v>656092</v>
          </cell>
          <cell r="AC680">
            <v>7973</v>
          </cell>
          <cell r="AD680">
            <v>4500</v>
          </cell>
          <cell r="AG680">
            <v>0</v>
          </cell>
          <cell r="AH680">
            <v>1126</v>
          </cell>
        </row>
        <row r="681">
          <cell r="G681">
            <v>15539</v>
          </cell>
          <cell r="H681">
            <v>813000</v>
          </cell>
          <cell r="I681" t="str">
            <v>2530</v>
          </cell>
          <cell r="L681" t="str">
            <v>Tds - Contractors</v>
          </cell>
          <cell r="M681" t="str">
            <v>TDS - CONTRACTORS (194 C)</v>
          </cell>
          <cell r="N681" t="e">
            <v>#REF!</v>
          </cell>
          <cell r="O681" t="str">
            <v>L</v>
          </cell>
          <cell r="Q681">
            <v>567318</v>
          </cell>
          <cell r="R681">
            <v>299359</v>
          </cell>
          <cell r="U681">
            <v>-1108462</v>
          </cell>
          <cell r="V681">
            <v>-1149303</v>
          </cell>
          <cell r="Y681">
            <v>1560120</v>
          </cell>
          <cell r="Z681">
            <v>1437723</v>
          </cell>
          <cell r="AC681">
            <v>1906</v>
          </cell>
          <cell r="AD681">
            <v>0</v>
          </cell>
          <cell r="AG681">
            <v>113754</v>
          </cell>
          <cell r="AH681">
            <v>10939</v>
          </cell>
        </row>
        <row r="682">
          <cell r="G682">
            <v>15541</v>
          </cell>
          <cell r="H682">
            <v>814000</v>
          </cell>
          <cell r="I682" t="str">
            <v>2534</v>
          </cell>
          <cell r="L682" t="str">
            <v>Tds - Rent</v>
          </cell>
          <cell r="M682" t="str">
            <v>TDS - RENT (194 I)</v>
          </cell>
          <cell r="N682" t="e">
            <v>#REF!</v>
          </cell>
          <cell r="O682" t="str">
            <v>L</v>
          </cell>
          <cell r="Q682">
            <v>11047</v>
          </cell>
          <cell r="R682">
            <v>15938</v>
          </cell>
          <cell r="U682">
            <v>-44785</v>
          </cell>
          <cell r="V682">
            <v>-44136</v>
          </cell>
          <cell r="Y682">
            <v>51632</v>
          </cell>
          <cell r="Z682">
            <v>56824</v>
          </cell>
          <cell r="AC682">
            <v>0</v>
          </cell>
          <cell r="AD682">
            <v>0</v>
          </cell>
          <cell r="AG682">
            <v>4200</v>
          </cell>
          <cell r="AH682">
            <v>3250</v>
          </cell>
        </row>
        <row r="683">
          <cell r="G683">
            <v>15542</v>
          </cell>
          <cell r="H683">
            <v>815000</v>
          </cell>
          <cell r="I683" t="str">
            <v>2535</v>
          </cell>
          <cell r="L683" t="str">
            <v>Tds - Professionals</v>
          </cell>
          <cell r="M683" t="str">
            <v>TDS - PROFESSIONALS/ TECHNICAL SERVICES</v>
          </cell>
          <cell r="N683" t="e">
            <v>#REF!</v>
          </cell>
          <cell r="O683" t="str">
            <v>L</v>
          </cell>
          <cell r="Q683">
            <v>637360</v>
          </cell>
          <cell r="R683">
            <v>275978</v>
          </cell>
          <cell r="U683">
            <v>434404</v>
          </cell>
          <cell r="V683">
            <v>124516</v>
          </cell>
          <cell r="Y683">
            <v>143282</v>
          </cell>
          <cell r="Z683">
            <v>134299</v>
          </cell>
          <cell r="AC683">
            <v>-1800</v>
          </cell>
          <cell r="AD683">
            <v>562</v>
          </cell>
          <cell r="AG683">
            <v>61474</v>
          </cell>
          <cell r="AH683">
            <v>16601</v>
          </cell>
        </row>
        <row r="684">
          <cell r="G684">
            <v>15538</v>
          </cell>
          <cell r="H684">
            <v>816000</v>
          </cell>
          <cell r="I684" t="str">
            <v>2536</v>
          </cell>
          <cell r="L684" t="str">
            <v>Tds - Int Other Than Securities</v>
          </cell>
          <cell r="M684" t="str">
            <v>TDS - INT OTHER THAN SECURITIES (193)</v>
          </cell>
          <cell r="N684" t="e">
            <v>#REF!</v>
          </cell>
          <cell r="O684" t="str">
            <v>L</v>
          </cell>
          <cell r="Q684">
            <v>8077</v>
          </cell>
          <cell r="R684">
            <v>73085</v>
          </cell>
          <cell r="U684">
            <v>-82343</v>
          </cell>
          <cell r="V684">
            <v>-9258</v>
          </cell>
          <cell r="Y684">
            <v>90420</v>
          </cell>
          <cell r="Z684">
            <v>82343</v>
          </cell>
          <cell r="AC684">
            <v>0</v>
          </cell>
          <cell r="AD684">
            <v>0</v>
          </cell>
          <cell r="AG684">
            <v>0</v>
          </cell>
          <cell r="AH684">
            <v>0</v>
          </cell>
        </row>
        <row r="685">
          <cell r="G685">
            <v>15543</v>
          </cell>
          <cell r="H685">
            <v>817000</v>
          </cell>
          <cell r="L685" t="str">
            <v>Tds/ Tcs-Adjustment (Op. Bal.)</v>
          </cell>
          <cell r="M685" t="str">
            <v>TDS/ TCS - ADJUSTMENT (OPENING BALANCE)</v>
          </cell>
          <cell r="N685" t="e">
            <v>#REF!</v>
          </cell>
          <cell r="O685" t="str">
            <v>L</v>
          </cell>
          <cell r="Q685">
            <v>0</v>
          </cell>
          <cell r="R685">
            <v>0</v>
          </cell>
          <cell r="U685">
            <v>-1</v>
          </cell>
          <cell r="V685">
            <v>-1</v>
          </cell>
          <cell r="Y685">
            <v>1</v>
          </cell>
          <cell r="Z685">
            <v>1</v>
          </cell>
          <cell r="AC685">
            <v>0</v>
          </cell>
          <cell r="AD685">
            <v>0</v>
          </cell>
          <cell r="AG685">
            <v>0</v>
          </cell>
          <cell r="AH685">
            <v>0</v>
          </cell>
        </row>
        <row r="686">
          <cell r="G686">
            <v>15556</v>
          </cell>
          <cell r="H686">
            <v>818000</v>
          </cell>
          <cell r="I686" t="str">
            <v>2541</v>
          </cell>
          <cell r="L686" t="str">
            <v>Excise Duty Payable A/C ( Fg Cl St)</v>
          </cell>
          <cell r="M686" t="str">
            <v>EXCISE DUTY PAYABLE A/C (FG CL ST)</v>
          </cell>
          <cell r="N686" t="e">
            <v>#REF!</v>
          </cell>
          <cell r="O686" t="str">
            <v>L</v>
          </cell>
          <cell r="Q686">
            <v>9323051</v>
          </cell>
          <cell r="R686">
            <v>9298618</v>
          </cell>
          <cell r="U686">
            <v>5237388</v>
          </cell>
          <cell r="V686">
            <v>5687933</v>
          </cell>
          <cell r="Y686">
            <v>2144585</v>
          </cell>
          <cell r="Z686">
            <v>1794765</v>
          </cell>
          <cell r="AC686">
            <v>595528</v>
          </cell>
          <cell r="AD686">
            <v>649320</v>
          </cell>
          <cell r="AG686">
            <v>1345550</v>
          </cell>
          <cell r="AH686">
            <v>1166600</v>
          </cell>
        </row>
        <row r="687">
          <cell r="H687">
            <v>819000</v>
          </cell>
          <cell r="I687" t="str">
            <v>2545</v>
          </cell>
          <cell r="L687" t="str">
            <v>Education Cess On Tds Deducted</v>
          </cell>
          <cell r="M687" t="e">
            <v>#N/A</v>
          </cell>
          <cell r="N687" t="e">
            <v>#REF!</v>
          </cell>
          <cell r="O687" t="str">
            <v>L</v>
          </cell>
          <cell r="Q687">
            <v>0</v>
          </cell>
          <cell r="R687">
            <v>0</v>
          </cell>
          <cell r="U687">
            <v>0</v>
          </cell>
          <cell r="V687">
            <v>0</v>
          </cell>
          <cell r="Y687">
            <v>0</v>
          </cell>
          <cell r="Z687">
            <v>0</v>
          </cell>
          <cell r="AC687">
            <v>0</v>
          </cell>
          <cell r="AD687">
            <v>0</v>
          </cell>
          <cell r="AG687">
            <v>0</v>
          </cell>
          <cell r="AH687">
            <v>0</v>
          </cell>
        </row>
        <row r="688">
          <cell r="G688">
            <v>15557</v>
          </cell>
          <cell r="H688">
            <v>820000</v>
          </cell>
          <cell r="I688" t="str">
            <v>2610</v>
          </cell>
          <cell r="L688" t="str">
            <v>Provident Fund Adjustable</v>
          </cell>
          <cell r="M688" t="str">
            <v>PROVIDENT FUND ADJUSTABLE - EMPLOYEES</v>
          </cell>
          <cell r="N688" t="e">
            <v>#REF!</v>
          </cell>
          <cell r="O688" t="str">
            <v>L</v>
          </cell>
          <cell r="Q688">
            <v>1863068</v>
          </cell>
          <cell r="R688">
            <v>1778320</v>
          </cell>
          <cell r="U688">
            <v>843539</v>
          </cell>
          <cell r="V688">
            <v>870327</v>
          </cell>
          <cell r="Y688">
            <v>834755</v>
          </cell>
          <cell r="Z688">
            <v>758187</v>
          </cell>
          <cell r="AC688">
            <v>109241</v>
          </cell>
          <cell r="AD688">
            <v>89783</v>
          </cell>
          <cell r="AG688">
            <v>75533</v>
          </cell>
          <cell r="AH688">
            <v>60023</v>
          </cell>
        </row>
        <row r="689">
          <cell r="G689">
            <v>15558</v>
          </cell>
          <cell r="H689">
            <v>821000</v>
          </cell>
          <cell r="I689" t="str">
            <v>2616</v>
          </cell>
          <cell r="L689" t="str">
            <v>Pf &amp; Fpf Adjustable-Contractors &amp; Others</v>
          </cell>
          <cell r="M689" t="str">
            <v>PROVIDENT FUND ADJUSTABLE - CONTRACTORS &amp; OTHERS</v>
          </cell>
          <cell r="N689" t="e">
            <v>#REF!</v>
          </cell>
          <cell r="O689" t="str">
            <v>L</v>
          </cell>
          <cell r="Q689">
            <v>24592</v>
          </cell>
          <cell r="R689">
            <v>22695</v>
          </cell>
          <cell r="U689">
            <v>2438</v>
          </cell>
          <cell r="V689">
            <v>2116</v>
          </cell>
          <cell r="Y689">
            <v>22154</v>
          </cell>
          <cell r="Z689">
            <v>20579</v>
          </cell>
          <cell r="AC689">
            <v>0</v>
          </cell>
          <cell r="AD689">
            <v>0</v>
          </cell>
          <cell r="AG689">
            <v>0</v>
          </cell>
          <cell r="AH689">
            <v>0</v>
          </cell>
        </row>
        <row r="690">
          <cell r="G690">
            <v>15559</v>
          </cell>
          <cell r="H690">
            <v>822000</v>
          </cell>
          <cell r="I690" t="str">
            <v>2630</v>
          </cell>
          <cell r="L690" t="str">
            <v>Professional Tax Adjustable</v>
          </cell>
          <cell r="M690" t="str">
            <v>PROFESSIONAL TAX ADJUSTABLE - EMPLOYEES</v>
          </cell>
          <cell r="N690" t="e">
            <v>#REF!</v>
          </cell>
          <cell r="O690" t="str">
            <v>L</v>
          </cell>
          <cell r="Q690">
            <v>44375</v>
          </cell>
          <cell r="R690">
            <v>44375</v>
          </cell>
          <cell r="U690">
            <v>35375</v>
          </cell>
          <cell r="V690">
            <v>36375</v>
          </cell>
          <cell r="Y690">
            <v>9000</v>
          </cell>
          <cell r="Z690">
            <v>8000</v>
          </cell>
          <cell r="AC690">
            <v>0</v>
          </cell>
          <cell r="AD690">
            <v>0</v>
          </cell>
          <cell r="AG690">
            <v>0</v>
          </cell>
          <cell r="AH690">
            <v>0</v>
          </cell>
        </row>
        <row r="691">
          <cell r="G691">
            <v>15560</v>
          </cell>
          <cell r="H691">
            <v>823000</v>
          </cell>
          <cell r="I691" t="str">
            <v>2631</v>
          </cell>
          <cell r="L691" t="str">
            <v>Professional Tax Adjustable Contractors</v>
          </cell>
          <cell r="M691" t="str">
            <v>PROFESSIONAL TAX ADJUSTABLE - CONTRACTORS &amp; OTHERS</v>
          </cell>
          <cell r="N691" t="e">
            <v>#REF!</v>
          </cell>
          <cell r="O691" t="str">
            <v>L</v>
          </cell>
          <cell r="Q691">
            <v>15375</v>
          </cell>
          <cell r="R691">
            <v>15225</v>
          </cell>
          <cell r="U691">
            <v>575</v>
          </cell>
          <cell r="V691">
            <v>350</v>
          </cell>
          <cell r="Y691">
            <v>14800</v>
          </cell>
          <cell r="Z691">
            <v>14875</v>
          </cell>
          <cell r="AC691">
            <v>0</v>
          </cell>
          <cell r="AD691">
            <v>0</v>
          </cell>
          <cell r="AG691">
            <v>0</v>
          </cell>
          <cell r="AH691">
            <v>0</v>
          </cell>
        </row>
        <row r="692">
          <cell r="G692">
            <v>15561</v>
          </cell>
          <cell r="H692">
            <v>824000</v>
          </cell>
          <cell r="I692" t="str">
            <v>2640</v>
          </cell>
          <cell r="L692" t="str">
            <v>Esic Adjustable</v>
          </cell>
          <cell r="M692" t="str">
            <v>ESIC ADJUSTABLE - EMPLOYEES</v>
          </cell>
          <cell r="N692" t="e">
            <v>#REF!</v>
          </cell>
          <cell r="O692" t="str">
            <v>L</v>
          </cell>
          <cell r="Q692">
            <v>23745</v>
          </cell>
          <cell r="R692">
            <v>1043</v>
          </cell>
          <cell r="U692">
            <v>3995</v>
          </cell>
          <cell r="V692">
            <v>5758</v>
          </cell>
          <cell r="Y692">
            <v>-3995</v>
          </cell>
          <cell r="Z692">
            <v>-4715</v>
          </cell>
          <cell r="AC692">
            <v>0</v>
          </cell>
          <cell r="AD692">
            <v>0</v>
          </cell>
          <cell r="AG692">
            <v>23745</v>
          </cell>
          <cell r="AH692">
            <v>0</v>
          </cell>
        </row>
        <row r="693">
          <cell r="G693">
            <v>15562</v>
          </cell>
          <cell r="H693">
            <v>825000</v>
          </cell>
          <cell r="I693" t="str">
            <v>2641</v>
          </cell>
          <cell r="L693" t="str">
            <v>Esic Adjustable - Contractors &amp; Others</v>
          </cell>
          <cell r="M693" t="str">
            <v>ESIC ADJUSTABLE - CONTRACTORS &amp; OTHERS</v>
          </cell>
          <cell r="N693" t="e">
            <v>#REF!</v>
          </cell>
          <cell r="O693" t="str">
            <v>L</v>
          </cell>
          <cell r="Q693">
            <v>90401</v>
          </cell>
          <cell r="R693">
            <v>123763</v>
          </cell>
          <cell r="U693">
            <v>36745</v>
          </cell>
          <cell r="V693">
            <v>59054</v>
          </cell>
          <cell r="Y693">
            <v>45350</v>
          </cell>
          <cell r="Z693">
            <v>64709</v>
          </cell>
          <cell r="AC693">
            <v>0</v>
          </cell>
          <cell r="AD693">
            <v>0</v>
          </cell>
          <cell r="AG693">
            <v>8306</v>
          </cell>
          <cell r="AH693">
            <v>0</v>
          </cell>
        </row>
        <row r="694">
          <cell r="G694">
            <v>15565</v>
          </cell>
          <cell r="H694">
            <v>826000</v>
          </cell>
          <cell r="L694" t="str">
            <v>Nmmc Cess Liability</v>
          </cell>
          <cell r="M694" t="str">
            <v>NMMC CESS LIABILITY</v>
          </cell>
          <cell r="N694" t="e">
            <v>#REF!</v>
          </cell>
          <cell r="O694" t="str">
            <v>L</v>
          </cell>
          <cell r="Q694">
            <v>0</v>
          </cell>
          <cell r="R694">
            <v>0</v>
          </cell>
          <cell r="U694">
            <v>18141410</v>
          </cell>
          <cell r="V694">
            <v>18141410</v>
          </cell>
          <cell r="Y694">
            <v>-18141410</v>
          </cell>
          <cell r="Z694">
            <v>-18141410</v>
          </cell>
          <cell r="AC694">
            <v>0</v>
          </cell>
          <cell r="AD694">
            <v>0</v>
          </cell>
          <cell r="AG694">
            <v>0</v>
          </cell>
          <cell r="AH694">
            <v>0</v>
          </cell>
        </row>
        <row r="695">
          <cell r="G695">
            <v>15613</v>
          </cell>
          <cell r="H695">
            <v>827000</v>
          </cell>
          <cell r="L695" t="str">
            <v>Liability For Tax Group</v>
          </cell>
          <cell r="M695" t="str">
            <v>LIABILITY FOR TAX Group</v>
          </cell>
          <cell r="N695" t="e">
            <v>#REF!</v>
          </cell>
          <cell r="O695" t="str">
            <v>L</v>
          </cell>
          <cell r="Q695">
            <v>3703936</v>
          </cell>
          <cell r="R695">
            <v>3318545</v>
          </cell>
          <cell r="U695">
            <v>-58051860</v>
          </cell>
          <cell r="V695">
            <v>-26045844</v>
          </cell>
          <cell r="Y695">
            <v>61755796</v>
          </cell>
          <cell r="Z695">
            <v>29364389</v>
          </cell>
          <cell r="AC695">
            <v>0</v>
          </cell>
          <cell r="AD695">
            <v>0</v>
          </cell>
          <cell r="AG695">
            <v>0</v>
          </cell>
          <cell r="AH695">
            <v>0</v>
          </cell>
        </row>
        <row r="696">
          <cell r="H696">
            <v>828000</v>
          </cell>
          <cell r="I696" t="str">
            <v>1741</v>
          </cell>
          <cell r="L696" t="str">
            <v>Share Refund  Pcd</v>
          </cell>
          <cell r="M696" t="e">
            <v>#N/A</v>
          </cell>
          <cell r="N696" t="e">
            <v>#REF!</v>
          </cell>
          <cell r="O696" t="str">
            <v>L</v>
          </cell>
          <cell r="Q696">
            <v>0</v>
          </cell>
          <cell r="R696">
            <v>0</v>
          </cell>
          <cell r="U696">
            <v>0</v>
          </cell>
          <cell r="V696">
            <v>0</v>
          </cell>
          <cell r="Y696">
            <v>0</v>
          </cell>
          <cell r="Z696">
            <v>0</v>
          </cell>
          <cell r="AC696">
            <v>0</v>
          </cell>
          <cell r="AD696">
            <v>0</v>
          </cell>
          <cell r="AG696">
            <v>0</v>
          </cell>
          <cell r="AH696">
            <v>0</v>
          </cell>
        </row>
        <row r="697">
          <cell r="H697">
            <v>829000</v>
          </cell>
          <cell r="I697" t="str">
            <v>3541</v>
          </cell>
          <cell r="L697" t="str">
            <v>Advance Hp (Sale Of Property)</v>
          </cell>
          <cell r="M697" t="e">
            <v>#N/A</v>
          </cell>
          <cell r="N697" t="e">
            <v>#REF!</v>
          </cell>
          <cell r="O697" t="str">
            <v>L</v>
          </cell>
          <cell r="Q697">
            <v>0</v>
          </cell>
          <cell r="R697">
            <v>0</v>
          </cell>
          <cell r="U697">
            <v>0</v>
          </cell>
          <cell r="V697">
            <v>0</v>
          </cell>
          <cell r="Y697">
            <v>0</v>
          </cell>
          <cell r="Z697">
            <v>0</v>
          </cell>
          <cell r="AC697">
            <v>0</v>
          </cell>
          <cell r="AD697">
            <v>0</v>
          </cell>
          <cell r="AG697">
            <v>0</v>
          </cell>
          <cell r="AH697">
            <v>0</v>
          </cell>
        </row>
        <row r="698">
          <cell r="G698">
            <v>15531</v>
          </cell>
          <cell r="H698">
            <v>830000</v>
          </cell>
          <cell r="L698" t="str">
            <v>Purchase Tax Payable (Vat)</v>
          </cell>
          <cell r="M698" t="str">
            <v>PURCHASE TAX PAYABLE (vat)</v>
          </cell>
          <cell r="N698" t="e">
            <v>#REF!</v>
          </cell>
          <cell r="O698" t="str">
            <v>L</v>
          </cell>
          <cell r="Q698">
            <v>0</v>
          </cell>
          <cell r="R698">
            <v>0</v>
          </cell>
          <cell r="U698">
            <v>2484</v>
          </cell>
          <cell r="V698">
            <v>2484</v>
          </cell>
          <cell r="Y698">
            <v>-2484</v>
          </cell>
          <cell r="Z698">
            <v>-2484</v>
          </cell>
          <cell r="AC698">
            <v>0</v>
          </cell>
          <cell r="AD698">
            <v>0</v>
          </cell>
          <cell r="AG698">
            <v>0</v>
          </cell>
          <cell r="AH698">
            <v>0</v>
          </cell>
        </row>
        <row r="699">
          <cell r="H699">
            <v>831000</v>
          </cell>
          <cell r="L699" t="str">
            <v>Regroup Of Stat Dues Provided In Liab For Exp</v>
          </cell>
          <cell r="M699" t="e">
            <v>#N/A</v>
          </cell>
          <cell r="N699" t="e">
            <v>#REF!</v>
          </cell>
          <cell r="O699" t="str">
            <v>L</v>
          </cell>
          <cell r="Q699">
            <v>0</v>
          </cell>
          <cell r="R699">
            <v>0</v>
          </cell>
          <cell r="U699">
            <v>0</v>
          </cell>
          <cell r="V699">
            <v>0</v>
          </cell>
          <cell r="Y699">
            <v>0</v>
          </cell>
          <cell r="Z699">
            <v>0</v>
          </cell>
          <cell r="AC699">
            <v>0</v>
          </cell>
          <cell r="AD699">
            <v>0</v>
          </cell>
          <cell r="AG699">
            <v>0</v>
          </cell>
          <cell r="AH699">
            <v>0</v>
          </cell>
        </row>
        <row r="700">
          <cell r="H700">
            <v>832000</v>
          </cell>
          <cell r="L700" t="str">
            <v>Rgrp of Custom Duty Paid-Bal with Govt. Authorities</v>
          </cell>
          <cell r="M700" t="e">
            <v>#N/A</v>
          </cell>
          <cell r="N700" t="e">
            <v>#REF!</v>
          </cell>
          <cell r="O700" t="str">
            <v>L</v>
          </cell>
          <cell r="Q700">
            <v>0</v>
          </cell>
          <cell r="R700">
            <v>0</v>
          </cell>
          <cell r="AC700">
            <v>0</v>
          </cell>
          <cell r="AD700">
            <v>0</v>
          </cell>
          <cell r="AG700">
            <v>0</v>
          </cell>
          <cell r="AH700">
            <v>0</v>
          </cell>
        </row>
        <row r="701">
          <cell r="H701">
            <v>833000</v>
          </cell>
          <cell r="J701">
            <v>0</v>
          </cell>
          <cell r="K701" t="str">
            <v>Statutory Dues Payable</v>
          </cell>
          <cell r="M701" t="e">
            <v>#N/A</v>
          </cell>
          <cell r="N701" t="e">
            <v>#REF!</v>
          </cell>
          <cell r="O701" t="str">
            <v>L</v>
          </cell>
          <cell r="P701">
            <v>0</v>
          </cell>
          <cell r="Q701">
            <v>21184494</v>
          </cell>
          <cell r="R701">
            <v>18705524</v>
          </cell>
          <cell r="T701">
            <v>0</v>
          </cell>
          <cell r="U701">
            <v>-32955341</v>
          </cell>
          <cell r="V701">
            <v>-2021481</v>
          </cell>
          <cell r="X701">
            <v>0</v>
          </cell>
          <cell r="Y701">
            <v>50212531</v>
          </cell>
          <cell r="Z701">
            <v>17354219</v>
          </cell>
          <cell r="AB701">
            <v>0</v>
          </cell>
          <cell r="AC701">
            <v>1510431</v>
          </cell>
          <cell r="AD701">
            <v>1392661</v>
          </cell>
          <cell r="AF701">
            <v>0</v>
          </cell>
          <cell r="AG701">
            <v>2416873</v>
          </cell>
          <cell r="AH701">
            <v>1980125</v>
          </cell>
        </row>
        <row r="702">
          <cell r="H702">
            <v>834000</v>
          </cell>
          <cell r="K702" t="str">
            <v>PAYABLE TO FIXED ASSETS</v>
          </cell>
          <cell r="M702" t="e">
            <v>#N/A</v>
          </cell>
          <cell r="N702" t="e">
            <v>#REF!</v>
          </cell>
          <cell r="O702" t="str">
            <v>L</v>
          </cell>
          <cell r="U702">
            <v>0</v>
          </cell>
          <cell r="V702">
            <v>0</v>
          </cell>
          <cell r="Y702">
            <v>0</v>
          </cell>
          <cell r="Z702">
            <v>0</v>
          </cell>
        </row>
        <row r="703">
          <cell r="H703">
            <v>835000</v>
          </cell>
          <cell r="L703" t="str">
            <v>Payable For Fixed Assets</v>
          </cell>
          <cell r="M703" t="e">
            <v>#N/A</v>
          </cell>
          <cell r="N703" t="e">
            <v>#REF!</v>
          </cell>
          <cell r="O703" t="str">
            <v>L</v>
          </cell>
          <cell r="Q703">
            <v>0</v>
          </cell>
          <cell r="R703">
            <v>0</v>
          </cell>
          <cell r="U703">
            <v>0</v>
          </cell>
          <cell r="V703">
            <v>0</v>
          </cell>
          <cell r="X703">
            <v>0</v>
          </cell>
          <cell r="Y703">
            <v>0</v>
          </cell>
          <cell r="Z703">
            <v>0</v>
          </cell>
          <cell r="AB703">
            <v>0</v>
          </cell>
          <cell r="AC703">
            <v>0</v>
          </cell>
          <cell r="AD703">
            <v>0</v>
          </cell>
          <cell r="AF703">
            <v>0</v>
          </cell>
          <cell r="AG703">
            <v>0</v>
          </cell>
          <cell r="AH703">
            <v>0</v>
          </cell>
        </row>
        <row r="704">
          <cell r="H704">
            <v>836000</v>
          </cell>
          <cell r="O704" t="str">
            <v>L</v>
          </cell>
        </row>
        <row r="705">
          <cell r="H705">
            <v>837000</v>
          </cell>
          <cell r="K705" t="str">
            <v>PAYABLE TO FIXED ASSETS</v>
          </cell>
          <cell r="M705" t="e">
            <v>#N/A</v>
          </cell>
          <cell r="N705" t="e">
            <v>#REF!</v>
          </cell>
          <cell r="O705" t="str">
            <v>L</v>
          </cell>
          <cell r="P705">
            <v>0</v>
          </cell>
          <cell r="Q705">
            <v>0</v>
          </cell>
          <cell r="R705">
            <v>0</v>
          </cell>
          <cell r="T705">
            <v>0</v>
          </cell>
          <cell r="U705">
            <v>0</v>
          </cell>
          <cell r="V705">
            <v>0</v>
          </cell>
          <cell r="X705">
            <v>0</v>
          </cell>
          <cell r="Y705">
            <v>0</v>
          </cell>
          <cell r="Z705">
            <v>0</v>
          </cell>
          <cell r="AB705">
            <v>0</v>
          </cell>
          <cell r="AC705">
            <v>0</v>
          </cell>
          <cell r="AD705">
            <v>0</v>
          </cell>
          <cell r="AF705">
            <v>0</v>
          </cell>
          <cell r="AG705">
            <v>0</v>
          </cell>
          <cell r="AH705">
            <v>0</v>
          </cell>
        </row>
        <row r="706">
          <cell r="H706">
            <v>838000</v>
          </cell>
          <cell r="K706" t="str">
            <v>OUTSTANDING EXPENSES</v>
          </cell>
          <cell r="O706" t="str">
            <v>L</v>
          </cell>
          <cell r="AG706">
            <v>0</v>
          </cell>
        </row>
        <row r="707">
          <cell r="G707">
            <v>15435</v>
          </cell>
          <cell r="H707">
            <v>839000</v>
          </cell>
          <cell r="I707" t="str">
            <v>1511</v>
          </cell>
          <cell r="L707" t="str">
            <v>Bl - Liability Travel</v>
          </cell>
          <cell r="M707" t="str">
            <v>BL - LIABILITY TRAVEL</v>
          </cell>
          <cell r="N707" t="e">
            <v>#REF!</v>
          </cell>
          <cell r="O707" t="str">
            <v>L</v>
          </cell>
          <cell r="Q707">
            <v>0</v>
          </cell>
          <cell r="R707">
            <v>0</v>
          </cell>
          <cell r="U707">
            <v>-97284</v>
          </cell>
          <cell r="V707">
            <v>-97284</v>
          </cell>
          <cell r="Y707">
            <v>97284</v>
          </cell>
          <cell r="Z707">
            <v>97284</v>
          </cell>
          <cell r="AC707">
            <v>0</v>
          </cell>
          <cell r="AD707">
            <v>0</v>
          </cell>
          <cell r="AG707">
            <v>0</v>
          </cell>
          <cell r="AH707">
            <v>0</v>
          </cell>
        </row>
        <row r="708">
          <cell r="G708">
            <v>15566</v>
          </cell>
          <cell r="H708">
            <v>840000</v>
          </cell>
          <cell r="I708" t="str">
            <v>1610</v>
          </cell>
          <cell r="L708" t="str">
            <v>Liab For Exp</v>
          </cell>
          <cell r="M708" t="str">
            <v>LIABILITY FOR CAPEX</v>
          </cell>
          <cell r="N708" t="e">
            <v>#REF!</v>
          </cell>
          <cell r="O708" t="str">
            <v>L</v>
          </cell>
          <cell r="Q708">
            <v>0</v>
          </cell>
          <cell r="R708">
            <v>460401</v>
          </cell>
          <cell r="U708">
            <v>0</v>
          </cell>
          <cell r="V708">
            <v>61000</v>
          </cell>
          <cell r="Y708">
            <v>0</v>
          </cell>
          <cell r="Z708">
            <v>399401</v>
          </cell>
          <cell r="AC708">
            <v>0</v>
          </cell>
          <cell r="AD708">
            <v>0</v>
          </cell>
          <cell r="AG708">
            <v>0</v>
          </cell>
          <cell r="AH708">
            <v>0</v>
          </cell>
        </row>
        <row r="709">
          <cell r="H709">
            <v>841000</v>
          </cell>
          <cell r="I709" t="str">
            <v>1619</v>
          </cell>
          <cell r="L709" t="str">
            <v>Liabilities For Expenses -2008-09</v>
          </cell>
          <cell r="M709" t="e">
            <v>#N/A</v>
          </cell>
          <cell r="N709" t="e">
            <v>#REF!</v>
          </cell>
          <cell r="O709" t="str">
            <v>L</v>
          </cell>
          <cell r="Q709">
            <v>0</v>
          </cell>
          <cell r="R709">
            <v>0</v>
          </cell>
          <cell r="U709">
            <v>0</v>
          </cell>
          <cell r="V709">
            <v>0</v>
          </cell>
          <cell r="Y709">
            <v>0</v>
          </cell>
          <cell r="Z709">
            <v>0</v>
          </cell>
          <cell r="AC709">
            <v>0</v>
          </cell>
          <cell r="AD709">
            <v>0</v>
          </cell>
          <cell r="AG709">
            <v>0</v>
          </cell>
          <cell r="AH709">
            <v>0</v>
          </cell>
        </row>
        <row r="710">
          <cell r="I710" t="str">
            <v>1620</v>
          </cell>
          <cell r="L710" t="str">
            <v>Liability Account Retention Money</v>
          </cell>
          <cell r="Q710">
            <v>0</v>
          </cell>
          <cell r="R710">
            <v>0</v>
          </cell>
          <cell r="U710">
            <v>0</v>
          </cell>
          <cell r="V710">
            <v>0</v>
          </cell>
          <cell r="Y710">
            <v>0</v>
          </cell>
          <cell r="Z710">
            <v>0</v>
          </cell>
          <cell r="AC710">
            <v>0</v>
          </cell>
          <cell r="AD710">
            <v>0</v>
          </cell>
          <cell r="AG710">
            <v>0</v>
          </cell>
          <cell r="AH710">
            <v>0</v>
          </cell>
        </row>
        <row r="711">
          <cell r="G711">
            <v>15470</v>
          </cell>
          <cell r="H711">
            <v>842000</v>
          </cell>
          <cell r="I711" t="str">
            <v>1621</v>
          </cell>
          <cell r="L711" t="str">
            <v>Liabilities For Expenses -2009-10</v>
          </cell>
          <cell r="M711" t="str">
            <v>LIABILITY FOR EXPENSES (OLD [UPTO 2010])</v>
          </cell>
          <cell r="N711" t="e">
            <v>#REF!</v>
          </cell>
          <cell r="O711" t="str">
            <v>L</v>
          </cell>
          <cell r="Q711">
            <v>342834</v>
          </cell>
          <cell r="R711">
            <v>1074889</v>
          </cell>
          <cell r="U711">
            <v>90245</v>
          </cell>
          <cell r="V711">
            <v>803514</v>
          </cell>
          <cell r="Y711">
            <v>252589</v>
          </cell>
          <cell r="Z711">
            <v>260036</v>
          </cell>
          <cell r="AC711">
            <v>0</v>
          </cell>
          <cell r="AD711">
            <v>11339</v>
          </cell>
          <cell r="AG711">
            <v>0</v>
          </cell>
          <cell r="AH711">
            <v>0</v>
          </cell>
        </row>
        <row r="712">
          <cell r="G712">
            <v>15436</v>
          </cell>
          <cell r="H712">
            <v>843000</v>
          </cell>
          <cell r="I712" t="str">
            <v>1622</v>
          </cell>
          <cell r="L712" t="str">
            <v>Liabilities For Expenses -2010-11</v>
          </cell>
          <cell r="M712" t="str">
            <v>LIABILITY FOR EXPENSES (2010-11)</v>
          </cell>
          <cell r="N712" t="e">
            <v>#REF!</v>
          </cell>
          <cell r="O712" t="str">
            <v>L</v>
          </cell>
          <cell r="Q712">
            <v>466653</v>
          </cell>
          <cell r="R712">
            <v>2289117</v>
          </cell>
          <cell r="U712">
            <v>104612</v>
          </cell>
          <cell r="V712">
            <v>1272753</v>
          </cell>
          <cell r="Y712">
            <v>341058</v>
          </cell>
          <cell r="Z712">
            <v>893757</v>
          </cell>
          <cell r="AC712">
            <v>20983</v>
          </cell>
          <cell r="AD712">
            <v>122607</v>
          </cell>
          <cell r="AG712">
            <v>0</v>
          </cell>
          <cell r="AH712">
            <v>0</v>
          </cell>
        </row>
        <row r="713">
          <cell r="G713">
            <v>15459</v>
          </cell>
          <cell r="H713">
            <v>844000</v>
          </cell>
          <cell r="I713" t="str">
            <v>1623</v>
          </cell>
          <cell r="L713" t="str">
            <v>Liability For Exp. (11-12)</v>
          </cell>
          <cell r="M713" t="str">
            <v>LIABILITY FOR EXPENSES (2011-12)</v>
          </cell>
          <cell r="N713" t="e">
            <v>#REF!</v>
          </cell>
          <cell r="O713" t="str">
            <v>L</v>
          </cell>
          <cell r="Q713">
            <v>1457373</v>
          </cell>
          <cell r="R713">
            <v>2035832</v>
          </cell>
          <cell r="U713">
            <v>1270183</v>
          </cell>
          <cell r="V713">
            <v>1848642</v>
          </cell>
          <cell r="Y713">
            <v>187190</v>
          </cell>
          <cell r="Z713">
            <v>187190</v>
          </cell>
          <cell r="AC713">
            <v>0</v>
          </cell>
          <cell r="AD713">
            <v>0</v>
          </cell>
          <cell r="AG713">
            <v>0</v>
          </cell>
          <cell r="AH713">
            <v>0</v>
          </cell>
        </row>
        <row r="714">
          <cell r="G714">
            <v>15462</v>
          </cell>
          <cell r="H714">
            <v>845000</v>
          </cell>
          <cell r="I714" t="str">
            <v>1624</v>
          </cell>
          <cell r="L714" t="str">
            <v>Liability For Expenses [ 2012-13]</v>
          </cell>
          <cell r="M714" t="str">
            <v>LIABILITY FOR EXPENSES (2012-13)</v>
          </cell>
          <cell r="N714" t="e">
            <v>#REF!</v>
          </cell>
          <cell r="O714" t="str">
            <v>L</v>
          </cell>
          <cell r="Q714">
            <v>2493079</v>
          </cell>
          <cell r="R714">
            <v>2714445</v>
          </cell>
          <cell r="U714">
            <v>1221624</v>
          </cell>
          <cell r="V714">
            <v>1187747</v>
          </cell>
          <cell r="Y714">
            <v>829420</v>
          </cell>
          <cell r="Z714">
            <v>841398</v>
          </cell>
          <cell r="AC714">
            <v>438985</v>
          </cell>
          <cell r="AD714">
            <v>681917</v>
          </cell>
          <cell r="AG714">
            <v>3050</v>
          </cell>
          <cell r="AH714">
            <v>3383</v>
          </cell>
        </row>
        <row r="715">
          <cell r="G715">
            <v>15457</v>
          </cell>
          <cell r="H715">
            <v>846000</v>
          </cell>
          <cell r="L715" t="str">
            <v>Liability For Misc. Charges-(Fera)</v>
          </cell>
          <cell r="M715" t="str">
            <v>*** NOT TO USE *** LIABILITY FOR MISC. CHG (FERA)</v>
          </cell>
          <cell r="N715" t="e">
            <v>#REF!</v>
          </cell>
          <cell r="O715" t="str">
            <v>L</v>
          </cell>
          <cell r="Q715">
            <v>280</v>
          </cell>
          <cell r="R715">
            <v>280</v>
          </cell>
          <cell r="U715">
            <v>-2810</v>
          </cell>
          <cell r="V715">
            <v>-2810</v>
          </cell>
          <cell r="Y715">
            <v>3090</v>
          </cell>
          <cell r="Z715">
            <v>3090</v>
          </cell>
          <cell r="AC715">
            <v>0</v>
          </cell>
          <cell r="AD715">
            <v>0</v>
          </cell>
          <cell r="AG715">
            <v>0</v>
          </cell>
          <cell r="AH715">
            <v>0</v>
          </cell>
        </row>
        <row r="716">
          <cell r="G716">
            <v>15458</v>
          </cell>
          <cell r="H716">
            <v>847000</v>
          </cell>
          <cell r="L716" t="str">
            <v>Liability For Clg. Frd. Charges-(Fera)</v>
          </cell>
          <cell r="M716" t="str">
            <v>LIABILITY FOR CLG FRD CHG (FERA)</v>
          </cell>
          <cell r="N716" t="e">
            <v>#REF!</v>
          </cell>
          <cell r="O716" t="str">
            <v>L</v>
          </cell>
          <cell r="Q716">
            <v>-18860</v>
          </cell>
          <cell r="R716">
            <v>338597</v>
          </cell>
          <cell r="U716">
            <v>615442</v>
          </cell>
          <cell r="V716">
            <v>621641</v>
          </cell>
          <cell r="Y716">
            <v>-634302</v>
          </cell>
          <cell r="Z716">
            <v>-283044</v>
          </cell>
          <cell r="AC716">
            <v>0</v>
          </cell>
          <cell r="AD716">
            <v>0</v>
          </cell>
          <cell r="AG716">
            <v>0</v>
          </cell>
          <cell r="AH716">
            <v>0</v>
          </cell>
        </row>
        <row r="717">
          <cell r="G717">
            <v>15461</v>
          </cell>
          <cell r="H717">
            <v>848000</v>
          </cell>
          <cell r="L717" t="str">
            <v>Liability Of Freight In (Fob) Export</v>
          </cell>
          <cell r="M717" t="str">
            <v>LIABILITY OF FREIGHT IN (FOB) EXPORT</v>
          </cell>
          <cell r="N717" t="e">
            <v>#REF!</v>
          </cell>
          <cell r="O717" t="str">
            <v>L</v>
          </cell>
          <cell r="Q717">
            <v>0</v>
          </cell>
          <cell r="R717">
            <v>0</v>
          </cell>
          <cell r="U717">
            <v>0</v>
          </cell>
          <cell r="V717">
            <v>0</v>
          </cell>
          <cell r="Y717">
            <v>0</v>
          </cell>
          <cell r="Z717">
            <v>0</v>
          </cell>
          <cell r="AC717">
            <v>0</v>
          </cell>
          <cell r="AD717">
            <v>0</v>
          </cell>
          <cell r="AG717">
            <v>0</v>
          </cell>
          <cell r="AH717">
            <v>0</v>
          </cell>
        </row>
        <row r="718">
          <cell r="G718">
            <v>15463</v>
          </cell>
          <cell r="H718">
            <v>849000</v>
          </cell>
          <cell r="I718" t="str">
            <v>1625</v>
          </cell>
          <cell r="L718" t="str">
            <v>LIABILITY FOR EXPENSES (2013-14)</v>
          </cell>
          <cell r="M718" t="str">
            <v>LIABILITY FOR EXPENSES (2013-14)</v>
          </cell>
          <cell r="N718" t="e">
            <v>#REF!</v>
          </cell>
          <cell r="O718" t="str">
            <v>L</v>
          </cell>
          <cell r="Q718">
            <v>1162166</v>
          </cell>
          <cell r="R718">
            <v>1339860</v>
          </cell>
          <cell r="U718">
            <v>2662582</v>
          </cell>
          <cell r="V718">
            <v>2662582</v>
          </cell>
          <cell r="Y718">
            <v>-1573699</v>
          </cell>
          <cell r="Z718">
            <v>-1573699</v>
          </cell>
          <cell r="AC718">
            <v>14596</v>
          </cell>
          <cell r="AD718">
            <v>181657</v>
          </cell>
          <cell r="AG718">
            <v>58687</v>
          </cell>
          <cell r="AH718">
            <v>69320</v>
          </cell>
        </row>
        <row r="719">
          <cell r="G719">
            <v>15464</v>
          </cell>
          <cell r="I719" t="str">
            <v>1626</v>
          </cell>
          <cell r="L719" t="str">
            <v>LIABILITY FOR EXPENSES (2014-15)</v>
          </cell>
          <cell r="O719" t="str">
            <v>L</v>
          </cell>
          <cell r="Q719">
            <v>1923305</v>
          </cell>
          <cell r="R719">
            <v>42965338</v>
          </cell>
          <cell r="U719">
            <v>2010029</v>
          </cell>
          <cell r="V719">
            <v>20692183</v>
          </cell>
          <cell r="Y719">
            <v>-159269</v>
          </cell>
          <cell r="Z719">
            <v>17574365</v>
          </cell>
          <cell r="AC719">
            <v>45354</v>
          </cell>
          <cell r="AD719">
            <v>2608098</v>
          </cell>
          <cell r="AG719">
            <v>27191</v>
          </cell>
          <cell r="AH719">
            <v>2090692</v>
          </cell>
        </row>
        <row r="720">
          <cell r="G720">
            <v>15465</v>
          </cell>
          <cell r="I720" t="str">
            <v>1627</v>
          </cell>
          <cell r="L720" t="str">
            <v>LIABILITY FOR EXPENSES (2015-16)</v>
          </cell>
          <cell r="O720" t="str">
            <v>L</v>
          </cell>
          <cell r="Q720">
            <v>68807150</v>
          </cell>
          <cell r="R720">
            <v>0</v>
          </cell>
          <cell r="U720">
            <v>41295951</v>
          </cell>
          <cell r="V720">
            <v>0</v>
          </cell>
          <cell r="Y720">
            <v>21433811</v>
          </cell>
          <cell r="Z720">
            <v>0</v>
          </cell>
          <cell r="AC720">
            <v>3542164</v>
          </cell>
          <cell r="AD720">
            <v>0</v>
          </cell>
          <cell r="AG720">
            <v>2535224</v>
          </cell>
          <cell r="AH720">
            <v>0</v>
          </cell>
        </row>
        <row r="721">
          <cell r="G721">
            <v>15607</v>
          </cell>
          <cell r="H721">
            <v>850000</v>
          </cell>
          <cell r="L721" t="str">
            <v>Import Duty Payable A/C</v>
          </cell>
          <cell r="M721" t="str">
            <v>IMPORT DUTY PAYABLE A/C</v>
          </cell>
          <cell r="N721" t="e">
            <v>#REF!</v>
          </cell>
          <cell r="O721" t="str">
            <v>L</v>
          </cell>
          <cell r="Q721">
            <v>0</v>
          </cell>
          <cell r="R721">
            <v>0</v>
          </cell>
          <cell r="U721">
            <v>-4886092</v>
          </cell>
          <cell r="V721">
            <v>-4888366</v>
          </cell>
          <cell r="Y721">
            <v>4886092</v>
          </cell>
          <cell r="Z721">
            <v>4888366</v>
          </cell>
          <cell r="AC721">
            <v>0</v>
          </cell>
          <cell r="AD721">
            <v>0</v>
          </cell>
          <cell r="AG721">
            <v>0</v>
          </cell>
          <cell r="AH721">
            <v>0</v>
          </cell>
        </row>
        <row r="722">
          <cell r="G722">
            <v>15564</v>
          </cell>
          <cell r="H722">
            <v>851000</v>
          </cell>
          <cell r="I722" t="str">
            <v>1675</v>
          </cell>
          <cell r="L722" t="str">
            <v>Reimb. Of Expenses To Be Incurred On Delisting Of Shares</v>
          </cell>
          <cell r="M722" t="str">
            <v>REIMB. OF EXP TO BE INCURRED ON DELISTING OF SHARES</v>
          </cell>
          <cell r="N722" t="e">
            <v>#REF!</v>
          </cell>
          <cell r="O722" t="str">
            <v>L</v>
          </cell>
          <cell r="Q722">
            <v>233633</v>
          </cell>
          <cell r="R722">
            <v>233633</v>
          </cell>
          <cell r="U722">
            <v>233633</v>
          </cell>
          <cell r="V722">
            <v>233633</v>
          </cell>
          <cell r="Y722">
            <v>0</v>
          </cell>
          <cell r="Z722">
            <v>0</v>
          </cell>
          <cell r="AC722">
            <v>0</v>
          </cell>
          <cell r="AD722">
            <v>0</v>
          </cell>
          <cell r="AG722">
            <v>0</v>
          </cell>
          <cell r="AH722">
            <v>0</v>
          </cell>
        </row>
        <row r="723">
          <cell r="G723">
            <v>15439</v>
          </cell>
          <cell r="H723">
            <v>852000</v>
          </cell>
          <cell r="I723" t="str">
            <v>1730</v>
          </cell>
          <cell r="L723" t="str">
            <v>Share Appln Money  Boi</v>
          </cell>
          <cell r="M723" t="str">
            <v>SHARE APPLN MONEY BOI</v>
          </cell>
          <cell r="N723" t="e">
            <v>#REF!</v>
          </cell>
          <cell r="O723" t="str">
            <v>L</v>
          </cell>
          <cell r="Q723">
            <v>1550</v>
          </cell>
          <cell r="R723">
            <v>1550</v>
          </cell>
          <cell r="U723">
            <v>1550</v>
          </cell>
          <cell r="V723">
            <v>1550</v>
          </cell>
          <cell r="Y723">
            <v>0</v>
          </cell>
          <cell r="Z723">
            <v>0</v>
          </cell>
          <cell r="AC723">
            <v>0</v>
          </cell>
          <cell r="AD723">
            <v>0</v>
          </cell>
          <cell r="AG723">
            <v>0</v>
          </cell>
          <cell r="AH723">
            <v>0</v>
          </cell>
        </row>
        <row r="724">
          <cell r="G724">
            <v>15443</v>
          </cell>
          <cell r="H724">
            <v>853000</v>
          </cell>
          <cell r="I724" t="str">
            <v>2681</v>
          </cell>
          <cell r="L724" t="str">
            <v>The Chembur Nagrik Sahakari Bank-Adjustable</v>
          </cell>
          <cell r="M724" t="str">
            <v>BANK LOAN ADJUSTABLE A/C</v>
          </cell>
          <cell r="N724" t="e">
            <v>#REF!</v>
          </cell>
          <cell r="O724" t="str">
            <v>L</v>
          </cell>
          <cell r="Q724">
            <v>632811</v>
          </cell>
          <cell r="R724">
            <v>393228</v>
          </cell>
          <cell r="U724">
            <v>649163</v>
          </cell>
          <cell r="V724">
            <v>494778</v>
          </cell>
          <cell r="Y724">
            <v>-16352</v>
          </cell>
          <cell r="Z724">
            <v>-101550</v>
          </cell>
          <cell r="AC724">
            <v>0</v>
          </cell>
          <cell r="AD724">
            <v>0</v>
          </cell>
          <cell r="AG724">
            <v>0</v>
          </cell>
          <cell r="AH724">
            <v>0</v>
          </cell>
        </row>
        <row r="725">
          <cell r="G725">
            <v>15445</v>
          </cell>
          <cell r="H725">
            <v>854000</v>
          </cell>
          <cell r="I725" t="str">
            <v>2682</v>
          </cell>
          <cell r="L725" t="str">
            <v>Misc Deduction Salary Adjustable A/C</v>
          </cell>
          <cell r="M725" t="str">
            <v>MISC DEDUCTION SALARY ADJUSTABLE A/C</v>
          </cell>
          <cell r="N725" t="e">
            <v>#REF!</v>
          </cell>
          <cell r="O725" t="str">
            <v>L</v>
          </cell>
          <cell r="Q725">
            <v>64294</v>
          </cell>
          <cell r="R725">
            <v>35958</v>
          </cell>
          <cell r="U725">
            <v>188422</v>
          </cell>
          <cell r="V725">
            <v>174148</v>
          </cell>
          <cell r="Y725">
            <v>-124128</v>
          </cell>
          <cell r="Z725">
            <v>-138190</v>
          </cell>
          <cell r="AC725">
            <v>0</v>
          </cell>
          <cell r="AD725">
            <v>0</v>
          </cell>
          <cell r="AG725">
            <v>0</v>
          </cell>
          <cell r="AH725">
            <v>0</v>
          </cell>
        </row>
        <row r="726">
          <cell r="G726">
            <v>15444</v>
          </cell>
          <cell r="H726">
            <v>855000</v>
          </cell>
          <cell r="I726" t="str">
            <v>2690</v>
          </cell>
          <cell r="L726" t="str">
            <v>L I C Adjustable</v>
          </cell>
          <cell r="M726" t="str">
            <v>L I C ADJUSTABLE</v>
          </cell>
          <cell r="N726" t="e">
            <v>#REF!</v>
          </cell>
          <cell r="O726" t="str">
            <v>L</v>
          </cell>
          <cell r="Q726">
            <v>156817</v>
          </cell>
          <cell r="R726">
            <v>156125</v>
          </cell>
          <cell r="U726">
            <v>132446</v>
          </cell>
          <cell r="V726">
            <v>126847</v>
          </cell>
          <cell r="Y726">
            <v>24371</v>
          </cell>
          <cell r="Z726">
            <v>29278</v>
          </cell>
          <cell r="AC726">
            <v>0</v>
          </cell>
          <cell r="AD726">
            <v>0</v>
          </cell>
          <cell r="AG726">
            <v>0</v>
          </cell>
          <cell r="AH726">
            <v>0</v>
          </cell>
        </row>
        <row r="727">
          <cell r="G727">
            <v>15446</v>
          </cell>
          <cell r="H727">
            <v>856000</v>
          </cell>
          <cell r="I727" t="str">
            <v>2700</v>
          </cell>
          <cell r="L727" t="str">
            <v>Employees Co-Op Credit Society</v>
          </cell>
          <cell r="M727" t="str">
            <v>EMPLOYEES CO-OP CREDIT SOCIETY</v>
          </cell>
          <cell r="N727" t="e">
            <v>#REF!</v>
          </cell>
          <cell r="O727" t="str">
            <v>L</v>
          </cell>
          <cell r="Q727">
            <v>622633</v>
          </cell>
          <cell r="R727">
            <v>537043</v>
          </cell>
          <cell r="U727">
            <v>311366</v>
          </cell>
          <cell r="V727">
            <v>311777</v>
          </cell>
          <cell r="Y727">
            <v>311267</v>
          </cell>
          <cell r="Z727">
            <v>225266</v>
          </cell>
          <cell r="AC727">
            <v>0</v>
          </cell>
          <cell r="AD727">
            <v>0</v>
          </cell>
          <cell r="AG727">
            <v>0</v>
          </cell>
          <cell r="AH727">
            <v>0</v>
          </cell>
        </row>
        <row r="728">
          <cell r="G728">
            <v>15447</v>
          </cell>
          <cell r="H728">
            <v>857000</v>
          </cell>
          <cell r="I728" t="str">
            <v>2710</v>
          </cell>
          <cell r="L728" t="str">
            <v>Housing Loan Adjustable A/C</v>
          </cell>
          <cell r="M728" t="str">
            <v>HOUSING LOAN ADJUSTABLE A/C</v>
          </cell>
          <cell r="N728" t="e">
            <v>#REF!</v>
          </cell>
          <cell r="O728" t="str">
            <v>L</v>
          </cell>
          <cell r="Q728">
            <v>23274</v>
          </cell>
          <cell r="R728">
            <v>25039</v>
          </cell>
          <cell r="U728">
            <v>0</v>
          </cell>
          <cell r="V728">
            <v>0</v>
          </cell>
          <cell r="Y728">
            <v>23274</v>
          </cell>
          <cell r="Z728">
            <v>25039</v>
          </cell>
          <cell r="AC728">
            <v>0</v>
          </cell>
          <cell r="AD728">
            <v>0</v>
          </cell>
          <cell r="AG728">
            <v>0</v>
          </cell>
          <cell r="AH728">
            <v>0</v>
          </cell>
        </row>
        <row r="729">
          <cell r="G729">
            <v>15450</v>
          </cell>
          <cell r="H729">
            <v>858000</v>
          </cell>
          <cell r="I729" t="str">
            <v>2760</v>
          </cell>
          <cell r="L729" t="str">
            <v>Coin Adj</v>
          </cell>
          <cell r="M729" t="str">
            <v>COIN ADJ</v>
          </cell>
          <cell r="N729" t="e">
            <v>#REF!</v>
          </cell>
          <cell r="O729" t="str">
            <v>L</v>
          </cell>
          <cell r="Q729">
            <v>-77912</v>
          </cell>
          <cell r="R729">
            <v>-76178</v>
          </cell>
          <cell r="U729">
            <v>-2198</v>
          </cell>
          <cell r="V729">
            <v>-171</v>
          </cell>
          <cell r="Y729">
            <v>-79185</v>
          </cell>
          <cell r="Z729">
            <v>-79498</v>
          </cell>
          <cell r="AC729">
            <v>3523</v>
          </cell>
          <cell r="AD729">
            <v>3431</v>
          </cell>
          <cell r="AG729">
            <v>-52</v>
          </cell>
          <cell r="AH729">
            <v>60</v>
          </cell>
        </row>
        <row r="730">
          <cell r="G730">
            <v>12140</v>
          </cell>
          <cell r="H730">
            <v>859000</v>
          </cell>
          <cell r="L730" t="str">
            <v>ROUNDING OF DIFF A/C</v>
          </cell>
          <cell r="M730" t="str">
            <v>ROUNDING OF DIFF A/C</v>
          </cell>
          <cell r="N730" t="e">
            <v>#REF!</v>
          </cell>
          <cell r="O730" t="str">
            <v>L</v>
          </cell>
          <cell r="Q730">
            <v>1</v>
          </cell>
          <cell r="R730">
            <v>0</v>
          </cell>
          <cell r="U730">
            <v>1</v>
          </cell>
          <cell r="V730">
            <v>0</v>
          </cell>
          <cell r="Y730">
            <v>0</v>
          </cell>
          <cell r="Z730">
            <v>0</v>
          </cell>
          <cell r="AC730">
            <v>0</v>
          </cell>
          <cell r="AD730">
            <v>0</v>
          </cell>
          <cell r="AG730">
            <v>0</v>
          </cell>
          <cell r="AH730">
            <v>0</v>
          </cell>
        </row>
        <row r="731">
          <cell r="G731">
            <v>12141</v>
          </cell>
          <cell r="H731">
            <v>859000</v>
          </cell>
          <cell r="L731" t="str">
            <v>Rounding Of Diff A/C</v>
          </cell>
          <cell r="M731" t="str">
            <v>ROUNDING OFF ACCOUNT (JV)</v>
          </cell>
          <cell r="N731" t="e">
            <v>#REF!</v>
          </cell>
          <cell r="O731" t="str">
            <v>L</v>
          </cell>
          <cell r="Q731">
            <v>0</v>
          </cell>
          <cell r="R731">
            <v>-885</v>
          </cell>
          <cell r="U731">
            <v>0</v>
          </cell>
          <cell r="V731">
            <v>-902</v>
          </cell>
          <cell r="Y731">
            <v>0</v>
          </cell>
          <cell r="Z731">
            <v>17</v>
          </cell>
          <cell r="AC731">
            <v>0</v>
          </cell>
          <cell r="AD731">
            <v>0</v>
          </cell>
          <cell r="AG731">
            <v>0</v>
          </cell>
          <cell r="AH731">
            <v>0</v>
          </cell>
        </row>
        <row r="732">
          <cell r="G732">
            <v>13740</v>
          </cell>
          <cell r="H732">
            <v>860000</v>
          </cell>
          <cell r="L732" t="str">
            <v>Round Off Diff In F Currency (Sys)</v>
          </cell>
          <cell r="M732" t="str">
            <v>ROUND OFF DIFF IN F CURRENCY (SYS)</v>
          </cell>
          <cell r="N732" t="e">
            <v>#REF!</v>
          </cell>
          <cell r="O732" t="str">
            <v>L</v>
          </cell>
          <cell r="Q732">
            <v>-491778</v>
          </cell>
          <cell r="R732">
            <v>-491783</v>
          </cell>
          <cell r="U732">
            <v>-394638</v>
          </cell>
          <cell r="V732">
            <v>-394641</v>
          </cell>
          <cell r="Y732">
            <v>-97140</v>
          </cell>
          <cell r="Z732">
            <v>-97142</v>
          </cell>
          <cell r="AC732">
            <v>0</v>
          </cell>
          <cell r="AD732">
            <v>0</v>
          </cell>
          <cell r="AG732">
            <v>0</v>
          </cell>
          <cell r="AH732">
            <v>0</v>
          </cell>
        </row>
        <row r="733">
          <cell r="H733">
            <v>861000</v>
          </cell>
          <cell r="L733" t="str">
            <v>Regroup From Trade Paybles-Payable to Employees</v>
          </cell>
          <cell r="M733" t="e">
            <v>#N/A</v>
          </cell>
          <cell r="N733" t="e">
            <v>#REF!</v>
          </cell>
          <cell r="O733" t="str">
            <v>L</v>
          </cell>
          <cell r="Q733">
            <v>-22845795</v>
          </cell>
          <cell r="R733">
            <v>-12212023</v>
          </cell>
          <cell r="U733">
            <v>-17875783</v>
          </cell>
          <cell r="V733">
            <v>-12212023</v>
          </cell>
          <cell r="Y733">
            <v>-4140287</v>
          </cell>
          <cell r="AC733">
            <v>-428916</v>
          </cell>
          <cell r="AG733">
            <v>-400809</v>
          </cell>
        </row>
        <row r="734">
          <cell r="H734">
            <v>862000</v>
          </cell>
          <cell r="L734" t="str">
            <v>Regroup From Trade Paybles-Statutory Dues</v>
          </cell>
          <cell r="M734" t="e">
            <v>#N/A</v>
          </cell>
          <cell r="N734" t="e">
            <v>#REF!</v>
          </cell>
          <cell r="O734" t="str">
            <v>L</v>
          </cell>
          <cell r="Q734">
            <v>0</v>
          </cell>
          <cell r="R734">
            <v>0</v>
          </cell>
        </row>
        <row r="735">
          <cell r="G735">
            <v>15627</v>
          </cell>
          <cell r="H735">
            <v>863000</v>
          </cell>
          <cell r="L735">
            <v>0</v>
          </cell>
          <cell r="M735" t="str">
            <v>OPENING BALANCE OFF SET A/C</v>
          </cell>
          <cell r="N735" t="e">
            <v>#REF!</v>
          </cell>
          <cell r="O735" t="str">
            <v>L</v>
          </cell>
          <cell r="Q735">
            <v>0</v>
          </cell>
          <cell r="R735">
            <v>0</v>
          </cell>
          <cell r="U735">
            <v>0</v>
          </cell>
          <cell r="V735">
            <v>0</v>
          </cell>
          <cell r="Y735">
            <v>0</v>
          </cell>
          <cell r="Z735">
            <v>0</v>
          </cell>
          <cell r="AC735">
            <v>0</v>
          </cell>
          <cell r="AD735">
            <v>0</v>
          </cell>
          <cell r="AG735">
            <v>0</v>
          </cell>
          <cell r="AH735">
            <v>0</v>
          </cell>
        </row>
        <row r="736">
          <cell r="H736">
            <v>864000</v>
          </cell>
          <cell r="L736" t="str">
            <v>Regrouped from Short Term Provision</v>
          </cell>
          <cell r="O736" t="str">
            <v>L</v>
          </cell>
          <cell r="Q736">
            <v>0</v>
          </cell>
          <cell r="R736">
            <v>0</v>
          </cell>
          <cell r="U736">
            <v>0</v>
          </cell>
          <cell r="V736">
            <v>0</v>
          </cell>
        </row>
        <row r="737">
          <cell r="H737">
            <v>865000</v>
          </cell>
          <cell r="K737" t="str">
            <v>OUTSTANDING EXPENSES</v>
          </cell>
          <cell r="M737" t="e">
            <v>#N/A</v>
          </cell>
          <cell r="N737" t="e">
            <v>#REF!</v>
          </cell>
          <cell r="O737" t="str">
            <v>L</v>
          </cell>
          <cell r="P737">
            <v>0</v>
          </cell>
          <cell r="Q737">
            <v>54953508</v>
          </cell>
          <cell r="R737">
            <v>41820466</v>
          </cell>
          <cell r="T737">
            <v>0</v>
          </cell>
          <cell r="U737">
            <v>27528444</v>
          </cell>
          <cell r="V737">
            <v>12896598</v>
          </cell>
          <cell r="X737">
            <v>0</v>
          </cell>
          <cell r="Y737">
            <v>21565084</v>
          </cell>
          <cell r="Z737">
            <v>23151364</v>
          </cell>
          <cell r="AB737">
            <v>0</v>
          </cell>
          <cell r="AC737">
            <v>3636689</v>
          </cell>
          <cell r="AD737">
            <v>3609049</v>
          </cell>
          <cell r="AF737">
            <v>0</v>
          </cell>
          <cell r="AG737">
            <v>2223291</v>
          </cell>
          <cell r="AH737">
            <v>2163455</v>
          </cell>
        </row>
        <row r="738">
          <cell r="H738">
            <v>866000</v>
          </cell>
          <cell r="M738" t="e">
            <v>#N/A</v>
          </cell>
          <cell r="N738" t="e">
            <v>#REF!</v>
          </cell>
          <cell r="O738" t="str">
            <v>L</v>
          </cell>
        </row>
        <row r="739">
          <cell r="H739">
            <v>867000</v>
          </cell>
          <cell r="K739" t="str">
            <v>OTHERS</v>
          </cell>
          <cell r="O739" t="str">
            <v>L</v>
          </cell>
        </row>
        <row r="740">
          <cell r="G740">
            <v>15456</v>
          </cell>
          <cell r="H740">
            <v>868000</v>
          </cell>
          <cell r="I740" t="str">
            <v>3541</v>
          </cell>
          <cell r="L740" t="str">
            <v>Advance Hp (Sale Of Property)</v>
          </cell>
          <cell r="M740" t="str">
            <v>ADVANCE HP (SALE OF PROPERTY)</v>
          </cell>
          <cell r="N740" t="e">
            <v>#REF!</v>
          </cell>
          <cell r="O740" t="str">
            <v>L</v>
          </cell>
          <cell r="Q740">
            <v>2225000</v>
          </cell>
          <cell r="R740">
            <v>2225000</v>
          </cell>
          <cell r="U740">
            <v>2225000</v>
          </cell>
          <cell r="V740">
            <v>2225000</v>
          </cell>
          <cell r="Y740">
            <v>0</v>
          </cell>
          <cell r="Z740">
            <v>0</v>
          </cell>
          <cell r="AC740">
            <v>0</v>
          </cell>
          <cell r="AD740">
            <v>0</v>
          </cell>
          <cell r="AG740">
            <v>0</v>
          </cell>
          <cell r="AH740">
            <v>0</v>
          </cell>
        </row>
        <row r="741">
          <cell r="G741">
            <v>14304</v>
          </cell>
          <cell r="I741" t="str">
            <v>2572</v>
          </cell>
          <cell r="J741">
            <v>2572</v>
          </cell>
          <cell r="L741" t="str">
            <v>FORWARD CONTRACT PAYABLE</v>
          </cell>
          <cell r="Q741">
            <v>142821304</v>
          </cell>
          <cell r="R741">
            <v>62956579</v>
          </cell>
          <cell r="U741">
            <v>0</v>
          </cell>
          <cell r="V741">
            <v>0</v>
          </cell>
          <cell r="Y741">
            <v>128164944</v>
          </cell>
          <cell r="Z741">
            <v>51692112</v>
          </cell>
          <cell r="AC741">
            <v>14656359</v>
          </cell>
          <cell r="AD741">
            <v>11264467</v>
          </cell>
          <cell r="AG741">
            <v>1</v>
          </cell>
          <cell r="AH741">
            <v>0</v>
          </cell>
        </row>
        <row r="742">
          <cell r="G742">
            <v>14302</v>
          </cell>
          <cell r="I742">
            <v>3606</v>
          </cell>
          <cell r="J742" t="str">
            <v>3606</v>
          </cell>
          <cell r="L742" t="str">
            <v>FORWARD CONTRACT RECEVIABLE</v>
          </cell>
          <cell r="Q742">
            <v>-138025114</v>
          </cell>
          <cell r="R742">
            <v>-62248763</v>
          </cell>
          <cell r="U742">
            <v>0</v>
          </cell>
          <cell r="V742">
            <v>0</v>
          </cell>
          <cell r="Y742">
            <v>-123865422</v>
          </cell>
          <cell r="Z742">
            <v>-51086709</v>
          </cell>
          <cell r="AC742">
            <v>-14159692</v>
          </cell>
          <cell r="AD742">
            <v>-11162054</v>
          </cell>
          <cell r="AG742">
            <v>0</v>
          </cell>
          <cell r="AH742">
            <v>0</v>
          </cell>
        </row>
        <row r="743">
          <cell r="G743">
            <v>14303</v>
          </cell>
          <cell r="I743" t="str">
            <v>2573</v>
          </cell>
          <cell r="L743">
            <v>0</v>
          </cell>
          <cell r="M743" t="str">
            <v>DEFERRED PREMIUM ACCOUNT</v>
          </cell>
          <cell r="N743" t="e">
            <v>#REF!</v>
          </cell>
          <cell r="O743" t="str">
            <v>L</v>
          </cell>
          <cell r="Q743">
            <v>-1223209</v>
          </cell>
          <cell r="R743">
            <v>-494119</v>
          </cell>
          <cell r="U743">
            <v>0</v>
          </cell>
          <cell r="V743">
            <v>0</v>
          </cell>
          <cell r="Y743">
            <v>-1118223</v>
          </cell>
          <cell r="Z743">
            <v>-391706</v>
          </cell>
          <cell r="AC743">
            <v>-104986</v>
          </cell>
          <cell r="AD743">
            <v>-102413</v>
          </cell>
          <cell r="AG743">
            <v>0</v>
          </cell>
          <cell r="AH743">
            <v>0</v>
          </cell>
        </row>
        <row r="744">
          <cell r="H744">
            <v>870000</v>
          </cell>
          <cell r="K744" t="str">
            <v>OTHERS</v>
          </cell>
          <cell r="M744" t="e">
            <v>#N/A</v>
          </cell>
          <cell r="N744" t="e">
            <v>#REF!</v>
          </cell>
          <cell r="O744" t="str">
            <v>L</v>
          </cell>
          <cell r="P744">
            <v>0</v>
          </cell>
          <cell r="Q744">
            <v>5797981</v>
          </cell>
          <cell r="R744">
            <v>2438697</v>
          </cell>
          <cell r="T744">
            <v>0</v>
          </cell>
          <cell r="U744">
            <v>2225000</v>
          </cell>
          <cell r="V744">
            <v>2225000</v>
          </cell>
          <cell r="X744">
            <v>0</v>
          </cell>
          <cell r="Y744">
            <v>3181299</v>
          </cell>
          <cell r="Z744">
            <v>213697</v>
          </cell>
          <cell r="AB744">
            <v>0</v>
          </cell>
          <cell r="AC744">
            <v>391681</v>
          </cell>
          <cell r="AD744">
            <v>0</v>
          </cell>
          <cell r="AF744">
            <v>0</v>
          </cell>
          <cell r="AG744">
            <v>1</v>
          </cell>
          <cell r="AH744">
            <v>0</v>
          </cell>
        </row>
        <row r="745">
          <cell r="H745">
            <v>871000</v>
          </cell>
          <cell r="M745" t="e">
            <v>#N/A</v>
          </cell>
          <cell r="N745" t="e">
            <v>#REF!</v>
          </cell>
          <cell r="O745" t="str">
            <v>L</v>
          </cell>
          <cell r="P745">
            <v>0</v>
          </cell>
          <cell r="Q745">
            <v>159167837</v>
          </cell>
          <cell r="R745">
            <v>120029911</v>
          </cell>
          <cell r="T745">
            <v>0</v>
          </cell>
          <cell r="U745">
            <v>50604457</v>
          </cell>
          <cell r="V745">
            <v>59214180</v>
          </cell>
          <cell r="X745">
            <v>0</v>
          </cell>
          <cell r="Y745">
            <v>94706020</v>
          </cell>
          <cell r="Z745">
            <v>49881076</v>
          </cell>
          <cell r="AB745">
            <v>0</v>
          </cell>
          <cell r="AC745">
            <v>6858150</v>
          </cell>
          <cell r="AD745">
            <v>5962992</v>
          </cell>
          <cell r="AF745">
            <v>0</v>
          </cell>
          <cell r="AG745">
            <v>6999210</v>
          </cell>
          <cell r="AH745">
            <v>4971663</v>
          </cell>
        </row>
        <row r="746">
          <cell r="H746">
            <v>872000</v>
          </cell>
          <cell r="M746" t="e">
            <v>#N/A</v>
          </cell>
          <cell r="N746" t="e">
            <v>#REF!</v>
          </cell>
          <cell r="O746" t="str">
            <v>L</v>
          </cell>
        </row>
        <row r="747">
          <cell r="H747">
            <v>873000</v>
          </cell>
          <cell r="J747" t="str">
            <v>SHORT TERM PROVISIONS</v>
          </cell>
          <cell r="M747" t="e">
            <v>#N/A</v>
          </cell>
          <cell r="N747" t="e">
            <v>#REF!</v>
          </cell>
          <cell r="O747" t="str">
            <v>L</v>
          </cell>
        </row>
        <row r="748">
          <cell r="H748">
            <v>874000</v>
          </cell>
          <cell r="K748" t="str">
            <v>Provision For Employee Benefits</v>
          </cell>
          <cell r="M748" t="e">
            <v>#N/A</v>
          </cell>
          <cell r="N748" t="e">
            <v>#REF!</v>
          </cell>
          <cell r="O748" t="str">
            <v>L</v>
          </cell>
        </row>
        <row r="749">
          <cell r="G749">
            <v>15576</v>
          </cell>
          <cell r="H749">
            <v>875000</v>
          </cell>
          <cell r="I749" t="str">
            <v>2010</v>
          </cell>
          <cell r="L749" t="str">
            <v>Provision For Gratuity</v>
          </cell>
          <cell r="M749" t="str">
            <v>PROVISION FOR GRATUITY</v>
          </cell>
          <cell r="N749" t="e">
            <v>#REF!</v>
          </cell>
          <cell r="O749" t="str">
            <v>L</v>
          </cell>
          <cell r="Q749">
            <v>10598513</v>
          </cell>
          <cell r="R749">
            <v>6905112</v>
          </cell>
          <cell r="U749">
            <v>3440746</v>
          </cell>
          <cell r="V749">
            <v>1124333</v>
          </cell>
          <cell r="Y749">
            <v>6666635</v>
          </cell>
          <cell r="Z749">
            <v>5433585</v>
          </cell>
          <cell r="AC749">
            <v>423882</v>
          </cell>
          <cell r="AD749">
            <v>307085</v>
          </cell>
          <cell r="AG749">
            <v>67250</v>
          </cell>
          <cell r="AH749">
            <v>40109</v>
          </cell>
        </row>
        <row r="750">
          <cell r="H750">
            <v>876000</v>
          </cell>
          <cell r="K750" t="str">
            <v>Provision For Compensated Absences</v>
          </cell>
          <cell r="M750" t="e">
            <v>#N/A</v>
          </cell>
          <cell r="N750" t="e">
            <v>#REF!</v>
          </cell>
          <cell r="O750" t="str">
            <v>L</v>
          </cell>
          <cell r="AC750">
            <v>0</v>
          </cell>
          <cell r="AD750">
            <v>0</v>
          </cell>
          <cell r="AG750">
            <v>0</v>
          </cell>
          <cell r="AH750">
            <v>0</v>
          </cell>
        </row>
        <row r="751">
          <cell r="G751">
            <v>15577</v>
          </cell>
          <cell r="H751">
            <v>877000</v>
          </cell>
          <cell r="I751" t="str">
            <v>2015</v>
          </cell>
          <cell r="L751" t="str">
            <v>Provision For Leave Encashment</v>
          </cell>
          <cell r="M751" t="str">
            <v>PROVISION FOR LEAVE ENCASHMENT</v>
          </cell>
          <cell r="N751" t="e">
            <v>#REF!</v>
          </cell>
          <cell r="O751" t="str">
            <v>L</v>
          </cell>
          <cell r="Q751">
            <v>3298416</v>
          </cell>
          <cell r="R751">
            <v>1140737</v>
          </cell>
          <cell r="U751">
            <v>-6288283</v>
          </cell>
          <cell r="V751">
            <v>-6843600</v>
          </cell>
          <cell r="Y751">
            <v>8289697</v>
          </cell>
          <cell r="Z751">
            <v>7004126</v>
          </cell>
          <cell r="AC751">
            <v>963549</v>
          </cell>
          <cell r="AD751">
            <v>765050</v>
          </cell>
          <cell r="AG751">
            <v>333453</v>
          </cell>
          <cell r="AH751">
            <v>215161</v>
          </cell>
        </row>
        <row r="752">
          <cell r="H752">
            <v>878000</v>
          </cell>
          <cell r="L752" t="str">
            <v>Excess Provision regrouped In payable to employees</v>
          </cell>
          <cell r="O752" t="str">
            <v>L</v>
          </cell>
          <cell r="Q752">
            <v>0</v>
          </cell>
          <cell r="R752">
            <v>0</v>
          </cell>
        </row>
        <row r="753">
          <cell r="H753">
            <v>879000</v>
          </cell>
          <cell r="K753" t="str">
            <v>Provision For Employee Benefits</v>
          </cell>
          <cell r="M753" t="e">
            <v>#N/A</v>
          </cell>
          <cell r="N753" t="e">
            <v>#REF!</v>
          </cell>
          <cell r="O753" t="str">
            <v>L</v>
          </cell>
          <cell r="P753">
            <v>0</v>
          </cell>
          <cell r="Q753">
            <v>13896929</v>
          </cell>
          <cell r="R753">
            <v>8045849</v>
          </cell>
          <cell r="T753">
            <v>0</v>
          </cell>
          <cell r="U753">
            <v>-2847537</v>
          </cell>
          <cell r="V753">
            <v>-5719267</v>
          </cell>
          <cell r="X753">
            <v>0</v>
          </cell>
          <cell r="Y753">
            <v>14956332</v>
          </cell>
          <cell r="Z753">
            <v>12437711</v>
          </cell>
          <cell r="AB753">
            <v>0</v>
          </cell>
          <cell r="AC753">
            <v>1387431</v>
          </cell>
          <cell r="AD753">
            <v>1072135</v>
          </cell>
          <cell r="AF753">
            <v>0</v>
          </cell>
          <cell r="AG753">
            <v>400703</v>
          </cell>
          <cell r="AH753">
            <v>255270</v>
          </cell>
        </row>
        <row r="754">
          <cell r="H754">
            <v>880000</v>
          </cell>
          <cell r="K754" t="str">
            <v>Provision For Income Tax</v>
          </cell>
          <cell r="M754" t="e">
            <v>#N/A</v>
          </cell>
          <cell r="N754" t="e">
            <v>#REF!</v>
          </cell>
          <cell r="O754" t="str">
            <v>s</v>
          </cell>
          <cell r="V754">
            <v>0</v>
          </cell>
        </row>
        <row r="755">
          <cell r="G755">
            <v>15585</v>
          </cell>
          <cell r="H755">
            <v>881000</v>
          </cell>
          <cell r="I755" t="str">
            <v>2030</v>
          </cell>
          <cell r="L755" t="str">
            <v>Provision For Taxation</v>
          </cell>
          <cell r="M755" t="str">
            <v>PROVISION FOR TAXATION</v>
          </cell>
          <cell r="N755" t="e">
            <v>#REF!</v>
          </cell>
          <cell r="O755" t="str">
            <v>s</v>
          </cell>
          <cell r="Q755">
            <v>117293889</v>
          </cell>
          <cell r="R755">
            <v>80993889</v>
          </cell>
          <cell r="U755">
            <v>117293889</v>
          </cell>
          <cell r="V755">
            <v>80993889</v>
          </cell>
          <cell r="Y755">
            <v>0</v>
          </cell>
          <cell r="Z755">
            <v>0</v>
          </cell>
          <cell r="AC755">
            <v>0</v>
          </cell>
          <cell r="AD755">
            <v>0</v>
          </cell>
          <cell r="AG755">
            <v>0</v>
          </cell>
          <cell r="AH755">
            <v>0</v>
          </cell>
        </row>
        <row r="756">
          <cell r="G756">
            <v>15586</v>
          </cell>
          <cell r="H756">
            <v>882000</v>
          </cell>
          <cell r="I756" t="str">
            <v>2032</v>
          </cell>
          <cell r="L756" t="str">
            <v>Provision For Fbt</v>
          </cell>
          <cell r="M756" t="str">
            <v>PROVISION FOR FBT</v>
          </cell>
          <cell r="N756" t="e">
            <v>#REF!</v>
          </cell>
          <cell r="O756" t="str">
            <v>s</v>
          </cell>
          <cell r="Q756">
            <v>6240000</v>
          </cell>
          <cell r="R756">
            <v>6240000</v>
          </cell>
          <cell r="U756">
            <v>6240000</v>
          </cell>
          <cell r="V756">
            <v>6240000</v>
          </cell>
          <cell r="Y756">
            <v>0</v>
          </cell>
          <cell r="Z756">
            <v>0</v>
          </cell>
          <cell r="AC756">
            <v>0</v>
          </cell>
          <cell r="AD756">
            <v>0</v>
          </cell>
          <cell r="AG756">
            <v>0</v>
          </cell>
          <cell r="AH756">
            <v>0</v>
          </cell>
        </row>
        <row r="757">
          <cell r="G757">
            <v>15587</v>
          </cell>
          <cell r="H757">
            <v>883000</v>
          </cell>
          <cell r="I757" t="str">
            <v>2040</v>
          </cell>
          <cell r="L757" t="str">
            <v>Provision For Wealth Tax</v>
          </cell>
          <cell r="M757" t="str">
            <v>PROVISION FOR WEALTH TAX</v>
          </cell>
          <cell r="N757" t="e">
            <v>#REF!</v>
          </cell>
          <cell r="O757" t="str">
            <v>s</v>
          </cell>
          <cell r="Q757">
            <v>132055</v>
          </cell>
          <cell r="R757">
            <v>132055</v>
          </cell>
          <cell r="U757">
            <v>132055</v>
          </cell>
          <cell r="V757">
            <v>132055</v>
          </cell>
          <cell r="Y757">
            <v>0</v>
          </cell>
          <cell r="Z757">
            <v>0</v>
          </cell>
          <cell r="AC757">
            <v>0</v>
          </cell>
          <cell r="AD757">
            <v>0</v>
          </cell>
          <cell r="AG757">
            <v>0</v>
          </cell>
          <cell r="AH757">
            <v>0</v>
          </cell>
        </row>
        <row r="758">
          <cell r="H758">
            <v>884000</v>
          </cell>
          <cell r="L758" t="str">
            <v>Advance Income Tax ( Net)</v>
          </cell>
          <cell r="M758" t="e">
            <v>#N/A</v>
          </cell>
          <cell r="N758" t="e">
            <v>#REF!</v>
          </cell>
          <cell r="O758" t="str">
            <v>s</v>
          </cell>
          <cell r="Q758">
            <v>0</v>
          </cell>
          <cell r="R758">
            <v>0</v>
          </cell>
          <cell r="U758">
            <v>0</v>
          </cell>
          <cell r="V758">
            <v>0</v>
          </cell>
          <cell r="Y758">
            <v>0</v>
          </cell>
          <cell r="Z758">
            <v>0</v>
          </cell>
          <cell r="AC758">
            <v>0</v>
          </cell>
          <cell r="AD758">
            <v>0</v>
          </cell>
          <cell r="AG758">
            <v>0</v>
          </cell>
          <cell r="AH758">
            <v>0</v>
          </cell>
        </row>
        <row r="759">
          <cell r="G759">
            <v>15398</v>
          </cell>
          <cell r="H759">
            <v>885000</v>
          </cell>
          <cell r="I759" t="str">
            <v>3850</v>
          </cell>
          <cell r="L759" t="str">
            <v>Advance Income Tax</v>
          </cell>
          <cell r="M759" t="str">
            <v>ADVANCE INCOME TAX</v>
          </cell>
          <cell r="N759" t="e">
            <v>#REF!</v>
          </cell>
          <cell r="O759" t="str">
            <v>s</v>
          </cell>
          <cell r="Q759">
            <v>-102754509</v>
          </cell>
          <cell r="R759">
            <v>-75207608</v>
          </cell>
          <cell r="U759">
            <v>-102155936</v>
          </cell>
          <cell r="V759">
            <v>-74860770</v>
          </cell>
          <cell r="Y759">
            <v>-434543</v>
          </cell>
          <cell r="Z759">
            <v>-275844</v>
          </cell>
          <cell r="AC759">
            <v>-93819</v>
          </cell>
          <cell r="AD759">
            <v>-27395</v>
          </cell>
          <cell r="AG759">
            <v>-70211</v>
          </cell>
          <cell r="AH759">
            <v>-43599</v>
          </cell>
        </row>
        <row r="760">
          <cell r="H760">
            <v>886000</v>
          </cell>
          <cell r="M760" t="e">
            <v>#N/A</v>
          </cell>
          <cell r="N760" t="e">
            <v>#REF!</v>
          </cell>
          <cell r="O760" t="str">
            <v>s</v>
          </cell>
          <cell r="AC760">
            <v>0</v>
          </cell>
          <cell r="AD760">
            <v>0</v>
          </cell>
          <cell r="AG760">
            <v>0</v>
          </cell>
          <cell r="AH760">
            <v>0</v>
          </cell>
        </row>
        <row r="761">
          <cell r="H761">
            <v>887000</v>
          </cell>
          <cell r="K761" t="str">
            <v>Provision For Income Tax</v>
          </cell>
          <cell r="M761" t="e">
            <v>#N/A</v>
          </cell>
          <cell r="N761" t="e">
            <v>#REF!</v>
          </cell>
          <cell r="O761" t="str">
            <v>s</v>
          </cell>
          <cell r="P761">
            <v>0</v>
          </cell>
          <cell r="Q761">
            <v>20911435</v>
          </cell>
          <cell r="R761">
            <v>12158336</v>
          </cell>
          <cell r="T761">
            <v>0</v>
          </cell>
          <cell r="U761">
            <v>21510008</v>
          </cell>
          <cell r="V761">
            <v>12505174</v>
          </cell>
          <cell r="X761">
            <v>0</v>
          </cell>
          <cell r="Y761">
            <v>-434543</v>
          </cell>
          <cell r="Z761">
            <v>-275844</v>
          </cell>
          <cell r="AB761">
            <v>0</v>
          </cell>
          <cell r="AC761">
            <v>-93819</v>
          </cell>
          <cell r="AD761">
            <v>-27395</v>
          </cell>
          <cell r="AF761">
            <v>0</v>
          </cell>
          <cell r="AG761">
            <v>-70211</v>
          </cell>
          <cell r="AH761">
            <v>-43599</v>
          </cell>
        </row>
        <row r="762">
          <cell r="H762">
            <v>888000</v>
          </cell>
          <cell r="K762" t="str">
            <v>Other Provisions-Proposed Dividend</v>
          </cell>
          <cell r="M762" t="e">
            <v>#N/A</v>
          </cell>
          <cell r="N762" t="e">
            <v>#REF!</v>
          </cell>
          <cell r="O762" t="str">
            <v>s</v>
          </cell>
        </row>
        <row r="763">
          <cell r="G763">
            <v>15595</v>
          </cell>
          <cell r="H763">
            <v>889000</v>
          </cell>
          <cell r="I763" t="str">
            <v>2020</v>
          </cell>
          <cell r="L763" t="str">
            <v>Proposed Dividend</v>
          </cell>
          <cell r="M763" t="str">
            <v>PROPOSED DIVIDEND</v>
          </cell>
          <cell r="N763" t="e">
            <v>#REF!</v>
          </cell>
          <cell r="O763" t="str">
            <v>s</v>
          </cell>
          <cell r="Q763">
            <v>0</v>
          </cell>
          <cell r="R763">
            <v>35904028</v>
          </cell>
          <cell r="U763">
            <v>0</v>
          </cell>
          <cell r="V763">
            <v>35904028</v>
          </cell>
          <cell r="Y763">
            <v>0</v>
          </cell>
          <cell r="Z763">
            <v>0</v>
          </cell>
          <cell r="AC763">
            <v>0</v>
          </cell>
          <cell r="AG763">
            <v>0</v>
          </cell>
        </row>
        <row r="764">
          <cell r="G764">
            <v>15596</v>
          </cell>
          <cell r="H764">
            <v>890000</v>
          </cell>
          <cell r="I764" t="str">
            <v>2021</v>
          </cell>
          <cell r="L764" t="str">
            <v>Distribution Tax</v>
          </cell>
          <cell r="M764" t="str">
            <v>DISTRIBUTION TAX</v>
          </cell>
          <cell r="N764" t="e">
            <v>#REF!</v>
          </cell>
          <cell r="O764" t="str">
            <v>s</v>
          </cell>
          <cell r="Q764">
            <v>7512918</v>
          </cell>
          <cell r="R764">
            <v>7512918</v>
          </cell>
          <cell r="U764">
            <v>7512918</v>
          </cell>
          <cell r="V764">
            <v>7512918</v>
          </cell>
          <cell r="Y764">
            <v>0</v>
          </cell>
          <cell r="Z764">
            <v>0</v>
          </cell>
          <cell r="AC764">
            <v>0</v>
          </cell>
          <cell r="AG764">
            <v>0</v>
          </cell>
        </row>
        <row r="765">
          <cell r="H765">
            <v>891000</v>
          </cell>
          <cell r="K765" t="str">
            <v>Other Provisions-Proposed Dividend</v>
          </cell>
          <cell r="L765" t="str">
            <v>Sub-Total</v>
          </cell>
          <cell r="M765" t="e">
            <v>#N/A</v>
          </cell>
          <cell r="N765" t="e">
            <v>#REF!</v>
          </cell>
          <cell r="O765" t="str">
            <v>s</v>
          </cell>
          <cell r="P765">
            <v>0</v>
          </cell>
          <cell r="Q765">
            <v>7512918</v>
          </cell>
          <cell r="R765">
            <v>43416946</v>
          </cell>
          <cell r="T765">
            <v>0</v>
          </cell>
          <cell r="U765">
            <v>7512918</v>
          </cell>
          <cell r="V765">
            <v>43416946</v>
          </cell>
          <cell r="W765">
            <v>0</v>
          </cell>
          <cell r="X765">
            <v>0</v>
          </cell>
          <cell r="Y765">
            <v>0</v>
          </cell>
          <cell r="Z765">
            <v>0</v>
          </cell>
          <cell r="AA765">
            <v>0</v>
          </cell>
          <cell r="AB765">
            <v>0</v>
          </cell>
          <cell r="AC765">
            <v>0</v>
          </cell>
          <cell r="AD765">
            <v>0</v>
          </cell>
          <cell r="AE765">
            <v>0</v>
          </cell>
          <cell r="AF765">
            <v>0</v>
          </cell>
          <cell r="AG765">
            <v>0</v>
          </cell>
          <cell r="AH765">
            <v>0</v>
          </cell>
        </row>
        <row r="766">
          <cell r="H766">
            <v>892000</v>
          </cell>
          <cell r="J766" t="str">
            <v>SHORT TERM PROVISIONS</v>
          </cell>
          <cell r="M766" t="e">
            <v>#N/A</v>
          </cell>
          <cell r="N766" t="e">
            <v>#REF!</v>
          </cell>
          <cell r="O766" t="str">
            <v>L</v>
          </cell>
          <cell r="P766">
            <v>0</v>
          </cell>
          <cell r="Q766">
            <v>42321282</v>
          </cell>
          <cell r="R766">
            <v>63621131</v>
          </cell>
          <cell r="T766">
            <v>0</v>
          </cell>
          <cell r="U766">
            <v>26175389</v>
          </cell>
          <cell r="V766">
            <v>50202853</v>
          </cell>
          <cell r="W766">
            <v>0</v>
          </cell>
          <cell r="X766">
            <v>0</v>
          </cell>
          <cell r="Y766">
            <v>14521789</v>
          </cell>
          <cell r="Z766">
            <v>12161867</v>
          </cell>
          <cell r="AA766">
            <v>0</v>
          </cell>
          <cell r="AB766">
            <v>0</v>
          </cell>
          <cell r="AC766">
            <v>1293612</v>
          </cell>
          <cell r="AD766">
            <v>1044740</v>
          </cell>
          <cell r="AE766">
            <v>0</v>
          </cell>
          <cell r="AF766">
            <v>0</v>
          </cell>
          <cell r="AG766">
            <v>330492</v>
          </cell>
          <cell r="AH766">
            <v>211671</v>
          </cell>
        </row>
        <row r="767">
          <cell r="O767" t="str">
            <v>L</v>
          </cell>
        </row>
        <row r="768">
          <cell r="H768">
            <v>894000</v>
          </cell>
          <cell r="J768" t="str">
            <v>TOTAL CURRENT LIABILITIES</v>
          </cell>
          <cell r="M768" t="e">
            <v>#N/A</v>
          </cell>
          <cell r="N768" t="e">
            <v>#REF!</v>
          </cell>
          <cell r="O768" t="str">
            <v>L</v>
          </cell>
          <cell r="P768">
            <v>0</v>
          </cell>
          <cell r="Q768">
            <v>859973829</v>
          </cell>
          <cell r="R768">
            <v>785325783</v>
          </cell>
          <cell r="T768">
            <v>0</v>
          </cell>
          <cell r="U768">
            <v>-480725915</v>
          </cell>
          <cell r="V768">
            <v>-227565258</v>
          </cell>
          <cell r="W768">
            <v>0</v>
          </cell>
          <cell r="X768">
            <v>0</v>
          </cell>
          <cell r="Y768">
            <v>1281468642</v>
          </cell>
          <cell r="Z768">
            <v>955144577</v>
          </cell>
          <cell r="AA768">
            <v>0</v>
          </cell>
          <cell r="AB768">
            <v>0</v>
          </cell>
          <cell r="AC768">
            <v>39244235</v>
          </cell>
          <cell r="AD768">
            <v>45686549</v>
          </cell>
          <cell r="AE768">
            <v>0</v>
          </cell>
          <cell r="AF768">
            <v>0</v>
          </cell>
          <cell r="AG768">
            <v>19986867</v>
          </cell>
          <cell r="AH768">
            <v>12059915</v>
          </cell>
        </row>
        <row r="769">
          <cell r="O769" t="str">
            <v>L</v>
          </cell>
        </row>
        <row r="770">
          <cell r="H770">
            <v>1175000</v>
          </cell>
          <cell r="J770" t="str">
            <v>INTERUNIT ACCOUNT</v>
          </cell>
          <cell r="M770" t="e">
            <v>#N/A</v>
          </cell>
          <cell r="N770" t="e">
            <v>#REF!</v>
          </cell>
          <cell r="O770" t="str">
            <v>L</v>
          </cell>
        </row>
        <row r="771">
          <cell r="H771">
            <v>1176000</v>
          </cell>
          <cell r="K771" t="str">
            <v>Current A/C ( Inter Unit) - Sdc &amp; Pcd-T</v>
          </cell>
          <cell r="M771" t="e">
            <v>#N/A</v>
          </cell>
          <cell r="N771" t="e">
            <v>#REF!</v>
          </cell>
          <cell r="O771" t="str">
            <v>L</v>
          </cell>
        </row>
        <row r="772">
          <cell r="H772">
            <v>1177000</v>
          </cell>
          <cell r="I772" t="str">
            <v>0200</v>
          </cell>
          <cell r="L772" t="str">
            <v xml:space="preserve">Current A/C Ho </v>
          </cell>
          <cell r="M772" t="e">
            <v>#N/A</v>
          </cell>
          <cell r="N772" t="e">
            <v>#REF!</v>
          </cell>
          <cell r="O772" t="str">
            <v>L</v>
          </cell>
          <cell r="P772">
            <v>0</v>
          </cell>
          <cell r="Q772">
            <v>0</v>
          </cell>
          <cell r="R772">
            <v>0</v>
          </cell>
          <cell r="T772">
            <v>0</v>
          </cell>
          <cell r="X772">
            <v>0</v>
          </cell>
          <cell r="Y772">
            <v>0</v>
          </cell>
          <cell r="Z772">
            <v>0</v>
          </cell>
          <cell r="AB772">
            <v>0</v>
          </cell>
        </row>
        <row r="773">
          <cell r="H773">
            <v>1178000</v>
          </cell>
          <cell r="I773" t="str">
            <v>0201</v>
          </cell>
          <cell r="L773" t="str">
            <v>Current Account- Valerex ((Pcd-Turbhe)</v>
          </cell>
          <cell r="M773" t="e">
            <v>#N/A</v>
          </cell>
          <cell r="N773" t="e">
            <v>#REF!</v>
          </cell>
          <cell r="O773" t="str">
            <v>L</v>
          </cell>
          <cell r="P773">
            <v>0</v>
          </cell>
          <cell r="Q773">
            <v>0</v>
          </cell>
          <cell r="R773">
            <v>0</v>
          </cell>
          <cell r="T773">
            <v>0</v>
          </cell>
          <cell r="X773">
            <v>0</v>
          </cell>
          <cell r="Y773">
            <v>0</v>
          </cell>
          <cell r="Z773">
            <v>0</v>
          </cell>
          <cell r="AB773">
            <v>0</v>
          </cell>
          <cell r="AC773">
            <v>0</v>
          </cell>
          <cell r="AG773">
            <v>0</v>
          </cell>
          <cell r="AH773">
            <v>0</v>
          </cell>
        </row>
        <row r="774">
          <cell r="G774">
            <v>14274</v>
          </cell>
          <cell r="H774">
            <v>1179000</v>
          </cell>
          <cell r="L774" t="str">
            <v>Inter Unit Account (0200, 206, 608</v>
          </cell>
          <cell r="M774" t="str">
            <v>INTER UNIT A/C - (0200-206,0608,)</v>
          </cell>
          <cell r="N774" t="e">
            <v>#REF!</v>
          </cell>
          <cell r="O774" t="str">
            <v>L</v>
          </cell>
          <cell r="P774">
            <v>0</v>
          </cell>
          <cell r="Q774">
            <v>-913479026</v>
          </cell>
          <cell r="R774">
            <v>-509686294</v>
          </cell>
          <cell r="T774">
            <v>0</v>
          </cell>
          <cell r="U774">
            <v>-3736183623</v>
          </cell>
          <cell r="V774">
            <v>-3557402571</v>
          </cell>
          <cell r="X774">
            <v>0</v>
          </cell>
          <cell r="Y774">
            <v>2822704597</v>
          </cell>
          <cell r="Z774">
            <v>3047716277</v>
          </cell>
          <cell r="AB774">
            <v>0</v>
          </cell>
        </row>
        <row r="775">
          <cell r="G775">
            <v>14275</v>
          </cell>
          <cell r="H775">
            <v>1180000</v>
          </cell>
          <cell r="L775" t="str">
            <v>Inter Unit Account Payable</v>
          </cell>
          <cell r="M775" t="str">
            <v>INTER UNIT A/C - PAyable</v>
          </cell>
          <cell r="N775" t="e">
            <v>#REF!</v>
          </cell>
          <cell r="O775" t="str">
            <v>L</v>
          </cell>
          <cell r="P775">
            <v>0</v>
          </cell>
          <cell r="Q775">
            <v>878571179</v>
          </cell>
          <cell r="R775">
            <v>474778446</v>
          </cell>
          <cell r="T775">
            <v>0</v>
          </cell>
          <cell r="U775">
            <v>12528454</v>
          </cell>
          <cell r="V775">
            <v>11454724</v>
          </cell>
          <cell r="X775">
            <v>0</v>
          </cell>
          <cell r="Y775">
            <v>866042725</v>
          </cell>
          <cell r="Z775">
            <v>463323722</v>
          </cell>
          <cell r="AB775">
            <v>0</v>
          </cell>
        </row>
        <row r="776">
          <cell r="H776">
            <v>1181000</v>
          </cell>
          <cell r="I776" t="str">
            <v>0202</v>
          </cell>
          <cell r="L776" t="str">
            <v>Corrent Account - Ho Ledger</v>
          </cell>
          <cell r="M776" t="e">
            <v>#N/A</v>
          </cell>
          <cell r="N776" t="e">
            <v>#REF!</v>
          </cell>
          <cell r="O776" t="str">
            <v>L</v>
          </cell>
          <cell r="P776">
            <v>0</v>
          </cell>
          <cell r="Q776">
            <v>0</v>
          </cell>
          <cell r="R776">
            <v>0</v>
          </cell>
          <cell r="T776">
            <v>0</v>
          </cell>
          <cell r="X776">
            <v>0</v>
          </cell>
          <cell r="Y776">
            <v>0</v>
          </cell>
          <cell r="Z776">
            <v>0</v>
          </cell>
          <cell r="AB776">
            <v>0</v>
          </cell>
        </row>
        <row r="777">
          <cell r="H777">
            <v>1182000</v>
          </cell>
          <cell r="I777" t="str">
            <v>0204</v>
          </cell>
          <cell r="L777" t="str">
            <v>Ho - A/C - Plastic Contianer - Division - Chennai</v>
          </cell>
          <cell r="M777" t="e">
            <v>#N/A</v>
          </cell>
          <cell r="N777" t="e">
            <v>#REF!</v>
          </cell>
          <cell r="O777" t="str">
            <v>L</v>
          </cell>
          <cell r="P777">
            <v>0</v>
          </cell>
          <cell r="Q777">
            <v>0</v>
          </cell>
          <cell r="R777">
            <v>0</v>
          </cell>
          <cell r="T777">
            <v>0</v>
          </cell>
          <cell r="X777">
            <v>0</v>
          </cell>
          <cell r="Y777">
            <v>0</v>
          </cell>
          <cell r="Z777">
            <v>0</v>
          </cell>
          <cell r="AB777">
            <v>0</v>
          </cell>
        </row>
        <row r="778">
          <cell r="H778">
            <v>1183000</v>
          </cell>
          <cell r="I778" t="str">
            <v>0205</v>
          </cell>
          <cell r="L778" t="str">
            <v>Bank  A/C Closure Division</v>
          </cell>
          <cell r="M778" t="e">
            <v>#N/A</v>
          </cell>
          <cell r="N778" t="e">
            <v>#REF!</v>
          </cell>
          <cell r="O778" t="str">
            <v>L</v>
          </cell>
          <cell r="P778">
            <v>0</v>
          </cell>
          <cell r="Q778">
            <v>0</v>
          </cell>
          <cell r="R778">
            <v>0</v>
          </cell>
          <cell r="T778">
            <v>0</v>
          </cell>
          <cell r="X778">
            <v>0</v>
          </cell>
          <cell r="Y778">
            <v>0</v>
          </cell>
          <cell r="Z778">
            <v>0</v>
          </cell>
          <cell r="AB778">
            <v>0</v>
          </cell>
        </row>
        <row r="779">
          <cell r="H779">
            <v>1184000</v>
          </cell>
          <cell r="I779" t="str">
            <v>0608</v>
          </cell>
          <cell r="L779" t="str">
            <v>Current A/C - (Cbr - Vlx)</v>
          </cell>
          <cell r="M779" t="e">
            <v>#N/A</v>
          </cell>
          <cell r="N779" t="e">
            <v>#REF!</v>
          </cell>
          <cell r="O779" t="str">
            <v>L</v>
          </cell>
          <cell r="P779">
            <v>0</v>
          </cell>
          <cell r="Q779">
            <v>0</v>
          </cell>
          <cell r="R779">
            <v>0</v>
          </cell>
          <cell r="T779">
            <v>0</v>
          </cell>
          <cell r="X779">
            <v>0</v>
          </cell>
          <cell r="Y779">
            <v>0</v>
          </cell>
          <cell r="Z779">
            <v>0</v>
          </cell>
          <cell r="AB779">
            <v>0</v>
          </cell>
        </row>
        <row r="780">
          <cell r="H780">
            <v>1185000</v>
          </cell>
          <cell r="K780" t="str">
            <v>Current A/C ( Inter Unit) - Sdc &amp; Pcd-T</v>
          </cell>
          <cell r="L780">
            <v>0</v>
          </cell>
          <cell r="M780" t="e">
            <v>#N/A</v>
          </cell>
          <cell r="N780" t="e">
            <v>#REF!</v>
          </cell>
          <cell r="O780" t="str">
            <v>L</v>
          </cell>
          <cell r="P780">
            <v>0</v>
          </cell>
          <cell r="Q780">
            <v>-34907847</v>
          </cell>
          <cell r="R780">
            <v>-34907848</v>
          </cell>
          <cell r="T780">
            <v>0</v>
          </cell>
          <cell r="U780">
            <v>-3723655169</v>
          </cell>
          <cell r="V780">
            <v>-3545947847</v>
          </cell>
          <cell r="X780">
            <v>0</v>
          </cell>
          <cell r="Y780">
            <v>3688747322</v>
          </cell>
          <cell r="Z780">
            <v>3511039999</v>
          </cell>
          <cell r="AB780">
            <v>0</v>
          </cell>
          <cell r="AC780">
            <v>0</v>
          </cell>
          <cell r="AD780">
            <v>0</v>
          </cell>
          <cell r="AF780">
            <v>0</v>
          </cell>
          <cell r="AG780">
            <v>0</v>
          </cell>
          <cell r="AH780">
            <v>0</v>
          </cell>
        </row>
        <row r="781">
          <cell r="H781">
            <v>1186000</v>
          </cell>
          <cell r="K781" t="str">
            <v>Current A/c ( Inter Unit) - SDC &amp; PCD-C</v>
          </cell>
          <cell r="M781" t="e">
            <v>#N/A</v>
          </cell>
          <cell r="N781" t="e">
            <v>#REF!</v>
          </cell>
          <cell r="O781" t="str">
            <v>L</v>
          </cell>
          <cell r="X781">
            <v>0</v>
          </cell>
          <cell r="AB781">
            <v>0</v>
          </cell>
          <cell r="AD781">
            <v>0</v>
          </cell>
          <cell r="AF781">
            <v>0</v>
          </cell>
        </row>
        <row r="782">
          <cell r="H782">
            <v>1187000</v>
          </cell>
          <cell r="I782" t="str">
            <v>0200</v>
          </cell>
          <cell r="L782" t="str">
            <v>Current A/C Ho</v>
          </cell>
          <cell r="M782" t="e">
            <v>#N/A</v>
          </cell>
          <cell r="N782" t="e">
            <v>#REF!</v>
          </cell>
          <cell r="O782" t="str">
            <v>L</v>
          </cell>
          <cell r="P782">
            <v>0</v>
          </cell>
          <cell r="Q782">
            <v>-14138382</v>
          </cell>
          <cell r="R782">
            <v>-14161951</v>
          </cell>
          <cell r="T782">
            <v>0</v>
          </cell>
          <cell r="X782">
            <v>0</v>
          </cell>
          <cell r="Y782">
            <v>0</v>
          </cell>
          <cell r="Z782">
            <v>0</v>
          </cell>
          <cell r="AB782">
            <v>0</v>
          </cell>
          <cell r="AC782">
            <v>-14138382</v>
          </cell>
          <cell r="AD782">
            <v>-14161951</v>
          </cell>
          <cell r="AF782">
            <v>0</v>
          </cell>
        </row>
        <row r="783">
          <cell r="G783">
            <v>14276</v>
          </cell>
          <cell r="H783">
            <v>1188000</v>
          </cell>
          <cell r="I783" t="str">
            <v>0203</v>
          </cell>
          <cell r="L783" t="str">
            <v>Ho - A/C - Plastic Contianer - Division- Chennai</v>
          </cell>
          <cell r="M783" t="str">
            <v>INTER UNIT-CHENNAI DIVISION</v>
          </cell>
          <cell r="N783" t="e">
            <v>#REF!</v>
          </cell>
          <cell r="O783" t="str">
            <v>L</v>
          </cell>
          <cell r="P783">
            <v>0</v>
          </cell>
          <cell r="Q783">
            <v>-1041398031</v>
          </cell>
          <cell r="R783">
            <v>-828008504</v>
          </cell>
          <cell r="T783">
            <v>0</v>
          </cell>
          <cell r="U783">
            <v>867356936</v>
          </cell>
          <cell r="V783">
            <v>666084242</v>
          </cell>
          <cell r="X783">
            <v>0</v>
          </cell>
          <cell r="Y783">
            <v>-1079325976</v>
          </cell>
          <cell r="Z783">
            <v>-865745007</v>
          </cell>
          <cell r="AB783">
            <v>0</v>
          </cell>
          <cell r="AC783">
            <v>-829428991</v>
          </cell>
          <cell r="AD783">
            <v>-628347739</v>
          </cell>
          <cell r="AF783">
            <v>0</v>
          </cell>
        </row>
        <row r="784">
          <cell r="H784">
            <v>1189000</v>
          </cell>
          <cell r="I784" t="str">
            <v>0205</v>
          </cell>
          <cell r="L784" t="str">
            <v>Bank  A/C Closure Division</v>
          </cell>
          <cell r="M784" t="e">
            <v>#N/A</v>
          </cell>
          <cell r="N784" t="e">
            <v>#REF!</v>
          </cell>
          <cell r="O784" t="str">
            <v>L</v>
          </cell>
          <cell r="P784">
            <v>0</v>
          </cell>
          <cell r="Q784">
            <v>0</v>
          </cell>
          <cell r="R784">
            <v>0</v>
          </cell>
          <cell r="T784">
            <v>0</v>
          </cell>
          <cell r="X784">
            <v>0</v>
          </cell>
          <cell r="Y784">
            <v>0</v>
          </cell>
          <cell r="Z784">
            <v>0</v>
          </cell>
          <cell r="AB784">
            <v>0</v>
          </cell>
          <cell r="AD784">
            <v>0</v>
          </cell>
          <cell r="AF784">
            <v>0</v>
          </cell>
        </row>
        <row r="785">
          <cell r="H785">
            <v>1190000</v>
          </cell>
          <cell r="I785" t="str">
            <v>0204</v>
          </cell>
          <cell r="L785" t="str">
            <v>Bank A/C Plastic Container Division</v>
          </cell>
          <cell r="M785" t="e">
            <v>#N/A</v>
          </cell>
          <cell r="N785" t="e">
            <v>#REF!</v>
          </cell>
          <cell r="O785" t="str">
            <v>L</v>
          </cell>
          <cell r="P785">
            <v>0</v>
          </cell>
          <cell r="Q785">
            <v>0</v>
          </cell>
          <cell r="R785">
            <v>0</v>
          </cell>
          <cell r="T785">
            <v>0</v>
          </cell>
          <cell r="X785">
            <v>0</v>
          </cell>
          <cell r="Y785">
            <v>0</v>
          </cell>
          <cell r="Z785">
            <v>0</v>
          </cell>
          <cell r="AB785">
            <v>0</v>
          </cell>
          <cell r="AD785">
            <v>0</v>
          </cell>
          <cell r="AF785">
            <v>0</v>
          </cell>
        </row>
        <row r="786">
          <cell r="H786">
            <v>1191000</v>
          </cell>
          <cell r="I786" t="str">
            <v>0208</v>
          </cell>
          <cell r="L786">
            <v>0</v>
          </cell>
          <cell r="M786" t="e">
            <v>#N/A</v>
          </cell>
          <cell r="N786" t="e">
            <v>#REF!</v>
          </cell>
          <cell r="O786" t="str">
            <v>L</v>
          </cell>
          <cell r="P786">
            <v>0</v>
          </cell>
          <cell r="Q786">
            <v>272029100</v>
          </cell>
          <cell r="R786">
            <v>112713675</v>
          </cell>
          <cell r="T786">
            <v>0</v>
          </cell>
          <cell r="X786">
            <v>0</v>
          </cell>
          <cell r="Y786">
            <v>0</v>
          </cell>
          <cell r="Z786">
            <v>0</v>
          </cell>
          <cell r="AB786">
            <v>0</v>
          </cell>
          <cell r="AC786">
            <v>272029100</v>
          </cell>
          <cell r="AD786">
            <v>112713675</v>
          </cell>
          <cell r="AF786">
            <v>0</v>
          </cell>
        </row>
        <row r="787">
          <cell r="H787">
            <v>1192000</v>
          </cell>
          <cell r="K787" t="str">
            <v>Current A/c ( Inter Unit) - SDC &amp; PCD-C</v>
          </cell>
          <cell r="L787">
            <v>0</v>
          </cell>
          <cell r="M787" t="e">
            <v>#N/A</v>
          </cell>
          <cell r="N787" t="e">
            <v>#REF!</v>
          </cell>
          <cell r="O787" t="str">
            <v>L</v>
          </cell>
          <cell r="P787">
            <v>0</v>
          </cell>
          <cell r="Q787">
            <v>-783507313</v>
          </cell>
          <cell r="R787">
            <v>-729456780</v>
          </cell>
          <cell r="T787">
            <v>0</v>
          </cell>
          <cell r="U787">
            <v>867356936</v>
          </cell>
          <cell r="V787">
            <v>666084242</v>
          </cell>
          <cell r="X787">
            <v>0</v>
          </cell>
          <cell r="Y787">
            <v>-1079325976</v>
          </cell>
          <cell r="Z787">
            <v>-865745007</v>
          </cell>
          <cell r="AB787">
            <v>0</v>
          </cell>
          <cell r="AC787">
            <v>-571538273</v>
          </cell>
          <cell r="AD787">
            <v>-529796015</v>
          </cell>
          <cell r="AF787">
            <v>0</v>
          </cell>
          <cell r="AG787">
            <v>0</v>
          </cell>
          <cell r="AH787">
            <v>0</v>
          </cell>
        </row>
        <row r="788">
          <cell r="H788">
            <v>1193000</v>
          </cell>
          <cell r="K788" t="str">
            <v>Current A/c ( Inter Unit) - PCD - T &amp; PCD - C</v>
          </cell>
          <cell r="M788" t="e">
            <v>#N/A</v>
          </cell>
          <cell r="N788" t="e">
            <v>#REF!</v>
          </cell>
          <cell r="O788" t="str">
            <v>L</v>
          </cell>
        </row>
        <row r="789">
          <cell r="H789">
            <v>1194000</v>
          </cell>
          <cell r="I789" t="str">
            <v>0200</v>
          </cell>
          <cell r="L789" t="str">
            <v>Current A/C Ho</v>
          </cell>
          <cell r="M789" t="e">
            <v>#N/A</v>
          </cell>
          <cell r="N789" t="e">
            <v>#REF!</v>
          </cell>
          <cell r="O789" t="str">
            <v>L</v>
          </cell>
          <cell r="P789">
            <v>0</v>
          </cell>
          <cell r="Q789">
            <v>0</v>
          </cell>
          <cell r="R789">
            <v>0</v>
          </cell>
          <cell r="T789">
            <v>0</v>
          </cell>
          <cell r="X789">
            <v>0</v>
          </cell>
          <cell r="Y789">
            <v>0</v>
          </cell>
          <cell r="Z789">
            <v>0</v>
          </cell>
          <cell r="AB789">
            <v>0</v>
          </cell>
          <cell r="AD789">
            <v>0</v>
          </cell>
          <cell r="AF789">
            <v>0</v>
          </cell>
        </row>
        <row r="790">
          <cell r="H790">
            <v>1195000</v>
          </cell>
          <cell r="I790" t="str">
            <v>0201</v>
          </cell>
          <cell r="L790" t="str">
            <v>Current Account+ Valerex</v>
          </cell>
          <cell r="M790" t="e">
            <v>#N/A</v>
          </cell>
          <cell r="N790" t="e">
            <v>#REF!</v>
          </cell>
          <cell r="O790" t="str">
            <v>L</v>
          </cell>
          <cell r="P790">
            <v>0</v>
          </cell>
          <cell r="Q790">
            <v>843360078</v>
          </cell>
          <cell r="R790">
            <v>789309545</v>
          </cell>
          <cell r="T790">
            <v>0</v>
          </cell>
          <cell r="X790">
            <v>0</v>
          </cell>
          <cell r="Y790">
            <v>0</v>
          </cell>
          <cell r="Z790">
            <v>0</v>
          </cell>
          <cell r="AB790">
            <v>0</v>
          </cell>
          <cell r="AC790">
            <v>843360078</v>
          </cell>
          <cell r="AD790">
            <v>789309545</v>
          </cell>
          <cell r="AF790">
            <v>0</v>
          </cell>
        </row>
        <row r="791">
          <cell r="H791">
            <v>1196000</v>
          </cell>
          <cell r="I791" t="str">
            <v>0203</v>
          </cell>
          <cell r="L791" t="str">
            <v>Ho + A/C + Plastic Contianer + Division+ Chennai</v>
          </cell>
          <cell r="M791" t="e">
            <v>#N/A</v>
          </cell>
          <cell r="N791" t="e">
            <v>#REF!</v>
          </cell>
          <cell r="O791" t="str">
            <v>L</v>
          </cell>
          <cell r="P791">
            <v>0</v>
          </cell>
          <cell r="Q791">
            <v>0</v>
          </cell>
          <cell r="R791">
            <v>0</v>
          </cell>
          <cell r="T791">
            <v>0</v>
          </cell>
          <cell r="X791">
            <v>0</v>
          </cell>
          <cell r="Y791">
            <v>0</v>
          </cell>
          <cell r="Z791">
            <v>0</v>
          </cell>
          <cell r="AB791">
            <v>0</v>
          </cell>
          <cell r="AD791">
            <v>0</v>
          </cell>
          <cell r="AF791">
            <v>0</v>
          </cell>
        </row>
        <row r="792">
          <cell r="H792">
            <v>1197000</v>
          </cell>
          <cell r="I792" t="str">
            <v>0204</v>
          </cell>
          <cell r="L792" t="str">
            <v>Bank A/C Plastic Container Division</v>
          </cell>
          <cell r="M792" t="e">
            <v>#N/A</v>
          </cell>
          <cell r="N792" t="e">
            <v>#REF!</v>
          </cell>
          <cell r="O792" t="str">
            <v>L</v>
          </cell>
          <cell r="P792">
            <v>0</v>
          </cell>
          <cell r="Q792">
            <v>0</v>
          </cell>
          <cell r="R792">
            <v>0</v>
          </cell>
          <cell r="T792">
            <v>0</v>
          </cell>
          <cell r="X792">
            <v>0</v>
          </cell>
          <cell r="Y792">
            <v>0</v>
          </cell>
          <cell r="Z792">
            <v>0</v>
          </cell>
          <cell r="AB792">
            <v>0</v>
          </cell>
          <cell r="AD792">
            <v>0</v>
          </cell>
          <cell r="AF792">
            <v>0</v>
          </cell>
        </row>
        <row r="793">
          <cell r="H793">
            <v>1198000</v>
          </cell>
          <cell r="I793" t="str">
            <v>0608</v>
          </cell>
          <cell r="L793" t="str">
            <v>Current A/C - (Cbr-Vlx)</v>
          </cell>
          <cell r="M793" t="e">
            <v>#N/A</v>
          </cell>
          <cell r="N793" t="e">
            <v>#REF!</v>
          </cell>
          <cell r="O793" t="str">
            <v>L</v>
          </cell>
          <cell r="P793">
            <v>0</v>
          </cell>
          <cell r="Q793">
            <v>0</v>
          </cell>
          <cell r="R793">
            <v>0</v>
          </cell>
          <cell r="T793">
            <v>0</v>
          </cell>
          <cell r="X793">
            <v>0</v>
          </cell>
          <cell r="Y793">
            <v>0</v>
          </cell>
          <cell r="Z793">
            <v>0</v>
          </cell>
          <cell r="AB793">
            <v>0</v>
          </cell>
          <cell r="AD793">
            <v>0</v>
          </cell>
          <cell r="AF793">
            <v>0</v>
          </cell>
        </row>
        <row r="794">
          <cell r="H794">
            <v>1199000</v>
          </cell>
          <cell r="K794" t="str">
            <v>Current A/c ( Inter Unit) - PCD - T &amp; PCD - C</v>
          </cell>
          <cell r="L794">
            <v>0</v>
          </cell>
          <cell r="M794" t="e">
            <v>#N/A</v>
          </cell>
          <cell r="N794" t="e">
            <v>#REF!</v>
          </cell>
          <cell r="O794" t="str">
            <v>L</v>
          </cell>
          <cell r="P794">
            <v>0</v>
          </cell>
          <cell r="Q794">
            <v>843360078</v>
          </cell>
          <cell r="R794">
            <v>789309545</v>
          </cell>
          <cell r="T794">
            <v>0</v>
          </cell>
          <cell r="U794">
            <v>0</v>
          </cell>
          <cell r="V794">
            <v>0</v>
          </cell>
          <cell r="X794">
            <v>0</v>
          </cell>
          <cell r="Y794">
            <v>0</v>
          </cell>
          <cell r="Z794">
            <v>0</v>
          </cell>
          <cell r="AB794">
            <v>0</v>
          </cell>
          <cell r="AC794">
            <v>843360078</v>
          </cell>
          <cell r="AD794">
            <v>789309545</v>
          </cell>
          <cell r="AF794">
            <v>0</v>
          </cell>
          <cell r="AG794">
            <v>0</v>
          </cell>
          <cell r="AH794">
            <v>0</v>
          </cell>
        </row>
        <row r="795">
          <cell r="H795">
            <v>1200000</v>
          </cell>
          <cell r="K795" t="str">
            <v>Current A/c ( Inter Unit) - PCD-NORTH</v>
          </cell>
          <cell r="M795" t="e">
            <v>#N/A</v>
          </cell>
          <cell r="N795" t="e">
            <v>#REF!</v>
          </cell>
          <cell r="O795" t="str">
            <v>L</v>
          </cell>
          <cell r="Q795">
            <v>0</v>
          </cell>
          <cell r="R795">
            <v>0</v>
          </cell>
        </row>
        <row r="796">
          <cell r="H796">
            <v>1201000</v>
          </cell>
          <cell r="I796" t="str">
            <v xml:space="preserve">0200 </v>
          </cell>
          <cell r="L796" t="str">
            <v>Current A/C Ho</v>
          </cell>
          <cell r="M796" t="e">
            <v>#N/A</v>
          </cell>
          <cell r="N796" t="e">
            <v>#REF!</v>
          </cell>
          <cell r="O796" t="str">
            <v>L</v>
          </cell>
          <cell r="P796">
            <v>0</v>
          </cell>
          <cell r="Q796">
            <v>0</v>
          </cell>
          <cell r="R796">
            <v>0</v>
          </cell>
          <cell r="T796">
            <v>0</v>
          </cell>
          <cell r="X796">
            <v>0</v>
          </cell>
          <cell r="Y796">
            <v>0</v>
          </cell>
          <cell r="Z796">
            <v>0</v>
          </cell>
          <cell r="AB796">
            <v>0</v>
          </cell>
          <cell r="AF796">
            <v>0</v>
          </cell>
        </row>
        <row r="797">
          <cell r="H797">
            <v>1202000</v>
          </cell>
          <cell r="I797" t="str">
            <v>0201</v>
          </cell>
          <cell r="L797" t="str">
            <v>Current Account - Valerex</v>
          </cell>
          <cell r="M797" t="e">
            <v>#N/A</v>
          </cell>
          <cell r="N797" t="e">
            <v>#REF!</v>
          </cell>
          <cell r="O797" t="str">
            <v>L</v>
          </cell>
          <cell r="P797">
            <v>0</v>
          </cell>
          <cell r="Q797">
            <v>0</v>
          </cell>
          <cell r="R797">
            <v>0</v>
          </cell>
          <cell r="T797">
            <v>0</v>
          </cell>
          <cell r="X797">
            <v>0</v>
          </cell>
          <cell r="Y797">
            <v>0</v>
          </cell>
          <cell r="Z797">
            <v>0</v>
          </cell>
          <cell r="AB797">
            <v>0</v>
          </cell>
          <cell r="AF797">
            <v>0</v>
          </cell>
        </row>
        <row r="798">
          <cell r="G798" t="str">
            <v>203</v>
          </cell>
          <cell r="H798">
            <v>1203000</v>
          </cell>
          <cell r="I798" t="str">
            <v>0203</v>
          </cell>
          <cell r="L798" t="str">
            <v>Ho - A/C - Plastic Contianer - Division - Chennai</v>
          </cell>
          <cell r="M798" t="e">
            <v>#N/A</v>
          </cell>
          <cell r="N798" t="e">
            <v>#REF!</v>
          </cell>
          <cell r="O798" t="str">
            <v>L</v>
          </cell>
          <cell r="P798">
            <v>0</v>
          </cell>
          <cell r="Q798">
            <v>881231</v>
          </cell>
          <cell r="R798">
            <v>881231</v>
          </cell>
          <cell r="T798">
            <v>0</v>
          </cell>
          <cell r="X798">
            <v>0</v>
          </cell>
          <cell r="Y798">
            <v>0</v>
          </cell>
          <cell r="Z798">
            <v>0</v>
          </cell>
          <cell r="AB798">
            <v>0</v>
          </cell>
          <cell r="AF798">
            <v>0</v>
          </cell>
          <cell r="AG798">
            <v>881231</v>
          </cell>
          <cell r="AH798">
            <v>881231</v>
          </cell>
        </row>
        <row r="799">
          <cell r="H799">
            <v>1204000</v>
          </cell>
          <cell r="I799" t="str">
            <v>0204</v>
          </cell>
          <cell r="L799" t="str">
            <v>Bank A/C Plastic Container Division</v>
          </cell>
          <cell r="M799" t="e">
            <v>#N/A</v>
          </cell>
          <cell r="N799" t="e">
            <v>#REF!</v>
          </cell>
          <cell r="O799" t="str">
            <v>L</v>
          </cell>
          <cell r="P799">
            <v>0</v>
          </cell>
          <cell r="Q799">
            <v>0</v>
          </cell>
          <cell r="R799">
            <v>0</v>
          </cell>
          <cell r="T799">
            <v>0</v>
          </cell>
          <cell r="X799">
            <v>0</v>
          </cell>
          <cell r="Y799">
            <v>0</v>
          </cell>
          <cell r="Z799">
            <v>0</v>
          </cell>
          <cell r="AB799">
            <v>0</v>
          </cell>
          <cell r="AC799">
            <v>0</v>
          </cell>
          <cell r="AF799">
            <v>0</v>
          </cell>
          <cell r="AH799">
            <v>0</v>
          </cell>
        </row>
        <row r="800">
          <cell r="G800">
            <v>14277</v>
          </cell>
          <cell r="H800">
            <v>1205000</v>
          </cell>
          <cell r="I800" t="str">
            <v>0206</v>
          </cell>
          <cell r="L800" t="str">
            <v>Ho - A/C Pcd - Dehardun (Gl)</v>
          </cell>
          <cell r="M800" t="str">
            <v>INTER UNIT-DEHARADUN DIVISION</v>
          </cell>
          <cell r="N800" t="e">
            <v>#REF!</v>
          </cell>
          <cell r="O800" t="str">
            <v>L</v>
          </cell>
          <cell r="Q800">
            <v>-247296596</v>
          </cell>
          <cell r="R800">
            <v>129261364</v>
          </cell>
          <cell r="U800">
            <v>87186820</v>
          </cell>
          <cell r="V800">
            <v>7222113</v>
          </cell>
          <cell r="Y800">
            <v>-331744485</v>
          </cell>
          <cell r="Z800">
            <v>-213029601</v>
          </cell>
          <cell r="AC800">
            <v>-2738931</v>
          </cell>
          <cell r="AD800">
            <v>-2738931</v>
          </cell>
          <cell r="AH800">
            <v>337807783</v>
          </cell>
        </row>
        <row r="801">
          <cell r="G801" t="str">
            <v>206</v>
          </cell>
          <cell r="H801">
            <v>1206000</v>
          </cell>
          <cell r="L801" t="str">
            <v>Unrealised Profit/Loss On Transfer</v>
          </cell>
          <cell r="M801" t="e">
            <v>#N/A</v>
          </cell>
          <cell r="N801" t="e">
            <v>#REF!</v>
          </cell>
          <cell r="O801" t="str">
            <v>L</v>
          </cell>
          <cell r="Q801">
            <v>515698804</v>
          </cell>
          <cell r="R801">
            <v>0</v>
          </cell>
          <cell r="U801">
            <v>0</v>
          </cell>
          <cell r="V801">
            <v>0</v>
          </cell>
          <cell r="Y801">
            <v>0</v>
          </cell>
          <cell r="Z801">
            <v>0</v>
          </cell>
          <cell r="AC801">
            <v>0</v>
          </cell>
          <cell r="AG801">
            <v>515698804</v>
          </cell>
        </row>
        <row r="802">
          <cell r="G802" t="str">
            <v>207</v>
          </cell>
          <cell r="H802">
            <v>1207000</v>
          </cell>
          <cell r="I802" t="str">
            <v>0207</v>
          </cell>
          <cell r="L802" t="str">
            <v>Ho -  A/C Pcd - Dehardun (Bank)</v>
          </cell>
          <cell r="M802" t="e">
            <v>#N/A</v>
          </cell>
          <cell r="N802" t="e">
            <v>#REF!</v>
          </cell>
          <cell r="O802" t="str">
            <v>L</v>
          </cell>
          <cell r="P802">
            <v>0</v>
          </cell>
          <cell r="Q802">
            <v>-294228357</v>
          </cell>
          <cell r="R802">
            <v>-155087513</v>
          </cell>
          <cell r="T802">
            <v>0</v>
          </cell>
          <cell r="X802">
            <v>0</v>
          </cell>
          <cell r="Y802">
            <v>0</v>
          </cell>
          <cell r="Z802">
            <v>0</v>
          </cell>
          <cell r="AB802">
            <v>0</v>
          </cell>
          <cell r="AC802">
            <v>0</v>
          </cell>
          <cell r="AF802">
            <v>0</v>
          </cell>
          <cell r="AG802">
            <v>-294228357</v>
          </cell>
          <cell r="AH802">
            <v>-155087513</v>
          </cell>
        </row>
        <row r="803">
          <cell r="H803">
            <v>1208000</v>
          </cell>
          <cell r="I803" t="str">
            <v>0608</v>
          </cell>
          <cell r="L803" t="str">
            <v>Current A/C - (Cbr - Vlx)</v>
          </cell>
          <cell r="M803" t="e">
            <v>#N/A</v>
          </cell>
          <cell r="N803" t="e">
            <v>#REF!</v>
          </cell>
          <cell r="O803" t="str">
            <v>L</v>
          </cell>
          <cell r="P803">
            <v>0</v>
          </cell>
          <cell r="Q803">
            <v>0</v>
          </cell>
          <cell r="R803">
            <v>1</v>
          </cell>
          <cell r="T803">
            <v>0</v>
          </cell>
          <cell r="V803">
            <v>1</v>
          </cell>
          <cell r="X803">
            <v>0</v>
          </cell>
          <cell r="Y803">
            <v>0</v>
          </cell>
          <cell r="Z803">
            <v>0</v>
          </cell>
          <cell r="AB803">
            <v>0</v>
          </cell>
          <cell r="AC803">
            <v>0</v>
          </cell>
          <cell r="AF803">
            <v>0</v>
          </cell>
          <cell r="AG803">
            <v>0</v>
          </cell>
        </row>
        <row r="804">
          <cell r="H804">
            <v>1209000</v>
          </cell>
          <cell r="K804" t="str">
            <v>Current A/c ( Inter Unit) - PCD-NORTH</v>
          </cell>
          <cell r="L804">
            <v>0</v>
          </cell>
          <cell r="M804" t="e">
            <v>#N/A</v>
          </cell>
          <cell r="N804" t="e">
            <v>#REF!</v>
          </cell>
          <cell r="O804" t="str">
            <v>L</v>
          </cell>
          <cell r="P804">
            <v>0</v>
          </cell>
          <cell r="Q804">
            <v>-24944918</v>
          </cell>
          <cell r="R804">
            <v>-24944917</v>
          </cell>
          <cell r="T804">
            <v>0</v>
          </cell>
          <cell r="U804">
            <v>87186820</v>
          </cell>
          <cell r="V804">
            <v>7222114</v>
          </cell>
          <cell r="W804">
            <v>0</v>
          </cell>
          <cell r="X804">
            <v>0</v>
          </cell>
          <cell r="Y804">
            <v>-331744485</v>
          </cell>
          <cell r="Z804">
            <v>-213029601</v>
          </cell>
          <cell r="AA804">
            <v>0</v>
          </cell>
          <cell r="AB804">
            <v>0</v>
          </cell>
          <cell r="AC804">
            <v>-2738931</v>
          </cell>
          <cell r="AD804">
            <v>-2738931</v>
          </cell>
          <cell r="AE804">
            <v>0</v>
          </cell>
          <cell r="AF804">
            <v>0</v>
          </cell>
          <cell r="AG804">
            <v>222351678</v>
          </cell>
          <cell r="AH804">
            <v>183601501</v>
          </cell>
        </row>
        <row r="805">
          <cell r="H805">
            <v>1210000</v>
          </cell>
          <cell r="J805" t="str">
            <v>INTERUNIT ACCOUNT</v>
          </cell>
          <cell r="M805" t="e">
            <v>#N/A</v>
          </cell>
          <cell r="N805" t="e">
            <v>#REF!</v>
          </cell>
          <cell r="O805" t="str">
            <v>L</v>
          </cell>
          <cell r="P805">
            <v>0</v>
          </cell>
          <cell r="Q805">
            <v>0</v>
          </cell>
          <cell r="R805">
            <v>0</v>
          </cell>
          <cell r="T805">
            <v>0</v>
          </cell>
          <cell r="U805">
            <v>-2769111413</v>
          </cell>
          <cell r="V805">
            <v>-2872641491</v>
          </cell>
          <cell r="W805">
            <v>0</v>
          </cell>
          <cell r="X805">
            <v>0</v>
          </cell>
          <cell r="Y805">
            <v>2277676861</v>
          </cell>
          <cell r="Z805">
            <v>2432265391</v>
          </cell>
          <cell r="AA805">
            <v>0</v>
          </cell>
          <cell r="AB805">
            <v>0</v>
          </cell>
          <cell r="AC805">
            <v>269082874</v>
          </cell>
          <cell r="AD805">
            <v>256774599</v>
          </cell>
          <cell r="AE805">
            <v>0</v>
          </cell>
          <cell r="AF805">
            <v>0</v>
          </cell>
          <cell r="AG805">
            <v>222351678</v>
          </cell>
          <cell r="AH805">
            <v>183601501</v>
          </cell>
        </row>
        <row r="806">
          <cell r="H806">
            <v>895000</v>
          </cell>
          <cell r="J806" t="str">
            <v>TOTAL EQUITY &amp; LIABILITIES</v>
          </cell>
          <cell r="M806" t="e">
            <v>#N/A</v>
          </cell>
          <cell r="N806" t="e">
            <v>#REF!</v>
          </cell>
          <cell r="O806" t="str">
            <v>L</v>
          </cell>
          <cell r="P806">
            <v>0</v>
          </cell>
          <cell r="Q806">
            <v>2175871586</v>
          </cell>
          <cell r="R806">
            <v>2004997678</v>
          </cell>
          <cell r="T806" t="e">
            <v>#REF!</v>
          </cell>
          <cell r="U806">
            <v>-2239061337</v>
          </cell>
          <cell r="V806">
            <v>-2069046003</v>
          </cell>
          <cell r="W806">
            <v>0</v>
          </cell>
          <cell r="X806" t="e">
            <v>#REF!</v>
          </cell>
          <cell r="Y806">
            <v>3939771540</v>
          </cell>
          <cell r="Z806">
            <v>3648458516</v>
          </cell>
          <cell r="AA806">
            <v>0</v>
          </cell>
          <cell r="AB806" t="e">
            <v>#REF!</v>
          </cell>
          <cell r="AC806">
            <v>207214107</v>
          </cell>
          <cell r="AD806">
            <v>211695320</v>
          </cell>
          <cell r="AE806">
            <v>0</v>
          </cell>
          <cell r="AF806" t="e">
            <v>#REF!</v>
          </cell>
          <cell r="AG806">
            <v>267947276</v>
          </cell>
          <cell r="AH806">
            <v>213889845</v>
          </cell>
        </row>
        <row r="807">
          <cell r="H807">
            <v>896000</v>
          </cell>
          <cell r="L807" t="str">
            <v>check to tally with financials</v>
          </cell>
          <cell r="M807" t="e">
            <v>#N/A</v>
          </cell>
          <cell r="N807" t="e">
            <v>#REF!</v>
          </cell>
          <cell r="Q807">
            <v>-2</v>
          </cell>
          <cell r="R807">
            <v>3</v>
          </cell>
        </row>
        <row r="808">
          <cell r="H808">
            <v>900000</v>
          </cell>
          <cell r="J808" t="str">
            <v>ASSETS</v>
          </cell>
          <cell r="M808" t="e">
            <v>#N/A</v>
          </cell>
          <cell r="N808" t="e">
            <v>#REF!</v>
          </cell>
          <cell r="O808" t="str">
            <v>A</v>
          </cell>
        </row>
        <row r="809">
          <cell r="H809">
            <v>901000</v>
          </cell>
          <cell r="J809" t="str">
            <v>Fixed Assets</v>
          </cell>
          <cell r="M809" t="e">
            <v>#N/A</v>
          </cell>
          <cell r="N809" t="e">
            <v>#REF!</v>
          </cell>
          <cell r="O809" t="str">
            <v>A</v>
          </cell>
        </row>
        <row r="810">
          <cell r="H810">
            <v>902000</v>
          </cell>
          <cell r="K810" t="str">
            <v>(A) Gross Block</v>
          </cell>
          <cell r="M810" t="e">
            <v>#N/A</v>
          </cell>
          <cell r="N810" t="e">
            <v>#REF!</v>
          </cell>
          <cell r="O810" t="str">
            <v>A</v>
          </cell>
        </row>
        <row r="811">
          <cell r="G811">
            <v>15012</v>
          </cell>
          <cell r="H811">
            <v>903000</v>
          </cell>
          <cell r="I811" t="str">
            <v>3010</v>
          </cell>
          <cell r="L811" t="str">
            <v>Fixed Assets - Gross Block</v>
          </cell>
          <cell r="M811" t="str">
            <v>FIXED ASSETS- GROSS BLOCK</v>
          </cell>
          <cell r="N811" t="e">
            <v>#REF!</v>
          </cell>
          <cell r="O811" t="str">
            <v>A</v>
          </cell>
          <cell r="Q811">
            <v>1633148417</v>
          </cell>
          <cell r="R811">
            <v>1500570984</v>
          </cell>
          <cell r="U811">
            <v>601320463</v>
          </cell>
          <cell r="V811">
            <v>570267754</v>
          </cell>
          <cell r="Y811">
            <v>714548065</v>
          </cell>
          <cell r="Z811">
            <v>662300989</v>
          </cell>
          <cell r="AC811">
            <v>146604535</v>
          </cell>
          <cell r="AD811">
            <v>121864740</v>
          </cell>
          <cell r="AG811">
            <v>170675354</v>
          </cell>
          <cell r="AH811">
            <v>146137501</v>
          </cell>
        </row>
        <row r="812">
          <cell r="G812">
            <v>15001</v>
          </cell>
          <cell r="H812">
            <v>904000</v>
          </cell>
          <cell r="L812" t="str">
            <v>Leasehold Land (Gb)</v>
          </cell>
          <cell r="M812" t="str">
            <v>FIXED ASSETS: ()</v>
          </cell>
          <cell r="N812" t="e">
            <v>#REF!</v>
          </cell>
          <cell r="O812" t="str">
            <v>A</v>
          </cell>
          <cell r="Q812">
            <v>323386</v>
          </cell>
          <cell r="R812">
            <v>323386</v>
          </cell>
          <cell r="U812">
            <v>304886</v>
          </cell>
          <cell r="V812">
            <v>304886</v>
          </cell>
          <cell r="Y812">
            <v>18500</v>
          </cell>
          <cell r="Z812">
            <v>18500</v>
          </cell>
          <cell r="AC812">
            <v>0</v>
          </cell>
          <cell r="AD812">
            <v>0</v>
          </cell>
          <cell r="AG812">
            <v>0</v>
          </cell>
          <cell r="AH812">
            <v>0</v>
          </cell>
        </row>
        <row r="813">
          <cell r="G813">
            <v>15008</v>
          </cell>
          <cell r="H813">
            <v>905000</v>
          </cell>
          <cell r="L813" t="str">
            <v>Computers (Gb)</v>
          </cell>
          <cell r="M813" t="str">
            <v>COMPUTERS (GB)</v>
          </cell>
          <cell r="N813" t="e">
            <v>#REF!</v>
          </cell>
          <cell r="O813" t="str">
            <v>A</v>
          </cell>
          <cell r="Q813">
            <v>30000</v>
          </cell>
          <cell r="R813">
            <v>30000</v>
          </cell>
          <cell r="U813">
            <v>30000</v>
          </cell>
          <cell r="V813">
            <v>30000</v>
          </cell>
          <cell r="Y813">
            <v>0</v>
          </cell>
          <cell r="Z813">
            <v>0</v>
          </cell>
          <cell r="AC813">
            <v>0</v>
          </cell>
          <cell r="AD813">
            <v>0</v>
          </cell>
          <cell r="AG813">
            <v>0</v>
          </cell>
          <cell r="AH813">
            <v>0</v>
          </cell>
        </row>
        <row r="814">
          <cell r="H814">
            <v>906000</v>
          </cell>
          <cell r="K814" t="str">
            <v>(A) Gross Block</v>
          </cell>
          <cell r="M814" t="e">
            <v>#N/A</v>
          </cell>
          <cell r="N814" t="e">
            <v>#REF!</v>
          </cell>
          <cell r="O814" t="str">
            <v>A</v>
          </cell>
          <cell r="Q814">
            <v>1633501803</v>
          </cell>
          <cell r="R814">
            <v>1500924370</v>
          </cell>
          <cell r="T814">
            <v>0</v>
          </cell>
          <cell r="U814">
            <v>601655349</v>
          </cell>
          <cell r="V814">
            <v>570602640</v>
          </cell>
          <cell r="X814">
            <v>0</v>
          </cell>
          <cell r="Y814">
            <v>714566565</v>
          </cell>
          <cell r="Z814">
            <v>662319489</v>
          </cell>
          <cell r="AB814">
            <v>0</v>
          </cell>
          <cell r="AC814">
            <v>146604535</v>
          </cell>
          <cell r="AD814">
            <v>121864740</v>
          </cell>
          <cell r="AF814">
            <v>0</v>
          </cell>
          <cell r="AG814">
            <v>170675354</v>
          </cell>
          <cell r="AH814">
            <v>146137501</v>
          </cell>
        </row>
        <row r="815">
          <cell r="H815">
            <v>907000</v>
          </cell>
          <cell r="K815" t="str">
            <v>(B) Less  : Depreciation</v>
          </cell>
          <cell r="M815" t="e">
            <v>#N/A</v>
          </cell>
          <cell r="N815" t="e">
            <v>#REF!</v>
          </cell>
          <cell r="O815" t="str">
            <v>A</v>
          </cell>
          <cell r="Q815">
            <v>0</v>
          </cell>
          <cell r="R815">
            <v>0</v>
          </cell>
        </row>
        <row r="816">
          <cell r="G816">
            <v>15031</v>
          </cell>
          <cell r="H816">
            <v>908000</v>
          </cell>
          <cell r="I816" t="str">
            <v>2100</v>
          </cell>
          <cell r="L816" t="str">
            <v>Provision For Depreciation</v>
          </cell>
          <cell r="M816" t="str">
            <v>ACCUMLATED DEPRECIATION</v>
          </cell>
          <cell r="N816" t="e">
            <v>#REF!</v>
          </cell>
          <cell r="O816" t="str">
            <v>A</v>
          </cell>
          <cell r="Q816">
            <v>-962344398</v>
          </cell>
          <cell r="R816">
            <v>-913641683</v>
          </cell>
          <cell r="U816">
            <v>-309770547</v>
          </cell>
          <cell r="V816">
            <v>-288930029</v>
          </cell>
          <cell r="Y816">
            <v>-553980077</v>
          </cell>
          <cell r="Z816">
            <v>-540306863</v>
          </cell>
          <cell r="AC816">
            <v>-64238672</v>
          </cell>
          <cell r="AD816">
            <v>-58326953</v>
          </cell>
          <cell r="AG816">
            <v>-34355102</v>
          </cell>
          <cell r="AH816">
            <v>-26077838</v>
          </cell>
        </row>
        <row r="817">
          <cell r="G817">
            <v>15027</v>
          </cell>
          <cell r="H817">
            <v>909000</v>
          </cell>
          <cell r="L817" t="str">
            <v>Accumlated Depreciation Computers</v>
          </cell>
          <cell r="M817" t="str">
            <v>ACCUMLATED DEPRECIATION COMPUTERS</v>
          </cell>
          <cell r="N817" t="e">
            <v>#REF!</v>
          </cell>
          <cell r="O817" t="str">
            <v>A</v>
          </cell>
          <cell r="Q817">
            <v>0</v>
          </cell>
          <cell r="R817">
            <v>0</v>
          </cell>
          <cell r="U817">
            <v>0</v>
          </cell>
          <cell r="V817">
            <v>0</v>
          </cell>
          <cell r="X817">
            <v>0</v>
          </cell>
          <cell r="Y817">
            <v>0</v>
          </cell>
          <cell r="Z817">
            <v>0</v>
          </cell>
          <cell r="AC817">
            <v>0</v>
          </cell>
          <cell r="AG817">
            <v>0</v>
          </cell>
          <cell r="AH817">
            <v>0</v>
          </cell>
        </row>
        <row r="818">
          <cell r="G818">
            <v>15028</v>
          </cell>
          <cell r="H818">
            <v>910000</v>
          </cell>
          <cell r="L818" t="str">
            <v>Accumlated Depreciation Furniture &amp; Fittings</v>
          </cell>
          <cell r="M818" t="str">
            <v>ACCUMLATED DEPRECIATION FURNITURE &amp; FITTINGS</v>
          </cell>
          <cell r="N818" t="e">
            <v>#REF!</v>
          </cell>
          <cell r="O818" t="str">
            <v>A</v>
          </cell>
          <cell r="Q818">
            <v>0</v>
          </cell>
          <cell r="R818">
            <v>0</v>
          </cell>
          <cell r="X818">
            <v>0</v>
          </cell>
        </row>
        <row r="819">
          <cell r="H819">
            <v>911000</v>
          </cell>
          <cell r="K819" t="str">
            <v>(B) Less  : Depreciation</v>
          </cell>
          <cell r="M819" t="e">
            <v>#N/A</v>
          </cell>
          <cell r="N819" t="e">
            <v>#REF!</v>
          </cell>
          <cell r="O819" t="str">
            <v>A</v>
          </cell>
          <cell r="Q819">
            <v>-962344398</v>
          </cell>
          <cell r="R819">
            <v>-913641683</v>
          </cell>
          <cell r="T819">
            <v>0</v>
          </cell>
          <cell r="U819">
            <v>-309770547</v>
          </cell>
          <cell r="V819">
            <v>-288930029</v>
          </cell>
          <cell r="X819">
            <v>0</v>
          </cell>
          <cell r="Y819">
            <v>-553980077</v>
          </cell>
          <cell r="Z819">
            <v>-540306863</v>
          </cell>
          <cell r="AB819">
            <v>0</v>
          </cell>
          <cell r="AC819">
            <v>-64238672</v>
          </cell>
          <cell r="AD819">
            <v>-58326953</v>
          </cell>
          <cell r="AF819">
            <v>0</v>
          </cell>
          <cell r="AG819">
            <v>-34355102</v>
          </cell>
          <cell r="AH819">
            <v>-26077838</v>
          </cell>
        </row>
        <row r="820">
          <cell r="H820">
            <v>912000</v>
          </cell>
          <cell r="K820" t="str">
            <v>(C) Net Block</v>
          </cell>
          <cell r="M820" t="e">
            <v>#N/A</v>
          </cell>
          <cell r="N820" t="e">
            <v>#REF!</v>
          </cell>
          <cell r="O820" t="str">
            <v>A</v>
          </cell>
          <cell r="P820">
            <v>0</v>
          </cell>
          <cell r="Q820">
            <v>671157405</v>
          </cell>
          <cell r="R820">
            <v>587282687</v>
          </cell>
          <cell r="T820">
            <v>0</v>
          </cell>
          <cell r="U820">
            <v>291884802</v>
          </cell>
          <cell r="V820">
            <v>281672611</v>
          </cell>
          <cell r="X820">
            <v>0</v>
          </cell>
          <cell r="Y820">
            <v>160586488</v>
          </cell>
          <cell r="Z820">
            <v>122012626</v>
          </cell>
          <cell r="AB820">
            <v>0</v>
          </cell>
          <cell r="AC820">
            <v>82365863</v>
          </cell>
          <cell r="AD820">
            <v>63537787</v>
          </cell>
          <cell r="AF820">
            <v>0</v>
          </cell>
          <cell r="AG820">
            <v>136320252</v>
          </cell>
          <cell r="AH820">
            <v>120059663</v>
          </cell>
        </row>
        <row r="821">
          <cell r="H821">
            <v>913000</v>
          </cell>
          <cell r="K821" t="str">
            <v>Add : Capital Work -In- Progress</v>
          </cell>
          <cell r="M821" t="e">
            <v>#N/A</v>
          </cell>
          <cell r="N821" t="e">
            <v>#REF!</v>
          </cell>
          <cell r="O821" t="str">
            <v>A</v>
          </cell>
          <cell r="Q821">
            <v>0</v>
          </cell>
          <cell r="R821">
            <v>0</v>
          </cell>
        </row>
        <row r="822">
          <cell r="G822">
            <v>15050</v>
          </cell>
          <cell r="H822">
            <v>914000</v>
          </cell>
          <cell r="I822" t="str">
            <v>3050</v>
          </cell>
          <cell r="L822" t="str">
            <v>Capital Work In Process</v>
          </cell>
          <cell r="M822" t="str">
            <v>CWIP</v>
          </cell>
          <cell r="N822" t="e">
            <v>#REF!</v>
          </cell>
          <cell r="O822" t="str">
            <v>A</v>
          </cell>
          <cell r="Q822">
            <v>-108953713</v>
          </cell>
          <cell r="R822">
            <v>8326732</v>
          </cell>
          <cell r="U822">
            <v>-26473600</v>
          </cell>
          <cell r="V822">
            <v>779454</v>
          </cell>
          <cell r="Y822">
            <v>-2142652</v>
          </cell>
          <cell r="Z822">
            <v>-10140505</v>
          </cell>
          <cell r="AC822">
            <v>2173852</v>
          </cell>
          <cell r="AD822">
            <v>13474688</v>
          </cell>
          <cell r="AG822">
            <v>-82511313</v>
          </cell>
          <cell r="AH822">
            <v>4213095</v>
          </cell>
        </row>
        <row r="823">
          <cell r="G823">
            <v>15044</v>
          </cell>
          <cell r="H823">
            <v>915000</v>
          </cell>
          <cell r="L823" t="str">
            <v>Cwip- Building</v>
          </cell>
          <cell r="M823" t="str">
            <v>CWIP - BUILDLING</v>
          </cell>
          <cell r="N823" t="e">
            <v>#REF!</v>
          </cell>
          <cell r="O823" t="str">
            <v>A</v>
          </cell>
          <cell r="Q823">
            <v>10185240</v>
          </cell>
          <cell r="R823">
            <v>8787321</v>
          </cell>
          <cell r="U823">
            <v>6582632</v>
          </cell>
          <cell r="V823">
            <v>5182362</v>
          </cell>
          <cell r="Y823">
            <v>3602608</v>
          </cell>
          <cell r="Z823">
            <v>3604959</v>
          </cell>
          <cell r="AC823">
            <v>0</v>
          </cell>
          <cell r="AD823">
            <v>0</v>
          </cell>
          <cell r="AG823">
            <v>0</v>
          </cell>
          <cell r="AH823">
            <v>0</v>
          </cell>
        </row>
        <row r="824">
          <cell r="G824">
            <v>15045</v>
          </cell>
          <cell r="H824">
            <v>916000</v>
          </cell>
          <cell r="L824" t="str">
            <v>Cwip- Plant And Machinery</v>
          </cell>
          <cell r="M824" t="str">
            <v>CWIP - PLANT &amp; MACHINERY</v>
          </cell>
          <cell r="N824" t="e">
            <v>#REF!</v>
          </cell>
          <cell r="O824" t="str">
            <v>A</v>
          </cell>
          <cell r="Q824">
            <v>47546001</v>
          </cell>
          <cell r="R824">
            <v>24882110</v>
          </cell>
          <cell r="U824">
            <v>31247353</v>
          </cell>
          <cell r="V824">
            <v>5961136</v>
          </cell>
          <cell r="Y824">
            <v>16298648</v>
          </cell>
          <cell r="Z824">
            <v>18920974</v>
          </cell>
          <cell r="AC824">
            <v>0</v>
          </cell>
          <cell r="AD824">
            <v>0</v>
          </cell>
          <cell r="AG824">
            <v>0</v>
          </cell>
          <cell r="AH824">
            <v>0</v>
          </cell>
        </row>
        <row r="825">
          <cell r="G825">
            <v>15046</v>
          </cell>
          <cell r="H825">
            <v>917000</v>
          </cell>
          <cell r="L825" t="str">
            <v>Cwip- Computers</v>
          </cell>
          <cell r="M825" t="str">
            <v>CWIP - COMPUTERS</v>
          </cell>
          <cell r="N825" t="e">
            <v>#REF!</v>
          </cell>
          <cell r="O825" t="str">
            <v>A</v>
          </cell>
          <cell r="Q825">
            <v>3204458</v>
          </cell>
          <cell r="R825">
            <v>1205660</v>
          </cell>
          <cell r="U825">
            <v>3105759</v>
          </cell>
          <cell r="V825">
            <v>1145266</v>
          </cell>
          <cell r="Y825">
            <v>98699</v>
          </cell>
          <cell r="Z825">
            <v>60394</v>
          </cell>
          <cell r="AC825">
            <v>0</v>
          </cell>
          <cell r="AD825">
            <v>0</v>
          </cell>
          <cell r="AG825">
            <v>0</v>
          </cell>
          <cell r="AH825">
            <v>0</v>
          </cell>
        </row>
        <row r="826">
          <cell r="G826">
            <v>15047</v>
          </cell>
          <cell r="H826">
            <v>918000</v>
          </cell>
          <cell r="L826" t="str">
            <v>Cwip- Furniture And Fittings</v>
          </cell>
          <cell r="M826" t="str">
            <v>CWIP - FURNITURE &amp; FITTINGS</v>
          </cell>
          <cell r="N826" t="e">
            <v>#REF!</v>
          </cell>
          <cell r="O826" t="str">
            <v>A</v>
          </cell>
          <cell r="Q826">
            <v>0</v>
          </cell>
          <cell r="R826">
            <v>0</v>
          </cell>
          <cell r="U826">
            <v>0</v>
          </cell>
          <cell r="V826">
            <v>0</v>
          </cell>
          <cell r="Y826">
            <v>0</v>
          </cell>
          <cell r="Z826">
            <v>0</v>
          </cell>
          <cell r="AC826">
            <v>0</v>
          </cell>
          <cell r="AD826">
            <v>0</v>
          </cell>
          <cell r="AG826">
            <v>0</v>
          </cell>
          <cell r="AH826">
            <v>0</v>
          </cell>
        </row>
        <row r="827">
          <cell r="H827">
            <v>919000</v>
          </cell>
          <cell r="I827" t="str">
            <v>3055</v>
          </cell>
          <cell r="L827" t="str">
            <v>Cwip- Chennai</v>
          </cell>
          <cell r="M827" t="e">
            <v>#N/A</v>
          </cell>
          <cell r="N827" t="e">
            <v>#REF!</v>
          </cell>
          <cell r="O827" t="str">
            <v>A</v>
          </cell>
          <cell r="Q827">
            <v>-28800</v>
          </cell>
          <cell r="R827">
            <v>0</v>
          </cell>
          <cell r="U827">
            <v>0</v>
          </cell>
          <cell r="V827">
            <v>0</v>
          </cell>
          <cell r="Y827">
            <v>0</v>
          </cell>
          <cell r="Z827">
            <v>0</v>
          </cell>
          <cell r="AC827">
            <v>-28800</v>
          </cell>
          <cell r="AD827">
            <v>0</v>
          </cell>
          <cell r="AG827">
            <v>0</v>
          </cell>
          <cell r="AH827">
            <v>0</v>
          </cell>
        </row>
        <row r="828">
          <cell r="H828">
            <v>920000</v>
          </cell>
          <cell r="I828" t="str">
            <v>3056</v>
          </cell>
          <cell r="L828" t="str">
            <v>Cwip- North</v>
          </cell>
          <cell r="M828" t="e">
            <v>#N/A</v>
          </cell>
          <cell r="N828" t="e">
            <v>#REF!</v>
          </cell>
          <cell r="O828" t="str">
            <v>A</v>
          </cell>
          <cell r="Q828">
            <v>86719577</v>
          </cell>
          <cell r="R828">
            <v>2976987</v>
          </cell>
          <cell r="U828">
            <v>0</v>
          </cell>
          <cell r="V828">
            <v>0</v>
          </cell>
          <cell r="Y828">
            <v>0</v>
          </cell>
          <cell r="Z828">
            <v>0</v>
          </cell>
          <cell r="AC828">
            <v>0</v>
          </cell>
          <cell r="AD828">
            <v>0</v>
          </cell>
          <cell r="AG828">
            <v>86719577</v>
          </cell>
          <cell r="AH828">
            <v>2976987</v>
          </cell>
        </row>
        <row r="829">
          <cell r="H829">
            <v>921000</v>
          </cell>
          <cell r="L829">
            <v>0</v>
          </cell>
          <cell r="M829" t="e">
            <v>#N/A</v>
          </cell>
          <cell r="N829" t="e">
            <v>#REF!</v>
          </cell>
          <cell r="O829" t="str">
            <v>A</v>
          </cell>
          <cell r="Q829">
            <v>0</v>
          </cell>
          <cell r="R829">
            <v>0</v>
          </cell>
          <cell r="U829">
            <v>0</v>
          </cell>
          <cell r="V829">
            <v>0</v>
          </cell>
          <cell r="AC829">
            <v>0</v>
          </cell>
          <cell r="AD829">
            <v>0</v>
          </cell>
          <cell r="AG829">
            <v>0</v>
          </cell>
          <cell r="AH829">
            <v>0</v>
          </cell>
        </row>
        <row r="830">
          <cell r="H830">
            <v>922000</v>
          </cell>
          <cell r="K830" t="str">
            <v>Add : Capital Work -In- Progress</v>
          </cell>
          <cell r="M830" t="e">
            <v>#N/A</v>
          </cell>
          <cell r="N830" t="e">
            <v>#REF!</v>
          </cell>
          <cell r="O830" t="str">
            <v>A</v>
          </cell>
          <cell r="P830">
            <v>0</v>
          </cell>
          <cell r="Q830">
            <v>38672763</v>
          </cell>
          <cell r="R830">
            <v>46178810</v>
          </cell>
          <cell r="T830">
            <v>0</v>
          </cell>
          <cell r="U830">
            <v>14462144</v>
          </cell>
          <cell r="V830">
            <v>13068218</v>
          </cell>
          <cell r="X830">
            <v>0</v>
          </cell>
          <cell r="Y830">
            <v>17857303</v>
          </cell>
          <cell r="Z830">
            <v>12445822</v>
          </cell>
          <cell r="AB830">
            <v>0</v>
          </cell>
          <cell r="AC830">
            <v>2145052</v>
          </cell>
          <cell r="AD830">
            <v>13474688</v>
          </cell>
          <cell r="AF830">
            <v>0</v>
          </cell>
          <cell r="AG830">
            <v>4208264</v>
          </cell>
          <cell r="AH830">
            <v>7190082</v>
          </cell>
        </row>
        <row r="831">
          <cell r="H831">
            <v>923000</v>
          </cell>
          <cell r="J831" t="str">
            <v>Fixed Assets</v>
          </cell>
          <cell r="M831" t="e">
            <v>#N/A</v>
          </cell>
          <cell r="N831" t="e">
            <v>#REF!</v>
          </cell>
          <cell r="O831" t="str">
            <v>A</v>
          </cell>
          <cell r="Q831">
            <v>709830168</v>
          </cell>
          <cell r="R831">
            <v>633461497</v>
          </cell>
          <cell r="T831">
            <v>0</v>
          </cell>
          <cell r="U831">
            <v>306346946</v>
          </cell>
          <cell r="V831">
            <v>294740829</v>
          </cell>
          <cell r="X831">
            <v>0</v>
          </cell>
          <cell r="Y831">
            <v>178443791</v>
          </cell>
          <cell r="Z831">
            <v>134458448</v>
          </cell>
          <cell r="AB831">
            <v>0</v>
          </cell>
          <cell r="AC831">
            <v>84510915</v>
          </cell>
          <cell r="AD831">
            <v>77012475</v>
          </cell>
          <cell r="AF831">
            <v>0</v>
          </cell>
          <cell r="AG831">
            <v>140528516</v>
          </cell>
          <cell r="AH831">
            <v>127249745</v>
          </cell>
        </row>
        <row r="832">
          <cell r="H832">
            <v>924000</v>
          </cell>
          <cell r="M832" t="e">
            <v>#N/A</v>
          </cell>
          <cell r="N832" t="e">
            <v>#REF!</v>
          </cell>
          <cell r="O832" t="str">
            <v>A</v>
          </cell>
          <cell r="Q832">
            <v>0</v>
          </cell>
          <cell r="R832">
            <v>0</v>
          </cell>
        </row>
        <row r="833">
          <cell r="H833">
            <v>925000</v>
          </cell>
          <cell r="J833" t="str">
            <v>INVESTMENTS</v>
          </cell>
          <cell r="M833" t="e">
            <v>#N/A</v>
          </cell>
          <cell r="N833" t="e">
            <v>#REF!</v>
          </cell>
          <cell r="O833" t="str">
            <v>A</v>
          </cell>
        </row>
        <row r="834">
          <cell r="G834">
            <v>15062</v>
          </cell>
          <cell r="H834">
            <v>926000</v>
          </cell>
          <cell r="I834" t="str">
            <v>3100</v>
          </cell>
          <cell r="L834" t="str">
            <v>Investment In Subsidiries (Proseal)</v>
          </cell>
          <cell r="M834" t="str">
            <v>INVESTMENTS</v>
          </cell>
          <cell r="N834" t="e">
            <v>#REF!</v>
          </cell>
          <cell r="O834" t="str">
            <v>A</v>
          </cell>
          <cell r="P834">
            <v>0</v>
          </cell>
          <cell r="Q834">
            <v>444291837</v>
          </cell>
          <cell r="R834">
            <v>444291837</v>
          </cell>
          <cell r="T834">
            <v>0</v>
          </cell>
          <cell r="U834">
            <v>444291837</v>
          </cell>
          <cell r="V834">
            <v>444291837</v>
          </cell>
          <cell r="X834">
            <v>0</v>
          </cell>
          <cell r="Y834">
            <v>0</v>
          </cell>
          <cell r="Z834">
            <v>0</v>
          </cell>
          <cell r="AB834">
            <v>0</v>
          </cell>
          <cell r="AC834">
            <v>0</v>
          </cell>
          <cell r="AD834">
            <v>0</v>
          </cell>
          <cell r="AF834">
            <v>0</v>
          </cell>
          <cell r="AG834">
            <v>0</v>
          </cell>
          <cell r="AH834">
            <v>0</v>
          </cell>
        </row>
        <row r="835">
          <cell r="H835">
            <v>927000</v>
          </cell>
          <cell r="L835" t="str">
            <v>Investment In Transafe</v>
          </cell>
          <cell r="M835" t="e">
            <v>#N/A</v>
          </cell>
          <cell r="N835" t="e">
            <v>#REF!</v>
          </cell>
          <cell r="O835" t="str">
            <v>A</v>
          </cell>
          <cell r="AC835">
            <v>0</v>
          </cell>
          <cell r="AG835">
            <v>0</v>
          </cell>
        </row>
        <row r="836">
          <cell r="H836">
            <v>928000</v>
          </cell>
          <cell r="I836" t="str">
            <v>3110</v>
          </cell>
          <cell r="L836" t="str">
            <v>Investment In Mutual Funds</v>
          </cell>
          <cell r="M836" t="e">
            <v>#N/A</v>
          </cell>
          <cell r="N836" t="e">
            <v>#REF!</v>
          </cell>
          <cell r="O836" t="str">
            <v>A</v>
          </cell>
          <cell r="Q836">
            <v>0</v>
          </cell>
          <cell r="R836">
            <v>0</v>
          </cell>
          <cell r="U836">
            <v>0</v>
          </cell>
          <cell r="V836">
            <v>0</v>
          </cell>
          <cell r="Y836">
            <v>0</v>
          </cell>
          <cell r="Z836">
            <v>0</v>
          </cell>
          <cell r="AC836">
            <v>0</v>
          </cell>
          <cell r="AD836">
            <v>0</v>
          </cell>
          <cell r="AG836">
            <v>0</v>
          </cell>
          <cell r="AH836">
            <v>0</v>
          </cell>
        </row>
        <row r="837">
          <cell r="H837">
            <v>929000</v>
          </cell>
          <cell r="J837" t="str">
            <v>INVESTMENTS</v>
          </cell>
          <cell r="M837" t="e">
            <v>#N/A</v>
          </cell>
          <cell r="N837" t="e">
            <v>#REF!</v>
          </cell>
          <cell r="O837" t="str">
            <v>A</v>
          </cell>
          <cell r="P837">
            <v>0</v>
          </cell>
          <cell r="Q837">
            <v>444291837</v>
          </cell>
          <cell r="R837">
            <v>444291837</v>
          </cell>
          <cell r="T837">
            <v>0</v>
          </cell>
          <cell r="U837">
            <v>444291837</v>
          </cell>
          <cell r="V837">
            <v>444291837</v>
          </cell>
          <cell r="X837">
            <v>0</v>
          </cell>
          <cell r="Y837">
            <v>0</v>
          </cell>
          <cell r="Z837">
            <v>0</v>
          </cell>
          <cell r="AB837">
            <v>0</v>
          </cell>
          <cell r="AC837">
            <v>0</v>
          </cell>
          <cell r="AD837">
            <v>0</v>
          </cell>
          <cell r="AF837">
            <v>0</v>
          </cell>
          <cell r="AG837">
            <v>0</v>
          </cell>
          <cell r="AH837">
            <v>0</v>
          </cell>
        </row>
        <row r="838">
          <cell r="H838">
            <v>930000</v>
          </cell>
          <cell r="M838" t="e">
            <v>#N/A</v>
          </cell>
          <cell r="N838" t="e">
            <v>#REF!</v>
          </cell>
          <cell r="O838" t="str">
            <v>A</v>
          </cell>
        </row>
        <row r="839">
          <cell r="H839">
            <v>931000</v>
          </cell>
          <cell r="J839" t="str">
            <v>LONG -TERM LOANS AND ADVANCES</v>
          </cell>
          <cell r="M839" t="e">
            <v>#N/A</v>
          </cell>
          <cell r="N839" t="e">
            <v>#REF!</v>
          </cell>
          <cell r="O839" t="str">
            <v>A</v>
          </cell>
        </row>
        <row r="840">
          <cell r="H840">
            <v>932000</v>
          </cell>
          <cell r="K840" t="str">
            <v>Capital Advance</v>
          </cell>
          <cell r="M840" t="e">
            <v>#N/A</v>
          </cell>
          <cell r="N840" t="e">
            <v>#REF!</v>
          </cell>
          <cell r="O840" t="str">
            <v>A</v>
          </cell>
        </row>
        <row r="841">
          <cell r="G841">
            <v>15049</v>
          </cell>
          <cell r="H841">
            <v>933000</v>
          </cell>
          <cell r="I841" t="str">
            <v>3420</v>
          </cell>
          <cell r="L841" t="str">
            <v>Advance A/C - Capex</v>
          </cell>
          <cell r="M841" t="str">
            <v>CAPITAL ADVANCES</v>
          </cell>
          <cell r="N841" t="e">
            <v>#REF!</v>
          </cell>
          <cell r="O841" t="str">
            <v>A</v>
          </cell>
          <cell r="Q841">
            <v>16622509</v>
          </cell>
          <cell r="R841">
            <v>0</v>
          </cell>
          <cell r="U841">
            <v>4396556</v>
          </cell>
          <cell r="V841">
            <v>0</v>
          </cell>
          <cell r="Y841">
            <v>1728060</v>
          </cell>
          <cell r="Z841">
            <v>0</v>
          </cell>
          <cell r="AC841">
            <v>1853237</v>
          </cell>
          <cell r="AD841">
            <v>0</v>
          </cell>
          <cell r="AG841">
            <v>8644656</v>
          </cell>
          <cell r="AH841">
            <v>0</v>
          </cell>
        </row>
        <row r="842">
          <cell r="Q842">
            <v>0</v>
          </cell>
          <cell r="R842">
            <v>12595264</v>
          </cell>
          <cell r="V842">
            <v>6895744</v>
          </cell>
          <cell r="Z842">
            <v>4387520</v>
          </cell>
          <cell r="AC842">
            <v>0</v>
          </cell>
          <cell r="AG842">
            <v>0</v>
          </cell>
          <cell r="AH842">
            <v>1312000</v>
          </cell>
        </row>
        <row r="843">
          <cell r="H843">
            <v>935000</v>
          </cell>
          <cell r="K843" t="e">
            <v>#REF!</v>
          </cell>
          <cell r="L843" t="str">
            <v>Sub-Total</v>
          </cell>
          <cell r="M843" t="e">
            <v>#N/A</v>
          </cell>
          <cell r="N843" t="e">
            <v>#REF!</v>
          </cell>
          <cell r="O843" t="str">
            <v>A</v>
          </cell>
          <cell r="P843">
            <v>0</v>
          </cell>
          <cell r="Q843">
            <v>16622509</v>
          </cell>
          <cell r="R843">
            <v>12595264</v>
          </cell>
          <cell r="T843">
            <v>0</v>
          </cell>
          <cell r="U843">
            <v>4396556</v>
          </cell>
          <cell r="V843">
            <v>6895744</v>
          </cell>
          <cell r="W843">
            <v>0</v>
          </cell>
          <cell r="X843">
            <v>0</v>
          </cell>
          <cell r="Y843">
            <v>1728060</v>
          </cell>
          <cell r="Z843">
            <v>4387520</v>
          </cell>
          <cell r="AA843">
            <v>0</v>
          </cell>
          <cell r="AB843">
            <v>0</v>
          </cell>
          <cell r="AC843">
            <v>1853237</v>
          </cell>
          <cell r="AD843">
            <v>0</v>
          </cell>
          <cell r="AE843">
            <v>0</v>
          </cell>
          <cell r="AF843">
            <v>0</v>
          </cell>
          <cell r="AG843">
            <v>8644656</v>
          </cell>
          <cell r="AH843">
            <v>1312000</v>
          </cell>
        </row>
        <row r="844">
          <cell r="H844">
            <v>936000</v>
          </cell>
          <cell r="K844" t="str">
            <v>Security Deposits</v>
          </cell>
          <cell r="M844" t="e">
            <v>#N/A</v>
          </cell>
          <cell r="N844" t="e">
            <v>#REF!</v>
          </cell>
          <cell r="O844" t="str">
            <v>A</v>
          </cell>
          <cell r="AC844">
            <v>0</v>
          </cell>
          <cell r="AD844">
            <v>0</v>
          </cell>
          <cell r="AG844">
            <v>0</v>
          </cell>
          <cell r="AH844">
            <v>0</v>
          </cell>
        </row>
        <row r="845">
          <cell r="G845">
            <v>15197</v>
          </cell>
          <cell r="H845">
            <v>937000</v>
          </cell>
          <cell r="I845" t="str">
            <v>3700</v>
          </cell>
          <cell r="L845" t="str">
            <v>Deposits Paid</v>
          </cell>
          <cell r="M845" t="str">
            <v>DEPOSITS PAID</v>
          </cell>
          <cell r="N845" t="e">
            <v>#REF!</v>
          </cell>
          <cell r="O845" t="str">
            <v>A</v>
          </cell>
          <cell r="Q845">
            <v>22688477</v>
          </cell>
          <cell r="R845">
            <v>22709678</v>
          </cell>
          <cell r="U845">
            <v>1502382</v>
          </cell>
          <cell r="V845">
            <v>1460463</v>
          </cell>
          <cell r="Y845">
            <v>16623056</v>
          </cell>
          <cell r="Z845">
            <v>17586215</v>
          </cell>
          <cell r="AC845">
            <v>2533300</v>
          </cell>
          <cell r="AD845">
            <v>1652688</v>
          </cell>
          <cell r="AG845">
            <v>2029739</v>
          </cell>
          <cell r="AH845">
            <v>2010312</v>
          </cell>
        </row>
        <row r="846">
          <cell r="G846">
            <v>15198</v>
          </cell>
          <cell r="H846">
            <v>938000</v>
          </cell>
          <cell r="I846" t="str">
            <v>3705</v>
          </cell>
          <cell r="L846" t="str">
            <v>Rent Deposits</v>
          </cell>
          <cell r="M846" t="str">
            <v>RENT DEPOSITS</v>
          </cell>
          <cell r="N846" t="e">
            <v>#REF!</v>
          </cell>
          <cell r="O846" t="str">
            <v>A</v>
          </cell>
          <cell r="Q846">
            <v>1800</v>
          </cell>
          <cell r="R846">
            <v>1800</v>
          </cell>
          <cell r="U846">
            <v>1800</v>
          </cell>
          <cell r="V846">
            <v>1800</v>
          </cell>
          <cell r="Y846">
            <v>0</v>
          </cell>
          <cell r="Z846">
            <v>0</v>
          </cell>
          <cell r="AC846">
            <v>0</v>
          </cell>
          <cell r="AD846">
            <v>0</v>
          </cell>
          <cell r="AG846">
            <v>0</v>
          </cell>
          <cell r="AH846">
            <v>0</v>
          </cell>
        </row>
        <row r="847">
          <cell r="H847">
            <v>939000</v>
          </cell>
          <cell r="L847" t="str">
            <v>Regrouped to Short Term Deposits</v>
          </cell>
          <cell r="O847" t="str">
            <v>A</v>
          </cell>
          <cell r="Q847">
            <v>-4561948</v>
          </cell>
          <cell r="R847">
            <v>-7027968</v>
          </cell>
          <cell r="U847">
            <v>-4561948</v>
          </cell>
          <cell r="V847">
            <v>-1141013</v>
          </cell>
          <cell r="W847">
            <v>0</v>
          </cell>
          <cell r="X847">
            <v>0</v>
          </cell>
          <cell r="Y847">
            <v>0</v>
          </cell>
          <cell r="Z847">
            <v>-5832133</v>
          </cell>
          <cell r="AA847">
            <v>0</v>
          </cell>
          <cell r="AB847">
            <v>0</v>
          </cell>
          <cell r="AC847">
            <v>0</v>
          </cell>
          <cell r="AD847">
            <v>-7000</v>
          </cell>
          <cell r="AE847">
            <v>0</v>
          </cell>
          <cell r="AF847">
            <v>0</v>
          </cell>
          <cell r="AG847">
            <v>0</v>
          </cell>
          <cell r="AH847">
            <v>-47822</v>
          </cell>
        </row>
        <row r="848">
          <cell r="H848">
            <v>940000</v>
          </cell>
          <cell r="L848" t="str">
            <v>Regrouped from Doubtful</v>
          </cell>
          <cell r="M848" t="e">
            <v>#N/A</v>
          </cell>
          <cell r="N848" t="e">
            <v>#REF!</v>
          </cell>
          <cell r="O848" t="str">
            <v>A</v>
          </cell>
          <cell r="Q848">
            <v>-681671</v>
          </cell>
          <cell r="R848">
            <v>-681671</v>
          </cell>
          <cell r="U848">
            <v>-681671</v>
          </cell>
          <cell r="V848">
            <v>-681671</v>
          </cell>
          <cell r="W848">
            <v>0</v>
          </cell>
          <cell r="X848">
            <v>0</v>
          </cell>
          <cell r="Y848">
            <v>0</v>
          </cell>
          <cell r="Z848">
            <v>0</v>
          </cell>
          <cell r="AA848">
            <v>0</v>
          </cell>
          <cell r="AB848">
            <v>0</v>
          </cell>
          <cell r="AC848">
            <v>0</v>
          </cell>
          <cell r="AD848">
            <v>0</v>
          </cell>
          <cell r="AE848">
            <v>0</v>
          </cell>
          <cell r="AF848">
            <v>0</v>
          </cell>
          <cell r="AG848">
            <v>0</v>
          </cell>
          <cell r="AH848">
            <v>0</v>
          </cell>
        </row>
        <row r="849">
          <cell r="H849">
            <v>941000</v>
          </cell>
          <cell r="K849" t="str">
            <v>Security Deposits</v>
          </cell>
          <cell r="L849" t="str">
            <v>Sub-Total</v>
          </cell>
          <cell r="M849" t="e">
            <v>#N/A</v>
          </cell>
          <cell r="N849" t="e">
            <v>#REF!</v>
          </cell>
          <cell r="O849" t="str">
            <v>A</v>
          </cell>
          <cell r="P849">
            <v>0</v>
          </cell>
          <cell r="Q849">
            <v>17446658</v>
          </cell>
          <cell r="R849">
            <v>15001839</v>
          </cell>
          <cell r="T849">
            <v>0</v>
          </cell>
          <cell r="U849">
            <v>-3739437</v>
          </cell>
          <cell r="V849">
            <v>-360421</v>
          </cell>
          <cell r="X849">
            <v>0</v>
          </cell>
          <cell r="Y849">
            <v>16623056</v>
          </cell>
          <cell r="Z849">
            <v>11754082</v>
          </cell>
          <cell r="AB849">
            <v>0</v>
          </cell>
          <cell r="AC849">
            <v>2533300</v>
          </cell>
          <cell r="AD849">
            <v>1645688</v>
          </cell>
          <cell r="AF849">
            <v>0</v>
          </cell>
          <cell r="AG849">
            <v>2029739</v>
          </cell>
          <cell r="AH849">
            <v>1962490</v>
          </cell>
        </row>
        <row r="850">
          <cell r="H850">
            <v>942000</v>
          </cell>
          <cell r="K850" t="str">
            <v>Balance With Government Authorities</v>
          </cell>
          <cell r="M850" t="e">
            <v>#N/A</v>
          </cell>
          <cell r="N850" t="e">
            <v>#REF!</v>
          </cell>
          <cell r="O850" t="str">
            <v>A</v>
          </cell>
        </row>
        <row r="851">
          <cell r="G851">
            <v>15381</v>
          </cell>
          <cell r="H851">
            <v>943000</v>
          </cell>
          <cell r="I851" t="str">
            <v>3604</v>
          </cell>
          <cell r="L851" t="str">
            <v>Recoverable From Sales Tax A/C</v>
          </cell>
          <cell r="M851" t="str">
            <v>RECOVERABLE FROM SALES TAX A/C</v>
          </cell>
          <cell r="N851" t="e">
            <v>#REF!</v>
          </cell>
          <cell r="O851" t="str">
            <v>A</v>
          </cell>
          <cell r="Q851">
            <v>8295768</v>
          </cell>
          <cell r="R851">
            <v>7654822</v>
          </cell>
          <cell r="U851">
            <v>8176818</v>
          </cell>
          <cell r="V851">
            <v>7535872</v>
          </cell>
          <cell r="Y851">
            <v>118950</v>
          </cell>
          <cell r="Z851">
            <v>118950</v>
          </cell>
          <cell r="AC851">
            <v>0</v>
          </cell>
          <cell r="AD851">
            <v>0</v>
          </cell>
          <cell r="AG851">
            <v>0</v>
          </cell>
          <cell r="AH851">
            <v>0</v>
          </cell>
        </row>
        <row r="852">
          <cell r="H852">
            <v>944000</v>
          </cell>
          <cell r="M852" t="e">
            <v>#N/A</v>
          </cell>
          <cell r="N852" t="e">
            <v>#REF!</v>
          </cell>
          <cell r="O852" t="str">
            <v>A</v>
          </cell>
          <cell r="Q852">
            <v>0</v>
          </cell>
          <cell r="R852">
            <v>0</v>
          </cell>
          <cell r="Y852">
            <v>0</v>
          </cell>
          <cell r="Z852">
            <v>0</v>
          </cell>
          <cell r="AC852">
            <v>0</v>
          </cell>
          <cell r="AD852">
            <v>0</v>
          </cell>
          <cell r="AG852">
            <v>0</v>
          </cell>
          <cell r="AH852">
            <v>0</v>
          </cell>
        </row>
        <row r="853">
          <cell r="H853">
            <v>945000</v>
          </cell>
          <cell r="K853" t="e">
            <v>#REF!</v>
          </cell>
          <cell r="L853" t="str">
            <v>Sub-Total</v>
          </cell>
          <cell r="M853" t="e">
            <v>#N/A</v>
          </cell>
          <cell r="N853" t="e">
            <v>#REF!</v>
          </cell>
          <cell r="O853" t="str">
            <v>A</v>
          </cell>
          <cell r="P853">
            <v>0</v>
          </cell>
          <cell r="Q853">
            <v>8295768</v>
          </cell>
          <cell r="R853">
            <v>7654822</v>
          </cell>
          <cell r="T853">
            <v>0</v>
          </cell>
          <cell r="U853">
            <v>8176818</v>
          </cell>
          <cell r="V853">
            <v>7535872</v>
          </cell>
          <cell r="X853">
            <v>0</v>
          </cell>
          <cell r="Y853">
            <v>118950</v>
          </cell>
          <cell r="Z853">
            <v>118950</v>
          </cell>
          <cell r="AB853">
            <v>0</v>
          </cell>
          <cell r="AC853">
            <v>0</v>
          </cell>
          <cell r="AD853">
            <v>0</v>
          </cell>
          <cell r="AF853">
            <v>0</v>
          </cell>
          <cell r="AG853">
            <v>0</v>
          </cell>
          <cell r="AH853">
            <v>0</v>
          </cell>
        </row>
        <row r="854">
          <cell r="H854">
            <v>946000</v>
          </cell>
          <cell r="K854" t="str">
            <v>Prepaid Expenses</v>
          </cell>
          <cell r="M854" t="e">
            <v>#N/A</v>
          </cell>
          <cell r="N854" t="e">
            <v>#REF!</v>
          </cell>
          <cell r="O854" t="str">
            <v>A</v>
          </cell>
        </row>
        <row r="855">
          <cell r="G855">
            <v>15221</v>
          </cell>
          <cell r="H855">
            <v>947000</v>
          </cell>
          <cell r="I855" t="str">
            <v>3750</v>
          </cell>
          <cell r="L855" t="str">
            <v>Prepaid Expenses</v>
          </cell>
          <cell r="M855" t="str">
            <v>PREPAID EXPENSES</v>
          </cell>
          <cell r="N855" t="e">
            <v>#REF!</v>
          </cell>
          <cell r="O855" t="str">
            <v>A</v>
          </cell>
          <cell r="Q855">
            <v>1714364</v>
          </cell>
          <cell r="R855">
            <v>1947334</v>
          </cell>
          <cell r="U855">
            <v>917610</v>
          </cell>
          <cell r="V855">
            <v>1159887</v>
          </cell>
          <cell r="Y855">
            <v>468712</v>
          </cell>
          <cell r="Z855">
            <v>527365</v>
          </cell>
          <cell r="AC855">
            <v>151658</v>
          </cell>
          <cell r="AD855">
            <v>180995</v>
          </cell>
          <cell r="AG855">
            <v>176384</v>
          </cell>
          <cell r="AH855">
            <v>79087</v>
          </cell>
        </row>
        <row r="856">
          <cell r="G856">
            <v>15222</v>
          </cell>
          <cell r="H856">
            <v>948000</v>
          </cell>
          <cell r="I856" t="str">
            <v>3755</v>
          </cell>
          <cell r="L856" t="str">
            <v>Prepaid Insurance</v>
          </cell>
          <cell r="M856" t="str">
            <v>PREPAID INSURANCE</v>
          </cell>
          <cell r="N856" t="e">
            <v>#REF!</v>
          </cell>
          <cell r="O856" t="str">
            <v>A</v>
          </cell>
          <cell r="Q856">
            <v>2584064</v>
          </cell>
          <cell r="R856">
            <v>2782870</v>
          </cell>
          <cell r="U856">
            <v>2558678</v>
          </cell>
          <cell r="V856">
            <v>2770324</v>
          </cell>
          <cell r="Y856">
            <v>8517</v>
          </cell>
          <cell r="Z856">
            <v>8931</v>
          </cell>
          <cell r="AC856">
            <v>16869</v>
          </cell>
          <cell r="AD856">
            <v>3615</v>
          </cell>
          <cell r="AG856">
            <v>0</v>
          </cell>
          <cell r="AH856">
            <v>0</v>
          </cell>
        </row>
        <row r="857">
          <cell r="H857">
            <v>949000</v>
          </cell>
          <cell r="L857" t="str">
            <v>Regrouped to Short Term Prepaid</v>
          </cell>
          <cell r="O857" t="str">
            <v>A</v>
          </cell>
          <cell r="Q857">
            <v>-3629057</v>
          </cell>
          <cell r="R857">
            <v>-3760090</v>
          </cell>
          <cell r="U857">
            <v>-3629057</v>
          </cell>
          <cell r="V857">
            <v>-3455392</v>
          </cell>
          <cell r="W857">
            <v>0</v>
          </cell>
          <cell r="X857">
            <v>0</v>
          </cell>
          <cell r="Y857">
            <v>0</v>
          </cell>
          <cell r="Z857">
            <v>-93001</v>
          </cell>
          <cell r="AA857">
            <v>0</v>
          </cell>
          <cell r="AB857">
            <v>0</v>
          </cell>
          <cell r="AC857">
            <v>0</v>
          </cell>
          <cell r="AD857">
            <v>-132610</v>
          </cell>
          <cell r="AE857">
            <v>0</v>
          </cell>
          <cell r="AF857">
            <v>0</v>
          </cell>
          <cell r="AG857">
            <v>0</v>
          </cell>
          <cell r="AH857">
            <v>-79087</v>
          </cell>
        </row>
        <row r="858">
          <cell r="H858">
            <v>950000</v>
          </cell>
          <cell r="K858" t="str">
            <v>Prepaid Expenses</v>
          </cell>
          <cell r="L858" t="str">
            <v>Sub-Total</v>
          </cell>
          <cell r="M858" t="e">
            <v>#N/A</v>
          </cell>
          <cell r="N858" t="e">
            <v>#REF!</v>
          </cell>
          <cell r="O858" t="str">
            <v>A</v>
          </cell>
          <cell r="P858">
            <v>0</v>
          </cell>
          <cell r="Q858">
            <v>669371</v>
          </cell>
          <cell r="R858">
            <v>970114</v>
          </cell>
          <cell r="T858">
            <v>0</v>
          </cell>
          <cell r="U858">
            <v>-152769</v>
          </cell>
          <cell r="V858">
            <v>474819</v>
          </cell>
          <cell r="W858">
            <v>0</v>
          </cell>
          <cell r="X858">
            <v>0</v>
          </cell>
          <cell r="Y858">
            <v>477229</v>
          </cell>
          <cell r="Z858">
            <v>443295</v>
          </cell>
          <cell r="AA858">
            <v>0</v>
          </cell>
          <cell r="AB858">
            <v>0</v>
          </cell>
          <cell r="AC858">
            <v>168527</v>
          </cell>
          <cell r="AD858">
            <v>52000</v>
          </cell>
          <cell r="AE858">
            <v>0</v>
          </cell>
          <cell r="AF858">
            <v>0</v>
          </cell>
          <cell r="AG858">
            <v>176384</v>
          </cell>
          <cell r="AH858">
            <v>0</v>
          </cell>
        </row>
        <row r="859">
          <cell r="H859">
            <v>951000</v>
          </cell>
          <cell r="K859" t="str">
            <v>Others Considered Good</v>
          </cell>
          <cell r="M859" t="e">
            <v>#N/A</v>
          </cell>
          <cell r="N859" t="e">
            <v>#REF!</v>
          </cell>
          <cell r="O859" t="str">
            <v>A</v>
          </cell>
        </row>
        <row r="860">
          <cell r="H860">
            <v>952000</v>
          </cell>
          <cell r="L860" t="str">
            <v>Regrouped from Short Term Others</v>
          </cell>
          <cell r="O860" t="str">
            <v>A</v>
          </cell>
          <cell r="Q860">
            <v>1651723</v>
          </cell>
          <cell r="R860">
            <v>4543670</v>
          </cell>
          <cell r="U860">
            <v>629667</v>
          </cell>
          <cell r="V860">
            <v>4543670</v>
          </cell>
          <cell r="Y860">
            <v>1022056</v>
          </cell>
        </row>
        <row r="861">
          <cell r="H861">
            <v>953000</v>
          </cell>
          <cell r="K861" t="e">
            <v>#REF!</v>
          </cell>
          <cell r="L861" t="str">
            <v>Sub-Total</v>
          </cell>
          <cell r="M861" t="e">
            <v>#N/A</v>
          </cell>
          <cell r="N861" t="e">
            <v>#REF!</v>
          </cell>
          <cell r="O861" t="str">
            <v>A</v>
          </cell>
          <cell r="P861">
            <v>0</v>
          </cell>
          <cell r="Q861">
            <v>1651723</v>
          </cell>
          <cell r="R861">
            <v>4543670</v>
          </cell>
          <cell r="T861">
            <v>0</v>
          </cell>
          <cell r="U861">
            <v>629667</v>
          </cell>
          <cell r="V861">
            <v>4543670</v>
          </cell>
          <cell r="W861">
            <v>0</v>
          </cell>
          <cell r="X861">
            <v>0</v>
          </cell>
          <cell r="Y861">
            <v>1022056</v>
          </cell>
          <cell r="Z861">
            <v>0</v>
          </cell>
          <cell r="AA861">
            <v>0</v>
          </cell>
          <cell r="AB861">
            <v>0</v>
          </cell>
          <cell r="AC861">
            <v>0</v>
          </cell>
          <cell r="AD861">
            <v>0</v>
          </cell>
          <cell r="AE861">
            <v>0</v>
          </cell>
          <cell r="AF861">
            <v>0</v>
          </cell>
          <cell r="AG861">
            <v>0</v>
          </cell>
          <cell r="AH861">
            <v>0</v>
          </cell>
        </row>
        <row r="862">
          <cell r="H862">
            <v>954000</v>
          </cell>
          <cell r="K862" t="str">
            <v>Others Considered Doubtful</v>
          </cell>
          <cell r="M862" t="e">
            <v>#N/A</v>
          </cell>
          <cell r="N862" t="e">
            <v>#REF!</v>
          </cell>
          <cell r="O862" t="str">
            <v>A</v>
          </cell>
        </row>
        <row r="863">
          <cell r="G863">
            <v>15269</v>
          </cell>
          <cell r="H863">
            <v>955000</v>
          </cell>
          <cell r="I863" t="str">
            <v>2160</v>
          </cell>
          <cell r="L863" t="str">
            <v>Provision For  Loans &amp; Advances</v>
          </cell>
          <cell r="M863" t="str">
            <v>PROVISION FOR LOANS &amp; ADVANCES</v>
          </cell>
          <cell r="N863" t="e">
            <v>#REF!</v>
          </cell>
          <cell r="O863" t="str">
            <v>A</v>
          </cell>
          <cell r="Q863">
            <v>-2049996</v>
          </cell>
          <cell r="R863">
            <v>-2049996</v>
          </cell>
          <cell r="U863">
            <v>-686451</v>
          </cell>
          <cell r="V863">
            <v>-686451</v>
          </cell>
          <cell r="Y863">
            <v>-627408</v>
          </cell>
          <cell r="Z863">
            <v>-627408</v>
          </cell>
          <cell r="AC863">
            <v>-736137</v>
          </cell>
          <cell r="AD863">
            <v>-736137</v>
          </cell>
          <cell r="AG863">
            <v>0</v>
          </cell>
          <cell r="AH863">
            <v>0</v>
          </cell>
        </row>
        <row r="864">
          <cell r="H864">
            <v>956000</v>
          </cell>
          <cell r="L864" t="str">
            <v>Regrouped in Deposits</v>
          </cell>
          <cell r="O864" t="str">
            <v>A</v>
          </cell>
          <cell r="Q864">
            <v>681671</v>
          </cell>
          <cell r="R864">
            <v>681671</v>
          </cell>
          <cell r="U864">
            <v>681671</v>
          </cell>
          <cell r="V864">
            <v>681671</v>
          </cell>
        </row>
        <row r="865">
          <cell r="H865">
            <v>957000</v>
          </cell>
          <cell r="O865" t="str">
            <v>A</v>
          </cell>
        </row>
        <row r="866">
          <cell r="H866">
            <v>958000</v>
          </cell>
          <cell r="K866" t="e">
            <v>#REF!</v>
          </cell>
          <cell r="L866" t="str">
            <v>Sub-Total</v>
          </cell>
          <cell r="M866" t="e">
            <v>#N/A</v>
          </cell>
          <cell r="N866" t="e">
            <v>#REF!</v>
          </cell>
          <cell r="O866" t="str">
            <v>A</v>
          </cell>
          <cell r="P866">
            <v>0</v>
          </cell>
          <cell r="Q866">
            <v>-1368325</v>
          </cell>
          <cell r="R866">
            <v>-1368325</v>
          </cell>
          <cell r="T866">
            <v>0</v>
          </cell>
          <cell r="U866">
            <v>-4780</v>
          </cell>
          <cell r="V866">
            <v>-4780</v>
          </cell>
          <cell r="W866">
            <v>0</v>
          </cell>
          <cell r="X866">
            <v>0</v>
          </cell>
          <cell r="Y866">
            <v>-627408</v>
          </cell>
          <cell r="Z866">
            <v>-627408</v>
          </cell>
          <cell r="AA866">
            <v>0</v>
          </cell>
          <cell r="AB866">
            <v>0</v>
          </cell>
          <cell r="AC866">
            <v>-736137</v>
          </cell>
          <cell r="AD866">
            <v>-736137</v>
          </cell>
          <cell r="AE866">
            <v>0</v>
          </cell>
          <cell r="AF866">
            <v>0</v>
          </cell>
          <cell r="AG866">
            <v>0</v>
          </cell>
          <cell r="AH866">
            <v>0</v>
          </cell>
        </row>
        <row r="867">
          <cell r="H867">
            <v>959000</v>
          </cell>
          <cell r="K867" t="str">
            <v>Others (Net Good &amp; Doutful)</v>
          </cell>
          <cell r="O867" t="str">
            <v>A</v>
          </cell>
          <cell r="P867">
            <v>0</v>
          </cell>
          <cell r="Q867">
            <v>283398</v>
          </cell>
          <cell r="R867">
            <v>3175345</v>
          </cell>
          <cell r="T867">
            <v>0</v>
          </cell>
          <cell r="U867">
            <v>624887</v>
          </cell>
          <cell r="V867">
            <v>4538890</v>
          </cell>
          <cell r="W867">
            <v>0</v>
          </cell>
          <cell r="X867">
            <v>0</v>
          </cell>
          <cell r="Y867">
            <v>394648</v>
          </cell>
          <cell r="Z867">
            <v>-627408</v>
          </cell>
          <cell r="AA867">
            <v>0</v>
          </cell>
          <cell r="AB867">
            <v>0</v>
          </cell>
          <cell r="AC867">
            <v>-736137</v>
          </cell>
          <cell r="AD867">
            <v>-736137</v>
          </cell>
          <cell r="AE867">
            <v>0</v>
          </cell>
          <cell r="AF867">
            <v>0</v>
          </cell>
          <cell r="AG867">
            <v>0</v>
          </cell>
          <cell r="AH867">
            <v>0</v>
          </cell>
        </row>
        <row r="868">
          <cell r="H868">
            <v>960000</v>
          </cell>
          <cell r="J868" t="str">
            <v>LONG -TERM LOANS AND ADVANCES</v>
          </cell>
          <cell r="O868" t="str">
            <v>A</v>
          </cell>
          <cell r="P868">
            <v>0</v>
          </cell>
          <cell r="Q868">
            <v>43317704</v>
          </cell>
          <cell r="R868">
            <v>39397384</v>
          </cell>
          <cell r="T868">
            <v>0</v>
          </cell>
          <cell r="U868">
            <v>9306055</v>
          </cell>
          <cell r="V868">
            <v>19084904</v>
          </cell>
          <cell r="W868">
            <v>0</v>
          </cell>
          <cell r="X868">
            <v>0</v>
          </cell>
          <cell r="Y868">
            <v>19341943</v>
          </cell>
          <cell r="Z868">
            <v>16076439</v>
          </cell>
          <cell r="AA868">
            <v>0</v>
          </cell>
          <cell r="AB868">
            <v>0</v>
          </cell>
          <cell r="AC868">
            <v>3818927</v>
          </cell>
          <cell r="AD868">
            <v>961551</v>
          </cell>
          <cell r="AE868">
            <v>0</v>
          </cell>
          <cell r="AF868">
            <v>0</v>
          </cell>
          <cell r="AG868">
            <v>10850779</v>
          </cell>
          <cell r="AH868">
            <v>3274490</v>
          </cell>
        </row>
        <row r="869">
          <cell r="H869">
            <v>960000</v>
          </cell>
          <cell r="L869">
            <v>0</v>
          </cell>
          <cell r="M869" t="e">
            <v>#N/A</v>
          </cell>
          <cell r="N869" t="e">
            <v>#REF!</v>
          </cell>
          <cell r="O869" t="str">
            <v>A</v>
          </cell>
        </row>
        <row r="870">
          <cell r="H870">
            <v>961000</v>
          </cell>
          <cell r="J870" t="str">
            <v>OTHER NON-CURRENT ASSETS</v>
          </cell>
          <cell r="M870" t="e">
            <v>#N/A</v>
          </cell>
          <cell r="N870" t="e">
            <v>#REF!</v>
          </cell>
          <cell r="O870" t="str">
            <v>A</v>
          </cell>
        </row>
        <row r="871">
          <cell r="G871">
            <v>15183</v>
          </cell>
          <cell r="H871">
            <v>962000</v>
          </cell>
          <cell r="I871" t="str">
            <v>0740</v>
          </cell>
          <cell r="L871" t="str">
            <v>Fixed Deposits</v>
          </cell>
          <cell r="M871" t="str">
            <v>FIXED DEPOSITS (CO-OP BANK)</v>
          </cell>
          <cell r="N871" t="e">
            <v>#REF!</v>
          </cell>
          <cell r="O871" t="str">
            <v>A</v>
          </cell>
          <cell r="Q871">
            <v>135000</v>
          </cell>
          <cell r="R871">
            <v>10000</v>
          </cell>
          <cell r="U871">
            <v>0</v>
          </cell>
          <cell r="V871">
            <v>0</v>
          </cell>
          <cell r="Y871">
            <v>10000</v>
          </cell>
          <cell r="Z871">
            <v>10000</v>
          </cell>
          <cell r="AC871">
            <v>125000</v>
          </cell>
          <cell r="AD871">
            <v>0</v>
          </cell>
          <cell r="AG871">
            <v>0</v>
          </cell>
          <cell r="AH871">
            <v>0</v>
          </cell>
        </row>
        <row r="872">
          <cell r="H872">
            <v>963000</v>
          </cell>
          <cell r="L872">
            <v>0</v>
          </cell>
          <cell r="M872" t="e">
            <v>#N/A</v>
          </cell>
          <cell r="N872" t="e">
            <v>#REF!</v>
          </cell>
          <cell r="O872" t="str">
            <v>A</v>
          </cell>
          <cell r="Q872">
            <v>0</v>
          </cell>
          <cell r="R872">
            <v>0</v>
          </cell>
          <cell r="AC872">
            <v>0</v>
          </cell>
          <cell r="AD872">
            <v>0</v>
          </cell>
          <cell r="AG872">
            <v>0</v>
          </cell>
          <cell r="AH872">
            <v>0</v>
          </cell>
        </row>
        <row r="873">
          <cell r="H873">
            <v>963000</v>
          </cell>
          <cell r="K873">
            <v>0</v>
          </cell>
          <cell r="L873">
            <v>0</v>
          </cell>
          <cell r="M873" t="e">
            <v>#N/A</v>
          </cell>
          <cell r="N873" t="e">
            <v>#REF!</v>
          </cell>
          <cell r="O873" t="str">
            <v>A</v>
          </cell>
          <cell r="P873">
            <v>0</v>
          </cell>
          <cell r="Q873">
            <v>135000</v>
          </cell>
          <cell r="R873">
            <v>10000</v>
          </cell>
          <cell r="T873">
            <v>0</v>
          </cell>
          <cell r="U873">
            <v>0</v>
          </cell>
          <cell r="V873">
            <v>0</v>
          </cell>
          <cell r="X873">
            <v>0</v>
          </cell>
          <cell r="Y873">
            <v>10000</v>
          </cell>
          <cell r="Z873">
            <v>10000</v>
          </cell>
          <cell r="AB873">
            <v>0</v>
          </cell>
          <cell r="AC873">
            <v>125000</v>
          </cell>
          <cell r="AD873">
            <v>0</v>
          </cell>
          <cell r="AF873">
            <v>0</v>
          </cell>
          <cell r="AG873">
            <v>0</v>
          </cell>
          <cell r="AH873">
            <v>0</v>
          </cell>
        </row>
        <row r="874">
          <cell r="H874">
            <v>964000</v>
          </cell>
          <cell r="L874">
            <v>0</v>
          </cell>
          <cell r="M874" t="e">
            <v>#N/A</v>
          </cell>
          <cell r="N874" t="e">
            <v>#REF!</v>
          </cell>
          <cell r="O874" t="str">
            <v>A</v>
          </cell>
        </row>
        <row r="875">
          <cell r="H875">
            <v>965000</v>
          </cell>
          <cell r="J875" t="str">
            <v>INVENTORIES</v>
          </cell>
          <cell r="M875" t="e">
            <v>#N/A</v>
          </cell>
          <cell r="N875" t="e">
            <v>#REF!</v>
          </cell>
          <cell r="O875" t="str">
            <v>A</v>
          </cell>
        </row>
        <row r="876">
          <cell r="H876">
            <v>966000</v>
          </cell>
          <cell r="K876" t="str">
            <v>Stores &amp; Spares</v>
          </cell>
          <cell r="M876" t="e">
            <v>#N/A</v>
          </cell>
          <cell r="N876" t="e">
            <v>#REF!</v>
          </cell>
          <cell r="O876" t="str">
            <v>A</v>
          </cell>
        </row>
        <row r="877">
          <cell r="G877" t="str">
            <v>15071-1</v>
          </cell>
          <cell r="H877">
            <v>967000</v>
          </cell>
          <cell r="I877" t="str">
            <v>3200</v>
          </cell>
          <cell r="L877" t="str">
            <v>Inventories</v>
          </cell>
          <cell r="M877" t="str">
            <v>CLOSING STOCK OF STORES SPARES BS (2012-13)</v>
          </cell>
          <cell r="N877" t="e">
            <v>#REF!</v>
          </cell>
          <cell r="O877" t="str">
            <v>A</v>
          </cell>
          <cell r="P877">
            <v>0</v>
          </cell>
          <cell r="Q877">
            <v>58030210</v>
          </cell>
          <cell r="R877">
            <v>52744464</v>
          </cell>
          <cell r="T877">
            <v>0</v>
          </cell>
          <cell r="U877">
            <v>36709707</v>
          </cell>
          <cell r="V877">
            <v>32054425</v>
          </cell>
          <cell r="X877">
            <v>0</v>
          </cell>
          <cell r="Y877">
            <v>19624499</v>
          </cell>
          <cell r="Z877">
            <v>18723177</v>
          </cell>
          <cell r="AB877">
            <v>0</v>
          </cell>
          <cell r="AC877">
            <v>239038</v>
          </cell>
          <cell r="AD877">
            <v>554252</v>
          </cell>
          <cell r="AF877">
            <v>0</v>
          </cell>
          <cell r="AG877">
            <v>1456966</v>
          </cell>
          <cell r="AH877">
            <v>1412610</v>
          </cell>
        </row>
        <row r="878">
          <cell r="G878">
            <v>15072</v>
          </cell>
          <cell r="H878">
            <v>968000</v>
          </cell>
          <cell r="I878" t="str">
            <v>6095</v>
          </cell>
          <cell r="L878" t="str">
            <v>Stores Spares Not W/Off</v>
          </cell>
          <cell r="M878" t="str">
            <v>STORES SPARES NOT W/OFF</v>
          </cell>
          <cell r="N878" t="e">
            <v>#REF!</v>
          </cell>
          <cell r="O878" t="str">
            <v>A</v>
          </cell>
          <cell r="P878">
            <v>0</v>
          </cell>
          <cell r="Q878">
            <v>280293</v>
          </cell>
          <cell r="R878">
            <v>221615</v>
          </cell>
          <cell r="T878">
            <v>0</v>
          </cell>
          <cell r="U878">
            <v>0</v>
          </cell>
          <cell r="V878">
            <v>0</v>
          </cell>
          <cell r="X878">
            <v>0</v>
          </cell>
          <cell r="Y878">
            <v>75505</v>
          </cell>
          <cell r="Z878">
            <v>75505</v>
          </cell>
          <cell r="AB878">
            <v>0</v>
          </cell>
          <cell r="AD878">
            <v>0</v>
          </cell>
          <cell r="AF878">
            <v>0</v>
          </cell>
          <cell r="AG878">
            <v>204788</v>
          </cell>
          <cell r="AH878">
            <v>146110</v>
          </cell>
        </row>
        <row r="879">
          <cell r="H879">
            <v>969000</v>
          </cell>
          <cell r="K879" t="str">
            <v>Stores &amp; Spares</v>
          </cell>
          <cell r="M879" t="e">
            <v>#N/A</v>
          </cell>
          <cell r="N879" t="e">
            <v>#REF!</v>
          </cell>
          <cell r="O879" t="str">
            <v>A</v>
          </cell>
          <cell r="P879">
            <v>0</v>
          </cell>
          <cell r="Q879">
            <v>58310503</v>
          </cell>
          <cell r="R879">
            <v>52966079</v>
          </cell>
          <cell r="T879">
            <v>0</v>
          </cell>
          <cell r="U879">
            <v>36709707</v>
          </cell>
          <cell r="V879">
            <v>32054425</v>
          </cell>
          <cell r="X879">
            <v>0</v>
          </cell>
          <cell r="Y879">
            <v>19700004</v>
          </cell>
          <cell r="Z879">
            <v>18798682</v>
          </cell>
          <cell r="AB879">
            <v>0</v>
          </cell>
          <cell r="AC879">
            <v>239038</v>
          </cell>
          <cell r="AD879">
            <v>554252</v>
          </cell>
          <cell r="AF879">
            <v>0</v>
          </cell>
          <cell r="AG879">
            <v>1661754</v>
          </cell>
          <cell r="AH879">
            <v>1558720</v>
          </cell>
        </row>
        <row r="880">
          <cell r="H880">
            <v>970000</v>
          </cell>
          <cell r="K880" t="str">
            <v>Raw Material</v>
          </cell>
          <cell r="M880" t="e">
            <v>#N/A</v>
          </cell>
          <cell r="N880" t="e">
            <v>#REF!</v>
          </cell>
          <cell r="O880" t="str">
            <v>A</v>
          </cell>
        </row>
        <row r="881">
          <cell r="G881">
            <v>15076</v>
          </cell>
          <cell r="H881">
            <v>971000</v>
          </cell>
          <cell r="I881" t="str">
            <v>9001</v>
          </cell>
          <cell r="L881" t="str">
            <v>Cl - St. Of Raw Matl. -B/S</v>
          </cell>
          <cell r="M881" t="str">
            <v>CLOSING STOCK OF RAW MATERIALS (BS 2012-13)</v>
          </cell>
          <cell r="N881" t="e">
            <v>#REF!</v>
          </cell>
          <cell r="O881" t="str">
            <v>A</v>
          </cell>
          <cell r="Q881">
            <v>157718320</v>
          </cell>
          <cell r="R881">
            <v>151712454</v>
          </cell>
          <cell r="U881">
            <v>28821504</v>
          </cell>
          <cell r="V881">
            <v>30804595</v>
          </cell>
          <cell r="Y881">
            <v>87064837</v>
          </cell>
          <cell r="Z881">
            <v>72448239</v>
          </cell>
          <cell r="AC881">
            <v>11840145</v>
          </cell>
          <cell r="AD881">
            <v>36087751</v>
          </cell>
          <cell r="AG881">
            <v>29991834</v>
          </cell>
          <cell r="AH881">
            <v>12371869</v>
          </cell>
        </row>
        <row r="882">
          <cell r="H882">
            <v>972000</v>
          </cell>
          <cell r="I882" t="str">
            <v>9000</v>
          </cell>
          <cell r="L882" t="str">
            <v>Cl.Stock [ Git ] C / F</v>
          </cell>
          <cell r="M882" t="e">
            <v>#N/A</v>
          </cell>
          <cell r="N882" t="e">
            <v>#REF!</v>
          </cell>
          <cell r="O882" t="str">
            <v>A</v>
          </cell>
          <cell r="Q882">
            <v>9079431</v>
          </cell>
          <cell r="R882">
            <v>0</v>
          </cell>
          <cell r="U882">
            <v>0</v>
          </cell>
          <cell r="V882">
            <v>0</v>
          </cell>
          <cell r="Y882">
            <v>0</v>
          </cell>
          <cell r="Z882">
            <v>0</v>
          </cell>
          <cell r="AC882">
            <v>9079431</v>
          </cell>
          <cell r="AD882">
            <v>0</v>
          </cell>
          <cell r="AG882">
            <v>0</v>
          </cell>
          <cell r="AH882">
            <v>0</v>
          </cell>
        </row>
        <row r="883">
          <cell r="G883" t="str">
            <v>15090*</v>
          </cell>
          <cell r="H883">
            <v>973000</v>
          </cell>
          <cell r="L883" t="str">
            <v>Goods-In-Transit (Rm)</v>
          </cell>
          <cell r="M883" t="e">
            <v>#N/A</v>
          </cell>
          <cell r="N883" t="e">
            <v>#REF!</v>
          </cell>
          <cell r="O883" t="str">
            <v>A</v>
          </cell>
          <cell r="Q883">
            <v>0</v>
          </cell>
          <cell r="R883">
            <v>-10699226</v>
          </cell>
          <cell r="U883">
            <v>0</v>
          </cell>
          <cell r="V883">
            <v>0</v>
          </cell>
          <cell r="Y883">
            <v>0</v>
          </cell>
          <cell r="Z883">
            <v>-10699226</v>
          </cell>
          <cell r="AC883">
            <v>0</v>
          </cell>
          <cell r="AD883">
            <v>0</v>
          </cell>
          <cell r="AG883">
            <v>0</v>
          </cell>
          <cell r="AH883">
            <v>0</v>
          </cell>
        </row>
        <row r="884">
          <cell r="H884">
            <v>974000</v>
          </cell>
          <cell r="K884" t="str">
            <v>Raw Material</v>
          </cell>
          <cell r="M884" t="e">
            <v>#N/A</v>
          </cell>
          <cell r="N884" t="e">
            <v>#REF!</v>
          </cell>
          <cell r="O884" t="str">
            <v>A</v>
          </cell>
          <cell r="P884">
            <v>0</v>
          </cell>
          <cell r="Q884">
            <v>166797751</v>
          </cell>
          <cell r="R884">
            <v>141013228</v>
          </cell>
          <cell r="T884">
            <v>0</v>
          </cell>
          <cell r="U884">
            <v>28821504</v>
          </cell>
          <cell r="V884">
            <v>30804595</v>
          </cell>
          <cell r="X884">
            <v>0</v>
          </cell>
          <cell r="Y884">
            <v>87064837</v>
          </cell>
          <cell r="Z884">
            <v>61749013</v>
          </cell>
          <cell r="AB884">
            <v>0</v>
          </cell>
          <cell r="AC884">
            <v>20919576</v>
          </cell>
          <cell r="AD884">
            <v>36087751</v>
          </cell>
          <cell r="AF884">
            <v>0</v>
          </cell>
          <cell r="AG884">
            <v>29991834</v>
          </cell>
          <cell r="AH884">
            <v>12371869</v>
          </cell>
        </row>
        <row r="885">
          <cell r="H885">
            <v>975000</v>
          </cell>
          <cell r="K885" t="str">
            <v>Packing Material (Balance Sheet)</v>
          </cell>
          <cell r="M885" t="e">
            <v>#N/A</v>
          </cell>
          <cell r="N885" t="e">
            <v>#REF!</v>
          </cell>
          <cell r="O885" t="str">
            <v>A</v>
          </cell>
        </row>
        <row r="886">
          <cell r="G886">
            <v>16000</v>
          </cell>
          <cell r="H886">
            <v>976000</v>
          </cell>
          <cell r="I886" t="str">
            <v>9002</v>
          </cell>
          <cell r="L886" t="str">
            <v>Cl-St. Of Pack. Matl- B/S</v>
          </cell>
          <cell r="M886" t="str">
            <v>CLOSING STOCK OF PACKING MATERIALS</v>
          </cell>
          <cell r="N886" t="e">
            <v>#REF!</v>
          </cell>
          <cell r="O886" t="str">
            <v>A</v>
          </cell>
          <cell r="P886">
            <v>0</v>
          </cell>
          <cell r="Q886">
            <v>2613010</v>
          </cell>
          <cell r="R886">
            <v>2715774</v>
          </cell>
          <cell r="T886">
            <v>0</v>
          </cell>
          <cell r="U886">
            <v>1116747</v>
          </cell>
          <cell r="V886">
            <v>1261152</v>
          </cell>
          <cell r="X886">
            <v>0</v>
          </cell>
          <cell r="Y886">
            <v>1364131</v>
          </cell>
          <cell r="Z886">
            <v>1244363</v>
          </cell>
          <cell r="AB886">
            <v>0</v>
          </cell>
          <cell r="AC886">
            <v>132132</v>
          </cell>
          <cell r="AD886">
            <v>210259</v>
          </cell>
          <cell r="AF886">
            <v>0</v>
          </cell>
          <cell r="AG886">
            <v>0</v>
          </cell>
          <cell r="AH886">
            <v>0</v>
          </cell>
        </row>
        <row r="887">
          <cell r="H887">
            <v>977000</v>
          </cell>
          <cell r="I887" t="str">
            <v>6039</v>
          </cell>
          <cell r="L887" t="str">
            <v>Stock Of Packing Materials B/S</v>
          </cell>
          <cell r="M887" t="e">
            <v>#N/A</v>
          </cell>
          <cell r="N887" t="e">
            <v>#REF!</v>
          </cell>
          <cell r="O887" t="str">
            <v>A</v>
          </cell>
          <cell r="P887">
            <v>0</v>
          </cell>
          <cell r="Q887">
            <v>0</v>
          </cell>
          <cell r="R887">
            <v>0</v>
          </cell>
          <cell r="T887">
            <v>0</v>
          </cell>
          <cell r="U887">
            <v>0</v>
          </cell>
          <cell r="V887">
            <v>0</v>
          </cell>
          <cell r="X887">
            <v>0</v>
          </cell>
          <cell r="Y887">
            <v>0</v>
          </cell>
          <cell r="Z887">
            <v>0</v>
          </cell>
          <cell r="AB887">
            <v>0</v>
          </cell>
          <cell r="AC887">
            <v>0</v>
          </cell>
          <cell r="AD887">
            <v>0</v>
          </cell>
          <cell r="AF887">
            <v>0</v>
          </cell>
          <cell r="AG887">
            <v>0</v>
          </cell>
          <cell r="AH887">
            <v>0</v>
          </cell>
        </row>
        <row r="888">
          <cell r="H888">
            <v>978000</v>
          </cell>
          <cell r="L888" t="str">
            <v>Purchase A/C-Packing Mat. (B/S)</v>
          </cell>
          <cell r="M888" t="e">
            <v>#N/A</v>
          </cell>
          <cell r="N888" t="e">
            <v>#REF!</v>
          </cell>
          <cell r="O888" t="str">
            <v>A</v>
          </cell>
          <cell r="P888">
            <v>0</v>
          </cell>
          <cell r="Q888">
            <v>0</v>
          </cell>
          <cell r="R888">
            <v>0</v>
          </cell>
          <cell r="T888">
            <v>0</v>
          </cell>
          <cell r="U888">
            <v>0</v>
          </cell>
          <cell r="V888">
            <v>0</v>
          </cell>
          <cell r="X888">
            <v>0</v>
          </cell>
          <cell r="Y888">
            <v>0</v>
          </cell>
          <cell r="Z888">
            <v>0</v>
          </cell>
          <cell r="AB888">
            <v>0</v>
          </cell>
          <cell r="AC888">
            <v>0</v>
          </cell>
          <cell r="AD888">
            <v>0</v>
          </cell>
          <cell r="AF888">
            <v>0</v>
          </cell>
          <cell r="AG888">
            <v>0</v>
          </cell>
          <cell r="AH888">
            <v>0</v>
          </cell>
        </row>
        <row r="889">
          <cell r="H889">
            <v>979000</v>
          </cell>
          <cell r="L889" t="str">
            <v>Issue A/C Packing Material Stock (Bs)</v>
          </cell>
          <cell r="M889" t="e">
            <v>#N/A</v>
          </cell>
          <cell r="N889" t="e">
            <v>#REF!</v>
          </cell>
          <cell r="O889" t="str">
            <v>A</v>
          </cell>
          <cell r="P889">
            <v>0</v>
          </cell>
          <cell r="Q889">
            <v>0</v>
          </cell>
          <cell r="R889">
            <v>0</v>
          </cell>
          <cell r="T889">
            <v>0</v>
          </cell>
          <cell r="U889">
            <v>0</v>
          </cell>
          <cell r="V889">
            <v>0</v>
          </cell>
          <cell r="X889">
            <v>0</v>
          </cell>
          <cell r="Y889">
            <v>0</v>
          </cell>
          <cell r="Z889">
            <v>0</v>
          </cell>
          <cell r="AB889">
            <v>0</v>
          </cell>
          <cell r="AC889">
            <v>0</v>
          </cell>
          <cell r="AD889">
            <v>0</v>
          </cell>
          <cell r="AF889">
            <v>0</v>
          </cell>
          <cell r="AG889">
            <v>0</v>
          </cell>
          <cell r="AH889">
            <v>0</v>
          </cell>
        </row>
        <row r="890">
          <cell r="H890">
            <v>980000</v>
          </cell>
          <cell r="K890" t="str">
            <v>Packing Material (Balance Sheet)</v>
          </cell>
          <cell r="M890" t="e">
            <v>#N/A</v>
          </cell>
          <cell r="N890" t="e">
            <v>#REF!</v>
          </cell>
          <cell r="O890" t="str">
            <v>A</v>
          </cell>
          <cell r="P890">
            <v>0</v>
          </cell>
          <cell r="Q890">
            <v>2613010</v>
          </cell>
          <cell r="R890">
            <v>2715774</v>
          </cell>
          <cell r="T890">
            <v>0</v>
          </cell>
          <cell r="U890">
            <v>1116747</v>
          </cell>
          <cell r="V890">
            <v>1261152</v>
          </cell>
          <cell r="X890">
            <v>0</v>
          </cell>
          <cell r="Y890">
            <v>1364131</v>
          </cell>
          <cell r="Z890">
            <v>1244363</v>
          </cell>
          <cell r="AB890">
            <v>0</v>
          </cell>
          <cell r="AC890">
            <v>132132</v>
          </cell>
          <cell r="AD890">
            <v>210259</v>
          </cell>
          <cell r="AF890">
            <v>0</v>
          </cell>
          <cell r="AG890">
            <v>0</v>
          </cell>
          <cell r="AH890">
            <v>0</v>
          </cell>
        </row>
        <row r="891">
          <cell r="H891">
            <v>981000</v>
          </cell>
          <cell r="K891" t="str">
            <v>Work In Progress</v>
          </cell>
          <cell r="M891" t="e">
            <v>#N/A</v>
          </cell>
          <cell r="N891" t="e">
            <v>#REF!</v>
          </cell>
          <cell r="O891" t="str">
            <v>A</v>
          </cell>
        </row>
        <row r="892">
          <cell r="H892">
            <v>982000</v>
          </cell>
          <cell r="I892" t="str">
            <v>9004</v>
          </cell>
          <cell r="L892" t="str">
            <v>Cl-St.Of Wip- B/S</v>
          </cell>
          <cell r="M892" t="e">
            <v>#N/A</v>
          </cell>
          <cell r="N892" t="e">
            <v>#REF!</v>
          </cell>
          <cell r="O892" t="str">
            <v>A</v>
          </cell>
          <cell r="P892">
            <v>0</v>
          </cell>
          <cell r="Q892">
            <v>18659927</v>
          </cell>
          <cell r="R892">
            <v>13238770</v>
          </cell>
          <cell r="T892">
            <v>0</v>
          </cell>
          <cell r="X892">
            <v>0</v>
          </cell>
          <cell r="AB892">
            <v>0</v>
          </cell>
          <cell r="AC892">
            <v>15550338</v>
          </cell>
          <cell r="AD892">
            <v>9722574</v>
          </cell>
          <cell r="AF892">
            <v>0</v>
          </cell>
          <cell r="AG892">
            <v>3109589</v>
          </cell>
          <cell r="AH892">
            <v>3516196</v>
          </cell>
        </row>
        <row r="893">
          <cell r="G893">
            <v>15131</v>
          </cell>
          <cell r="H893">
            <v>983000</v>
          </cell>
          <cell r="L893" t="str">
            <v>Cl-St.Of Wip- B/S</v>
          </cell>
          <cell r="M893" t="str">
            <v>CLOSING STOCK WIP (BS-JV)</v>
          </cell>
          <cell r="N893" t="e">
            <v>#REF!</v>
          </cell>
          <cell r="O893" t="str">
            <v>A</v>
          </cell>
          <cell r="P893">
            <v>0</v>
          </cell>
          <cell r="Q893">
            <v>31443953</v>
          </cell>
          <cell r="R893">
            <v>33542155</v>
          </cell>
          <cell r="T893">
            <v>0</v>
          </cell>
          <cell r="U893">
            <v>15053266</v>
          </cell>
          <cell r="V893">
            <v>17474851</v>
          </cell>
          <cell r="X893">
            <v>0</v>
          </cell>
          <cell r="Y893">
            <v>16390687</v>
          </cell>
          <cell r="Z893">
            <v>16067304</v>
          </cell>
          <cell r="AB893">
            <v>0</v>
          </cell>
          <cell r="AC893">
            <v>0</v>
          </cell>
          <cell r="AD893">
            <v>0</v>
          </cell>
          <cell r="AF893">
            <v>0</v>
          </cell>
          <cell r="AG893">
            <v>0</v>
          </cell>
          <cell r="AH893">
            <v>0</v>
          </cell>
        </row>
        <row r="894">
          <cell r="Q894">
            <v>0</v>
          </cell>
          <cell r="R894">
            <v>10699226</v>
          </cell>
          <cell r="Z894">
            <v>10699226</v>
          </cell>
        </row>
        <row r="895">
          <cell r="H895">
            <v>990000</v>
          </cell>
          <cell r="K895" t="str">
            <v>Work In Progress</v>
          </cell>
          <cell r="M895" t="e">
            <v>#N/A</v>
          </cell>
          <cell r="N895" t="e">
            <v>#REF!</v>
          </cell>
          <cell r="O895" t="str">
            <v>A</v>
          </cell>
          <cell r="P895">
            <v>0</v>
          </cell>
          <cell r="Q895">
            <v>50103880</v>
          </cell>
          <cell r="R895">
            <v>57480151</v>
          </cell>
          <cell r="T895">
            <v>0</v>
          </cell>
          <cell r="U895">
            <v>15053266</v>
          </cell>
          <cell r="V895">
            <v>17474851</v>
          </cell>
          <cell r="X895">
            <v>0</v>
          </cell>
          <cell r="Y895">
            <v>16390687</v>
          </cell>
          <cell r="Z895">
            <v>26766530</v>
          </cell>
          <cell r="AB895">
            <v>0</v>
          </cell>
          <cell r="AC895">
            <v>15550338</v>
          </cell>
          <cell r="AD895">
            <v>9722574</v>
          </cell>
          <cell r="AE895">
            <v>0</v>
          </cell>
          <cell r="AF895">
            <v>0</v>
          </cell>
          <cell r="AG895">
            <v>3109589</v>
          </cell>
          <cell r="AH895">
            <v>3516196</v>
          </cell>
        </row>
        <row r="896">
          <cell r="H896">
            <v>991000</v>
          </cell>
          <cell r="K896" t="str">
            <v>Finished Goods</v>
          </cell>
          <cell r="M896" t="e">
            <v>#N/A</v>
          </cell>
          <cell r="N896" t="e">
            <v>#REF!</v>
          </cell>
          <cell r="O896" t="str">
            <v>A</v>
          </cell>
        </row>
        <row r="897">
          <cell r="H897">
            <v>992000</v>
          </cell>
          <cell r="I897" t="str">
            <v>9003</v>
          </cell>
          <cell r="L897" t="str">
            <v>Cl-St. Of Fg - B/S</v>
          </cell>
          <cell r="M897" t="e">
            <v>#N/A</v>
          </cell>
          <cell r="N897" t="e">
            <v>#REF!</v>
          </cell>
          <cell r="O897" t="str">
            <v>A</v>
          </cell>
          <cell r="P897">
            <v>0</v>
          </cell>
          <cell r="Q897">
            <v>15883048</v>
          </cell>
          <cell r="R897">
            <v>14242720</v>
          </cell>
          <cell r="T897">
            <v>0</v>
          </cell>
          <cell r="X897">
            <v>0</v>
          </cell>
          <cell r="AB897">
            <v>0</v>
          </cell>
          <cell r="AC897">
            <v>5355530</v>
          </cell>
          <cell r="AD897">
            <v>5455233</v>
          </cell>
          <cell r="AF897">
            <v>0</v>
          </cell>
          <cell r="AG897">
            <v>10527518</v>
          </cell>
          <cell r="AH897">
            <v>8787487</v>
          </cell>
        </row>
        <row r="898">
          <cell r="G898">
            <v>15117</v>
          </cell>
          <cell r="H898">
            <v>993000</v>
          </cell>
          <cell r="L898" t="str">
            <v>Fg Stocks - Excise Duty Componant</v>
          </cell>
          <cell r="M898" t="str">
            <v>FG STOCKS - EXCISE DUTY COMPONANT</v>
          </cell>
          <cell r="N898" t="e">
            <v>#REF!</v>
          </cell>
          <cell r="O898" t="str">
            <v>A</v>
          </cell>
          <cell r="Q898">
            <v>0</v>
          </cell>
          <cell r="R898">
            <v>0</v>
          </cell>
          <cell r="U898">
            <v>0</v>
          </cell>
          <cell r="V898">
            <v>0</v>
          </cell>
          <cell r="Y898">
            <v>0</v>
          </cell>
          <cell r="Z898">
            <v>0</v>
          </cell>
          <cell r="AC898">
            <v>0</v>
          </cell>
          <cell r="AD898">
            <v>0</v>
          </cell>
          <cell r="AG898">
            <v>0</v>
          </cell>
          <cell r="AH898">
            <v>0</v>
          </cell>
        </row>
        <row r="899">
          <cell r="G899">
            <v>15118</v>
          </cell>
          <cell r="H899">
            <v>994000</v>
          </cell>
          <cell r="L899" t="str">
            <v>CLOSING STOCK OF FG (BS-JV)</v>
          </cell>
          <cell r="M899" t="str">
            <v>CLOSING STOCK OF FG (BS-JV)</v>
          </cell>
          <cell r="N899" t="e">
            <v>#REF!</v>
          </cell>
          <cell r="O899" t="str">
            <v>A</v>
          </cell>
          <cell r="Q899">
            <v>50818645</v>
          </cell>
          <cell r="R899">
            <v>54507756</v>
          </cell>
          <cell r="U899">
            <v>33857101</v>
          </cell>
          <cell r="V899">
            <v>36677104</v>
          </cell>
          <cell r="Y899">
            <v>16961544</v>
          </cell>
          <cell r="Z899">
            <v>17830652</v>
          </cell>
          <cell r="AC899">
            <v>0</v>
          </cell>
          <cell r="AD899">
            <v>0</v>
          </cell>
          <cell r="AG899">
            <v>0</v>
          </cell>
          <cell r="AH899">
            <v>0</v>
          </cell>
        </row>
        <row r="900">
          <cell r="H900">
            <v>995000</v>
          </cell>
          <cell r="M900" t="e">
            <v>#N/A</v>
          </cell>
          <cell r="N900" t="e">
            <v>#REF!</v>
          </cell>
          <cell r="O900" t="str">
            <v>A</v>
          </cell>
          <cell r="Q900">
            <v>0</v>
          </cell>
          <cell r="R900">
            <v>0</v>
          </cell>
          <cell r="X900">
            <v>0</v>
          </cell>
          <cell r="AB900">
            <v>0</v>
          </cell>
          <cell r="AC900">
            <v>0</v>
          </cell>
          <cell r="AD900">
            <v>0</v>
          </cell>
          <cell r="AF900">
            <v>0</v>
          </cell>
          <cell r="AG900">
            <v>0</v>
          </cell>
          <cell r="AH900">
            <v>0</v>
          </cell>
        </row>
        <row r="901">
          <cell r="H901">
            <v>996000</v>
          </cell>
          <cell r="K901" t="str">
            <v>Finished Goods</v>
          </cell>
          <cell r="M901" t="e">
            <v>#N/A</v>
          </cell>
          <cell r="N901" t="e">
            <v>#REF!</v>
          </cell>
          <cell r="O901" t="str">
            <v>A</v>
          </cell>
          <cell r="P901">
            <v>0</v>
          </cell>
          <cell r="Q901">
            <v>66701693</v>
          </cell>
          <cell r="R901">
            <v>68750476</v>
          </cell>
          <cell r="T901">
            <v>0</v>
          </cell>
          <cell r="U901">
            <v>33857101</v>
          </cell>
          <cell r="V901">
            <v>36677104</v>
          </cell>
          <cell r="X901">
            <v>0</v>
          </cell>
          <cell r="Y901">
            <v>16961544</v>
          </cell>
          <cell r="Z901">
            <v>17830652</v>
          </cell>
          <cell r="AB901">
            <v>0</v>
          </cell>
          <cell r="AC901">
            <v>5355530</v>
          </cell>
          <cell r="AD901">
            <v>5455233</v>
          </cell>
          <cell r="AF901">
            <v>0</v>
          </cell>
          <cell r="AG901">
            <v>10527518</v>
          </cell>
          <cell r="AH901">
            <v>8787487</v>
          </cell>
        </row>
        <row r="902">
          <cell r="H902">
            <v>997000</v>
          </cell>
          <cell r="J902" t="str">
            <v>INVENTORIES</v>
          </cell>
          <cell r="M902" t="e">
            <v>#N/A</v>
          </cell>
          <cell r="N902" t="e">
            <v>#REF!</v>
          </cell>
          <cell r="O902" t="str">
            <v>A</v>
          </cell>
          <cell r="P902">
            <v>0</v>
          </cell>
          <cell r="Q902">
            <v>344526837</v>
          </cell>
          <cell r="R902">
            <v>322925708</v>
          </cell>
          <cell r="T902">
            <v>0</v>
          </cell>
          <cell r="U902">
            <v>115558325</v>
          </cell>
          <cell r="V902">
            <v>118272127</v>
          </cell>
          <cell r="X902">
            <v>0</v>
          </cell>
          <cell r="Y902">
            <v>141481203</v>
          </cell>
          <cell r="Z902">
            <v>126389240</v>
          </cell>
          <cell r="AB902">
            <v>0</v>
          </cell>
          <cell r="AC902">
            <v>42196614</v>
          </cell>
          <cell r="AD902">
            <v>52030069</v>
          </cell>
          <cell r="AF902">
            <v>0</v>
          </cell>
          <cell r="AG902">
            <v>45290695</v>
          </cell>
          <cell r="AH902">
            <v>26234272</v>
          </cell>
        </row>
        <row r="903">
          <cell r="H903">
            <v>998000</v>
          </cell>
          <cell r="O903" t="str">
            <v>A</v>
          </cell>
        </row>
        <row r="904">
          <cell r="H904">
            <v>1107000</v>
          </cell>
          <cell r="M904" t="e">
            <v>#N/A</v>
          </cell>
          <cell r="N904" t="e">
            <v>#REF!</v>
          </cell>
          <cell r="O904" t="str">
            <v>A</v>
          </cell>
        </row>
        <row r="905">
          <cell r="H905">
            <v>1110000</v>
          </cell>
          <cell r="J905" t="str">
            <v>TRADE RECEIVABLES</v>
          </cell>
          <cell r="M905" t="e">
            <v>#N/A</v>
          </cell>
          <cell r="N905" t="e">
            <v>#REF!</v>
          </cell>
          <cell r="O905" t="str">
            <v>A</v>
          </cell>
          <cell r="Q905">
            <v>-4491093</v>
          </cell>
        </row>
        <row r="906">
          <cell r="H906">
            <v>1111000</v>
          </cell>
          <cell r="K906" t="str">
            <v>Outstandings over six months</v>
          </cell>
          <cell r="O906" t="str">
            <v>A</v>
          </cell>
        </row>
        <row r="907">
          <cell r="H907">
            <v>1112000</v>
          </cell>
          <cell r="L907" t="str">
            <v>Considered Good</v>
          </cell>
          <cell r="O907" t="str">
            <v>A</v>
          </cell>
          <cell r="Q907">
            <v>0</v>
          </cell>
          <cell r="R907">
            <v>0</v>
          </cell>
        </row>
        <row r="908">
          <cell r="G908">
            <v>15136</v>
          </cell>
          <cell r="H908">
            <v>1113000</v>
          </cell>
          <cell r="L908" t="str">
            <v>Considered Doubtful</v>
          </cell>
          <cell r="O908" t="str">
            <v>A</v>
          </cell>
          <cell r="Q908">
            <v>5490834</v>
          </cell>
          <cell r="R908">
            <v>2849231</v>
          </cell>
          <cell r="U908">
            <v>2641603</v>
          </cell>
          <cell r="W908">
            <v>0</v>
          </cell>
          <cell r="X908">
            <v>0</v>
          </cell>
          <cell r="Y908">
            <v>1609180</v>
          </cell>
          <cell r="Z908">
            <v>1609180</v>
          </cell>
          <cell r="AA908">
            <v>0</v>
          </cell>
          <cell r="AB908">
            <v>0</v>
          </cell>
          <cell r="AC908">
            <v>1240051</v>
          </cell>
          <cell r="AD908">
            <v>1240051</v>
          </cell>
          <cell r="AE908">
            <v>0</v>
          </cell>
          <cell r="AF908">
            <v>0</v>
          </cell>
          <cell r="AG908">
            <v>0</v>
          </cell>
          <cell r="AH908">
            <v>0</v>
          </cell>
        </row>
        <row r="909">
          <cell r="G909">
            <v>15138</v>
          </cell>
          <cell r="H909">
            <v>1114000</v>
          </cell>
          <cell r="I909" t="str">
            <v>2150</v>
          </cell>
          <cell r="L909" t="str">
            <v>Provision For Doubtful Debts</v>
          </cell>
          <cell r="M909" t="str">
            <v>PROVISION FOR DOUBTFUL DEBTS</v>
          </cell>
          <cell r="N909" t="e">
            <v>#REF!</v>
          </cell>
          <cell r="O909" t="str">
            <v>A</v>
          </cell>
          <cell r="P909">
            <v>0</v>
          </cell>
          <cell r="Q909">
            <v>-5490834</v>
          </cell>
          <cell r="R909">
            <v>-3322213</v>
          </cell>
          <cell r="T909">
            <v>0</v>
          </cell>
          <cell r="U909">
            <v>-2641603</v>
          </cell>
          <cell r="V909">
            <v>-472982</v>
          </cell>
          <cell r="X909">
            <v>0</v>
          </cell>
          <cell r="Y909">
            <v>-1609180</v>
          </cell>
          <cell r="Z909">
            <v>-1609180</v>
          </cell>
          <cell r="AB909">
            <v>0</v>
          </cell>
          <cell r="AC909">
            <v>-1240051</v>
          </cell>
          <cell r="AD909">
            <v>-1240051</v>
          </cell>
          <cell r="AF909">
            <v>0</v>
          </cell>
          <cell r="AG909">
            <v>0</v>
          </cell>
          <cell r="AH909">
            <v>0</v>
          </cell>
        </row>
        <row r="910">
          <cell r="H910">
            <v>1115000</v>
          </cell>
          <cell r="K910" t="str">
            <v>Others</v>
          </cell>
          <cell r="M910" t="e">
            <v>#N/A</v>
          </cell>
          <cell r="N910" t="e">
            <v>#REF!</v>
          </cell>
          <cell r="O910" t="str">
            <v>A</v>
          </cell>
          <cell r="AC910">
            <v>0</v>
          </cell>
          <cell r="AG910">
            <v>0</v>
          </cell>
        </row>
        <row r="911">
          <cell r="G911">
            <v>15136</v>
          </cell>
          <cell r="H911">
            <v>1116000</v>
          </cell>
          <cell r="I911" t="str">
            <v>3300</v>
          </cell>
          <cell r="L911" t="str">
            <v>Sundry Debtors - Domestic/ Control</v>
          </cell>
          <cell r="M911" t="str">
            <v>SUNDRY DEBTORS - DOMESTIC</v>
          </cell>
          <cell r="N911" t="e">
            <v>#REF!</v>
          </cell>
          <cell r="O911" t="str">
            <v>A</v>
          </cell>
          <cell r="Q911">
            <v>286075832</v>
          </cell>
          <cell r="R911">
            <v>273602239</v>
          </cell>
          <cell r="U911">
            <v>64769867</v>
          </cell>
          <cell r="V911">
            <v>65971915</v>
          </cell>
          <cell r="Y911">
            <v>97498147</v>
          </cell>
          <cell r="Z911">
            <v>93036426</v>
          </cell>
          <cell r="AC911">
            <v>58999660</v>
          </cell>
          <cell r="AD911">
            <v>63318815</v>
          </cell>
          <cell r="AG911">
            <v>64808158</v>
          </cell>
          <cell r="AH911">
            <v>51275083</v>
          </cell>
        </row>
        <row r="912">
          <cell r="G912">
            <v>15137</v>
          </cell>
          <cell r="H912">
            <v>1117000</v>
          </cell>
          <cell r="L912" t="str">
            <v>Sundry Debtors - Foreign</v>
          </cell>
          <cell r="M912" t="str">
            <v>SUNDRY DEBTORS - FOREIGN</v>
          </cell>
          <cell r="N912" t="e">
            <v>#REF!</v>
          </cell>
          <cell r="O912" t="str">
            <v>A</v>
          </cell>
          <cell r="Q912">
            <v>152411342</v>
          </cell>
          <cell r="R912">
            <v>139491791</v>
          </cell>
          <cell r="U912">
            <v>61354361</v>
          </cell>
          <cell r="V912">
            <v>49712280</v>
          </cell>
          <cell r="Y912">
            <v>91056981</v>
          </cell>
          <cell r="Z912">
            <v>89779511</v>
          </cell>
          <cell r="AC912">
            <v>0</v>
          </cell>
          <cell r="AD912">
            <v>0</v>
          </cell>
          <cell r="AG912">
            <v>0</v>
          </cell>
          <cell r="AH912">
            <v>0</v>
          </cell>
        </row>
        <row r="913">
          <cell r="H913">
            <v>1118000</v>
          </cell>
          <cell r="L913" t="str">
            <v>Regrouping of Debtors Credit balance</v>
          </cell>
          <cell r="M913" t="e">
            <v>#N/A</v>
          </cell>
          <cell r="N913" t="e">
            <v>#REF!</v>
          </cell>
          <cell r="O913" t="str">
            <v>A</v>
          </cell>
          <cell r="Q913">
            <v>4487892</v>
          </cell>
          <cell r="R913">
            <v>3114520</v>
          </cell>
          <cell r="U913">
            <v>1208257</v>
          </cell>
          <cell r="V913">
            <v>314894</v>
          </cell>
          <cell r="Y913">
            <v>3192158</v>
          </cell>
          <cell r="Z913">
            <v>2577836</v>
          </cell>
          <cell r="AC913">
            <v>87477</v>
          </cell>
          <cell r="AD913">
            <v>207834</v>
          </cell>
          <cell r="AG913">
            <v>0</v>
          </cell>
          <cell r="AH913">
            <v>13956</v>
          </cell>
        </row>
        <row r="914">
          <cell r="H914">
            <v>1119000</v>
          </cell>
          <cell r="L914" t="str">
            <v>Regrouping of Debtors to Loans &amp; Adv (PCL/TSL)</v>
          </cell>
          <cell r="O914" t="str">
            <v>A</v>
          </cell>
          <cell r="Q914">
            <v>0</v>
          </cell>
          <cell r="R914">
            <v>-9357745</v>
          </cell>
          <cell r="V914">
            <v>-9338368</v>
          </cell>
          <cell r="Z914">
            <v>-19377</v>
          </cell>
          <cell r="AC914">
            <v>0</v>
          </cell>
        </row>
        <row r="915">
          <cell r="H915">
            <v>1120000</v>
          </cell>
          <cell r="M915" t="e">
            <v>#N/A</v>
          </cell>
          <cell r="N915" t="e">
            <v>#REF!</v>
          </cell>
          <cell r="O915" t="str">
            <v>A</v>
          </cell>
          <cell r="P915">
            <v>0</v>
          </cell>
          <cell r="Q915">
            <v>442975066</v>
          </cell>
          <cell r="R915">
            <v>406850805</v>
          </cell>
          <cell r="T915">
            <v>0</v>
          </cell>
          <cell r="U915">
            <v>127332485</v>
          </cell>
          <cell r="V915">
            <v>106660721</v>
          </cell>
          <cell r="W915">
            <v>0</v>
          </cell>
          <cell r="X915">
            <v>0</v>
          </cell>
          <cell r="Y915">
            <v>191747286</v>
          </cell>
          <cell r="Z915">
            <v>185374396</v>
          </cell>
          <cell r="AA915">
            <v>0</v>
          </cell>
          <cell r="AB915">
            <v>0</v>
          </cell>
          <cell r="AC915">
            <v>59087137</v>
          </cell>
          <cell r="AD915">
            <v>63526649</v>
          </cell>
          <cell r="AE915">
            <v>0</v>
          </cell>
          <cell r="AF915">
            <v>0</v>
          </cell>
          <cell r="AG915">
            <v>64808158</v>
          </cell>
          <cell r="AH915">
            <v>51289039</v>
          </cell>
        </row>
        <row r="916">
          <cell r="H916">
            <v>1121000</v>
          </cell>
          <cell r="M916" t="e">
            <v>#N/A</v>
          </cell>
          <cell r="N916" t="e">
            <v>#REF!</v>
          </cell>
          <cell r="O916" t="str">
            <v>A</v>
          </cell>
          <cell r="Q916">
            <v>0</v>
          </cell>
          <cell r="R916">
            <v>0</v>
          </cell>
          <cell r="U916">
            <v>0</v>
          </cell>
          <cell r="V916">
            <v>0</v>
          </cell>
          <cell r="Y916">
            <v>0</v>
          </cell>
          <cell r="Z916">
            <v>0</v>
          </cell>
          <cell r="AC916">
            <v>0</v>
          </cell>
          <cell r="AD916">
            <v>0</v>
          </cell>
          <cell r="AG916">
            <v>0</v>
          </cell>
          <cell r="AH916">
            <v>0</v>
          </cell>
        </row>
        <row r="917">
          <cell r="H917">
            <v>1122000</v>
          </cell>
          <cell r="J917" t="str">
            <v>TRADE RECEIVABLES</v>
          </cell>
          <cell r="M917" t="e">
            <v>#N/A</v>
          </cell>
          <cell r="N917" t="e">
            <v>#REF!</v>
          </cell>
          <cell r="O917" t="str">
            <v>A</v>
          </cell>
          <cell r="P917">
            <v>0</v>
          </cell>
          <cell r="Q917">
            <v>442975066</v>
          </cell>
          <cell r="R917">
            <v>406377823</v>
          </cell>
          <cell r="T917">
            <v>0</v>
          </cell>
          <cell r="U917">
            <v>127332485</v>
          </cell>
          <cell r="V917">
            <v>106187739</v>
          </cell>
          <cell r="W917">
            <v>0</v>
          </cell>
          <cell r="X917">
            <v>0</v>
          </cell>
          <cell r="Y917">
            <v>191747286</v>
          </cell>
          <cell r="Z917">
            <v>185374396</v>
          </cell>
          <cell r="AA917">
            <v>0</v>
          </cell>
          <cell r="AB917">
            <v>0</v>
          </cell>
          <cell r="AC917">
            <v>59087137</v>
          </cell>
          <cell r="AD917">
            <v>63526649</v>
          </cell>
          <cell r="AE917">
            <v>0</v>
          </cell>
          <cell r="AF917">
            <v>0</v>
          </cell>
          <cell r="AG917">
            <v>64808158</v>
          </cell>
          <cell r="AH917">
            <v>51289039</v>
          </cell>
        </row>
        <row r="918">
          <cell r="H918">
            <v>1123000</v>
          </cell>
          <cell r="M918" t="e">
            <v>#N/A</v>
          </cell>
          <cell r="N918" t="e">
            <v>#REF!</v>
          </cell>
          <cell r="O918" t="str">
            <v>A</v>
          </cell>
          <cell r="R918">
            <v>0</v>
          </cell>
          <cell r="AC918">
            <v>57759609</v>
          </cell>
        </row>
        <row r="919">
          <cell r="H919">
            <v>1125000</v>
          </cell>
          <cell r="J919" t="str">
            <v>CASH &amp; BANK BALANCES</v>
          </cell>
          <cell r="M919" t="e">
            <v>#N/A</v>
          </cell>
          <cell r="N919" t="e">
            <v>#REF!</v>
          </cell>
          <cell r="O919" t="str">
            <v>A</v>
          </cell>
        </row>
        <row r="920">
          <cell r="H920">
            <v>1126000</v>
          </cell>
          <cell r="K920" t="str">
            <v>Cash In Hand</v>
          </cell>
          <cell r="L920">
            <v>0</v>
          </cell>
          <cell r="M920" t="e">
            <v>#N/A</v>
          </cell>
          <cell r="N920" t="e">
            <v>#REF!</v>
          </cell>
          <cell r="O920" t="str">
            <v>A</v>
          </cell>
        </row>
        <row r="921">
          <cell r="G921">
            <v>15151</v>
          </cell>
          <cell r="H921">
            <v>1127000</v>
          </cell>
          <cell r="I921" t="str">
            <v>0400</v>
          </cell>
          <cell r="J921" t="str">
            <v>400</v>
          </cell>
          <cell r="L921" t="str">
            <v>Cash In Hand</v>
          </cell>
          <cell r="M921" t="str">
            <v>CASH IN HAND</v>
          </cell>
          <cell r="N921" t="e">
            <v>#REF!</v>
          </cell>
          <cell r="O921" t="str">
            <v>A</v>
          </cell>
          <cell r="Q921">
            <v>137720</v>
          </cell>
          <cell r="R921">
            <v>134172</v>
          </cell>
          <cell r="U921">
            <v>-6267075</v>
          </cell>
          <cell r="V921">
            <v>-6107331</v>
          </cell>
          <cell r="Y921">
            <v>6328713</v>
          </cell>
          <cell r="Z921">
            <v>6205692</v>
          </cell>
          <cell r="AC921">
            <v>37519</v>
          </cell>
          <cell r="AD921">
            <v>24953</v>
          </cell>
          <cell r="AG921">
            <v>38563</v>
          </cell>
          <cell r="AH921">
            <v>10858</v>
          </cell>
        </row>
        <row r="922">
          <cell r="H922">
            <v>1128000</v>
          </cell>
          <cell r="K922" t="str">
            <v>Cash In Hand</v>
          </cell>
          <cell r="L922">
            <v>0</v>
          </cell>
          <cell r="M922" t="e">
            <v>#N/A</v>
          </cell>
          <cell r="N922" t="e">
            <v>#REF!</v>
          </cell>
          <cell r="O922" t="str">
            <v>A</v>
          </cell>
          <cell r="P922">
            <v>0</v>
          </cell>
          <cell r="Q922">
            <v>137720</v>
          </cell>
          <cell r="R922">
            <v>134172</v>
          </cell>
          <cell r="T922">
            <v>0</v>
          </cell>
          <cell r="U922">
            <v>-6267075</v>
          </cell>
          <cell r="V922">
            <v>-6107331</v>
          </cell>
          <cell r="X922">
            <v>0</v>
          </cell>
          <cell r="Y922">
            <v>6328713</v>
          </cell>
          <cell r="Z922">
            <v>6205692</v>
          </cell>
          <cell r="AB922">
            <v>0</v>
          </cell>
          <cell r="AC922">
            <v>37519</v>
          </cell>
          <cell r="AD922">
            <v>24953</v>
          </cell>
          <cell r="AF922">
            <v>0</v>
          </cell>
          <cell r="AG922">
            <v>38563</v>
          </cell>
          <cell r="AH922">
            <v>10858</v>
          </cell>
        </row>
        <row r="923">
          <cell r="G923">
            <v>15152</v>
          </cell>
          <cell r="H923">
            <v>1129000</v>
          </cell>
          <cell r="I923" t="str">
            <v>0450</v>
          </cell>
          <cell r="K923" t="str">
            <v>Cheques In Hand</v>
          </cell>
          <cell r="L923" t="str">
            <v>Cheques In Hand</v>
          </cell>
          <cell r="M923" t="str">
            <v>CHEQUES IN HAND</v>
          </cell>
          <cell r="N923" t="e">
            <v>#REF!</v>
          </cell>
          <cell r="O923" t="str">
            <v>A</v>
          </cell>
          <cell r="P923">
            <v>0</v>
          </cell>
          <cell r="Q923">
            <v>3742239</v>
          </cell>
          <cell r="R923">
            <v>9299542</v>
          </cell>
          <cell r="T923">
            <v>0</v>
          </cell>
          <cell r="U923">
            <v>1466075</v>
          </cell>
          <cell r="V923">
            <v>1557397</v>
          </cell>
          <cell r="X923">
            <v>0</v>
          </cell>
          <cell r="Y923">
            <v>2276164</v>
          </cell>
          <cell r="Z923">
            <v>7742145</v>
          </cell>
          <cell r="AB923">
            <v>0</v>
          </cell>
          <cell r="AC923">
            <v>0</v>
          </cell>
          <cell r="AD923">
            <v>0</v>
          </cell>
          <cell r="AF923">
            <v>0</v>
          </cell>
          <cell r="AG923">
            <v>0</v>
          </cell>
          <cell r="AH923">
            <v>0</v>
          </cell>
        </row>
        <row r="924">
          <cell r="G924">
            <v>15622</v>
          </cell>
          <cell r="H924">
            <v>1130000</v>
          </cell>
          <cell r="L924" t="str">
            <v>Multiple Entry In Bank Payment Account (Suspense)</v>
          </cell>
          <cell r="M924" t="str">
            <v>MULTIPLE ENTRY IN BANK PAYMENT ACCOUNT (SUSPENSE)</v>
          </cell>
          <cell r="N924" t="e">
            <v>#REF!</v>
          </cell>
          <cell r="O924" t="str">
            <v>A</v>
          </cell>
          <cell r="Q924">
            <v>0</v>
          </cell>
          <cell r="R924">
            <v>0</v>
          </cell>
          <cell r="U924">
            <v>8472797</v>
          </cell>
          <cell r="V924">
            <v>8489747</v>
          </cell>
          <cell r="Y924">
            <v>-8472797</v>
          </cell>
          <cell r="Z924">
            <v>-8489747</v>
          </cell>
          <cell r="AC924">
            <v>0</v>
          </cell>
          <cell r="AD924">
            <v>0</v>
          </cell>
          <cell r="AG924">
            <v>0</v>
          </cell>
          <cell r="AH924">
            <v>0</v>
          </cell>
        </row>
        <row r="925">
          <cell r="H925">
            <v>1131000</v>
          </cell>
          <cell r="K925" t="str">
            <v>Cheques In Hand</v>
          </cell>
          <cell r="L925">
            <v>0</v>
          </cell>
          <cell r="M925" t="e">
            <v>#N/A</v>
          </cell>
          <cell r="N925" t="e">
            <v>#REF!</v>
          </cell>
          <cell r="O925" t="str">
            <v>A</v>
          </cell>
          <cell r="P925">
            <v>0</v>
          </cell>
          <cell r="Q925">
            <v>3742239</v>
          </cell>
          <cell r="R925">
            <v>9299542</v>
          </cell>
          <cell r="T925">
            <v>0</v>
          </cell>
          <cell r="U925">
            <v>9938872</v>
          </cell>
          <cell r="V925">
            <v>10047144</v>
          </cell>
          <cell r="X925">
            <v>0</v>
          </cell>
          <cell r="Y925">
            <v>-6196633</v>
          </cell>
          <cell r="Z925">
            <v>-747602</v>
          </cell>
          <cell r="AB925">
            <v>0</v>
          </cell>
          <cell r="AC925">
            <v>0</v>
          </cell>
          <cell r="AD925">
            <v>0</v>
          </cell>
          <cell r="AF925">
            <v>0</v>
          </cell>
          <cell r="AG925">
            <v>0</v>
          </cell>
          <cell r="AH925">
            <v>0</v>
          </cell>
        </row>
        <row r="926">
          <cell r="G926">
            <v>15155</v>
          </cell>
          <cell r="H926">
            <v>1132000</v>
          </cell>
          <cell r="I926" t="str">
            <v>0530</v>
          </cell>
          <cell r="L926" t="str">
            <v>C/A Boi (Turbhe)</v>
          </cell>
          <cell r="M926" t="str">
            <v>BOI TURHE (CURRENT A/C)</v>
          </cell>
          <cell r="N926" t="e">
            <v>#REF!</v>
          </cell>
          <cell r="O926" t="str">
            <v>A</v>
          </cell>
          <cell r="P926">
            <v>0</v>
          </cell>
          <cell r="Q926">
            <v>71784</v>
          </cell>
          <cell r="R926">
            <v>320822</v>
          </cell>
          <cell r="T926">
            <v>0</v>
          </cell>
          <cell r="U926">
            <v>-12753609</v>
          </cell>
          <cell r="V926">
            <v>-33324965</v>
          </cell>
          <cell r="X926">
            <v>0</v>
          </cell>
          <cell r="Y926">
            <v>12825393</v>
          </cell>
          <cell r="Z926">
            <v>33645787</v>
          </cell>
          <cell r="AB926">
            <v>0</v>
          </cell>
          <cell r="AC926">
            <v>0</v>
          </cell>
          <cell r="AD926">
            <v>0</v>
          </cell>
          <cell r="AF926">
            <v>0</v>
          </cell>
          <cell r="AG926">
            <v>0</v>
          </cell>
          <cell r="AH926">
            <v>0</v>
          </cell>
        </row>
        <row r="927">
          <cell r="G927">
            <v>15159</v>
          </cell>
          <cell r="H927">
            <v>1133000</v>
          </cell>
          <cell r="I927" t="str">
            <v>0531</v>
          </cell>
          <cell r="L927" t="str">
            <v>C/A S B T (Turbhe)</v>
          </cell>
          <cell r="M927" t="str">
            <v>SBT- BANK</v>
          </cell>
          <cell r="N927" t="e">
            <v>#REF!</v>
          </cell>
          <cell r="O927" t="str">
            <v>A</v>
          </cell>
          <cell r="P927">
            <v>0</v>
          </cell>
          <cell r="Q927">
            <v>130014</v>
          </cell>
          <cell r="R927">
            <v>57864</v>
          </cell>
          <cell r="T927">
            <v>0</v>
          </cell>
          <cell r="U927">
            <v>-6018214</v>
          </cell>
          <cell r="V927">
            <v>-650000</v>
          </cell>
          <cell r="X927">
            <v>0</v>
          </cell>
          <cell r="Y927">
            <v>6148228</v>
          </cell>
          <cell r="Z927">
            <v>707864</v>
          </cell>
          <cell r="AB927">
            <v>0</v>
          </cell>
          <cell r="AC927">
            <v>0</v>
          </cell>
          <cell r="AD927">
            <v>0</v>
          </cell>
          <cell r="AF927">
            <v>0</v>
          </cell>
          <cell r="AG927">
            <v>0</v>
          </cell>
          <cell r="AH927">
            <v>0</v>
          </cell>
        </row>
        <row r="928">
          <cell r="G928">
            <v>15170</v>
          </cell>
          <cell r="H928">
            <v>1134000</v>
          </cell>
          <cell r="I928" t="str">
            <v>0540</v>
          </cell>
          <cell r="L928" t="str">
            <v>Trustee Group Gratuity (Boi)</v>
          </cell>
          <cell r="M928" t="str">
            <v>TRUSTEE GROUP GRATUITY (BOI)</v>
          </cell>
          <cell r="N928" t="e">
            <v>#REF!</v>
          </cell>
          <cell r="O928" t="str">
            <v>A</v>
          </cell>
          <cell r="P928">
            <v>0</v>
          </cell>
          <cell r="Q928">
            <v>24627</v>
          </cell>
          <cell r="R928">
            <v>24611</v>
          </cell>
          <cell r="T928">
            <v>0</v>
          </cell>
          <cell r="U928">
            <v>-794139</v>
          </cell>
          <cell r="V928">
            <v>-256466</v>
          </cell>
          <cell r="X928">
            <v>0</v>
          </cell>
          <cell r="Y928">
            <v>818766</v>
          </cell>
          <cell r="Z928">
            <v>281077</v>
          </cell>
          <cell r="AB928">
            <v>0</v>
          </cell>
          <cell r="AC928">
            <v>0</v>
          </cell>
          <cell r="AD928">
            <v>0</v>
          </cell>
          <cell r="AF928">
            <v>0</v>
          </cell>
          <cell r="AG928">
            <v>0</v>
          </cell>
          <cell r="AH928">
            <v>0</v>
          </cell>
        </row>
        <row r="929">
          <cell r="H929">
            <v>1135000</v>
          </cell>
          <cell r="I929" t="str">
            <v>0451*0</v>
          </cell>
          <cell r="L929" t="str">
            <v>Cheque In Stale</v>
          </cell>
          <cell r="M929" t="e">
            <v>#N/A</v>
          </cell>
          <cell r="N929" t="e">
            <v>#REF!</v>
          </cell>
          <cell r="O929" t="str">
            <v>A</v>
          </cell>
          <cell r="Q929">
            <v>0</v>
          </cell>
          <cell r="R929">
            <v>0</v>
          </cell>
          <cell r="U929">
            <v>0</v>
          </cell>
          <cell r="V929">
            <v>0</v>
          </cell>
          <cell r="Y929">
            <v>0</v>
          </cell>
          <cell r="Z929">
            <v>0</v>
          </cell>
          <cell r="AC929">
            <v>0</v>
          </cell>
          <cell r="AD929">
            <v>0</v>
          </cell>
          <cell r="AG929">
            <v>0</v>
          </cell>
          <cell r="AH929">
            <v>0</v>
          </cell>
        </row>
        <row r="930">
          <cell r="G930">
            <v>15171</v>
          </cell>
          <cell r="H930">
            <v>1136000</v>
          </cell>
          <cell r="I930" t="str">
            <v>0542</v>
          </cell>
          <cell r="L930" t="str">
            <v>Superannuation A/C Boi</v>
          </cell>
          <cell r="M930" t="str">
            <v>SUPERANNUATION (BOI)</v>
          </cell>
          <cell r="N930" t="e">
            <v>#REF!</v>
          </cell>
          <cell r="O930" t="str">
            <v>A</v>
          </cell>
          <cell r="P930">
            <v>0</v>
          </cell>
          <cell r="Q930">
            <v>6700</v>
          </cell>
          <cell r="R930">
            <v>6700</v>
          </cell>
          <cell r="T930">
            <v>0</v>
          </cell>
          <cell r="U930">
            <v>6700</v>
          </cell>
          <cell r="V930">
            <v>6700</v>
          </cell>
          <cell r="X930">
            <v>0</v>
          </cell>
          <cell r="Y930">
            <v>0</v>
          </cell>
          <cell r="Z930">
            <v>0</v>
          </cell>
          <cell r="AB930">
            <v>0</v>
          </cell>
          <cell r="AC930">
            <v>0</v>
          </cell>
          <cell r="AD930">
            <v>0</v>
          </cell>
          <cell r="AF930">
            <v>0</v>
          </cell>
          <cell r="AG930">
            <v>0</v>
          </cell>
          <cell r="AH930">
            <v>0</v>
          </cell>
        </row>
        <row r="931">
          <cell r="G931">
            <v>15174</v>
          </cell>
          <cell r="H931">
            <v>1137000</v>
          </cell>
          <cell r="I931" t="str">
            <v>0546</v>
          </cell>
          <cell r="L931" t="str">
            <v>Debenture Redemption A/C 98-99 (Boi)</v>
          </cell>
          <cell r="M931" t="str">
            <v>DEBENTURE REDEMPTION 98-99 (BOI)</v>
          </cell>
          <cell r="N931" t="e">
            <v>#REF!</v>
          </cell>
          <cell r="O931" t="str">
            <v>A</v>
          </cell>
          <cell r="P931">
            <v>0</v>
          </cell>
          <cell r="Q931">
            <v>0</v>
          </cell>
          <cell r="R931">
            <v>0</v>
          </cell>
          <cell r="T931">
            <v>0</v>
          </cell>
          <cell r="U931">
            <v>0</v>
          </cell>
          <cell r="V931">
            <v>0</v>
          </cell>
          <cell r="X931">
            <v>0</v>
          </cell>
          <cell r="Y931">
            <v>0</v>
          </cell>
          <cell r="Z931">
            <v>0</v>
          </cell>
          <cell r="AB931">
            <v>0</v>
          </cell>
          <cell r="AC931">
            <v>0</v>
          </cell>
          <cell r="AD931">
            <v>0</v>
          </cell>
          <cell r="AF931">
            <v>0</v>
          </cell>
          <cell r="AG931">
            <v>0</v>
          </cell>
          <cell r="AH931">
            <v>0</v>
          </cell>
        </row>
        <row r="932">
          <cell r="H932">
            <v>1138000</v>
          </cell>
          <cell r="I932" t="str">
            <v>0547</v>
          </cell>
          <cell r="L932" t="str">
            <v>Abn Amro Bank (Current A/C)</v>
          </cell>
          <cell r="M932" t="e">
            <v>#N/A</v>
          </cell>
          <cell r="N932" t="e">
            <v>#REF!</v>
          </cell>
          <cell r="O932" t="str">
            <v>A</v>
          </cell>
          <cell r="P932">
            <v>0</v>
          </cell>
          <cell r="Q932">
            <v>0</v>
          </cell>
          <cell r="R932">
            <v>0</v>
          </cell>
          <cell r="T932">
            <v>0</v>
          </cell>
          <cell r="U932">
            <v>0</v>
          </cell>
          <cell r="V932">
            <v>0</v>
          </cell>
          <cell r="X932">
            <v>0</v>
          </cell>
          <cell r="Y932">
            <v>0</v>
          </cell>
          <cell r="Z932">
            <v>0</v>
          </cell>
          <cell r="AB932">
            <v>0</v>
          </cell>
          <cell r="AC932">
            <v>0</v>
          </cell>
          <cell r="AD932">
            <v>0</v>
          </cell>
          <cell r="AF932">
            <v>0</v>
          </cell>
          <cell r="AG932">
            <v>0</v>
          </cell>
          <cell r="AH932">
            <v>0</v>
          </cell>
        </row>
        <row r="933">
          <cell r="H933">
            <v>1139000</v>
          </cell>
          <cell r="L933" t="str">
            <v>Current Account Hsbc (003)</v>
          </cell>
          <cell r="M933" t="e">
            <v>#N/A</v>
          </cell>
          <cell r="N933" t="e">
            <v>#REF!</v>
          </cell>
          <cell r="O933" t="str">
            <v>A</v>
          </cell>
          <cell r="P933">
            <v>0</v>
          </cell>
          <cell r="Q933">
            <v>0</v>
          </cell>
          <cell r="R933">
            <v>0</v>
          </cell>
          <cell r="T933">
            <v>0</v>
          </cell>
          <cell r="U933">
            <v>0</v>
          </cell>
          <cell r="V933">
            <v>0</v>
          </cell>
          <cell r="X933">
            <v>0</v>
          </cell>
          <cell r="Y933">
            <v>0</v>
          </cell>
          <cell r="Z933">
            <v>0</v>
          </cell>
          <cell r="AB933">
            <v>0</v>
          </cell>
          <cell r="AC933">
            <v>0</v>
          </cell>
          <cell r="AD933">
            <v>0</v>
          </cell>
          <cell r="AF933">
            <v>0</v>
          </cell>
          <cell r="AG933">
            <v>0</v>
          </cell>
          <cell r="AH933">
            <v>0</v>
          </cell>
        </row>
        <row r="934">
          <cell r="G934">
            <v>15157</v>
          </cell>
          <cell r="H934">
            <v>1140000</v>
          </cell>
          <cell r="I934" t="str">
            <v>0605</v>
          </cell>
          <cell r="L934" t="str">
            <v>Current Account Corporation Bank</v>
          </cell>
          <cell r="M934" t="str">
            <v>CORPORATION BANK</v>
          </cell>
          <cell r="N934" t="e">
            <v>#REF!</v>
          </cell>
          <cell r="O934" t="str">
            <v>A</v>
          </cell>
          <cell r="P934">
            <v>0</v>
          </cell>
          <cell r="Q934">
            <v>1838595</v>
          </cell>
          <cell r="R934">
            <v>1128652</v>
          </cell>
          <cell r="T934">
            <v>0</v>
          </cell>
          <cell r="U934">
            <v>1599982</v>
          </cell>
          <cell r="V934">
            <v>0</v>
          </cell>
          <cell r="X934">
            <v>0</v>
          </cell>
          <cell r="Y934">
            <v>-1599982</v>
          </cell>
          <cell r="Z934">
            <v>0</v>
          </cell>
          <cell r="AB934">
            <v>0</v>
          </cell>
          <cell r="AC934">
            <v>1838595</v>
          </cell>
          <cell r="AD934">
            <v>1128652</v>
          </cell>
          <cell r="AF934">
            <v>0</v>
          </cell>
          <cell r="AG934">
            <v>0</v>
          </cell>
          <cell r="AH934">
            <v>0</v>
          </cell>
        </row>
        <row r="935">
          <cell r="H935">
            <v>1141000</v>
          </cell>
          <cell r="L935" t="str">
            <v>Corporation Bank</v>
          </cell>
          <cell r="M935" t="e">
            <v>#N/A</v>
          </cell>
          <cell r="N935" t="e">
            <v>#REF!</v>
          </cell>
          <cell r="O935" t="str">
            <v>A</v>
          </cell>
          <cell r="Q935">
            <v>0</v>
          </cell>
          <cell r="R935">
            <v>0</v>
          </cell>
          <cell r="U935">
            <v>0</v>
          </cell>
          <cell r="V935">
            <v>0</v>
          </cell>
          <cell r="Y935">
            <v>0</v>
          </cell>
          <cell r="Z935">
            <v>0</v>
          </cell>
          <cell r="AC935">
            <v>0</v>
          </cell>
          <cell r="AD935">
            <v>0</v>
          </cell>
          <cell r="AG935">
            <v>0</v>
          </cell>
          <cell r="AH935">
            <v>0</v>
          </cell>
        </row>
        <row r="936">
          <cell r="G936">
            <v>15184</v>
          </cell>
          <cell r="H936">
            <v>1142000</v>
          </cell>
          <cell r="L936" t="str">
            <v>Margin Money Account</v>
          </cell>
          <cell r="M936" t="str">
            <v>MARGIN MONEY ACCOUNT</v>
          </cell>
          <cell r="N936" t="e">
            <v>#REF!</v>
          </cell>
          <cell r="O936" t="str">
            <v>A</v>
          </cell>
          <cell r="Q936">
            <v>0</v>
          </cell>
          <cell r="R936">
            <v>65000</v>
          </cell>
          <cell r="U936">
            <v>0</v>
          </cell>
          <cell r="V936">
            <v>65000</v>
          </cell>
          <cell r="X936">
            <v>0</v>
          </cell>
          <cell r="Y936">
            <v>0</v>
          </cell>
          <cell r="Z936">
            <v>0</v>
          </cell>
          <cell r="AC936">
            <v>0</v>
          </cell>
          <cell r="AD936">
            <v>0</v>
          </cell>
          <cell r="AG936">
            <v>0</v>
          </cell>
          <cell r="AH936">
            <v>0</v>
          </cell>
        </row>
        <row r="937">
          <cell r="G937">
            <v>15158</v>
          </cell>
          <cell r="H937">
            <v>1143000</v>
          </cell>
          <cell r="I937" t="str">
            <v>0606</v>
          </cell>
          <cell r="L937" t="str">
            <v>Icici Bank</v>
          </cell>
          <cell r="M937" t="str">
            <v>ICICI BANK (CURRENT A/C)</v>
          </cell>
          <cell r="N937" t="e">
            <v>#REF!</v>
          </cell>
          <cell r="O937" t="str">
            <v>A</v>
          </cell>
          <cell r="P937">
            <v>0</v>
          </cell>
          <cell r="Q937">
            <v>144915</v>
          </cell>
          <cell r="R937">
            <v>64427</v>
          </cell>
          <cell r="T937">
            <v>0</v>
          </cell>
          <cell r="U937">
            <v>9213786</v>
          </cell>
          <cell r="V937">
            <v>2844011</v>
          </cell>
          <cell r="X937">
            <v>0</v>
          </cell>
          <cell r="Y937">
            <v>-9068871</v>
          </cell>
          <cell r="Z937">
            <v>-2779584</v>
          </cell>
          <cell r="AB937">
            <v>0</v>
          </cell>
          <cell r="AC937">
            <v>0</v>
          </cell>
          <cell r="AD937">
            <v>0</v>
          </cell>
          <cell r="AF937">
            <v>0</v>
          </cell>
          <cell r="AG937">
            <v>0</v>
          </cell>
          <cell r="AH937">
            <v>0</v>
          </cell>
        </row>
        <row r="938">
          <cell r="G938">
            <v>15156</v>
          </cell>
          <cell r="H938">
            <v>1144000</v>
          </cell>
          <cell r="I938" t="str">
            <v>0607</v>
          </cell>
          <cell r="L938" t="str">
            <v>Hsbc - Mg Road Branch</v>
          </cell>
          <cell r="M938" t="str">
            <v>HSBC MG ROAD</v>
          </cell>
          <cell r="N938" t="e">
            <v>#REF!</v>
          </cell>
          <cell r="O938" t="str">
            <v>A</v>
          </cell>
          <cell r="P938">
            <v>0</v>
          </cell>
          <cell r="Q938">
            <v>78256</v>
          </cell>
          <cell r="R938">
            <v>78256</v>
          </cell>
          <cell r="T938">
            <v>0</v>
          </cell>
          <cell r="U938">
            <v>78256</v>
          </cell>
          <cell r="V938">
            <v>78256</v>
          </cell>
          <cell r="X938">
            <v>0</v>
          </cell>
          <cell r="Y938">
            <v>0</v>
          </cell>
          <cell r="Z938">
            <v>0</v>
          </cell>
          <cell r="AB938">
            <v>0</v>
          </cell>
          <cell r="AC938">
            <v>0</v>
          </cell>
          <cell r="AD938">
            <v>0</v>
          </cell>
          <cell r="AF938">
            <v>0</v>
          </cell>
          <cell r="AG938">
            <v>0</v>
          </cell>
          <cell r="AH938">
            <v>0</v>
          </cell>
        </row>
        <row r="939">
          <cell r="G939">
            <v>15160</v>
          </cell>
          <cell r="H939">
            <v>1145000</v>
          </cell>
          <cell r="I939" t="str">
            <v>0609</v>
          </cell>
          <cell r="L939" t="str">
            <v>C/A - Hdfc-Dehradun</v>
          </cell>
          <cell r="M939" t="str">
            <v>HDFC (CURRENT A/C)</v>
          </cell>
          <cell r="N939" t="e">
            <v>#REF!</v>
          </cell>
          <cell r="O939" t="str">
            <v>A</v>
          </cell>
          <cell r="Q939">
            <v>84332</v>
          </cell>
          <cell r="R939">
            <v>86042</v>
          </cell>
          <cell r="U939">
            <v>-154237</v>
          </cell>
          <cell r="V939">
            <v>-139027</v>
          </cell>
          <cell r="Y939">
            <v>238569</v>
          </cell>
          <cell r="Z939">
            <v>225069</v>
          </cell>
          <cell r="AC939">
            <v>0</v>
          </cell>
          <cell r="AD939">
            <v>0</v>
          </cell>
          <cell r="AG939">
            <v>0</v>
          </cell>
          <cell r="AH939">
            <v>0</v>
          </cell>
        </row>
        <row r="940">
          <cell r="H940">
            <v>1146000</v>
          </cell>
          <cell r="I940" t="str">
            <v>0611</v>
          </cell>
          <cell r="J940" t="str">
            <v>611</v>
          </cell>
          <cell r="L940" t="str">
            <v>C/A - Indus Ind Bank</v>
          </cell>
          <cell r="M940" t="e">
            <v>#N/A</v>
          </cell>
          <cell r="N940" t="e">
            <v>#REF!</v>
          </cell>
          <cell r="O940" t="str">
            <v>A</v>
          </cell>
          <cell r="Q940">
            <v>231964</v>
          </cell>
          <cell r="R940">
            <v>83167</v>
          </cell>
          <cell r="U940">
            <v>0</v>
          </cell>
          <cell r="V940">
            <v>0</v>
          </cell>
          <cell r="Y940">
            <v>0</v>
          </cell>
          <cell r="Z940">
            <v>0</v>
          </cell>
          <cell r="AC940">
            <v>0</v>
          </cell>
          <cell r="AD940">
            <v>0</v>
          </cell>
          <cell r="AG940">
            <v>231964</v>
          </cell>
          <cell r="AH940">
            <v>83167</v>
          </cell>
        </row>
        <row r="941">
          <cell r="G941">
            <v>15162</v>
          </cell>
          <cell r="H941">
            <v>1147000</v>
          </cell>
          <cell r="I941" t="str">
            <v>0754</v>
          </cell>
          <cell r="L941" t="str">
            <v>Currrent Account - Scb</v>
          </cell>
          <cell r="M941" t="str">
            <v>SCB (CURRENT A/C)</v>
          </cell>
          <cell r="N941" t="e">
            <v>#REF!</v>
          </cell>
          <cell r="O941" t="str">
            <v>A</v>
          </cell>
          <cell r="P941">
            <v>0</v>
          </cell>
          <cell r="Q941">
            <v>50527</v>
          </cell>
          <cell r="R941">
            <v>50527</v>
          </cell>
          <cell r="T941">
            <v>0</v>
          </cell>
          <cell r="U941">
            <v>50527</v>
          </cell>
          <cell r="V941">
            <v>50527</v>
          </cell>
          <cell r="X941">
            <v>0</v>
          </cell>
          <cell r="Y941">
            <v>0</v>
          </cell>
          <cell r="Z941">
            <v>0</v>
          </cell>
          <cell r="AB941">
            <v>0</v>
          </cell>
          <cell r="AC941">
            <v>0</v>
          </cell>
          <cell r="AD941">
            <v>0</v>
          </cell>
          <cell r="AF941">
            <v>0</v>
          </cell>
          <cell r="AG941">
            <v>0</v>
          </cell>
          <cell r="AH941">
            <v>0</v>
          </cell>
        </row>
        <row r="942">
          <cell r="G942">
            <v>15185</v>
          </cell>
          <cell r="H942">
            <v>1148000</v>
          </cell>
          <cell r="I942" t="str">
            <v>0625</v>
          </cell>
          <cell r="L942" t="str">
            <v>Current A/C - Uco Bank</v>
          </cell>
          <cell r="M942" t="str">
            <v>UCO BANK (A/C NO 19790210005347)</v>
          </cell>
          <cell r="N942" t="e">
            <v>#REF!</v>
          </cell>
          <cell r="O942" t="str">
            <v>A</v>
          </cell>
          <cell r="Q942">
            <v>5475376</v>
          </cell>
          <cell r="R942">
            <v>5376</v>
          </cell>
          <cell r="U942">
            <v>-18282287</v>
          </cell>
          <cell r="V942">
            <v>-23752287</v>
          </cell>
          <cell r="Y942">
            <v>23757663</v>
          </cell>
          <cell r="Z942">
            <v>23757663</v>
          </cell>
          <cell r="AC942">
            <v>0</v>
          </cell>
          <cell r="AD942">
            <v>0</v>
          </cell>
          <cell r="AG942">
            <v>0</v>
          </cell>
          <cell r="AH942">
            <v>0</v>
          </cell>
        </row>
        <row r="943">
          <cell r="G943">
            <v>15169</v>
          </cell>
          <cell r="H943">
            <v>1149000</v>
          </cell>
          <cell r="I943" t="str">
            <v>0751</v>
          </cell>
          <cell r="L943" t="str">
            <v>Refund  Pcd  - Federal Bank</v>
          </cell>
          <cell r="M943" t="str">
            <v>FEDRAL REFUND PCD</v>
          </cell>
          <cell r="N943" t="e">
            <v>#REF!</v>
          </cell>
          <cell r="O943" t="str">
            <v>A</v>
          </cell>
          <cell r="P943">
            <v>0</v>
          </cell>
          <cell r="Q943">
            <v>-1</v>
          </cell>
          <cell r="R943">
            <v>-1</v>
          </cell>
          <cell r="T943">
            <v>0</v>
          </cell>
          <cell r="U943">
            <v>-1</v>
          </cell>
          <cell r="V943">
            <v>-1</v>
          </cell>
          <cell r="X943">
            <v>0</v>
          </cell>
          <cell r="Y943">
            <v>0</v>
          </cell>
          <cell r="Z943">
            <v>0</v>
          </cell>
          <cell r="AB943">
            <v>0</v>
          </cell>
          <cell r="AC943">
            <v>0</v>
          </cell>
          <cell r="AD943">
            <v>0</v>
          </cell>
          <cell r="AF943">
            <v>0</v>
          </cell>
          <cell r="AG943">
            <v>0</v>
          </cell>
          <cell r="AH943">
            <v>0</v>
          </cell>
        </row>
        <row r="944">
          <cell r="G944">
            <v>15164</v>
          </cell>
          <cell r="H944">
            <v>1150000</v>
          </cell>
          <cell r="I944" t="str">
            <v>0545</v>
          </cell>
          <cell r="L944" t="str">
            <v>Eefc</v>
          </cell>
          <cell r="M944" t="str">
            <v>EEFC</v>
          </cell>
          <cell r="N944" t="e">
            <v>#REF!</v>
          </cell>
          <cell r="O944" t="str">
            <v>A</v>
          </cell>
          <cell r="Q944">
            <v>17014</v>
          </cell>
          <cell r="R944">
            <v>0</v>
          </cell>
          <cell r="U944">
            <v>4534673</v>
          </cell>
          <cell r="V944">
            <v>0</v>
          </cell>
          <cell r="Y944">
            <v>-4517659</v>
          </cell>
          <cell r="Z944">
            <v>0</v>
          </cell>
          <cell r="AC944">
            <v>0</v>
          </cell>
          <cell r="AD944">
            <v>0</v>
          </cell>
          <cell r="AG944">
            <v>0</v>
          </cell>
          <cell r="AH944">
            <v>0</v>
          </cell>
        </row>
        <row r="945">
          <cell r="G945">
            <v>15165</v>
          </cell>
          <cell r="H945">
            <v>1151000</v>
          </cell>
          <cell r="L945" t="str">
            <v>Eefc-Hsbc</v>
          </cell>
          <cell r="M945" t="str">
            <v>EEFC-HSBC</v>
          </cell>
          <cell r="N945" t="e">
            <v>#REF!</v>
          </cell>
          <cell r="O945" t="str">
            <v>A</v>
          </cell>
          <cell r="Q945">
            <v>0</v>
          </cell>
          <cell r="R945">
            <v>0</v>
          </cell>
          <cell r="U945">
            <v>96715014</v>
          </cell>
          <cell r="V945">
            <v>6404071</v>
          </cell>
          <cell r="Y945">
            <v>-96715014</v>
          </cell>
          <cell r="Z945">
            <v>-6404071</v>
          </cell>
          <cell r="AC945">
            <v>0</v>
          </cell>
          <cell r="AD945">
            <v>0</v>
          </cell>
          <cell r="AG945">
            <v>0</v>
          </cell>
          <cell r="AH945">
            <v>0</v>
          </cell>
        </row>
        <row r="946">
          <cell r="G946">
            <v>15166</v>
          </cell>
          <cell r="H946">
            <v>1152000</v>
          </cell>
          <cell r="L946" t="str">
            <v>HDFC BANK A/C (CURRENT ACCOUNT -50200003859316)</v>
          </cell>
          <cell r="M946" t="str">
            <v>HDFC BANK A/C (CURRENT ACCOUNT -50200003859316)</v>
          </cell>
          <cell r="N946" t="e">
            <v>#REF!</v>
          </cell>
          <cell r="O946" t="str">
            <v>A</v>
          </cell>
          <cell r="Q946">
            <v>173224</v>
          </cell>
          <cell r="R946">
            <v>725899</v>
          </cell>
          <cell r="U946">
            <v>-64862058</v>
          </cell>
          <cell r="V946">
            <v>-16604603</v>
          </cell>
          <cell r="Y946">
            <v>65035282</v>
          </cell>
          <cell r="Z946">
            <v>17330502</v>
          </cell>
          <cell r="AC946">
            <v>0</v>
          </cell>
          <cell r="AD946">
            <v>0</v>
          </cell>
          <cell r="AG946">
            <v>0</v>
          </cell>
          <cell r="AH946">
            <v>0</v>
          </cell>
        </row>
        <row r="947">
          <cell r="G947">
            <v>15167</v>
          </cell>
          <cell r="H947">
            <v>1153000</v>
          </cell>
          <cell r="I947" t="str">
            <v>0511</v>
          </cell>
          <cell r="L947" t="str">
            <v>KOTAK MAHINDRA BANK (CURRENT ACCOUNT)</v>
          </cell>
          <cell r="M947" t="str">
            <v>KOTAK MAHINDRA BANK (CURRENT ACCOUNT)</v>
          </cell>
          <cell r="N947" t="e">
            <v>#REF!</v>
          </cell>
          <cell r="O947" t="str">
            <v>A</v>
          </cell>
          <cell r="Q947">
            <v>759097</v>
          </cell>
          <cell r="R947">
            <v>10225703</v>
          </cell>
          <cell r="U947">
            <v>-234171416</v>
          </cell>
          <cell r="V947">
            <v>-19025389</v>
          </cell>
          <cell r="Y947">
            <v>234930513</v>
          </cell>
          <cell r="Z947">
            <v>29251092</v>
          </cell>
          <cell r="AC947">
            <v>0</v>
          </cell>
          <cell r="AD947">
            <v>0</v>
          </cell>
          <cell r="AG947">
            <v>0</v>
          </cell>
          <cell r="AH947">
            <v>0</v>
          </cell>
        </row>
        <row r="948">
          <cell r="G948">
            <v>15168</v>
          </cell>
          <cell r="H948">
            <v>1154000</v>
          </cell>
          <cell r="L948" t="str">
            <v>AXIS BANK CURRENT ACCOUNT</v>
          </cell>
          <cell r="M948" t="str">
            <v>AXIS BANK CURRENT ACCOUNT</v>
          </cell>
          <cell r="N948" t="e">
            <v>#REF!</v>
          </cell>
          <cell r="O948" t="str">
            <v>A</v>
          </cell>
          <cell r="Q948">
            <v>91366</v>
          </cell>
          <cell r="R948">
            <v>523014</v>
          </cell>
          <cell r="U948">
            <v>-30449312</v>
          </cell>
          <cell r="V948">
            <v>-10400191</v>
          </cell>
          <cell r="Y948">
            <v>30540678</v>
          </cell>
          <cell r="Z948">
            <v>10923205</v>
          </cell>
          <cell r="AC948">
            <v>0</v>
          </cell>
          <cell r="AD948">
            <v>0</v>
          </cell>
          <cell r="AG948">
            <v>0</v>
          </cell>
          <cell r="AH948">
            <v>0</v>
          </cell>
        </row>
        <row r="949">
          <cell r="H949">
            <v>1155000</v>
          </cell>
          <cell r="L949" t="str">
            <v>With Others</v>
          </cell>
          <cell r="M949" t="e">
            <v>#N/A</v>
          </cell>
          <cell r="N949" t="e">
            <v>#REF!</v>
          </cell>
          <cell r="O949" t="str">
            <v>A</v>
          </cell>
          <cell r="Q949">
            <v>0</v>
          </cell>
          <cell r="R949">
            <v>0</v>
          </cell>
          <cell r="U949">
            <v>0</v>
          </cell>
          <cell r="V949">
            <v>0</v>
          </cell>
          <cell r="Y949">
            <v>0</v>
          </cell>
          <cell r="Z949">
            <v>0</v>
          </cell>
          <cell r="AC949">
            <v>0</v>
          </cell>
          <cell r="AD949">
            <v>0</v>
          </cell>
          <cell r="AG949">
            <v>0</v>
          </cell>
          <cell r="AH949">
            <v>0</v>
          </cell>
        </row>
        <row r="950">
          <cell r="G950">
            <v>15186</v>
          </cell>
          <cell r="H950">
            <v>1156000</v>
          </cell>
          <cell r="L950" t="str">
            <v>Icici Bank-Vashi</v>
          </cell>
          <cell r="M950" t="str">
            <v>ICICI BANK-VASHI</v>
          </cell>
          <cell r="N950" t="e">
            <v>#REF!</v>
          </cell>
          <cell r="O950" t="str">
            <v>A</v>
          </cell>
          <cell r="Q950">
            <v>240329</v>
          </cell>
          <cell r="R950">
            <v>710458</v>
          </cell>
          <cell r="U950">
            <v>28985525</v>
          </cell>
          <cell r="V950">
            <v>14016980</v>
          </cell>
          <cell r="Y950">
            <v>-28745196</v>
          </cell>
          <cell r="Z950">
            <v>-13306522</v>
          </cell>
          <cell r="AC950">
            <v>0</v>
          </cell>
          <cell r="AD950">
            <v>0</v>
          </cell>
          <cell r="AG950">
            <v>0</v>
          </cell>
          <cell r="AH950">
            <v>0</v>
          </cell>
        </row>
        <row r="951">
          <cell r="G951">
            <v>15182</v>
          </cell>
          <cell r="H951">
            <v>1157000</v>
          </cell>
          <cell r="I951" t="str">
            <v>0730</v>
          </cell>
          <cell r="L951" t="str">
            <v>Muncipal Co Op Bank</v>
          </cell>
          <cell r="M951" t="str">
            <v>MUNICIPAL CO-OP BANK</v>
          </cell>
          <cell r="N951" t="e">
            <v>#REF!</v>
          </cell>
          <cell r="O951" t="str">
            <v>A</v>
          </cell>
          <cell r="Q951">
            <v>82842</v>
          </cell>
          <cell r="R951">
            <v>153785</v>
          </cell>
          <cell r="U951">
            <v>100000</v>
          </cell>
          <cell r="V951">
            <v>100000</v>
          </cell>
          <cell r="Y951">
            <v>-17158</v>
          </cell>
          <cell r="Z951">
            <v>53785</v>
          </cell>
          <cell r="AC951">
            <v>0</v>
          </cell>
          <cell r="AD951">
            <v>0</v>
          </cell>
          <cell r="AG951">
            <v>0</v>
          </cell>
          <cell r="AH951">
            <v>0</v>
          </cell>
        </row>
        <row r="952">
          <cell r="H952">
            <v>1158000</v>
          </cell>
          <cell r="I952" t="str">
            <v>0601</v>
          </cell>
          <cell r="L952" t="str">
            <v>Current Account - Hsbc (003)</v>
          </cell>
          <cell r="M952" t="e">
            <v>#N/A</v>
          </cell>
          <cell r="N952" t="e">
            <v>#REF!</v>
          </cell>
          <cell r="O952" t="str">
            <v>A</v>
          </cell>
          <cell r="Q952">
            <v>1530446</v>
          </cell>
          <cell r="R952">
            <v>197849</v>
          </cell>
          <cell r="U952">
            <v>0</v>
          </cell>
          <cell r="V952">
            <v>0</v>
          </cell>
          <cell r="Y952">
            <v>0</v>
          </cell>
          <cell r="Z952">
            <v>0</v>
          </cell>
          <cell r="AC952">
            <v>1530446</v>
          </cell>
          <cell r="AD952">
            <v>197849</v>
          </cell>
          <cell r="AG952">
            <v>0</v>
          </cell>
          <cell r="AH952">
            <v>0</v>
          </cell>
        </row>
        <row r="953">
          <cell r="H953">
            <v>1159000</v>
          </cell>
          <cell r="L953" t="str">
            <v>Regrouped from Short Term Borrowings</v>
          </cell>
          <cell r="O953" t="str">
            <v>A</v>
          </cell>
          <cell r="Q953">
            <v>0</v>
          </cell>
          <cell r="R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row>
        <row r="954">
          <cell r="H954">
            <v>1160000</v>
          </cell>
          <cell r="O954" t="str">
            <v>A</v>
          </cell>
          <cell r="Q954">
            <v>0</v>
          </cell>
          <cell r="R954">
            <v>0</v>
          </cell>
        </row>
        <row r="955">
          <cell r="H955">
            <v>1161000</v>
          </cell>
          <cell r="K955">
            <v>0</v>
          </cell>
          <cell r="L955">
            <v>0</v>
          </cell>
          <cell r="M955" t="e">
            <v>#N/A</v>
          </cell>
          <cell r="N955" t="e">
            <v>#REF!</v>
          </cell>
          <cell r="O955" t="str">
            <v>A</v>
          </cell>
          <cell r="P955">
            <v>0</v>
          </cell>
          <cell r="Q955">
            <v>11031407</v>
          </cell>
          <cell r="R955">
            <v>14508151</v>
          </cell>
          <cell r="T955">
            <v>0</v>
          </cell>
          <cell r="U955">
            <v>-226200810</v>
          </cell>
          <cell r="V955">
            <v>-80587384</v>
          </cell>
          <cell r="W955">
            <v>0</v>
          </cell>
          <cell r="X955">
            <v>0</v>
          </cell>
          <cell r="Y955">
            <v>233631212</v>
          </cell>
          <cell r="Z955">
            <v>93685867</v>
          </cell>
          <cell r="AA955">
            <v>0</v>
          </cell>
          <cell r="AB955">
            <v>0</v>
          </cell>
          <cell r="AC955">
            <v>3369041</v>
          </cell>
          <cell r="AD955">
            <v>1326501</v>
          </cell>
          <cell r="AE955">
            <v>0</v>
          </cell>
          <cell r="AF955">
            <v>0</v>
          </cell>
          <cell r="AG955">
            <v>231964</v>
          </cell>
          <cell r="AH955">
            <v>83167</v>
          </cell>
        </row>
        <row r="956">
          <cell r="H956">
            <v>1162000</v>
          </cell>
          <cell r="K956" t="str">
            <v>OTHER BANK BALANCES</v>
          </cell>
          <cell r="O956" t="str">
            <v>A</v>
          </cell>
        </row>
        <row r="957">
          <cell r="H957">
            <v>1163000</v>
          </cell>
          <cell r="K957" t="str">
            <v>Fixed Deposits Less than 12 months</v>
          </cell>
          <cell r="M957" t="e">
            <v>#N/A</v>
          </cell>
          <cell r="N957" t="e">
            <v>#REF!</v>
          </cell>
          <cell r="O957" t="str">
            <v>A</v>
          </cell>
          <cell r="AC957">
            <v>0</v>
          </cell>
          <cell r="AG957">
            <v>0</v>
          </cell>
        </row>
        <row r="958">
          <cell r="G958">
            <v>15180</v>
          </cell>
          <cell r="H958">
            <v>1164000</v>
          </cell>
          <cell r="I958" t="str">
            <v>0740</v>
          </cell>
          <cell r="L958" t="str">
            <v>Fixed Deposits</v>
          </cell>
          <cell r="M958" t="str">
            <v>FIXED DEPOSITS</v>
          </cell>
          <cell r="N958" t="e">
            <v>#REF!</v>
          </cell>
          <cell r="O958" t="str">
            <v>A</v>
          </cell>
          <cell r="R958">
            <v>3829548</v>
          </cell>
          <cell r="U958">
            <v>4639073</v>
          </cell>
          <cell r="V958">
            <v>3829548</v>
          </cell>
          <cell r="Y958">
            <v>-87000</v>
          </cell>
          <cell r="Z958">
            <v>0</v>
          </cell>
          <cell r="AC958">
            <v>0</v>
          </cell>
          <cell r="AD958">
            <v>0</v>
          </cell>
          <cell r="AG958">
            <v>0</v>
          </cell>
          <cell r="AH958">
            <v>0</v>
          </cell>
        </row>
        <row r="959">
          <cell r="H959">
            <v>1165000</v>
          </cell>
          <cell r="O959" t="str">
            <v>A</v>
          </cell>
        </row>
        <row r="960">
          <cell r="H960">
            <v>1166000</v>
          </cell>
          <cell r="K960" t="str">
            <v>Fixed Deposits Less than 12 months</v>
          </cell>
          <cell r="L960">
            <v>0</v>
          </cell>
          <cell r="M960" t="e">
            <v>#N/A</v>
          </cell>
          <cell r="N960" t="e">
            <v>#REF!</v>
          </cell>
          <cell r="O960" t="str">
            <v>A</v>
          </cell>
          <cell r="P960">
            <v>0</v>
          </cell>
          <cell r="Q960">
            <v>0</v>
          </cell>
          <cell r="R960">
            <v>3829548</v>
          </cell>
          <cell r="T960">
            <v>0</v>
          </cell>
          <cell r="U960">
            <v>4639073</v>
          </cell>
          <cell r="V960">
            <v>3829548</v>
          </cell>
          <cell r="W960">
            <v>0</v>
          </cell>
          <cell r="X960">
            <v>0</v>
          </cell>
          <cell r="Y960">
            <v>-87000</v>
          </cell>
          <cell r="Z960">
            <v>0</v>
          </cell>
          <cell r="AA960">
            <v>0</v>
          </cell>
          <cell r="AB960">
            <v>0</v>
          </cell>
          <cell r="AC960">
            <v>0</v>
          </cell>
          <cell r="AD960">
            <v>0</v>
          </cell>
          <cell r="AE960">
            <v>0</v>
          </cell>
          <cell r="AF960">
            <v>0</v>
          </cell>
          <cell r="AG960">
            <v>0</v>
          </cell>
          <cell r="AH960">
            <v>0</v>
          </cell>
        </row>
        <row r="961">
          <cell r="H961">
            <v>1167000</v>
          </cell>
          <cell r="K961" t="str">
            <v>Unpaid Dividend</v>
          </cell>
          <cell r="M961" t="e">
            <v>#N/A</v>
          </cell>
          <cell r="N961" t="e">
            <v>#REF!</v>
          </cell>
          <cell r="O961" t="str">
            <v>A</v>
          </cell>
        </row>
        <row r="962">
          <cell r="G962">
            <v>15175</v>
          </cell>
          <cell r="H962">
            <v>1168000</v>
          </cell>
          <cell r="I962" t="str">
            <v>0724</v>
          </cell>
          <cell r="L962" t="str">
            <v>Dividend A/C 2004-05 ( Bank)</v>
          </cell>
          <cell r="M962" t="str">
            <v>DIVIDEND (BANK/ ASSET A/C)</v>
          </cell>
          <cell r="N962" t="e">
            <v>#REF!</v>
          </cell>
          <cell r="O962" t="str">
            <v>A</v>
          </cell>
          <cell r="Q962">
            <v>1671385</v>
          </cell>
          <cell r="R962">
            <v>1332130</v>
          </cell>
          <cell r="U962">
            <v>1671385</v>
          </cell>
          <cell r="V962">
            <v>1332130</v>
          </cell>
          <cell r="Y962">
            <v>0</v>
          </cell>
          <cell r="Z962">
            <v>0</v>
          </cell>
          <cell r="AC962">
            <v>0</v>
          </cell>
          <cell r="AD962">
            <v>0</v>
          </cell>
          <cell r="AG962">
            <v>0</v>
          </cell>
          <cell r="AH962">
            <v>0</v>
          </cell>
        </row>
        <row r="963">
          <cell r="H963">
            <v>1169000</v>
          </cell>
          <cell r="O963" t="str">
            <v>A</v>
          </cell>
        </row>
        <row r="964">
          <cell r="H964">
            <v>1170000</v>
          </cell>
          <cell r="K964" t="str">
            <v>Unpaid Dividend</v>
          </cell>
          <cell r="L964">
            <v>0</v>
          </cell>
          <cell r="M964" t="e">
            <v>#N/A</v>
          </cell>
          <cell r="N964" t="e">
            <v>#REF!</v>
          </cell>
          <cell r="O964" t="str">
            <v>A</v>
          </cell>
          <cell r="P964">
            <v>0</v>
          </cell>
          <cell r="Q964">
            <v>1671385</v>
          </cell>
          <cell r="R964">
            <v>1332130</v>
          </cell>
          <cell r="T964">
            <v>0</v>
          </cell>
          <cell r="U964">
            <v>1671385</v>
          </cell>
          <cell r="V964">
            <v>1332130</v>
          </cell>
          <cell r="X964">
            <v>0</v>
          </cell>
          <cell r="Y964">
            <v>0</v>
          </cell>
          <cell r="Z964">
            <v>0</v>
          </cell>
          <cell r="AB964">
            <v>0</v>
          </cell>
          <cell r="AC964">
            <v>0</v>
          </cell>
          <cell r="AD964">
            <v>0</v>
          </cell>
          <cell r="AF964">
            <v>0</v>
          </cell>
          <cell r="AG964">
            <v>0</v>
          </cell>
          <cell r="AH964">
            <v>0</v>
          </cell>
        </row>
        <row r="965">
          <cell r="H965">
            <v>1171000</v>
          </cell>
          <cell r="J965" t="str">
            <v>CASH &amp; BANK BALANCES</v>
          </cell>
          <cell r="M965" t="e">
            <v>#N/A</v>
          </cell>
          <cell r="N965" t="e">
            <v>#REF!</v>
          </cell>
          <cell r="O965" t="str">
            <v>A</v>
          </cell>
          <cell r="P965">
            <v>0</v>
          </cell>
          <cell r="Q965">
            <v>16582751</v>
          </cell>
          <cell r="R965">
            <v>29103543</v>
          </cell>
          <cell r="T965">
            <v>0</v>
          </cell>
          <cell r="U965">
            <v>-216218555</v>
          </cell>
          <cell r="V965">
            <v>-71485893</v>
          </cell>
          <cell r="W965">
            <v>0</v>
          </cell>
          <cell r="X965">
            <v>0</v>
          </cell>
          <cell r="Y965">
            <v>233676292</v>
          </cell>
          <cell r="Z965">
            <v>99143957</v>
          </cell>
          <cell r="AA965">
            <v>0</v>
          </cell>
          <cell r="AB965">
            <v>0</v>
          </cell>
          <cell r="AC965">
            <v>3406560</v>
          </cell>
          <cell r="AD965">
            <v>1351454</v>
          </cell>
          <cell r="AE965">
            <v>0</v>
          </cell>
          <cell r="AF965">
            <v>0</v>
          </cell>
          <cell r="AG965">
            <v>270527</v>
          </cell>
          <cell r="AH965">
            <v>94025</v>
          </cell>
        </row>
        <row r="966">
          <cell r="H966">
            <v>1099000</v>
          </cell>
          <cell r="M966" t="e">
            <v>#N/A</v>
          </cell>
          <cell r="N966" t="e">
            <v>#REF!</v>
          </cell>
          <cell r="O966" t="str">
            <v>A</v>
          </cell>
        </row>
        <row r="967">
          <cell r="H967">
            <v>1000000</v>
          </cell>
          <cell r="J967" t="str">
            <v>SHORT TERM LOANS &amp; ADVANCES</v>
          </cell>
          <cell r="O967" t="str">
            <v>A</v>
          </cell>
        </row>
        <row r="968">
          <cell r="H968">
            <v>1001000</v>
          </cell>
          <cell r="K968" t="str">
            <v>Advance To Related Parties</v>
          </cell>
          <cell r="M968" t="e">
            <v>#N/A</v>
          </cell>
          <cell r="N968" t="e">
            <v>#REF!</v>
          </cell>
          <cell r="O968" t="str">
            <v>A</v>
          </cell>
        </row>
        <row r="969">
          <cell r="G969">
            <v>15225</v>
          </cell>
          <cell r="H969">
            <v>1002000</v>
          </cell>
          <cell r="I969" t="str">
            <v>3780</v>
          </cell>
          <cell r="L969" t="str">
            <v>Recoverable From Balmer Lawrie</v>
          </cell>
          <cell r="M969" t="str">
            <v>RECOVERABLE FROM BALMER LAWRIE</v>
          </cell>
          <cell r="N969" t="e">
            <v>#REF!</v>
          </cell>
          <cell r="O969" t="str">
            <v>A</v>
          </cell>
          <cell r="Q969">
            <v>104982</v>
          </cell>
          <cell r="R969">
            <v>104982</v>
          </cell>
          <cell r="U969">
            <v>100982</v>
          </cell>
          <cell r="V969">
            <v>100982</v>
          </cell>
          <cell r="Y969">
            <v>4000</v>
          </cell>
          <cell r="Z969">
            <v>4000</v>
          </cell>
          <cell r="AC969">
            <v>0</v>
          </cell>
          <cell r="AD969">
            <v>0</v>
          </cell>
          <cell r="AG969">
            <v>0</v>
          </cell>
          <cell r="AH969">
            <v>0</v>
          </cell>
        </row>
        <row r="970">
          <cell r="G970">
            <v>15224</v>
          </cell>
          <cell r="H970">
            <v>1003000</v>
          </cell>
          <cell r="I970" t="str">
            <v>3782</v>
          </cell>
          <cell r="L970" t="str">
            <v>Recoverable From Proseal</v>
          </cell>
          <cell r="M970" t="str">
            <v>RECOVERABLE FROM PROSEAL</v>
          </cell>
          <cell r="N970" t="e">
            <v>#REF!</v>
          </cell>
          <cell r="O970" t="str">
            <v>A</v>
          </cell>
          <cell r="Q970">
            <v>1091810</v>
          </cell>
          <cell r="R970">
            <v>0</v>
          </cell>
          <cell r="U970">
            <v>1091810</v>
          </cell>
          <cell r="V970">
            <v>0</v>
          </cell>
          <cell r="Y970">
            <v>0</v>
          </cell>
          <cell r="Z970">
            <v>0</v>
          </cell>
          <cell r="AC970">
            <v>0</v>
          </cell>
          <cell r="AD970">
            <v>0</v>
          </cell>
          <cell r="AG970">
            <v>0</v>
          </cell>
          <cell r="AH970">
            <v>0</v>
          </cell>
        </row>
        <row r="971">
          <cell r="G971">
            <v>15226</v>
          </cell>
          <cell r="H971">
            <v>1004000</v>
          </cell>
          <cell r="I971" t="str">
            <v>3784</v>
          </cell>
          <cell r="L971" t="str">
            <v>Recoverable From Transafe</v>
          </cell>
          <cell r="M971" t="str">
            <v>RECOVERABLE FROM TRANSAFE</v>
          </cell>
          <cell r="N971" t="e">
            <v>#REF!</v>
          </cell>
          <cell r="O971" t="str">
            <v>A</v>
          </cell>
          <cell r="Q971">
            <v>0</v>
          </cell>
          <cell r="R971">
            <v>121945</v>
          </cell>
          <cell r="U971">
            <v>0</v>
          </cell>
          <cell r="V971">
            <v>89771</v>
          </cell>
          <cell r="Y971">
            <v>0</v>
          </cell>
          <cell r="Z971">
            <v>32174</v>
          </cell>
          <cell r="AC971">
            <v>0</v>
          </cell>
          <cell r="AD971">
            <v>0</v>
          </cell>
          <cell r="AG971">
            <v>0</v>
          </cell>
          <cell r="AH971">
            <v>0</v>
          </cell>
        </row>
        <row r="972">
          <cell r="G972">
            <v>15252</v>
          </cell>
          <cell r="L972" t="str">
            <v>Loan to Subsidiary</v>
          </cell>
          <cell r="Q972">
            <v>0</v>
          </cell>
          <cell r="R972">
            <v>0</v>
          </cell>
          <cell r="U972">
            <v>0</v>
          </cell>
        </row>
        <row r="973">
          <cell r="H973">
            <v>1005000</v>
          </cell>
          <cell r="I973" t="str">
            <v>3787</v>
          </cell>
          <cell r="L973" t="str">
            <v>Foreing Currency Receivable</v>
          </cell>
          <cell r="M973" t="e">
            <v>#N/A</v>
          </cell>
          <cell r="N973" t="e">
            <v>#REF!</v>
          </cell>
          <cell r="O973" t="str">
            <v>A</v>
          </cell>
          <cell r="Q973">
            <v>0</v>
          </cell>
          <cell r="R973">
            <v>0</v>
          </cell>
          <cell r="U973">
            <v>0</v>
          </cell>
          <cell r="V973">
            <v>0</v>
          </cell>
          <cell r="Y973">
            <v>0</v>
          </cell>
          <cell r="Z973">
            <v>0</v>
          </cell>
          <cell r="AC973">
            <v>0</v>
          </cell>
          <cell r="AD973">
            <v>0</v>
          </cell>
          <cell r="AG973">
            <v>0</v>
          </cell>
          <cell r="AH973">
            <v>0</v>
          </cell>
        </row>
        <row r="974">
          <cell r="G974">
            <v>15233</v>
          </cell>
          <cell r="H974">
            <v>1006000</v>
          </cell>
          <cell r="I974" t="str">
            <v>3788</v>
          </cell>
          <cell r="L974" t="str">
            <v>Recoverable From Greif Australia</v>
          </cell>
          <cell r="M974" t="str">
            <v>RECOVERABLE FROM GREIF AUSTRALIA</v>
          </cell>
          <cell r="N974" t="e">
            <v>#REF!</v>
          </cell>
          <cell r="O974" t="str">
            <v>A</v>
          </cell>
          <cell r="Q974">
            <v>0</v>
          </cell>
          <cell r="R974">
            <v>0</v>
          </cell>
          <cell r="U974">
            <v>0</v>
          </cell>
          <cell r="V974">
            <v>0</v>
          </cell>
          <cell r="Y974">
            <v>0</v>
          </cell>
          <cell r="Z974">
            <v>0</v>
          </cell>
          <cell r="AC974">
            <v>0</v>
          </cell>
          <cell r="AD974">
            <v>0</v>
          </cell>
          <cell r="AG974">
            <v>0</v>
          </cell>
          <cell r="AH974">
            <v>0</v>
          </cell>
        </row>
        <row r="975">
          <cell r="L975" t="str">
            <v>Regrouping RPT from Debtors</v>
          </cell>
          <cell r="Q975">
            <v>0</v>
          </cell>
          <cell r="R975">
            <v>9357745</v>
          </cell>
          <cell r="U975">
            <v>0</v>
          </cell>
          <cell r="V975">
            <v>9338368</v>
          </cell>
          <cell r="Y975">
            <v>0</v>
          </cell>
          <cell r="Z975">
            <v>19377</v>
          </cell>
        </row>
        <row r="976">
          <cell r="H976">
            <v>1007000</v>
          </cell>
          <cell r="K976" t="str">
            <v>Advance To Related Parties</v>
          </cell>
          <cell r="L976" t="str">
            <v>Sub-Total</v>
          </cell>
          <cell r="M976" t="e">
            <v>#N/A</v>
          </cell>
          <cell r="N976" t="e">
            <v>#REF!</v>
          </cell>
          <cell r="O976" t="str">
            <v>A</v>
          </cell>
          <cell r="P976">
            <v>0</v>
          </cell>
          <cell r="Q976">
            <v>1196792</v>
          </cell>
          <cell r="R976">
            <v>9584672</v>
          </cell>
          <cell r="T976">
            <v>0</v>
          </cell>
          <cell r="U976">
            <v>1192792</v>
          </cell>
          <cell r="V976">
            <v>9529121</v>
          </cell>
          <cell r="W976">
            <v>0</v>
          </cell>
          <cell r="X976">
            <v>0</v>
          </cell>
          <cell r="Y976">
            <v>4000</v>
          </cell>
          <cell r="Z976">
            <v>55551</v>
          </cell>
          <cell r="AA976">
            <v>0</v>
          </cell>
          <cell r="AB976">
            <v>0</v>
          </cell>
          <cell r="AC976">
            <v>0</v>
          </cell>
          <cell r="AD976">
            <v>0</v>
          </cell>
          <cell r="AE976">
            <v>0</v>
          </cell>
          <cell r="AF976">
            <v>0</v>
          </cell>
          <cell r="AG976">
            <v>0</v>
          </cell>
          <cell r="AH976">
            <v>0</v>
          </cell>
        </row>
        <row r="977">
          <cell r="H977">
            <v>1008000</v>
          </cell>
          <cell r="K977" t="str">
            <v>Loan given to Subsidiary</v>
          </cell>
          <cell r="M977" t="e">
            <v>#N/A</v>
          </cell>
          <cell r="N977" t="e">
            <v>#REF!</v>
          </cell>
          <cell r="O977" t="str">
            <v>A</v>
          </cell>
        </row>
        <row r="978">
          <cell r="H978">
            <v>1009000</v>
          </cell>
          <cell r="L978" t="str">
            <v>Proseal</v>
          </cell>
          <cell r="M978" t="e">
            <v>#N/A</v>
          </cell>
          <cell r="N978" t="e">
            <v>#REF!</v>
          </cell>
          <cell r="O978" t="str">
            <v>A</v>
          </cell>
          <cell r="Q978">
            <v>35000000</v>
          </cell>
          <cell r="R978">
            <v>0</v>
          </cell>
          <cell r="U978">
            <v>35000000</v>
          </cell>
          <cell r="Y978">
            <v>0</v>
          </cell>
          <cell r="Z978">
            <v>0</v>
          </cell>
          <cell r="AC978">
            <v>0</v>
          </cell>
          <cell r="AD978">
            <v>0</v>
          </cell>
          <cell r="AG978">
            <v>0</v>
          </cell>
          <cell r="AH978">
            <v>0</v>
          </cell>
        </row>
        <row r="979">
          <cell r="H979">
            <v>1010000</v>
          </cell>
          <cell r="M979" t="e">
            <v>#N/A</v>
          </cell>
          <cell r="N979" t="e">
            <v>#REF!</v>
          </cell>
          <cell r="O979" t="str">
            <v>A</v>
          </cell>
          <cell r="Q979">
            <v>0</v>
          </cell>
          <cell r="R979">
            <v>0</v>
          </cell>
          <cell r="U979">
            <v>0</v>
          </cell>
          <cell r="V979">
            <v>0</v>
          </cell>
          <cell r="Y979">
            <v>0</v>
          </cell>
          <cell r="Z979">
            <v>0</v>
          </cell>
          <cell r="AC979">
            <v>0</v>
          </cell>
          <cell r="AD979">
            <v>0</v>
          </cell>
          <cell r="AG979">
            <v>0</v>
          </cell>
          <cell r="AH979">
            <v>0</v>
          </cell>
        </row>
        <row r="980">
          <cell r="H980">
            <v>1011000</v>
          </cell>
          <cell r="K980" t="str">
            <v>Loan given to Subsidiary</v>
          </cell>
          <cell r="L980" t="str">
            <v>Sub-Total</v>
          </cell>
          <cell r="M980" t="e">
            <v>#N/A</v>
          </cell>
          <cell r="N980" t="e">
            <v>#REF!</v>
          </cell>
          <cell r="O980" t="str">
            <v>A</v>
          </cell>
          <cell r="P980">
            <v>0</v>
          </cell>
          <cell r="Q980">
            <v>35000000</v>
          </cell>
          <cell r="R980">
            <v>0</v>
          </cell>
          <cell r="T980">
            <v>0</v>
          </cell>
          <cell r="U980">
            <v>35000000</v>
          </cell>
          <cell r="V980">
            <v>0</v>
          </cell>
          <cell r="W980">
            <v>0</v>
          </cell>
          <cell r="X980">
            <v>0</v>
          </cell>
          <cell r="Y980">
            <v>0</v>
          </cell>
          <cell r="Z980">
            <v>0</v>
          </cell>
          <cell r="AA980">
            <v>0</v>
          </cell>
          <cell r="AB980">
            <v>0</v>
          </cell>
          <cell r="AC980">
            <v>0</v>
          </cell>
          <cell r="AD980">
            <v>0</v>
          </cell>
          <cell r="AE980">
            <v>0</v>
          </cell>
          <cell r="AF980">
            <v>0</v>
          </cell>
          <cell r="AG980">
            <v>0</v>
          </cell>
          <cell r="AH980">
            <v>0</v>
          </cell>
        </row>
        <row r="981">
          <cell r="H981">
            <v>1012000</v>
          </cell>
          <cell r="K981" t="str">
            <v>Security Deposits</v>
          </cell>
          <cell r="M981" t="e">
            <v>#N/A</v>
          </cell>
          <cell r="N981" t="e">
            <v>#REF!</v>
          </cell>
          <cell r="O981" t="str">
            <v>A</v>
          </cell>
        </row>
        <row r="982">
          <cell r="H982">
            <v>1013000</v>
          </cell>
          <cell r="L982" t="str">
            <v>Regroup from Long Term</v>
          </cell>
          <cell r="M982" t="e">
            <v>#N/A</v>
          </cell>
          <cell r="N982" t="e">
            <v>#REF!</v>
          </cell>
          <cell r="O982" t="str">
            <v>A</v>
          </cell>
          <cell r="Q982">
            <v>4561948</v>
          </cell>
          <cell r="R982">
            <v>7027968</v>
          </cell>
          <cell r="U982">
            <v>4561948</v>
          </cell>
          <cell r="V982">
            <v>1141013</v>
          </cell>
          <cell r="Z982">
            <v>5832133</v>
          </cell>
          <cell r="AD982">
            <v>7000</v>
          </cell>
          <cell r="AH982">
            <v>47822</v>
          </cell>
        </row>
        <row r="983">
          <cell r="H983">
            <v>1014000</v>
          </cell>
          <cell r="M983" t="e">
            <v>#N/A</v>
          </cell>
          <cell r="N983" t="e">
            <v>#REF!</v>
          </cell>
          <cell r="O983" t="str">
            <v>A</v>
          </cell>
          <cell r="Q983">
            <v>0</v>
          </cell>
          <cell r="R983">
            <v>0</v>
          </cell>
          <cell r="U983">
            <v>0</v>
          </cell>
          <cell r="V983">
            <v>0</v>
          </cell>
          <cell r="Y983">
            <v>0</v>
          </cell>
          <cell r="Z983">
            <v>0</v>
          </cell>
          <cell r="AC983">
            <v>0</v>
          </cell>
          <cell r="AD983">
            <v>0</v>
          </cell>
          <cell r="AG983">
            <v>0</v>
          </cell>
          <cell r="AH983">
            <v>0</v>
          </cell>
        </row>
        <row r="984">
          <cell r="H984">
            <v>1015000</v>
          </cell>
          <cell r="K984" t="str">
            <v>Security Deposits</v>
          </cell>
          <cell r="M984" t="e">
            <v>#N/A</v>
          </cell>
          <cell r="N984" t="e">
            <v>#REF!</v>
          </cell>
          <cell r="O984" t="str">
            <v>A</v>
          </cell>
          <cell r="P984">
            <v>0</v>
          </cell>
          <cell r="Q984">
            <v>4561948</v>
          </cell>
          <cell r="R984">
            <v>7027968</v>
          </cell>
          <cell r="T984">
            <v>0</v>
          </cell>
          <cell r="U984">
            <v>4561948</v>
          </cell>
          <cell r="V984">
            <v>1141013</v>
          </cell>
          <cell r="W984">
            <v>0</v>
          </cell>
          <cell r="X984">
            <v>0</v>
          </cell>
          <cell r="Y984">
            <v>0</v>
          </cell>
          <cell r="Z984">
            <v>5832133</v>
          </cell>
          <cell r="AA984">
            <v>0</v>
          </cell>
          <cell r="AB984">
            <v>0</v>
          </cell>
          <cell r="AC984">
            <v>0</v>
          </cell>
          <cell r="AD984">
            <v>7000</v>
          </cell>
          <cell r="AE984">
            <v>0</v>
          </cell>
          <cell r="AF984">
            <v>0</v>
          </cell>
          <cell r="AG984">
            <v>0</v>
          </cell>
          <cell r="AH984">
            <v>47822</v>
          </cell>
        </row>
        <row r="985">
          <cell r="H985">
            <v>1016000</v>
          </cell>
          <cell r="K985" t="str">
            <v>OTHER LOANS &amp; ADVANCES</v>
          </cell>
          <cell r="O985" t="str">
            <v>A</v>
          </cell>
        </row>
        <row r="986">
          <cell r="H986">
            <v>1017000</v>
          </cell>
          <cell r="K986" t="str">
            <v>Balance With Excise Authorities</v>
          </cell>
          <cell r="M986" t="e">
            <v>#N/A</v>
          </cell>
          <cell r="N986" t="e">
            <v>#REF!</v>
          </cell>
          <cell r="O986" t="str">
            <v>A</v>
          </cell>
        </row>
        <row r="987">
          <cell r="H987">
            <v>1018000</v>
          </cell>
          <cell r="K987" t="str">
            <v>Pla</v>
          </cell>
          <cell r="M987" t="e">
            <v>#N/A</v>
          </cell>
          <cell r="N987" t="e">
            <v>#REF!</v>
          </cell>
          <cell r="O987" t="str">
            <v>A</v>
          </cell>
        </row>
        <row r="988">
          <cell r="G988">
            <v>15313</v>
          </cell>
          <cell r="H988">
            <v>1019000</v>
          </cell>
          <cell r="I988" t="str">
            <v>6100</v>
          </cell>
          <cell r="L988" t="str">
            <v>Excise Duty - Pla A/C</v>
          </cell>
          <cell r="M988" t="str">
            <v>BASIC EXCISE DUTY - PLA A/C</v>
          </cell>
          <cell r="N988" t="e">
            <v>#REF!</v>
          </cell>
          <cell r="O988" t="str">
            <v>A</v>
          </cell>
          <cell r="Q988">
            <v>4955247</v>
          </cell>
          <cell r="R988">
            <v>4544179</v>
          </cell>
          <cell r="U988">
            <v>4954748</v>
          </cell>
          <cell r="V988">
            <v>4543680</v>
          </cell>
          <cell r="Y988">
            <v>0</v>
          </cell>
          <cell r="Z988">
            <v>0</v>
          </cell>
          <cell r="AC988">
            <v>499</v>
          </cell>
          <cell r="AD988">
            <v>499</v>
          </cell>
          <cell r="AG988">
            <v>0</v>
          </cell>
          <cell r="AH988">
            <v>0</v>
          </cell>
        </row>
        <row r="989">
          <cell r="G989">
            <v>15311</v>
          </cell>
          <cell r="H989">
            <v>1020000</v>
          </cell>
          <cell r="L989" t="str">
            <v>Interim Pla Account</v>
          </cell>
          <cell r="M989" t="str">
            <v>INTERIM PLA ACCOUNT</v>
          </cell>
          <cell r="N989" t="e">
            <v>#REF!</v>
          </cell>
          <cell r="O989" t="str">
            <v>A</v>
          </cell>
          <cell r="Q989">
            <v>0</v>
          </cell>
          <cell r="R989">
            <v>0</v>
          </cell>
          <cell r="U989">
            <v>0</v>
          </cell>
          <cell r="V989">
            <v>0</v>
          </cell>
          <cell r="Y989">
            <v>0</v>
          </cell>
          <cell r="Z989">
            <v>0</v>
          </cell>
          <cell r="AC989">
            <v>0</v>
          </cell>
          <cell r="AD989">
            <v>0</v>
          </cell>
          <cell r="AG989">
            <v>0</v>
          </cell>
          <cell r="AH989">
            <v>0</v>
          </cell>
        </row>
        <row r="990">
          <cell r="G990">
            <v>15314</v>
          </cell>
          <cell r="H990">
            <v>1021000</v>
          </cell>
          <cell r="I990" t="str">
            <v>6097 P</v>
          </cell>
          <cell r="L990" t="str">
            <v>Education Cess On Pla A/C</v>
          </cell>
          <cell r="M990" t="str">
            <v>EDUCATION CESS - PLA A/C</v>
          </cell>
          <cell r="N990" t="e">
            <v>#REF!</v>
          </cell>
          <cell r="O990" t="str">
            <v>A</v>
          </cell>
          <cell r="Q990">
            <v>5996623</v>
          </cell>
          <cell r="R990">
            <v>5976569</v>
          </cell>
          <cell r="U990">
            <v>5996623</v>
          </cell>
          <cell r="V990">
            <v>5976569</v>
          </cell>
          <cell r="Y990">
            <v>0</v>
          </cell>
          <cell r="Z990">
            <v>0</v>
          </cell>
          <cell r="AC990">
            <v>0</v>
          </cell>
          <cell r="AD990">
            <v>0</v>
          </cell>
          <cell r="AG990">
            <v>0</v>
          </cell>
          <cell r="AH990">
            <v>0</v>
          </cell>
        </row>
        <row r="991">
          <cell r="G991">
            <v>15368</v>
          </cell>
          <cell r="H991">
            <v>1022000</v>
          </cell>
          <cell r="L991" t="str">
            <v>Basic Excise Duty Payable</v>
          </cell>
          <cell r="M991" t="str">
            <v>BASIC EXCISE DUTY PAYABLE</v>
          </cell>
          <cell r="N991" t="e">
            <v>#REF!</v>
          </cell>
          <cell r="O991" t="str">
            <v>A</v>
          </cell>
          <cell r="Q991">
            <v>-449200874</v>
          </cell>
          <cell r="R991">
            <v>-198077981</v>
          </cell>
          <cell r="U991">
            <v>-155249318</v>
          </cell>
          <cell r="V991">
            <v>-118226369</v>
          </cell>
          <cell r="Y991">
            <v>-293951556</v>
          </cell>
          <cell r="Z991">
            <v>-79851612</v>
          </cell>
          <cell r="AC991">
            <v>0</v>
          </cell>
          <cell r="AD991">
            <v>0</v>
          </cell>
          <cell r="AG991">
            <v>0</v>
          </cell>
          <cell r="AH991">
            <v>0</v>
          </cell>
        </row>
        <row r="992">
          <cell r="G992">
            <v>15369</v>
          </cell>
          <cell r="H992">
            <v>1023000</v>
          </cell>
          <cell r="L992" t="str">
            <v>Education Cess Payable</v>
          </cell>
          <cell r="M992" t="str">
            <v>EDUCATION CESS PAYABLE</v>
          </cell>
          <cell r="N992" t="e">
            <v>#REF!</v>
          </cell>
          <cell r="O992" t="str">
            <v>A</v>
          </cell>
          <cell r="Q992">
            <v>-3179393</v>
          </cell>
          <cell r="R992">
            <v>-3186216</v>
          </cell>
          <cell r="U992">
            <v>-2121054</v>
          </cell>
          <cell r="V992">
            <v>-2128017</v>
          </cell>
          <cell r="Y992">
            <v>-1058339</v>
          </cell>
          <cell r="Z992">
            <v>-1058199</v>
          </cell>
          <cell r="AC992">
            <v>0</v>
          </cell>
          <cell r="AD992">
            <v>0</v>
          </cell>
          <cell r="AG992">
            <v>0</v>
          </cell>
          <cell r="AH992">
            <v>0</v>
          </cell>
        </row>
        <row r="993">
          <cell r="G993">
            <v>15370</v>
          </cell>
          <cell r="H993">
            <v>1024000</v>
          </cell>
          <cell r="L993" t="str">
            <v>Higher Education Cess Payable</v>
          </cell>
          <cell r="M993" t="str">
            <v>HIGHER EDUCATION CESS PAYABLE</v>
          </cell>
          <cell r="N993" t="e">
            <v>#REF!</v>
          </cell>
          <cell r="O993" t="str">
            <v>A</v>
          </cell>
          <cell r="Q993">
            <v>-1657221</v>
          </cell>
          <cell r="R993">
            <v>-1660631</v>
          </cell>
          <cell r="U993">
            <v>-1060451</v>
          </cell>
          <cell r="V993">
            <v>-1063932</v>
          </cell>
          <cell r="Y993">
            <v>-596770</v>
          </cell>
          <cell r="Z993">
            <v>-596699</v>
          </cell>
          <cell r="AC993">
            <v>0</v>
          </cell>
          <cell r="AD993">
            <v>0</v>
          </cell>
          <cell r="AG993">
            <v>0</v>
          </cell>
          <cell r="AH993">
            <v>0</v>
          </cell>
        </row>
        <row r="994">
          <cell r="G994">
            <v>15312</v>
          </cell>
          <cell r="H994">
            <v>1025000</v>
          </cell>
          <cell r="L994" t="str">
            <v>Interim Educess - Pla A/C</v>
          </cell>
          <cell r="M994" t="str">
            <v>INTERIM EDUCESS - PLA A/C</v>
          </cell>
          <cell r="N994" t="e">
            <v>#REF!</v>
          </cell>
          <cell r="O994" t="str">
            <v>A</v>
          </cell>
          <cell r="Q994">
            <v>-2751948</v>
          </cell>
          <cell r="R994">
            <v>-2751948</v>
          </cell>
          <cell r="U994">
            <v>-2751948</v>
          </cell>
          <cell r="V994">
            <v>-2751948</v>
          </cell>
          <cell r="Y994">
            <v>0</v>
          </cell>
          <cell r="Z994">
            <v>0</v>
          </cell>
          <cell r="AC994">
            <v>0</v>
          </cell>
          <cell r="AD994">
            <v>0</v>
          </cell>
          <cell r="AG994">
            <v>0</v>
          </cell>
          <cell r="AH994">
            <v>0</v>
          </cell>
        </row>
        <row r="995">
          <cell r="G995">
            <v>15315</v>
          </cell>
          <cell r="H995">
            <v>1026000</v>
          </cell>
          <cell r="I995" t="str">
            <v>6097 PH</v>
          </cell>
          <cell r="L995" t="str">
            <v>Higher Education Cess  Pla A/C</v>
          </cell>
          <cell r="M995" t="str">
            <v>HIGHER EDUCATION CESS - PLA A/C</v>
          </cell>
          <cell r="N995" t="e">
            <v>#REF!</v>
          </cell>
          <cell r="O995" t="str">
            <v>A</v>
          </cell>
          <cell r="Q995">
            <v>2568676</v>
          </cell>
          <cell r="R995">
            <v>2558748</v>
          </cell>
          <cell r="U995">
            <v>2568676</v>
          </cell>
          <cell r="V995">
            <v>2558748</v>
          </cell>
          <cell r="Y995">
            <v>0</v>
          </cell>
          <cell r="Z995">
            <v>0</v>
          </cell>
          <cell r="AC995">
            <v>0</v>
          </cell>
          <cell r="AD995">
            <v>0</v>
          </cell>
          <cell r="AG995">
            <v>0</v>
          </cell>
          <cell r="AH995">
            <v>0</v>
          </cell>
        </row>
        <row r="996">
          <cell r="G996">
            <v>15310</v>
          </cell>
          <cell r="H996">
            <v>1027000</v>
          </cell>
          <cell r="L996" t="str">
            <v>Interim Hedu Cess - Pla A/C</v>
          </cell>
          <cell r="M996" t="str">
            <v>INTERIM HEDU CESS - PLA A/C</v>
          </cell>
          <cell r="N996" t="e">
            <v>#REF!</v>
          </cell>
          <cell r="O996" t="str">
            <v>A</v>
          </cell>
          <cell r="Q996">
            <v>-1411040</v>
          </cell>
          <cell r="R996">
            <v>-1411040</v>
          </cell>
          <cell r="U996">
            <v>-1411040</v>
          </cell>
          <cell r="V996">
            <v>-1411040</v>
          </cell>
          <cell r="Y996">
            <v>0</v>
          </cell>
          <cell r="Z996">
            <v>0</v>
          </cell>
          <cell r="AC996">
            <v>0</v>
          </cell>
          <cell r="AD996">
            <v>0</v>
          </cell>
          <cell r="AG996">
            <v>0</v>
          </cell>
          <cell r="AH996">
            <v>0</v>
          </cell>
        </row>
        <row r="997">
          <cell r="H997">
            <v>1028000</v>
          </cell>
          <cell r="I997">
            <v>0</v>
          </cell>
          <cell r="K997" t="str">
            <v>Cenvat</v>
          </cell>
          <cell r="M997" t="e">
            <v>#N/A</v>
          </cell>
          <cell r="N997" t="e">
            <v>#REF!</v>
          </cell>
          <cell r="O997" t="str">
            <v>A</v>
          </cell>
          <cell r="Q997">
            <v>0</v>
          </cell>
          <cell r="R997">
            <v>0</v>
          </cell>
          <cell r="U997">
            <v>0</v>
          </cell>
          <cell r="V997">
            <v>0</v>
          </cell>
          <cell r="Y997">
            <v>0</v>
          </cell>
          <cell r="Z997">
            <v>0</v>
          </cell>
          <cell r="AC997">
            <v>0</v>
          </cell>
          <cell r="AD997">
            <v>0</v>
          </cell>
          <cell r="AG997">
            <v>0</v>
          </cell>
          <cell r="AH997">
            <v>0</v>
          </cell>
        </row>
        <row r="998">
          <cell r="H998">
            <v>1029000</v>
          </cell>
          <cell r="I998">
            <v>0</v>
          </cell>
          <cell r="K998" t="str">
            <v>Part-A</v>
          </cell>
          <cell r="M998" t="e">
            <v>#N/A</v>
          </cell>
          <cell r="N998" t="e">
            <v>#REF!</v>
          </cell>
          <cell r="O998" t="str">
            <v>A</v>
          </cell>
          <cell r="Q998">
            <v>0</v>
          </cell>
          <cell r="R998">
            <v>0</v>
          </cell>
          <cell r="U998">
            <v>0</v>
          </cell>
          <cell r="V998">
            <v>0</v>
          </cell>
          <cell r="Y998">
            <v>0</v>
          </cell>
          <cell r="Z998">
            <v>0</v>
          </cell>
          <cell r="AC998">
            <v>0</v>
          </cell>
          <cell r="AD998">
            <v>0</v>
          </cell>
          <cell r="AG998">
            <v>0</v>
          </cell>
          <cell r="AH998">
            <v>0</v>
          </cell>
        </row>
        <row r="999">
          <cell r="G999">
            <v>15323</v>
          </cell>
          <cell r="H999">
            <v>1030000</v>
          </cell>
          <cell r="I999" t="str">
            <v>6099</v>
          </cell>
          <cell r="L999" t="str">
            <v>Excise Rg 23 A (Input)</v>
          </cell>
          <cell r="M999" t="str">
            <v>BASIC EXCISE DUTY RECOVERABLE - RG 23 A</v>
          </cell>
          <cell r="N999" t="e">
            <v>#REF!</v>
          </cell>
          <cell r="O999" t="str">
            <v>A</v>
          </cell>
          <cell r="Q999">
            <v>439469249</v>
          </cell>
          <cell r="R999">
            <v>198134912</v>
          </cell>
          <cell r="U999">
            <v>136814238</v>
          </cell>
          <cell r="V999">
            <v>93639764</v>
          </cell>
          <cell r="Y999">
            <v>297969876</v>
          </cell>
          <cell r="Z999">
            <v>96476172</v>
          </cell>
          <cell r="AC999">
            <v>4685135</v>
          </cell>
          <cell r="AD999">
            <v>8018976</v>
          </cell>
          <cell r="AG999">
            <v>0</v>
          </cell>
          <cell r="AH999">
            <v>0</v>
          </cell>
        </row>
        <row r="1000">
          <cell r="G1000">
            <v>15324</v>
          </cell>
          <cell r="H1000">
            <v>1031000</v>
          </cell>
          <cell r="I1000" t="str">
            <v>6097</v>
          </cell>
          <cell r="L1000" t="str">
            <v>Cess On Excise Duty</v>
          </cell>
          <cell r="M1000" t="str">
            <v>EDUCATION CESS - RG 23 A</v>
          </cell>
          <cell r="N1000" t="e">
            <v>#REF!</v>
          </cell>
          <cell r="O1000" t="str">
            <v>A</v>
          </cell>
          <cell r="Q1000">
            <v>1483890</v>
          </cell>
          <cell r="R1000">
            <v>1462781</v>
          </cell>
          <cell r="U1000">
            <v>2519412</v>
          </cell>
          <cell r="V1000">
            <v>2501843</v>
          </cell>
          <cell r="Y1000">
            <v>-1098950</v>
          </cell>
          <cell r="Z1000">
            <v>-1101212</v>
          </cell>
          <cell r="AC1000">
            <v>54808</v>
          </cell>
          <cell r="AD1000">
            <v>54538</v>
          </cell>
          <cell r="AG1000">
            <v>8620</v>
          </cell>
          <cell r="AH1000">
            <v>7612</v>
          </cell>
        </row>
        <row r="1001">
          <cell r="G1001">
            <v>15325</v>
          </cell>
          <cell r="H1001">
            <v>1032000</v>
          </cell>
          <cell r="I1001" t="str">
            <v>6097'H</v>
          </cell>
          <cell r="L1001" t="str">
            <v>Higher Education Cess Rg 23 A</v>
          </cell>
          <cell r="M1001" t="str">
            <v>HIGHER EDUCATION CESS - RG 23 A</v>
          </cell>
          <cell r="N1001" t="e">
            <v>#REF!</v>
          </cell>
          <cell r="O1001" t="str">
            <v>A</v>
          </cell>
          <cell r="Q1001">
            <v>1072433</v>
          </cell>
          <cell r="R1001">
            <v>1058703</v>
          </cell>
          <cell r="U1001">
            <v>883554</v>
          </cell>
          <cell r="V1001">
            <v>874996</v>
          </cell>
          <cell r="Y1001">
            <v>188879</v>
          </cell>
          <cell r="Z1001">
            <v>183707</v>
          </cell>
          <cell r="AC1001">
            <v>0</v>
          </cell>
          <cell r="AD1001">
            <v>0</v>
          </cell>
          <cell r="AG1001">
            <v>0</v>
          </cell>
          <cell r="AH1001">
            <v>0</v>
          </cell>
        </row>
        <row r="1002">
          <cell r="H1002">
            <v>1033000</v>
          </cell>
          <cell r="I1002">
            <v>2162</v>
          </cell>
          <cell r="L1002">
            <v>0</v>
          </cell>
          <cell r="M1002" t="e">
            <v>#N/A</v>
          </cell>
          <cell r="N1002" t="e">
            <v>#REF!</v>
          </cell>
          <cell r="O1002" t="str">
            <v>A</v>
          </cell>
          <cell r="Q1002">
            <v>0</v>
          </cell>
          <cell r="R1002">
            <v>0</v>
          </cell>
          <cell r="T1002">
            <v>2162</v>
          </cell>
          <cell r="U1002">
            <v>0</v>
          </cell>
          <cell r="V1002">
            <v>0</v>
          </cell>
          <cell r="X1002">
            <v>2162</v>
          </cell>
          <cell r="Y1002">
            <v>0</v>
          </cell>
          <cell r="Z1002">
            <v>0</v>
          </cell>
          <cell r="AB1002">
            <v>2162</v>
          </cell>
          <cell r="AC1002">
            <v>0</v>
          </cell>
          <cell r="AD1002">
            <v>0</v>
          </cell>
          <cell r="AF1002">
            <v>2162</v>
          </cell>
          <cell r="AG1002">
            <v>0</v>
          </cell>
          <cell r="AH1002">
            <v>0</v>
          </cell>
        </row>
        <row r="1003">
          <cell r="H1003">
            <v>1034000</v>
          </cell>
          <cell r="I1003" t="str">
            <v>2540</v>
          </cell>
          <cell r="L1003" t="str">
            <v>Excise Duty Adjustablea/C</v>
          </cell>
          <cell r="M1003" t="e">
            <v>#N/A</v>
          </cell>
          <cell r="N1003" t="e">
            <v>#REF!</v>
          </cell>
          <cell r="O1003" t="str">
            <v>A</v>
          </cell>
          <cell r="Q1003">
            <v>5403532</v>
          </cell>
          <cell r="R1003">
            <v>5160300</v>
          </cell>
          <cell r="U1003">
            <v>0</v>
          </cell>
          <cell r="V1003">
            <v>0</v>
          </cell>
          <cell r="Y1003">
            <v>0</v>
          </cell>
          <cell r="Z1003">
            <v>0</v>
          </cell>
          <cell r="AC1003">
            <v>0</v>
          </cell>
          <cell r="AD1003">
            <v>0</v>
          </cell>
          <cell r="AG1003">
            <v>5403532</v>
          </cell>
          <cell r="AH1003">
            <v>5160300</v>
          </cell>
        </row>
        <row r="1004">
          <cell r="H1004">
            <v>1035000</v>
          </cell>
          <cell r="I1004">
            <v>0</v>
          </cell>
          <cell r="K1004" t="str">
            <v>Part-C</v>
          </cell>
          <cell r="M1004" t="e">
            <v>#N/A</v>
          </cell>
          <cell r="N1004" t="e">
            <v>#REF!</v>
          </cell>
          <cell r="O1004" t="str">
            <v>A</v>
          </cell>
          <cell r="Q1004">
            <v>0</v>
          </cell>
          <cell r="R1004">
            <v>0</v>
          </cell>
          <cell r="U1004">
            <v>0</v>
          </cell>
          <cell r="V1004">
            <v>0</v>
          </cell>
          <cell r="Y1004">
            <v>0</v>
          </cell>
          <cell r="Z1004">
            <v>0</v>
          </cell>
          <cell r="AC1004">
            <v>0</v>
          </cell>
          <cell r="AD1004">
            <v>0</v>
          </cell>
          <cell r="AG1004">
            <v>0</v>
          </cell>
          <cell r="AH1004">
            <v>0</v>
          </cell>
        </row>
        <row r="1005">
          <cell r="G1005">
            <v>15332</v>
          </cell>
          <cell r="H1005">
            <v>1036000</v>
          </cell>
          <cell r="I1005" t="str">
            <v>6098</v>
          </cell>
          <cell r="L1005" t="str">
            <v>Excise Rg 23 C (Capital)</v>
          </cell>
          <cell r="M1005" t="str">
            <v>BASIC EXCISE DUTY RECOVERABLE - RG 23 C</v>
          </cell>
          <cell r="N1005" t="e">
            <v>#REF!</v>
          </cell>
          <cell r="O1005" t="str">
            <v>A</v>
          </cell>
          <cell r="Q1005">
            <v>40094874</v>
          </cell>
          <cell r="R1005">
            <v>36943753</v>
          </cell>
          <cell r="U1005">
            <v>16962294</v>
          </cell>
          <cell r="V1005">
            <v>13946654</v>
          </cell>
          <cell r="Y1005">
            <v>18333919</v>
          </cell>
          <cell r="Z1005">
            <v>18176586</v>
          </cell>
          <cell r="AC1005">
            <v>4603353</v>
          </cell>
          <cell r="AD1005">
            <v>4634148</v>
          </cell>
          <cell r="AG1005">
            <v>195308</v>
          </cell>
          <cell r="AH1005">
            <v>186365</v>
          </cell>
        </row>
        <row r="1006">
          <cell r="G1006">
            <v>15333</v>
          </cell>
          <cell r="H1006">
            <v>1037000</v>
          </cell>
          <cell r="I1006" t="str">
            <v>6097C</v>
          </cell>
          <cell r="L1006" t="str">
            <v>Education Cess On Rg 23 C</v>
          </cell>
          <cell r="M1006" t="str">
            <v>EDUCATION CESS - RG 23 C</v>
          </cell>
          <cell r="N1006" t="e">
            <v>#REF!</v>
          </cell>
          <cell r="O1006" t="str">
            <v>A</v>
          </cell>
          <cell r="Q1006">
            <v>113251</v>
          </cell>
          <cell r="R1006">
            <v>94336</v>
          </cell>
          <cell r="U1006">
            <v>111317</v>
          </cell>
          <cell r="V1006">
            <v>92402</v>
          </cell>
          <cell r="Y1006">
            <v>1934</v>
          </cell>
          <cell r="Z1006">
            <v>1934</v>
          </cell>
          <cell r="AC1006">
            <v>0</v>
          </cell>
          <cell r="AD1006">
            <v>0</v>
          </cell>
          <cell r="AG1006">
            <v>0</v>
          </cell>
          <cell r="AH1006">
            <v>0</v>
          </cell>
        </row>
        <row r="1007">
          <cell r="G1007">
            <v>15334</v>
          </cell>
          <cell r="H1007">
            <v>1038000</v>
          </cell>
          <cell r="I1007" t="str">
            <v>6097CH</v>
          </cell>
          <cell r="L1007" t="str">
            <v>Higher Education Cess Rg 23 C</v>
          </cell>
          <cell r="M1007" t="str">
            <v>HIGHER EDUCATION CESS - RG 23 C</v>
          </cell>
          <cell r="N1007" t="e">
            <v>#REF!</v>
          </cell>
          <cell r="O1007" t="str">
            <v>A</v>
          </cell>
          <cell r="Q1007">
            <v>58651</v>
          </cell>
          <cell r="R1007">
            <v>49102</v>
          </cell>
          <cell r="U1007">
            <v>57706</v>
          </cell>
          <cell r="V1007">
            <v>48157</v>
          </cell>
          <cell r="Y1007">
            <v>945</v>
          </cell>
          <cell r="Z1007">
            <v>945</v>
          </cell>
          <cell r="AC1007">
            <v>0</v>
          </cell>
          <cell r="AD1007">
            <v>0</v>
          </cell>
          <cell r="AG1007">
            <v>0</v>
          </cell>
          <cell r="AH1007">
            <v>0</v>
          </cell>
        </row>
        <row r="1008">
          <cell r="H1008">
            <v>1039000</v>
          </cell>
          <cell r="K1008" t="str">
            <v>Part-D</v>
          </cell>
          <cell r="M1008" t="e">
            <v>#N/A</v>
          </cell>
          <cell r="N1008" t="e">
            <v>#REF!</v>
          </cell>
          <cell r="O1008" t="str">
            <v>A</v>
          </cell>
          <cell r="Q1008">
            <v>0</v>
          </cell>
          <cell r="R1008">
            <v>0</v>
          </cell>
          <cell r="U1008">
            <v>0</v>
          </cell>
          <cell r="V1008">
            <v>0</v>
          </cell>
          <cell r="Y1008">
            <v>0</v>
          </cell>
          <cell r="Z1008">
            <v>0</v>
          </cell>
          <cell r="AC1008">
            <v>0</v>
          </cell>
          <cell r="AD1008">
            <v>0</v>
          </cell>
          <cell r="AG1008">
            <v>0</v>
          </cell>
          <cell r="AH1008">
            <v>0</v>
          </cell>
        </row>
        <row r="1009">
          <cell r="G1009">
            <v>15339</v>
          </cell>
          <cell r="H1009">
            <v>1040000</v>
          </cell>
          <cell r="L1009" t="str">
            <v>Rg 23 D Cenvat Credit Transfer Account</v>
          </cell>
          <cell r="M1009" t="str">
            <v>RG 23 D CENVAT CREDIT TRANSFER ACCOUNT</v>
          </cell>
          <cell r="N1009" t="e">
            <v>#REF!</v>
          </cell>
          <cell r="O1009" t="str">
            <v>A</v>
          </cell>
          <cell r="Q1009">
            <v>-20929344</v>
          </cell>
          <cell r="R1009">
            <v>-15367901</v>
          </cell>
          <cell r="U1009">
            <v>-31276</v>
          </cell>
          <cell r="V1009">
            <v>-31276</v>
          </cell>
          <cell r="Y1009">
            <v>-20898068</v>
          </cell>
          <cell r="Z1009">
            <v>-15336625</v>
          </cell>
          <cell r="AC1009">
            <v>0</v>
          </cell>
          <cell r="AD1009">
            <v>0</v>
          </cell>
          <cell r="AG1009">
            <v>0</v>
          </cell>
          <cell r="AH1009">
            <v>0</v>
          </cell>
        </row>
        <row r="1010">
          <cell r="G1010">
            <v>15340</v>
          </cell>
          <cell r="H1010">
            <v>1041000</v>
          </cell>
          <cell r="L1010" t="str">
            <v>Rg 23 D Cenvat Credit Account</v>
          </cell>
          <cell r="M1010" t="str">
            <v>RG23D CENVAT CREDIT ACCOUNT</v>
          </cell>
          <cell r="N1010" t="e">
            <v>#REF!</v>
          </cell>
          <cell r="O1010" t="str">
            <v>A</v>
          </cell>
          <cell r="Q1010">
            <v>21492620</v>
          </cell>
          <cell r="R1010">
            <v>15943362</v>
          </cell>
          <cell r="U1010">
            <v>0</v>
          </cell>
          <cell r="V1010">
            <v>0</v>
          </cell>
          <cell r="Y1010">
            <v>21492620</v>
          </cell>
          <cell r="Z1010">
            <v>15943362</v>
          </cell>
          <cell r="AC1010">
            <v>0</v>
          </cell>
          <cell r="AD1010">
            <v>0</v>
          </cell>
          <cell r="AG1010">
            <v>0</v>
          </cell>
          <cell r="AH1010">
            <v>0</v>
          </cell>
        </row>
        <row r="1011">
          <cell r="G1011">
            <v>15356</v>
          </cell>
          <cell r="H1011">
            <v>1058000</v>
          </cell>
          <cell r="I1011" t="str">
            <v>3785</v>
          </cell>
          <cell r="L1011" t="str">
            <v>Recoverable From Excise</v>
          </cell>
          <cell r="M1011" t="str">
            <v>RECOVERABLE FROM EXCISE</v>
          </cell>
          <cell r="N1011" t="e">
            <v>#REF!</v>
          </cell>
          <cell r="O1011" t="str">
            <v>A</v>
          </cell>
          <cell r="Q1011">
            <v>-1527380</v>
          </cell>
          <cell r="R1011">
            <v>-335324</v>
          </cell>
          <cell r="U1011">
            <v>498108</v>
          </cell>
          <cell r="V1011">
            <v>1620571</v>
          </cell>
          <cell r="Y1011">
            <v>-3007442</v>
          </cell>
          <cell r="Z1011">
            <v>-3007442</v>
          </cell>
          <cell r="AC1011">
            <v>981954</v>
          </cell>
          <cell r="AD1011">
            <v>1051547</v>
          </cell>
          <cell r="AG1011">
            <v>0</v>
          </cell>
          <cell r="AH1011">
            <v>0</v>
          </cell>
        </row>
        <row r="1012">
          <cell r="G1012">
            <v>15371</v>
          </cell>
          <cell r="H1012">
            <v>1059000</v>
          </cell>
          <cell r="L1012" t="str">
            <v>Recoverable From Excise (Till The Time Matl Is With Processor)</v>
          </cell>
          <cell r="M1012" t="str">
            <v>RECOVERABLE FROM EXCISE (TILL THE TIME MATL IS WITH PROCESSO</v>
          </cell>
          <cell r="N1012" t="e">
            <v>#REF!</v>
          </cell>
          <cell r="O1012" t="str">
            <v>A</v>
          </cell>
          <cell r="Q1012">
            <v>-5926118</v>
          </cell>
          <cell r="R1012">
            <v>2754157</v>
          </cell>
          <cell r="U1012">
            <v>-10457098</v>
          </cell>
          <cell r="V1012">
            <v>-1776823</v>
          </cell>
          <cell r="Y1012">
            <v>4530980</v>
          </cell>
          <cell r="Z1012">
            <v>4530980</v>
          </cell>
          <cell r="AC1012">
            <v>0</v>
          </cell>
          <cell r="AD1012">
            <v>0</v>
          </cell>
          <cell r="AG1012">
            <v>0</v>
          </cell>
          <cell r="AH1012">
            <v>0</v>
          </cell>
        </row>
        <row r="1013">
          <cell r="H1013">
            <v>1060000</v>
          </cell>
          <cell r="I1013" t="str">
            <v>3786</v>
          </cell>
          <cell r="L1013" t="str">
            <v>Recoverable From Excise (Current</v>
          </cell>
          <cell r="M1013" t="e">
            <v>#N/A</v>
          </cell>
          <cell r="N1013" t="e">
            <v>#REF!</v>
          </cell>
          <cell r="O1013" t="str">
            <v>A</v>
          </cell>
          <cell r="Q1013">
            <v>0</v>
          </cell>
          <cell r="R1013">
            <v>0</v>
          </cell>
          <cell r="U1013">
            <v>0</v>
          </cell>
          <cell r="V1013">
            <v>0</v>
          </cell>
          <cell r="Y1013">
            <v>0</v>
          </cell>
          <cell r="Z1013">
            <v>0</v>
          </cell>
          <cell r="AC1013">
            <v>0</v>
          </cell>
          <cell r="AD1013">
            <v>0</v>
          </cell>
          <cell r="AG1013">
            <v>0</v>
          </cell>
          <cell r="AH1013">
            <v>0</v>
          </cell>
        </row>
        <row r="1014">
          <cell r="G1014">
            <v>15357</v>
          </cell>
          <cell r="H1014">
            <v>1061000</v>
          </cell>
          <cell r="I1014" t="str">
            <v>103</v>
          </cell>
          <cell r="L1014" t="str">
            <v>Deferred Excise Duty (Capital Goods)</v>
          </cell>
          <cell r="M1014" t="str">
            <v>DEFERRED EXCISE DUTY (CAPITAL GOODS)</v>
          </cell>
          <cell r="N1014" t="e">
            <v>#REF!</v>
          </cell>
          <cell r="O1014" t="str">
            <v>A</v>
          </cell>
          <cell r="Q1014">
            <v>12895219</v>
          </cell>
          <cell r="R1014">
            <v>10430895</v>
          </cell>
          <cell r="U1014">
            <v>5563100</v>
          </cell>
          <cell r="V1014">
            <v>6257356</v>
          </cell>
          <cell r="Y1014">
            <v>7332119</v>
          </cell>
          <cell r="Z1014">
            <v>4173539</v>
          </cell>
          <cell r="AC1014">
            <v>0</v>
          </cell>
          <cell r="AD1014">
            <v>0</v>
          </cell>
          <cell r="AG1014">
            <v>0</v>
          </cell>
          <cell r="AH1014">
            <v>0</v>
          </cell>
        </row>
        <row r="1015">
          <cell r="G1015">
            <v>15358</v>
          </cell>
          <cell r="H1015">
            <v>1062000</v>
          </cell>
          <cell r="I1015" t="str">
            <v>104</v>
          </cell>
          <cell r="L1015" t="str">
            <v>Deferred Edu. Cess (Capital Goods)</v>
          </cell>
          <cell r="M1015" t="str">
            <v>DEFERRED EDU. CESS (CAPITAL GOODS)</v>
          </cell>
          <cell r="N1015" t="e">
            <v>#REF!</v>
          </cell>
          <cell r="O1015" t="str">
            <v>A</v>
          </cell>
          <cell r="Q1015">
            <v>72177</v>
          </cell>
          <cell r="R1015">
            <v>88284</v>
          </cell>
          <cell r="U1015">
            <v>48879</v>
          </cell>
          <cell r="V1015">
            <v>65075</v>
          </cell>
          <cell r="Y1015">
            <v>23298</v>
          </cell>
          <cell r="Z1015">
            <v>23209</v>
          </cell>
          <cell r="AC1015">
            <v>0</v>
          </cell>
          <cell r="AD1015">
            <v>0</v>
          </cell>
          <cell r="AG1015">
            <v>0</v>
          </cell>
          <cell r="AH1015">
            <v>0</v>
          </cell>
        </row>
        <row r="1016">
          <cell r="G1016">
            <v>15359</v>
          </cell>
          <cell r="H1016">
            <v>1063000</v>
          </cell>
          <cell r="I1016" t="str">
            <v>105</v>
          </cell>
          <cell r="L1016" t="str">
            <v>Deferred Higher Edu Cess (Capital Goods)</v>
          </cell>
          <cell r="M1016" t="str">
            <v>DEFERRED HIGHER EDU CESS (CAPITAL GOODS)</v>
          </cell>
          <cell r="N1016" t="e">
            <v>#REF!</v>
          </cell>
          <cell r="O1016" t="str">
            <v>A</v>
          </cell>
          <cell r="Q1016">
            <v>42409</v>
          </cell>
          <cell r="R1016">
            <v>46737</v>
          </cell>
          <cell r="U1016">
            <v>25536</v>
          </cell>
          <cell r="V1016">
            <v>33950</v>
          </cell>
          <cell r="Y1016">
            <v>16873</v>
          </cell>
          <cell r="Z1016">
            <v>12787</v>
          </cell>
          <cell r="AC1016">
            <v>0</v>
          </cell>
          <cell r="AD1016">
            <v>0</v>
          </cell>
          <cell r="AG1016">
            <v>0</v>
          </cell>
          <cell r="AH1016">
            <v>0</v>
          </cell>
        </row>
        <row r="1017">
          <cell r="H1017">
            <v>1064000</v>
          </cell>
          <cell r="I1017" t="str">
            <v>101</v>
          </cell>
          <cell r="L1017">
            <v>0</v>
          </cell>
          <cell r="M1017" t="e">
            <v>#N/A</v>
          </cell>
          <cell r="N1017" t="e">
            <v>#REF!</v>
          </cell>
          <cell r="O1017" t="str">
            <v>A</v>
          </cell>
          <cell r="Q1017">
            <v>0</v>
          </cell>
          <cell r="R1017">
            <v>0</v>
          </cell>
          <cell r="U1017">
            <v>0</v>
          </cell>
          <cell r="V1017">
            <v>0</v>
          </cell>
          <cell r="Y1017">
            <v>0</v>
          </cell>
          <cell r="Z1017">
            <v>0</v>
          </cell>
          <cell r="AC1017">
            <v>0</v>
          </cell>
          <cell r="AD1017">
            <v>0</v>
          </cell>
          <cell r="AG1017">
            <v>0</v>
          </cell>
          <cell r="AH1017">
            <v>0</v>
          </cell>
        </row>
        <row r="1018">
          <cell r="G1018">
            <v>15360</v>
          </cell>
          <cell r="H1018">
            <v>1065000</v>
          </cell>
          <cell r="I1018" t="str">
            <v>6108</v>
          </cell>
          <cell r="L1018" t="str">
            <v>Excise Cochin</v>
          </cell>
          <cell r="M1018" t="str">
            <v>EXCISE COCHIN</v>
          </cell>
          <cell r="N1018" t="e">
            <v>#REF!</v>
          </cell>
          <cell r="O1018" t="str">
            <v>A</v>
          </cell>
          <cell r="Q1018">
            <v>17478792</v>
          </cell>
          <cell r="R1018">
            <v>10632511</v>
          </cell>
          <cell r="U1018">
            <v>-23802</v>
          </cell>
          <cell r="V1018">
            <v>1024</v>
          </cell>
          <cell r="Y1018">
            <v>14041668</v>
          </cell>
          <cell r="Z1018">
            <v>8109586</v>
          </cell>
          <cell r="AC1018">
            <v>3460926</v>
          </cell>
          <cell r="AD1018">
            <v>2521901</v>
          </cell>
          <cell r="AG1018">
            <v>0</v>
          </cell>
          <cell r="AH1018">
            <v>0</v>
          </cell>
        </row>
        <row r="1019">
          <cell r="H1019">
            <v>1066000</v>
          </cell>
          <cell r="I1019" t="str">
            <v>6096</v>
          </cell>
          <cell r="L1019" t="str">
            <v>Excise Cochin-6096</v>
          </cell>
          <cell r="M1019" t="e">
            <v>#N/A</v>
          </cell>
          <cell r="N1019" t="e">
            <v>#REF!</v>
          </cell>
          <cell r="O1019" t="str">
            <v>A</v>
          </cell>
          <cell r="Q1019">
            <v>-3855848</v>
          </cell>
          <cell r="R1019">
            <v>-2943821</v>
          </cell>
          <cell r="U1019">
            <v>0</v>
          </cell>
          <cell r="V1019">
            <v>0</v>
          </cell>
          <cell r="Y1019">
            <v>0</v>
          </cell>
          <cell r="Z1019">
            <v>0</v>
          </cell>
          <cell r="AC1019">
            <v>-3855848</v>
          </cell>
          <cell r="AD1019">
            <v>-2943821</v>
          </cell>
          <cell r="AG1019">
            <v>0</v>
          </cell>
          <cell r="AH1019">
            <v>0</v>
          </cell>
        </row>
        <row r="1021">
          <cell r="H1021">
            <v>1015000</v>
          </cell>
          <cell r="K1021" t="str">
            <v>Part-D</v>
          </cell>
          <cell r="L1021" t="str">
            <v>Excise Duty</v>
          </cell>
          <cell r="M1021" t="e">
            <v>#N/A</v>
          </cell>
          <cell r="N1021" t="e">
            <v>#REF!</v>
          </cell>
          <cell r="O1021" t="str">
            <v>A</v>
          </cell>
          <cell r="P1021">
            <v>0</v>
          </cell>
          <cell r="Q1021">
            <v>62758477</v>
          </cell>
          <cell r="R1021">
            <v>70144467</v>
          </cell>
          <cell r="S1021">
            <v>0</v>
          </cell>
          <cell r="T1021">
            <v>2162</v>
          </cell>
          <cell r="U1021">
            <v>3898204</v>
          </cell>
          <cell r="V1021">
            <v>4771384</v>
          </cell>
          <cell r="W1021">
            <v>0</v>
          </cell>
          <cell r="X1021">
            <v>2162</v>
          </cell>
          <cell r="Y1021">
            <v>43321986</v>
          </cell>
          <cell r="Z1021">
            <v>46681018</v>
          </cell>
          <cell r="AA1021">
            <v>0</v>
          </cell>
          <cell r="AB1021">
            <v>2162</v>
          </cell>
          <cell r="AC1021">
            <v>9930827</v>
          </cell>
          <cell r="AD1021">
            <v>13337788</v>
          </cell>
          <cell r="AE1021">
            <v>0</v>
          </cell>
          <cell r="AF1021">
            <v>2162</v>
          </cell>
          <cell r="AG1021">
            <v>5607460</v>
          </cell>
          <cell r="AH1021">
            <v>5354277</v>
          </cell>
        </row>
        <row r="1022">
          <cell r="H1022">
            <v>1042000</v>
          </cell>
          <cell r="I1022">
            <v>0</v>
          </cell>
          <cell r="L1022" t="str">
            <v>Service Tax</v>
          </cell>
          <cell r="M1022" t="e">
            <v>#N/A</v>
          </cell>
          <cell r="N1022" t="e">
            <v>#REF!</v>
          </cell>
          <cell r="O1022" t="str">
            <v>A</v>
          </cell>
          <cell r="Q1022">
            <v>0</v>
          </cell>
          <cell r="R1022">
            <v>0</v>
          </cell>
          <cell r="U1022">
            <v>0</v>
          </cell>
          <cell r="V1022">
            <v>0</v>
          </cell>
          <cell r="Y1022">
            <v>0</v>
          </cell>
          <cell r="Z1022">
            <v>0</v>
          </cell>
          <cell r="AC1022">
            <v>0</v>
          </cell>
          <cell r="AD1022">
            <v>0</v>
          </cell>
          <cell r="AG1022">
            <v>0</v>
          </cell>
          <cell r="AH1022">
            <v>0</v>
          </cell>
        </row>
        <row r="1023">
          <cell r="G1023">
            <v>15344</v>
          </cell>
          <cell r="H1023">
            <v>1043000</v>
          </cell>
          <cell r="I1023" t="str">
            <v>2543</v>
          </cell>
          <cell r="L1023" t="str">
            <v>Service Tax</v>
          </cell>
          <cell r="M1023" t="str">
            <v>SERVICE TAX (RECEIVABLE)</v>
          </cell>
          <cell r="N1023" t="e">
            <v>#REF!</v>
          </cell>
          <cell r="O1023" t="str">
            <v>A</v>
          </cell>
          <cell r="P1023">
            <v>0</v>
          </cell>
          <cell r="Q1023">
            <v>43185983</v>
          </cell>
          <cell r="R1023">
            <v>27554115</v>
          </cell>
          <cell r="T1023">
            <v>0</v>
          </cell>
          <cell r="U1023">
            <v>-9747062</v>
          </cell>
          <cell r="V1023">
            <v>-15274340</v>
          </cell>
          <cell r="X1023">
            <v>0</v>
          </cell>
          <cell r="Y1023">
            <v>48944870</v>
          </cell>
          <cell r="Z1023">
            <v>40238932</v>
          </cell>
          <cell r="AB1023">
            <v>0</v>
          </cell>
          <cell r="AC1023">
            <v>3585847</v>
          </cell>
          <cell r="AD1023">
            <v>2536364</v>
          </cell>
          <cell r="AF1023">
            <v>0</v>
          </cell>
          <cell r="AG1023">
            <v>402328</v>
          </cell>
          <cell r="AH1023">
            <v>53159</v>
          </cell>
        </row>
        <row r="1024">
          <cell r="G1024">
            <v>15345</v>
          </cell>
          <cell r="H1024">
            <v>1044000</v>
          </cell>
          <cell r="I1024" t="str">
            <v>2544</v>
          </cell>
          <cell r="L1024" t="str">
            <v>Edu. Cess On Service Tax</v>
          </cell>
          <cell r="M1024" t="str">
            <v>EDUCATION CESS ON SERVICE TAX (RECEIVABLE)</v>
          </cell>
          <cell r="N1024" t="e">
            <v>#REF!</v>
          </cell>
          <cell r="O1024" t="str">
            <v>A</v>
          </cell>
          <cell r="P1024">
            <v>0</v>
          </cell>
          <cell r="Q1024">
            <v>1635319</v>
          </cell>
          <cell r="R1024">
            <v>1584855</v>
          </cell>
          <cell r="T1024">
            <v>0</v>
          </cell>
          <cell r="U1024">
            <v>342800</v>
          </cell>
          <cell r="V1024">
            <v>327344</v>
          </cell>
          <cell r="X1024">
            <v>0</v>
          </cell>
          <cell r="Y1024">
            <v>1260900</v>
          </cell>
          <cell r="Z1024">
            <v>1228627</v>
          </cell>
          <cell r="AB1024">
            <v>0</v>
          </cell>
          <cell r="AC1024">
            <v>31619</v>
          </cell>
          <cell r="AD1024">
            <v>26256</v>
          </cell>
          <cell r="AF1024">
            <v>0</v>
          </cell>
          <cell r="AG1024">
            <v>0</v>
          </cell>
          <cell r="AH1024">
            <v>2628</v>
          </cell>
        </row>
        <row r="1025">
          <cell r="G1025">
            <v>15346</v>
          </cell>
          <cell r="H1025">
            <v>1045000</v>
          </cell>
          <cell r="I1025" t="str">
            <v>2548</v>
          </cell>
          <cell r="L1025" t="str">
            <v>Sh Cess On Service Tax A</v>
          </cell>
          <cell r="M1025" t="str">
            <v>HIGHER EDUCATION CESS ON SERVICE TAX (RECEIVABLE)</v>
          </cell>
          <cell r="N1025" t="e">
            <v>#REF!</v>
          </cell>
          <cell r="O1025" t="str">
            <v>A</v>
          </cell>
          <cell r="P1025">
            <v>0</v>
          </cell>
          <cell r="Q1025">
            <v>717062</v>
          </cell>
          <cell r="R1025">
            <v>694734</v>
          </cell>
          <cell r="T1025">
            <v>0</v>
          </cell>
          <cell r="U1025">
            <v>209990</v>
          </cell>
          <cell r="V1025">
            <v>202506</v>
          </cell>
          <cell r="X1025">
            <v>0</v>
          </cell>
          <cell r="Y1025">
            <v>507072</v>
          </cell>
          <cell r="Z1025">
            <v>490916</v>
          </cell>
          <cell r="AB1025">
            <v>0</v>
          </cell>
          <cell r="AC1025">
            <v>0</v>
          </cell>
          <cell r="AD1025">
            <v>0</v>
          </cell>
          <cell r="AF1025">
            <v>0</v>
          </cell>
          <cell r="AG1025">
            <v>0</v>
          </cell>
          <cell r="AH1025">
            <v>1312</v>
          </cell>
        </row>
        <row r="1026">
          <cell r="G1026">
            <v>153501</v>
          </cell>
          <cell r="H1026">
            <v>1046000</v>
          </cell>
          <cell r="L1026" t="str">
            <v>EDU CESS ON SERVICE TAX INTERIM PAYABLE</v>
          </cell>
          <cell r="M1026" t="str">
            <v>EDU CESS ON SERVICE TAX INTERIM PAYABLE</v>
          </cell>
          <cell r="N1026" t="e">
            <v>#REF!</v>
          </cell>
          <cell r="O1026" t="str">
            <v>A</v>
          </cell>
          <cell r="Q1026">
            <v>44143</v>
          </cell>
          <cell r="R1026">
            <v>21912</v>
          </cell>
          <cell r="U1026">
            <v>39134</v>
          </cell>
          <cell r="V1026">
            <v>22545</v>
          </cell>
          <cell r="Y1026">
            <v>5009</v>
          </cell>
          <cell r="Z1026">
            <v>-633</v>
          </cell>
          <cell r="AC1026">
            <v>0</v>
          </cell>
          <cell r="AD1026">
            <v>0</v>
          </cell>
          <cell r="AG1026">
            <v>0</v>
          </cell>
          <cell r="AH1026">
            <v>0</v>
          </cell>
        </row>
        <row r="1027">
          <cell r="G1027">
            <v>153502</v>
          </cell>
          <cell r="H1027">
            <v>1047000</v>
          </cell>
          <cell r="L1027" t="str">
            <v>H EDU CESS ON SERVICE TAX INTERIM PAYABLE</v>
          </cell>
          <cell r="M1027" t="str">
            <v>H EDU CESS ON SERVICE TAX INTERIM PAYABLE</v>
          </cell>
          <cell r="N1027" t="e">
            <v>#REF!</v>
          </cell>
          <cell r="O1027" t="str">
            <v>A</v>
          </cell>
          <cell r="Q1027">
            <v>22664</v>
          </cell>
          <cell r="R1027">
            <v>11353</v>
          </cell>
          <cell r="U1027">
            <v>18974</v>
          </cell>
          <cell r="V1027">
            <v>10678</v>
          </cell>
          <cell r="Y1027">
            <v>3690</v>
          </cell>
          <cell r="Z1027">
            <v>675</v>
          </cell>
          <cell r="AC1027">
            <v>0</v>
          </cell>
          <cell r="AD1027">
            <v>0</v>
          </cell>
          <cell r="AG1027">
            <v>0</v>
          </cell>
          <cell r="AH1027">
            <v>0</v>
          </cell>
        </row>
        <row r="1028">
          <cell r="G1028" t="str">
            <v>13388-1</v>
          </cell>
          <cell r="H1028">
            <v>1048000</v>
          </cell>
          <cell r="L1028" t="str">
            <v>Edu Cess On Service Tax Expense</v>
          </cell>
          <cell r="M1028" t="str">
            <v>EDU CESS ON SERVICE TAX EXPENSE</v>
          </cell>
          <cell r="N1028" t="e">
            <v>#REF!</v>
          </cell>
          <cell r="O1028" t="str">
            <v>A</v>
          </cell>
          <cell r="Q1028">
            <v>0</v>
          </cell>
          <cell r="R1028">
            <v>0</v>
          </cell>
          <cell r="U1028">
            <v>0</v>
          </cell>
          <cell r="V1028">
            <v>0</v>
          </cell>
          <cell r="Y1028">
            <v>0</v>
          </cell>
          <cell r="Z1028">
            <v>0</v>
          </cell>
          <cell r="AC1028">
            <v>0</v>
          </cell>
          <cell r="AD1028">
            <v>0</v>
          </cell>
          <cell r="AG1028">
            <v>0</v>
          </cell>
          <cell r="AH1028">
            <v>0</v>
          </cell>
        </row>
        <row r="1029">
          <cell r="G1029" t="str">
            <v>13388-2</v>
          </cell>
          <cell r="H1029">
            <v>1049000</v>
          </cell>
          <cell r="L1029" t="str">
            <v>H Edu Cess On Service Tax Expense</v>
          </cell>
          <cell r="M1029" t="str">
            <v>H EDU CESS ON SERVICE TAX EXPENSE</v>
          </cell>
          <cell r="N1029" t="e">
            <v>#REF!</v>
          </cell>
          <cell r="O1029" t="str">
            <v>A</v>
          </cell>
          <cell r="Q1029">
            <v>0</v>
          </cell>
          <cell r="R1029">
            <v>0</v>
          </cell>
          <cell r="U1029">
            <v>0</v>
          </cell>
          <cell r="V1029">
            <v>0</v>
          </cell>
          <cell r="Y1029">
            <v>0</v>
          </cell>
          <cell r="Z1029">
            <v>0</v>
          </cell>
          <cell r="AC1029">
            <v>0</v>
          </cell>
          <cell r="AD1029">
            <v>0</v>
          </cell>
          <cell r="AG1029">
            <v>0</v>
          </cell>
          <cell r="AH1029">
            <v>0</v>
          </cell>
        </row>
        <row r="1030">
          <cell r="G1030">
            <v>15351</v>
          </cell>
          <cell r="H1030">
            <v>1050000</v>
          </cell>
          <cell r="I1030">
            <v>0</v>
          </cell>
          <cell r="L1030" t="str">
            <v>Service Tax Interim Recoverable</v>
          </cell>
          <cell r="M1030" t="str">
            <v>SERVICE TAX INTERIM RECOVERABLE</v>
          </cell>
          <cell r="N1030" t="e">
            <v>#REF!</v>
          </cell>
          <cell r="O1030" t="str">
            <v>A</v>
          </cell>
          <cell r="Q1030">
            <v>-7944618</v>
          </cell>
          <cell r="R1030">
            <v>-4843565</v>
          </cell>
          <cell r="U1030">
            <v>-3506836</v>
          </cell>
          <cell r="V1030">
            <v>-1361466</v>
          </cell>
          <cell r="Y1030">
            <v>-4437782</v>
          </cell>
          <cell r="Z1030">
            <v>-3482099</v>
          </cell>
          <cell r="AC1030">
            <v>0</v>
          </cell>
          <cell r="AD1030">
            <v>0</v>
          </cell>
          <cell r="AG1030">
            <v>0</v>
          </cell>
          <cell r="AH1030">
            <v>0</v>
          </cell>
        </row>
        <row r="1031">
          <cell r="G1031">
            <v>15347</v>
          </cell>
          <cell r="H1031">
            <v>1051000</v>
          </cell>
          <cell r="I1031" t="str">
            <v>2546</v>
          </cell>
          <cell r="L1031" t="str">
            <v>Service Tax Payable</v>
          </cell>
          <cell r="M1031" t="str">
            <v>SERVICE TAX (PAYABLE)</v>
          </cell>
          <cell r="N1031" t="e">
            <v>#REF!</v>
          </cell>
          <cell r="O1031" t="str">
            <v>A</v>
          </cell>
          <cell r="Q1031">
            <v>-6527595</v>
          </cell>
          <cell r="R1031">
            <v>-5715618</v>
          </cell>
          <cell r="U1031">
            <v>-4989289</v>
          </cell>
          <cell r="V1031">
            <v>-4635873</v>
          </cell>
          <cell r="Y1031">
            <v>-1515829</v>
          </cell>
          <cell r="Z1031">
            <v>-1046866</v>
          </cell>
          <cell r="AC1031">
            <v>-22477</v>
          </cell>
          <cell r="AD1031">
            <v>-32879</v>
          </cell>
          <cell r="AG1031">
            <v>0</v>
          </cell>
          <cell r="AH1031">
            <v>0</v>
          </cell>
        </row>
        <row r="1032">
          <cell r="G1032">
            <v>15348</v>
          </cell>
          <cell r="H1032">
            <v>1052000</v>
          </cell>
          <cell r="I1032" t="str">
            <v>2547</v>
          </cell>
          <cell r="L1032" t="str">
            <v>Cess On Service Tax Payable</v>
          </cell>
          <cell r="M1032" t="str">
            <v>EDUCATION CESS ON SERVICE TAX (PAYABLE)</v>
          </cell>
          <cell r="N1032" t="e">
            <v>#REF!</v>
          </cell>
          <cell r="O1032" t="str">
            <v>A</v>
          </cell>
          <cell r="Q1032">
            <v>-116495</v>
          </cell>
          <cell r="R1032">
            <v>-96781</v>
          </cell>
          <cell r="U1032">
            <v>-90237</v>
          </cell>
          <cell r="V1032">
            <v>-78521</v>
          </cell>
          <cell r="Y1032">
            <v>-26258</v>
          </cell>
          <cell r="Z1032">
            <v>-18260</v>
          </cell>
          <cell r="AC1032">
            <v>0</v>
          </cell>
          <cell r="AD1032">
            <v>0</v>
          </cell>
          <cell r="AG1032">
            <v>0</v>
          </cell>
          <cell r="AH1032">
            <v>0</v>
          </cell>
        </row>
        <row r="1033">
          <cell r="G1033">
            <v>15350</v>
          </cell>
          <cell r="H1033">
            <v>1053000</v>
          </cell>
          <cell r="L1033" t="str">
            <v>Service Tax Interim Payable</v>
          </cell>
          <cell r="M1033" t="str">
            <v>SERVICE TAX INTERIM PAYABLE</v>
          </cell>
          <cell r="N1033" t="e">
            <v>#REF!</v>
          </cell>
          <cell r="O1033" t="str">
            <v>A</v>
          </cell>
          <cell r="Q1033">
            <v>1928356</v>
          </cell>
          <cell r="R1033">
            <v>936773</v>
          </cell>
          <cell r="U1033">
            <v>1875675</v>
          </cell>
          <cell r="V1033">
            <v>1059821</v>
          </cell>
          <cell r="Y1033">
            <v>52681</v>
          </cell>
          <cell r="Z1033">
            <v>-123048</v>
          </cell>
          <cell r="AC1033">
            <v>0</v>
          </cell>
          <cell r="AD1033">
            <v>0</v>
          </cell>
          <cell r="AG1033">
            <v>0</v>
          </cell>
          <cell r="AH1033">
            <v>0</v>
          </cell>
        </row>
        <row r="1034">
          <cell r="G1034">
            <v>15349</v>
          </cell>
          <cell r="H1034">
            <v>1054000</v>
          </cell>
          <cell r="I1034" t="str">
            <v>2550</v>
          </cell>
          <cell r="L1034" t="str">
            <v>Sh Cess On Service Tax Payable</v>
          </cell>
          <cell r="M1034" t="str">
            <v>HIGHER EDUCATION CESS ON SERVICE TAX (PAYABLE)</v>
          </cell>
          <cell r="N1034" t="e">
            <v>#REF!</v>
          </cell>
          <cell r="O1034" t="str">
            <v>A</v>
          </cell>
          <cell r="Q1034">
            <v>-58878</v>
          </cell>
          <cell r="R1034">
            <v>-48727</v>
          </cell>
          <cell r="U1034">
            <v>-45209</v>
          </cell>
          <cell r="V1034">
            <v>-39348</v>
          </cell>
          <cell r="Y1034">
            <v>-13669</v>
          </cell>
          <cell r="Z1034">
            <v>-9379</v>
          </cell>
          <cell r="AC1034">
            <v>0</v>
          </cell>
          <cell r="AD1034">
            <v>0</v>
          </cell>
          <cell r="AG1034">
            <v>0</v>
          </cell>
          <cell r="AH1034">
            <v>0</v>
          </cell>
        </row>
        <row r="1035">
          <cell r="G1035">
            <v>15352</v>
          </cell>
          <cell r="H1035">
            <v>1055000</v>
          </cell>
          <cell r="L1035" t="str">
            <v>Edu Cess Service Tax Interim Recoverable</v>
          </cell>
          <cell r="M1035" t="str">
            <v>EDU CESS SERVICE TAX INTERIM RECOVERABLE</v>
          </cell>
          <cell r="N1035" t="e">
            <v>#REF!</v>
          </cell>
          <cell r="O1035" t="str">
            <v>A</v>
          </cell>
          <cell r="Q1035">
            <v>-24742</v>
          </cell>
          <cell r="R1035">
            <v>-2458</v>
          </cell>
          <cell r="U1035">
            <v>-3096</v>
          </cell>
          <cell r="V1035">
            <v>5654</v>
          </cell>
          <cell r="Y1035">
            <v>-21646</v>
          </cell>
          <cell r="Z1035">
            <v>-8112</v>
          </cell>
          <cell r="AC1035">
            <v>0</v>
          </cell>
          <cell r="AD1035">
            <v>0</v>
          </cell>
          <cell r="AG1035">
            <v>0</v>
          </cell>
          <cell r="AH1035">
            <v>0</v>
          </cell>
        </row>
        <row r="1036">
          <cell r="G1036">
            <v>15353</v>
          </cell>
          <cell r="H1036">
            <v>1056000</v>
          </cell>
          <cell r="I1036">
            <v>0</v>
          </cell>
          <cell r="L1036" t="str">
            <v>H Edu Cess Service Tax Interim Recoverable</v>
          </cell>
          <cell r="M1036" t="str">
            <v>H EDU CESS SERVICE TAX INTERIM RECOVERABLE</v>
          </cell>
          <cell r="N1036" t="e">
            <v>#REF!</v>
          </cell>
          <cell r="O1036" t="str">
            <v>A</v>
          </cell>
          <cell r="Q1036">
            <v>-11911</v>
          </cell>
          <cell r="R1036">
            <v>-814</v>
          </cell>
          <cell r="U1036">
            <v>-1633</v>
          </cell>
          <cell r="V1036">
            <v>2794</v>
          </cell>
          <cell r="Y1036">
            <v>-10278</v>
          </cell>
          <cell r="Z1036">
            <v>-3608</v>
          </cell>
          <cell r="AC1036">
            <v>0</v>
          </cell>
          <cell r="AD1036">
            <v>0</v>
          </cell>
          <cell r="AG1036">
            <v>0</v>
          </cell>
          <cell r="AH1036">
            <v>0</v>
          </cell>
        </row>
        <row r="1037">
          <cell r="G1037">
            <v>153441</v>
          </cell>
          <cell r="L1037" t="str">
            <v>SERVICE TAX RECEIVABLE (RCM)</v>
          </cell>
          <cell r="M1037" t="str">
            <v>SERVICE TAX RECEIVABLE (RCM)</v>
          </cell>
          <cell r="N1037" t="e">
            <v>#REF!</v>
          </cell>
          <cell r="O1037" t="str">
            <v>A</v>
          </cell>
          <cell r="Q1037">
            <v>6282703</v>
          </cell>
          <cell r="R1037">
            <v>1148853</v>
          </cell>
          <cell r="U1037">
            <v>3493635</v>
          </cell>
          <cell r="V1037">
            <v>327560</v>
          </cell>
          <cell r="Y1037">
            <v>2789068</v>
          </cell>
          <cell r="Z1037">
            <v>821293</v>
          </cell>
          <cell r="AC1037">
            <v>0</v>
          </cell>
          <cell r="AD1037">
            <v>0</v>
          </cell>
          <cell r="AG1037">
            <v>0</v>
          </cell>
          <cell r="AH1037">
            <v>0</v>
          </cell>
        </row>
        <row r="1038">
          <cell r="G1038">
            <v>153442</v>
          </cell>
          <cell r="I1038">
            <v>6095</v>
          </cell>
          <cell r="J1038" t="str">
            <v>6095</v>
          </cell>
          <cell r="L1038" t="str">
            <v>SERVICE TAX - ISD (ASSETS)</v>
          </cell>
          <cell r="M1038" t="str">
            <v>SERVICE TAX - ISD (ASSETS)</v>
          </cell>
          <cell r="N1038" t="e">
            <v>#REF!</v>
          </cell>
          <cell r="O1038" t="str">
            <v>A</v>
          </cell>
          <cell r="Q1038">
            <v>144489</v>
          </cell>
          <cell r="R1038">
            <v>24173</v>
          </cell>
          <cell r="U1038">
            <v>711</v>
          </cell>
          <cell r="V1038">
            <v>710</v>
          </cell>
          <cell r="Y1038">
            <v>143045</v>
          </cell>
          <cell r="Z1038">
            <v>23463</v>
          </cell>
          <cell r="AC1038">
            <v>733</v>
          </cell>
          <cell r="AD1038">
            <v>0</v>
          </cell>
          <cell r="AG1038">
            <v>0</v>
          </cell>
          <cell r="AH1038">
            <v>0</v>
          </cell>
        </row>
        <row r="1039">
          <cell r="G1039">
            <v>153471</v>
          </cell>
          <cell r="L1039" t="str">
            <v>SERVICE TAX PAYABLE (RCM)</v>
          </cell>
          <cell r="M1039" t="str">
            <v>SERVICE TAX PAYABLE (RCM)</v>
          </cell>
          <cell r="N1039" t="e">
            <v>#REF!</v>
          </cell>
          <cell r="O1039" t="str">
            <v>A</v>
          </cell>
          <cell r="Q1039">
            <v>-2100989</v>
          </cell>
          <cell r="R1039">
            <v>-111813</v>
          </cell>
          <cell r="U1039">
            <v>-1262256</v>
          </cell>
          <cell r="V1039">
            <v>719742</v>
          </cell>
          <cell r="Y1039">
            <v>-838733</v>
          </cell>
          <cell r="Z1039">
            <v>-831555</v>
          </cell>
          <cell r="AC1039">
            <v>0</v>
          </cell>
          <cell r="AD1039">
            <v>0</v>
          </cell>
          <cell r="AG1039">
            <v>0</v>
          </cell>
          <cell r="AH1039">
            <v>0</v>
          </cell>
        </row>
        <row r="1040">
          <cell r="I1040">
            <v>6094</v>
          </cell>
          <cell r="J1040" t="str">
            <v>6094</v>
          </cell>
          <cell r="L1040" t="str">
            <v>SERVICE TAX (RCM) LIABILITY</v>
          </cell>
          <cell r="M1040" t="e">
            <v>#N/A</v>
          </cell>
          <cell r="N1040" t="e">
            <v>#REF!</v>
          </cell>
          <cell r="O1040" t="str">
            <v>A</v>
          </cell>
          <cell r="Q1040">
            <v>-28906</v>
          </cell>
          <cell r="R1040">
            <v>-25970</v>
          </cell>
          <cell r="U1040">
            <v>0</v>
          </cell>
          <cell r="V1040">
            <v>0</v>
          </cell>
          <cell r="Y1040">
            <v>0</v>
          </cell>
          <cell r="Z1040">
            <v>0</v>
          </cell>
          <cell r="AC1040">
            <v>-28906</v>
          </cell>
          <cell r="AD1040">
            <v>-25970</v>
          </cell>
          <cell r="AG1040">
            <v>0</v>
          </cell>
          <cell r="AH1040">
            <v>0</v>
          </cell>
        </row>
        <row r="1041">
          <cell r="AC1041">
            <v>0</v>
          </cell>
          <cell r="AG1041">
            <v>0</v>
          </cell>
        </row>
        <row r="1043">
          <cell r="H1043">
            <v>1069000</v>
          </cell>
          <cell r="K1043">
            <v>0</v>
          </cell>
          <cell r="L1043" t="str">
            <v>Service Tax</v>
          </cell>
          <cell r="M1043" t="e">
            <v>#N/A</v>
          </cell>
          <cell r="N1043" t="e">
            <v>#REF!</v>
          </cell>
          <cell r="O1043" t="str">
            <v>A</v>
          </cell>
          <cell r="P1043">
            <v>0</v>
          </cell>
          <cell r="Q1043">
            <v>37146585</v>
          </cell>
          <cell r="R1043">
            <v>21131022</v>
          </cell>
          <cell r="S1043">
            <v>0</v>
          </cell>
          <cell r="T1043">
            <v>0</v>
          </cell>
          <cell r="U1043">
            <v>-13664699</v>
          </cell>
          <cell r="V1043">
            <v>-18710194</v>
          </cell>
          <cell r="W1043">
            <v>0</v>
          </cell>
          <cell r="X1043">
            <v>0</v>
          </cell>
          <cell r="Y1043">
            <v>46842140</v>
          </cell>
          <cell r="Z1043">
            <v>37280346</v>
          </cell>
          <cell r="AA1043">
            <v>0</v>
          </cell>
          <cell r="AB1043">
            <v>0</v>
          </cell>
          <cell r="AC1043">
            <v>3566816</v>
          </cell>
          <cell r="AD1043">
            <v>2503771</v>
          </cell>
          <cell r="AE1043">
            <v>0</v>
          </cell>
          <cell r="AF1043">
            <v>0</v>
          </cell>
          <cell r="AG1043">
            <v>402328</v>
          </cell>
          <cell r="AH1043">
            <v>57099</v>
          </cell>
        </row>
        <row r="1044">
          <cell r="H1044">
            <v>1057000</v>
          </cell>
          <cell r="I1044">
            <v>0</v>
          </cell>
          <cell r="K1044" t="str">
            <v>Others</v>
          </cell>
          <cell r="M1044" t="e">
            <v>#N/A</v>
          </cell>
          <cell r="N1044" t="e">
            <v>#REF!</v>
          </cell>
          <cell r="O1044" t="str">
            <v>A</v>
          </cell>
          <cell r="Q1044">
            <v>0</v>
          </cell>
          <cell r="R1044">
            <v>0</v>
          </cell>
          <cell r="U1044">
            <v>0</v>
          </cell>
          <cell r="V1044">
            <v>0</v>
          </cell>
          <cell r="Y1044">
            <v>0</v>
          </cell>
          <cell r="Z1044">
            <v>0</v>
          </cell>
          <cell r="AC1044">
            <v>0</v>
          </cell>
          <cell r="AD1044">
            <v>0</v>
          </cell>
          <cell r="AG1044">
            <v>0</v>
          </cell>
          <cell r="AH1044">
            <v>0</v>
          </cell>
        </row>
        <row r="1045">
          <cell r="H1045">
            <v>1067000</v>
          </cell>
          <cell r="L1045" t="str">
            <v>Rgrp of Custom Duty Paid-Bal with Govt. Authorities-15613</v>
          </cell>
          <cell r="M1045" t="e">
            <v>#N/A</v>
          </cell>
          <cell r="N1045" t="e">
            <v>#REF!</v>
          </cell>
          <cell r="O1045" t="str">
            <v>A</v>
          </cell>
          <cell r="Q1045">
            <v>0</v>
          </cell>
          <cell r="R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row>
        <row r="1046">
          <cell r="H1046">
            <v>1068000</v>
          </cell>
          <cell r="M1046" t="e">
            <v>#N/A</v>
          </cell>
          <cell r="N1046" t="e">
            <v>#REF!</v>
          </cell>
          <cell r="O1046" t="str">
            <v>A</v>
          </cell>
          <cell r="Q1046">
            <v>0</v>
          </cell>
          <cell r="R1046">
            <v>0</v>
          </cell>
          <cell r="AC1046">
            <v>0</v>
          </cell>
          <cell r="AD1046">
            <v>0</v>
          </cell>
          <cell r="AG1046">
            <v>0</v>
          </cell>
          <cell r="AH1046">
            <v>0</v>
          </cell>
        </row>
        <row r="1047">
          <cell r="H1047">
            <v>1069000</v>
          </cell>
          <cell r="K1047" t="str">
            <v>Balance With Excise Authorities</v>
          </cell>
          <cell r="M1047" t="e">
            <v>#N/A</v>
          </cell>
          <cell r="N1047" t="e">
            <v>#REF!</v>
          </cell>
          <cell r="O1047" t="str">
            <v>A</v>
          </cell>
          <cell r="P1047">
            <v>0</v>
          </cell>
          <cell r="Q1047">
            <v>99905062</v>
          </cell>
          <cell r="R1047">
            <v>91275489</v>
          </cell>
          <cell r="S1047">
            <v>0</v>
          </cell>
          <cell r="T1047">
            <v>2162</v>
          </cell>
          <cell r="U1047">
            <v>-9766495</v>
          </cell>
          <cell r="V1047">
            <v>-13938810</v>
          </cell>
          <cell r="W1047">
            <v>0</v>
          </cell>
          <cell r="X1047">
            <v>2162</v>
          </cell>
          <cell r="Y1047">
            <v>90164126</v>
          </cell>
          <cell r="Z1047">
            <v>83961364</v>
          </cell>
          <cell r="AA1047">
            <v>0</v>
          </cell>
          <cell r="AB1047">
            <v>2162</v>
          </cell>
          <cell r="AC1047">
            <v>13497643</v>
          </cell>
          <cell r="AD1047">
            <v>15841559</v>
          </cell>
          <cell r="AE1047">
            <v>0</v>
          </cell>
          <cell r="AF1047">
            <v>2162</v>
          </cell>
          <cell r="AG1047">
            <v>6009788</v>
          </cell>
          <cell r="AH1047">
            <v>5411376</v>
          </cell>
        </row>
        <row r="1048">
          <cell r="H1048">
            <v>1070000</v>
          </cell>
          <cell r="K1048" t="str">
            <v>Prepaid Expenses</v>
          </cell>
          <cell r="M1048" t="e">
            <v>#N/A</v>
          </cell>
          <cell r="N1048" t="e">
            <v>#REF!</v>
          </cell>
          <cell r="O1048" t="str">
            <v>A</v>
          </cell>
        </row>
        <row r="1049">
          <cell r="H1049">
            <v>1071000</v>
          </cell>
          <cell r="L1049" t="str">
            <v>Regrouped from Long Term Prepaid</v>
          </cell>
          <cell r="M1049" t="e">
            <v>#N/A</v>
          </cell>
          <cell r="N1049" t="e">
            <v>#REF!</v>
          </cell>
          <cell r="O1049" t="str">
            <v>A</v>
          </cell>
          <cell r="Q1049">
            <v>3629057</v>
          </cell>
          <cell r="R1049">
            <v>3760090</v>
          </cell>
          <cell r="U1049">
            <v>3629057</v>
          </cell>
          <cell r="V1049">
            <v>3455392</v>
          </cell>
          <cell r="Y1049">
            <v>0</v>
          </cell>
          <cell r="Z1049">
            <v>93001</v>
          </cell>
          <cell r="AC1049">
            <v>0</v>
          </cell>
          <cell r="AD1049">
            <v>132610</v>
          </cell>
          <cell r="AG1049">
            <v>0</v>
          </cell>
          <cell r="AH1049">
            <v>79087</v>
          </cell>
        </row>
        <row r="1050">
          <cell r="H1050">
            <v>1072000</v>
          </cell>
          <cell r="L1050">
            <v>0</v>
          </cell>
          <cell r="M1050" t="e">
            <v>#N/A</v>
          </cell>
          <cell r="N1050" t="e">
            <v>#REF!</v>
          </cell>
          <cell r="O1050" t="str">
            <v>A</v>
          </cell>
          <cell r="Q1050">
            <v>0</v>
          </cell>
          <cell r="R1050">
            <v>0</v>
          </cell>
        </row>
        <row r="1051">
          <cell r="H1051">
            <v>1073000</v>
          </cell>
          <cell r="K1051" t="str">
            <v>Prepaid Expenses</v>
          </cell>
          <cell r="M1051" t="e">
            <v>#N/A</v>
          </cell>
          <cell r="N1051" t="e">
            <v>#REF!</v>
          </cell>
          <cell r="O1051" t="str">
            <v>A</v>
          </cell>
          <cell r="P1051">
            <v>0</v>
          </cell>
          <cell r="Q1051">
            <v>3629057</v>
          </cell>
          <cell r="R1051">
            <v>3760090</v>
          </cell>
          <cell r="T1051">
            <v>0</v>
          </cell>
          <cell r="U1051">
            <v>3629057</v>
          </cell>
          <cell r="V1051">
            <v>3455392</v>
          </cell>
          <cell r="W1051">
            <v>0</v>
          </cell>
          <cell r="X1051">
            <v>0</v>
          </cell>
          <cell r="Y1051">
            <v>0</v>
          </cell>
          <cell r="Z1051">
            <v>93001</v>
          </cell>
          <cell r="AA1051">
            <v>0</v>
          </cell>
          <cell r="AB1051">
            <v>0</v>
          </cell>
          <cell r="AC1051">
            <v>0</v>
          </cell>
          <cell r="AD1051">
            <v>132610</v>
          </cell>
          <cell r="AE1051">
            <v>0</v>
          </cell>
          <cell r="AF1051">
            <v>0</v>
          </cell>
          <cell r="AG1051">
            <v>0</v>
          </cell>
          <cell r="AH1051">
            <v>79087</v>
          </cell>
        </row>
        <row r="1052">
          <cell r="H1052">
            <v>1074000</v>
          </cell>
          <cell r="K1052" t="str">
            <v>OTHERS</v>
          </cell>
          <cell r="O1052" t="str">
            <v>A</v>
          </cell>
        </row>
        <row r="1053">
          <cell r="H1053">
            <v>1075000</v>
          </cell>
          <cell r="I1053" t="str">
            <v>3715</v>
          </cell>
          <cell r="L1053" t="str">
            <v>Depb Receivable A/C</v>
          </cell>
          <cell r="M1053" t="e">
            <v>#N/A</v>
          </cell>
          <cell r="N1053" t="e">
            <v>#REF!</v>
          </cell>
          <cell r="O1053" t="str">
            <v>A</v>
          </cell>
          <cell r="Q1053">
            <v>0</v>
          </cell>
          <cell r="R1053">
            <v>0</v>
          </cell>
          <cell r="U1053">
            <v>0</v>
          </cell>
          <cell r="V1053">
            <v>0</v>
          </cell>
          <cell r="Y1053">
            <v>0</v>
          </cell>
          <cell r="Z1053">
            <v>0</v>
          </cell>
          <cell r="AC1053">
            <v>0</v>
          </cell>
          <cell r="AD1053">
            <v>0</v>
          </cell>
          <cell r="AG1053">
            <v>0</v>
          </cell>
          <cell r="AH1053">
            <v>0</v>
          </cell>
        </row>
        <row r="1054">
          <cell r="G1054">
            <v>15216</v>
          </cell>
          <cell r="H1054">
            <v>1076000</v>
          </cell>
          <cell r="I1054" t="str">
            <v>3710</v>
          </cell>
          <cell r="L1054" t="str">
            <v>Interest Receivable</v>
          </cell>
          <cell r="M1054" t="str">
            <v>INTEREST RECEIVABLE</v>
          </cell>
          <cell r="N1054" t="e">
            <v>#REF!</v>
          </cell>
          <cell r="O1054" t="str">
            <v>A</v>
          </cell>
          <cell r="Q1054">
            <v>1059583</v>
          </cell>
          <cell r="R1054">
            <v>1359128</v>
          </cell>
          <cell r="U1054">
            <v>41821</v>
          </cell>
          <cell r="V1054">
            <v>285551</v>
          </cell>
          <cell r="Y1054">
            <v>646144</v>
          </cell>
          <cell r="Z1054">
            <v>927571</v>
          </cell>
          <cell r="AC1054">
            <v>226306</v>
          </cell>
          <cell r="AD1054">
            <v>0</v>
          </cell>
          <cell r="AG1054">
            <v>145312</v>
          </cell>
          <cell r="AH1054">
            <v>146006</v>
          </cell>
        </row>
        <row r="1055">
          <cell r="G1055">
            <v>15256</v>
          </cell>
          <cell r="H1055">
            <v>1077000</v>
          </cell>
          <cell r="I1055" t="str">
            <v>1514</v>
          </cell>
          <cell r="L1055" t="str">
            <v>Creditors Dr. Balance</v>
          </cell>
          <cell r="M1055" t="str">
            <v>CREDITORS DEBIT BALANCES</v>
          </cell>
          <cell r="N1055" t="e">
            <v>#REF!</v>
          </cell>
          <cell r="O1055" t="str">
            <v>A</v>
          </cell>
          <cell r="Q1055">
            <v>13397890</v>
          </cell>
          <cell r="R1055">
            <v>10539461</v>
          </cell>
          <cell r="U1055">
            <v>11514015</v>
          </cell>
          <cell r="V1055">
            <v>7148636</v>
          </cell>
          <cell r="Y1055">
            <v>1539961</v>
          </cell>
          <cell r="Z1055">
            <v>2540058</v>
          </cell>
          <cell r="AC1055">
            <v>343914</v>
          </cell>
          <cell r="AD1055">
            <v>830284</v>
          </cell>
          <cell r="AG1055">
            <v>0</v>
          </cell>
          <cell r="AH1055">
            <v>20483</v>
          </cell>
        </row>
        <row r="1056">
          <cell r="G1056">
            <v>15243</v>
          </cell>
          <cell r="H1056">
            <v>1078000</v>
          </cell>
          <cell r="I1056" t="str">
            <v>3410</v>
          </cell>
          <cell r="L1056" t="str">
            <v>Advance  Suppliers</v>
          </cell>
          <cell r="M1056" t="str">
            <v>ADVANCE SUPPLIERS/ OTHERS (3410)</v>
          </cell>
          <cell r="N1056" t="e">
            <v>#REF!</v>
          </cell>
          <cell r="O1056" t="str">
            <v>A</v>
          </cell>
          <cell r="Q1056">
            <v>8013</v>
          </cell>
          <cell r="R1056">
            <v>8013</v>
          </cell>
          <cell r="U1056">
            <v>7000</v>
          </cell>
          <cell r="V1056">
            <v>7000</v>
          </cell>
          <cell r="Y1056">
            <v>0</v>
          </cell>
          <cell r="Z1056">
            <v>0</v>
          </cell>
          <cell r="AC1056">
            <v>1013</v>
          </cell>
          <cell r="AD1056">
            <v>1013</v>
          </cell>
          <cell r="AG1056">
            <v>0</v>
          </cell>
          <cell r="AH1056">
            <v>0</v>
          </cell>
        </row>
        <row r="1057">
          <cell r="G1057">
            <v>15239</v>
          </cell>
          <cell r="H1057">
            <v>1079000</v>
          </cell>
          <cell r="I1057" t="str">
            <v>3510</v>
          </cell>
          <cell r="L1057" t="str">
            <v>Advance Against Expenses</v>
          </cell>
          <cell r="M1057" t="str">
            <v>ADVANCE AGAINST EXPENSES</v>
          </cell>
          <cell r="N1057" t="e">
            <v>#REF!</v>
          </cell>
          <cell r="O1057" t="str">
            <v>A</v>
          </cell>
          <cell r="Q1057">
            <v>12500</v>
          </cell>
          <cell r="R1057">
            <v>51500</v>
          </cell>
          <cell r="U1057">
            <v>0</v>
          </cell>
          <cell r="V1057">
            <v>73000</v>
          </cell>
          <cell r="Y1057">
            <v>7000</v>
          </cell>
          <cell r="Z1057">
            <v>-33000</v>
          </cell>
          <cell r="AC1057">
            <v>0</v>
          </cell>
          <cell r="AD1057">
            <v>0</v>
          </cell>
          <cell r="AG1057">
            <v>5500</v>
          </cell>
          <cell r="AH1057">
            <v>11500</v>
          </cell>
        </row>
        <row r="1058">
          <cell r="G1058">
            <v>15241</v>
          </cell>
          <cell r="H1058">
            <v>1080000</v>
          </cell>
          <cell r="I1058" t="str">
            <v>3530</v>
          </cell>
          <cell r="L1058" t="str">
            <v>Advance Against Salary/Wages</v>
          </cell>
          <cell r="M1058" t="str">
            <v>ADVANCE AGAINST SALARY/WAGES</v>
          </cell>
          <cell r="N1058" t="e">
            <v>#REF!</v>
          </cell>
          <cell r="O1058" t="str">
            <v>A</v>
          </cell>
          <cell r="Q1058">
            <v>300500</v>
          </cell>
          <cell r="R1058">
            <v>6300</v>
          </cell>
          <cell r="U1058">
            <v>255500</v>
          </cell>
          <cell r="V1058">
            <v>6300</v>
          </cell>
          <cell r="Y1058">
            <v>45000</v>
          </cell>
          <cell r="Z1058">
            <v>0</v>
          </cell>
          <cell r="AC1058">
            <v>0</v>
          </cell>
          <cell r="AD1058">
            <v>0</v>
          </cell>
          <cell r="AG1058">
            <v>0</v>
          </cell>
          <cell r="AH1058">
            <v>0</v>
          </cell>
        </row>
        <row r="1059">
          <cell r="G1059">
            <v>15242</v>
          </cell>
          <cell r="H1059">
            <v>1081000</v>
          </cell>
          <cell r="I1059" t="str">
            <v>3540</v>
          </cell>
          <cell r="L1059" t="str">
            <v>Advance Against Lta</v>
          </cell>
          <cell r="M1059" t="str">
            <v>ADVANCE AGAINST LTA</v>
          </cell>
          <cell r="N1059" t="e">
            <v>#REF!</v>
          </cell>
          <cell r="O1059" t="str">
            <v>A</v>
          </cell>
          <cell r="Q1059">
            <v>0</v>
          </cell>
          <cell r="R1059">
            <v>0</v>
          </cell>
          <cell r="U1059">
            <v>0</v>
          </cell>
          <cell r="V1059">
            <v>0</v>
          </cell>
          <cell r="Y1059">
            <v>0</v>
          </cell>
          <cell r="Z1059">
            <v>0</v>
          </cell>
          <cell r="AC1059">
            <v>0</v>
          </cell>
          <cell r="AD1059">
            <v>0</v>
          </cell>
          <cell r="AG1059">
            <v>0</v>
          </cell>
          <cell r="AH1059">
            <v>0</v>
          </cell>
        </row>
        <row r="1060">
          <cell r="G1060">
            <v>15244</v>
          </cell>
          <cell r="H1060">
            <v>1082000</v>
          </cell>
          <cell r="L1060" t="str">
            <v>Advance Against Cheque</v>
          </cell>
          <cell r="M1060" t="str">
            <v>ADVANCE AGAINST CHEQUE</v>
          </cell>
          <cell r="N1060" t="e">
            <v>#REF!</v>
          </cell>
          <cell r="O1060" t="str">
            <v>A</v>
          </cell>
          <cell r="Q1060">
            <v>0</v>
          </cell>
          <cell r="R1060">
            <v>0</v>
          </cell>
          <cell r="U1060">
            <v>0</v>
          </cell>
          <cell r="V1060">
            <v>0</v>
          </cell>
          <cell r="Y1060">
            <v>0</v>
          </cell>
          <cell r="Z1060">
            <v>0</v>
          </cell>
          <cell r="AC1060">
            <v>0</v>
          </cell>
          <cell r="AD1060">
            <v>0</v>
          </cell>
          <cell r="AG1060">
            <v>0</v>
          </cell>
          <cell r="AH1060">
            <v>0</v>
          </cell>
        </row>
        <row r="1061">
          <cell r="G1061">
            <v>15249</v>
          </cell>
          <cell r="H1061">
            <v>1083000</v>
          </cell>
          <cell r="I1061" t="str">
            <v>3550</v>
          </cell>
          <cell r="L1061" t="str">
            <v>Festivals Loan</v>
          </cell>
          <cell r="M1061" t="str">
            <v>FESTIVALS LOAN</v>
          </cell>
          <cell r="N1061" t="e">
            <v>#REF!</v>
          </cell>
          <cell r="O1061" t="str">
            <v>A</v>
          </cell>
          <cell r="Q1061">
            <v>631600</v>
          </cell>
          <cell r="R1061">
            <v>595400</v>
          </cell>
          <cell r="U1061">
            <v>469200</v>
          </cell>
          <cell r="V1061">
            <v>493000</v>
          </cell>
          <cell r="Y1061">
            <v>162400</v>
          </cell>
          <cell r="Z1061">
            <v>102400</v>
          </cell>
          <cell r="AC1061">
            <v>0</v>
          </cell>
          <cell r="AD1061">
            <v>0</v>
          </cell>
          <cell r="AG1061">
            <v>0</v>
          </cell>
          <cell r="AH1061">
            <v>0</v>
          </cell>
        </row>
        <row r="1062">
          <cell r="G1062">
            <v>15250</v>
          </cell>
          <cell r="H1062">
            <v>1084000</v>
          </cell>
          <cell r="I1062" t="str">
            <v>3560</v>
          </cell>
          <cell r="L1062" t="str">
            <v>Car Loan</v>
          </cell>
          <cell r="M1062" t="str">
            <v>CAR LOAN</v>
          </cell>
          <cell r="N1062" t="e">
            <v>#REF!</v>
          </cell>
          <cell r="O1062" t="str">
            <v>A</v>
          </cell>
          <cell r="Q1062">
            <v>630969</v>
          </cell>
          <cell r="R1062">
            <v>548372</v>
          </cell>
          <cell r="U1062">
            <v>625944</v>
          </cell>
          <cell r="V1062">
            <v>500807</v>
          </cell>
          <cell r="Y1062">
            <v>5025</v>
          </cell>
          <cell r="Z1062">
            <v>47565</v>
          </cell>
          <cell r="AC1062">
            <v>0</v>
          </cell>
          <cell r="AD1062">
            <v>0</v>
          </cell>
          <cell r="AG1062">
            <v>0</v>
          </cell>
          <cell r="AH1062">
            <v>0</v>
          </cell>
        </row>
        <row r="1063">
          <cell r="G1063">
            <v>15251</v>
          </cell>
          <cell r="H1063">
            <v>1085000</v>
          </cell>
          <cell r="I1063" t="str">
            <v>3580</v>
          </cell>
          <cell r="L1063" t="str">
            <v>Sundry Loan</v>
          </cell>
          <cell r="M1063" t="str">
            <v>SUNDRY LOAN</v>
          </cell>
          <cell r="N1063" t="e">
            <v>#REF!</v>
          </cell>
          <cell r="O1063" t="str">
            <v>A</v>
          </cell>
          <cell r="Q1063">
            <v>1278908</v>
          </cell>
          <cell r="R1063">
            <v>1491780</v>
          </cell>
          <cell r="U1063">
            <v>532112</v>
          </cell>
          <cell r="V1063">
            <v>507505</v>
          </cell>
          <cell r="Y1063">
            <v>708796</v>
          </cell>
          <cell r="Z1063">
            <v>952275</v>
          </cell>
          <cell r="AC1063">
            <v>0</v>
          </cell>
          <cell r="AD1063">
            <v>0</v>
          </cell>
          <cell r="AG1063">
            <v>38000</v>
          </cell>
          <cell r="AH1063">
            <v>32000</v>
          </cell>
        </row>
        <row r="1064">
          <cell r="G1064">
            <v>15227</v>
          </cell>
          <cell r="H1064">
            <v>1086000</v>
          </cell>
          <cell r="I1064" t="str">
            <v>3600</v>
          </cell>
          <cell r="L1064" t="str">
            <v>Recoverable From Employees</v>
          </cell>
          <cell r="M1064" t="str">
            <v>RECOVERABLE FROM EMPLOYEES</v>
          </cell>
          <cell r="N1064" t="e">
            <v>#REF!</v>
          </cell>
          <cell r="O1064" t="str">
            <v>A</v>
          </cell>
          <cell r="Q1064">
            <v>75078</v>
          </cell>
          <cell r="R1064">
            <v>75656</v>
          </cell>
          <cell r="U1064">
            <v>5000</v>
          </cell>
          <cell r="V1064">
            <v>5000</v>
          </cell>
          <cell r="Y1064">
            <v>70000</v>
          </cell>
          <cell r="Z1064">
            <v>70000</v>
          </cell>
          <cell r="AC1064">
            <v>78</v>
          </cell>
          <cell r="AD1064">
            <v>656</v>
          </cell>
          <cell r="AG1064">
            <v>0</v>
          </cell>
          <cell r="AH1064">
            <v>0</v>
          </cell>
        </row>
        <row r="1065">
          <cell r="H1065">
            <v>1087000</v>
          </cell>
          <cell r="I1065" t="str">
            <v>2765</v>
          </cell>
          <cell r="L1065" t="str">
            <v>Per Exp Recoverable</v>
          </cell>
          <cell r="M1065" t="e">
            <v>#N/A</v>
          </cell>
          <cell r="N1065" t="e">
            <v>#REF!</v>
          </cell>
          <cell r="O1065" t="str">
            <v>A</v>
          </cell>
          <cell r="Q1065">
            <v>0</v>
          </cell>
          <cell r="R1065">
            <v>0</v>
          </cell>
          <cell r="U1065">
            <v>0</v>
          </cell>
          <cell r="V1065">
            <v>0</v>
          </cell>
          <cell r="Y1065">
            <v>0</v>
          </cell>
          <cell r="Z1065">
            <v>0</v>
          </cell>
          <cell r="AC1065">
            <v>0</v>
          </cell>
          <cell r="AD1065">
            <v>0</v>
          </cell>
          <cell r="AG1065">
            <v>0</v>
          </cell>
          <cell r="AH1065">
            <v>0</v>
          </cell>
        </row>
        <row r="1066">
          <cell r="G1066">
            <v>15228</v>
          </cell>
          <cell r="H1066">
            <v>1088000</v>
          </cell>
          <cell r="I1066" t="str">
            <v>3601</v>
          </cell>
          <cell r="L1066" t="str">
            <v>Recoverable From Others</v>
          </cell>
          <cell r="M1066" t="str">
            <v>RECOVERABLE FROM OTHERS</v>
          </cell>
          <cell r="N1066" t="e">
            <v>#REF!</v>
          </cell>
          <cell r="O1066" t="str">
            <v>A</v>
          </cell>
          <cell r="Q1066">
            <v>79976</v>
          </cell>
          <cell r="R1066">
            <v>79626</v>
          </cell>
          <cell r="U1066">
            <v>4141</v>
          </cell>
          <cell r="V1066">
            <v>4041</v>
          </cell>
          <cell r="Y1066">
            <v>75835</v>
          </cell>
          <cell r="Z1066">
            <v>75585</v>
          </cell>
          <cell r="AC1066">
            <v>0</v>
          </cell>
          <cell r="AD1066">
            <v>0</v>
          </cell>
          <cell r="AG1066">
            <v>0</v>
          </cell>
          <cell r="AH1066">
            <v>0</v>
          </cell>
        </row>
        <row r="1067">
          <cell r="G1067">
            <v>15229</v>
          </cell>
          <cell r="H1067">
            <v>1089000</v>
          </cell>
          <cell r="I1067" t="str">
            <v>3602</v>
          </cell>
          <cell r="L1067" t="str">
            <v>Recoverable From Insurance Co.</v>
          </cell>
          <cell r="M1067" t="str">
            <v>RECOVERABLE FROM INSURANCE CO.</v>
          </cell>
          <cell r="N1067" t="e">
            <v>#REF!</v>
          </cell>
          <cell r="O1067" t="str">
            <v>A</v>
          </cell>
          <cell r="Q1067">
            <v>340535</v>
          </cell>
          <cell r="R1067">
            <v>506284</v>
          </cell>
          <cell r="U1067">
            <v>-13143</v>
          </cell>
          <cell r="V1067">
            <v>104857</v>
          </cell>
          <cell r="Y1067">
            <v>353678</v>
          </cell>
          <cell r="Z1067">
            <v>401427</v>
          </cell>
          <cell r="AC1067">
            <v>0</v>
          </cell>
          <cell r="AD1067">
            <v>0</v>
          </cell>
          <cell r="AG1067">
            <v>0</v>
          </cell>
          <cell r="AH1067">
            <v>0</v>
          </cell>
        </row>
        <row r="1068">
          <cell r="G1068">
            <v>15230</v>
          </cell>
          <cell r="H1068">
            <v>1090000</v>
          </cell>
          <cell r="I1068" t="str">
            <v>3603</v>
          </cell>
          <cell r="L1068" t="str">
            <v>Recoverable From Van Leer</v>
          </cell>
          <cell r="M1068" t="str">
            <v>RECOVERABLE FROM VAN LEER</v>
          </cell>
          <cell r="N1068" t="e">
            <v>#REF!</v>
          </cell>
          <cell r="O1068" t="str">
            <v>A</v>
          </cell>
          <cell r="Q1068">
            <v>0</v>
          </cell>
          <cell r="R1068">
            <v>36250</v>
          </cell>
          <cell r="U1068">
            <v>0</v>
          </cell>
          <cell r="V1068">
            <v>36250</v>
          </cell>
          <cell r="Y1068">
            <v>0</v>
          </cell>
          <cell r="Z1068">
            <v>0</v>
          </cell>
          <cell r="AC1068">
            <v>0</v>
          </cell>
          <cell r="AD1068">
            <v>0</v>
          </cell>
          <cell r="AG1068">
            <v>0</v>
          </cell>
          <cell r="AH1068">
            <v>0</v>
          </cell>
        </row>
        <row r="1069">
          <cell r="G1069">
            <v>15231</v>
          </cell>
          <cell r="H1069">
            <v>1091000</v>
          </cell>
          <cell r="I1069" t="str">
            <v>3605</v>
          </cell>
          <cell r="L1069" t="str">
            <v>Recoverable From L.I.C.- Gratuirty</v>
          </cell>
          <cell r="M1069" t="str">
            <v>RECOVERABLE FROM L.I.C.- GRATUIRTY</v>
          </cell>
          <cell r="N1069" t="e">
            <v>#REF!</v>
          </cell>
          <cell r="O1069" t="str">
            <v>A</v>
          </cell>
          <cell r="Q1069">
            <v>0</v>
          </cell>
          <cell r="R1069">
            <v>3255281</v>
          </cell>
          <cell r="U1069">
            <v>0</v>
          </cell>
          <cell r="V1069">
            <v>3118952</v>
          </cell>
          <cell r="Y1069">
            <v>0</v>
          </cell>
          <cell r="Z1069">
            <v>136329</v>
          </cell>
          <cell r="AC1069">
            <v>0</v>
          </cell>
          <cell r="AD1069">
            <v>0</v>
          </cell>
          <cell r="AG1069">
            <v>0</v>
          </cell>
          <cell r="AH1069">
            <v>0</v>
          </cell>
        </row>
        <row r="1070">
          <cell r="H1070">
            <v>1092000</v>
          </cell>
          <cell r="M1070" t="e">
            <v>#N/A</v>
          </cell>
          <cell r="N1070" t="e">
            <v>#REF!</v>
          </cell>
          <cell r="O1070" t="str">
            <v>A</v>
          </cell>
          <cell r="Q1070">
            <v>0</v>
          </cell>
          <cell r="R1070">
            <v>0</v>
          </cell>
          <cell r="U1070">
            <v>0</v>
          </cell>
          <cell r="V1070">
            <v>0</v>
          </cell>
          <cell r="Y1070">
            <v>0</v>
          </cell>
          <cell r="Z1070">
            <v>0</v>
          </cell>
          <cell r="AC1070">
            <v>0</v>
          </cell>
          <cell r="AD1070">
            <v>0</v>
          </cell>
          <cell r="AG1070">
            <v>0</v>
          </cell>
          <cell r="AH1070">
            <v>0</v>
          </cell>
        </row>
        <row r="1071">
          <cell r="G1071">
            <v>15232</v>
          </cell>
          <cell r="H1071">
            <v>1093000</v>
          </cell>
          <cell r="L1071" t="str">
            <v>Recoverable From Esic</v>
          </cell>
          <cell r="M1071" t="str">
            <v>RECOVERABLE FROM ESIC</v>
          </cell>
          <cell r="N1071" t="e">
            <v>#REF!</v>
          </cell>
          <cell r="O1071" t="str">
            <v>A</v>
          </cell>
          <cell r="Q1071">
            <v>242483</v>
          </cell>
          <cell r="R1071">
            <v>238008</v>
          </cell>
          <cell r="U1071">
            <v>19589</v>
          </cell>
          <cell r="V1071">
            <v>15114</v>
          </cell>
          <cell r="Y1071">
            <v>222894</v>
          </cell>
          <cell r="Z1071">
            <v>222894</v>
          </cell>
          <cell r="AC1071">
            <v>0</v>
          </cell>
          <cell r="AD1071">
            <v>0</v>
          </cell>
          <cell r="AG1071">
            <v>0</v>
          </cell>
          <cell r="AH1071">
            <v>0</v>
          </cell>
        </row>
        <row r="1072">
          <cell r="H1072">
            <v>1094000</v>
          </cell>
          <cell r="I1072" t="str">
            <v>2770</v>
          </cell>
          <cell r="L1072" t="str">
            <v>Misc. Deduction Salary</v>
          </cell>
          <cell r="M1072" t="e">
            <v>#N/A</v>
          </cell>
          <cell r="N1072" t="e">
            <v>#REF!</v>
          </cell>
          <cell r="O1072" t="str">
            <v>A</v>
          </cell>
          <cell r="Q1072">
            <v>0</v>
          </cell>
          <cell r="R1072">
            <v>0</v>
          </cell>
          <cell r="U1072">
            <v>0</v>
          </cell>
          <cell r="V1072">
            <v>0</v>
          </cell>
          <cell r="Y1072">
            <v>0</v>
          </cell>
          <cell r="Z1072">
            <v>0</v>
          </cell>
          <cell r="AC1072">
            <v>0</v>
          </cell>
          <cell r="AD1072">
            <v>0</v>
          </cell>
          <cell r="AG1072">
            <v>0</v>
          </cell>
          <cell r="AH1072">
            <v>0</v>
          </cell>
        </row>
        <row r="1073">
          <cell r="H1073">
            <v>1095000</v>
          </cell>
          <cell r="L1073" t="str">
            <v xml:space="preserve">regrouped to Long Term </v>
          </cell>
          <cell r="O1073" t="str">
            <v>A</v>
          </cell>
          <cell r="Q1073">
            <v>-1651723</v>
          </cell>
          <cell r="R1073">
            <v>-4543670</v>
          </cell>
          <cell r="T1073">
            <v>0</v>
          </cell>
          <cell r="U1073">
            <v>-629667</v>
          </cell>
          <cell r="V1073">
            <v>-4543670</v>
          </cell>
          <cell r="W1073">
            <v>0</v>
          </cell>
          <cell r="X1073">
            <v>0</v>
          </cell>
          <cell r="Y1073">
            <v>-1022056</v>
          </cell>
          <cell r="Z1073">
            <v>0</v>
          </cell>
          <cell r="AA1073">
            <v>0</v>
          </cell>
          <cell r="AB1073">
            <v>0</v>
          </cell>
          <cell r="AC1073">
            <v>0</v>
          </cell>
          <cell r="AD1073">
            <v>0</v>
          </cell>
          <cell r="AE1073">
            <v>0</v>
          </cell>
          <cell r="AF1073">
            <v>0</v>
          </cell>
          <cell r="AG1073">
            <v>0</v>
          </cell>
          <cell r="AH1073">
            <v>0</v>
          </cell>
        </row>
        <row r="1074">
          <cell r="H1074">
            <v>1096000</v>
          </cell>
          <cell r="K1074" t="str">
            <v>OTHERS</v>
          </cell>
          <cell r="M1074" t="e">
            <v>#N/A</v>
          </cell>
          <cell r="N1074" t="e">
            <v>#REF!</v>
          </cell>
          <cell r="O1074" t="str">
            <v>A</v>
          </cell>
          <cell r="P1074">
            <v>0</v>
          </cell>
          <cell r="Q1074">
            <v>16406312</v>
          </cell>
          <cell r="R1074">
            <v>14247389</v>
          </cell>
          <cell r="T1074">
            <v>0</v>
          </cell>
          <cell r="U1074">
            <v>12831512</v>
          </cell>
          <cell r="V1074">
            <v>7762343</v>
          </cell>
          <cell r="W1074">
            <v>0</v>
          </cell>
          <cell r="X1074">
            <v>0</v>
          </cell>
          <cell r="Y1074">
            <v>2814677</v>
          </cell>
          <cell r="Z1074">
            <v>5443104</v>
          </cell>
          <cell r="AA1074">
            <v>0</v>
          </cell>
          <cell r="AB1074">
            <v>0</v>
          </cell>
          <cell r="AC1074">
            <v>571311</v>
          </cell>
          <cell r="AD1074">
            <v>831953</v>
          </cell>
          <cell r="AE1074">
            <v>0</v>
          </cell>
          <cell r="AF1074">
            <v>0</v>
          </cell>
          <cell r="AG1074">
            <v>188812</v>
          </cell>
          <cell r="AH1074">
            <v>209989</v>
          </cell>
        </row>
        <row r="1075">
          <cell r="H1075">
            <v>1097000</v>
          </cell>
          <cell r="J1075" t="str">
            <v>SHORT TERM LOANS &amp; ADVANCES</v>
          </cell>
          <cell r="M1075" t="e">
            <v>#N/A</v>
          </cell>
          <cell r="N1075" t="e">
            <v>#REF!</v>
          </cell>
          <cell r="O1075" t="str">
            <v>A</v>
          </cell>
          <cell r="P1075">
            <v>0</v>
          </cell>
          <cell r="Q1075">
            <v>160699171</v>
          </cell>
          <cell r="R1075">
            <v>125895608</v>
          </cell>
          <cell r="T1075">
            <v>2162</v>
          </cell>
          <cell r="U1075">
            <v>47448814</v>
          </cell>
          <cell r="V1075">
            <v>7949059</v>
          </cell>
          <cell r="W1075">
            <v>0</v>
          </cell>
          <cell r="X1075">
            <v>2162</v>
          </cell>
          <cell r="Y1075">
            <v>92982803</v>
          </cell>
          <cell r="Z1075">
            <v>95385153</v>
          </cell>
          <cell r="AA1075">
            <v>0</v>
          </cell>
          <cell r="AB1075">
            <v>2162</v>
          </cell>
          <cell r="AC1075">
            <v>14068954</v>
          </cell>
          <cell r="AD1075">
            <v>16813122</v>
          </cell>
          <cell r="AE1075">
            <v>0</v>
          </cell>
          <cell r="AF1075">
            <v>2162</v>
          </cell>
          <cell r="AG1075">
            <v>6198600</v>
          </cell>
          <cell r="AH1075">
            <v>5748274</v>
          </cell>
        </row>
        <row r="1076">
          <cell r="H1076">
            <v>1174000</v>
          </cell>
          <cell r="M1076" t="e">
            <v>#N/A</v>
          </cell>
          <cell r="N1076" t="e">
            <v>#REF!</v>
          </cell>
          <cell r="O1076" t="str">
            <v>A</v>
          </cell>
        </row>
        <row r="1077">
          <cell r="H1077">
            <v>1100000</v>
          </cell>
          <cell r="J1077" t="str">
            <v>OTHER CURRENT ASSETS</v>
          </cell>
          <cell r="M1077" t="e">
            <v>#N/A</v>
          </cell>
          <cell r="N1077" t="e">
            <v>#REF!</v>
          </cell>
          <cell r="O1077" t="str">
            <v>A</v>
          </cell>
        </row>
        <row r="1078">
          <cell r="H1078">
            <v>1101000</v>
          </cell>
          <cell r="O1078" t="str">
            <v>A</v>
          </cell>
          <cell r="Q1078">
            <v>0</v>
          </cell>
          <cell r="R1078">
            <v>0</v>
          </cell>
        </row>
        <row r="1079">
          <cell r="H1079">
            <v>1102000</v>
          </cell>
          <cell r="L1079" t="str">
            <v>Regrouped from Interest Accrued on Deposits</v>
          </cell>
          <cell r="M1079" t="e">
            <v>#N/A</v>
          </cell>
          <cell r="N1079" t="e">
            <v>#REF!</v>
          </cell>
          <cell r="O1079" t="str">
            <v>A</v>
          </cell>
          <cell r="Q1079">
            <v>0</v>
          </cell>
          <cell r="R1079">
            <v>0</v>
          </cell>
          <cell r="U1079">
            <v>0</v>
          </cell>
          <cell r="V1079">
            <v>0</v>
          </cell>
          <cell r="Y1079">
            <v>0</v>
          </cell>
          <cell r="Z1079">
            <v>0</v>
          </cell>
          <cell r="AC1079">
            <v>0</v>
          </cell>
          <cell r="AD1079">
            <v>0</v>
          </cell>
          <cell r="AG1079">
            <v>0</v>
          </cell>
          <cell r="AH1079">
            <v>0</v>
          </cell>
        </row>
        <row r="1080">
          <cell r="G1080" t="str">
            <v>14302</v>
          </cell>
          <cell r="I1080" t="str">
            <v xml:space="preserve">3606 </v>
          </cell>
          <cell r="L1080" t="str">
            <v>FORWARD CONTRACT RECEIVABLE ACCOUNT</v>
          </cell>
          <cell r="Q1080">
            <v>0</v>
          </cell>
          <cell r="R1080">
            <v>0</v>
          </cell>
          <cell r="U1080">
            <v>0</v>
          </cell>
          <cell r="V1080">
            <v>0</v>
          </cell>
          <cell r="Y1080">
            <v>0</v>
          </cell>
          <cell r="Z1080">
            <v>0</v>
          </cell>
          <cell r="AC1080">
            <v>0</v>
          </cell>
          <cell r="AD1080">
            <v>0</v>
          </cell>
          <cell r="AG1080">
            <v>0</v>
          </cell>
          <cell r="AH1080">
            <v>0</v>
          </cell>
        </row>
        <row r="1081">
          <cell r="G1081" t="str">
            <v>14303</v>
          </cell>
          <cell r="L1081" t="str">
            <v>DEFERRED PREMIUM ACCOUNT</v>
          </cell>
          <cell r="Q1081">
            <v>0</v>
          </cell>
          <cell r="R1081">
            <v>0</v>
          </cell>
          <cell r="U1081">
            <v>0</v>
          </cell>
          <cell r="V1081">
            <v>0</v>
          </cell>
          <cell r="Y1081">
            <v>0</v>
          </cell>
          <cell r="Z1081">
            <v>0</v>
          </cell>
          <cell r="AC1081">
            <v>0</v>
          </cell>
          <cell r="AD1081">
            <v>0</v>
          </cell>
          <cell r="AG1081">
            <v>0</v>
          </cell>
          <cell r="AH1081">
            <v>0</v>
          </cell>
        </row>
        <row r="1082">
          <cell r="G1082">
            <v>15218</v>
          </cell>
          <cell r="H1082">
            <v>1103000</v>
          </cell>
          <cell r="L1082" t="str">
            <v>Regoruped fromDepb Receivable A/C</v>
          </cell>
          <cell r="M1082" t="str">
            <v>DEPB RECEIVABLE A/C</v>
          </cell>
          <cell r="N1082" t="e">
            <v>#REF!</v>
          </cell>
          <cell r="O1082" t="str">
            <v>A</v>
          </cell>
          <cell r="Q1082">
            <v>0</v>
          </cell>
          <cell r="R1082">
            <v>914255</v>
          </cell>
          <cell r="U1082">
            <v>0</v>
          </cell>
          <cell r="V1082">
            <v>914255</v>
          </cell>
          <cell r="Y1082">
            <v>0</v>
          </cell>
          <cell r="Z1082">
            <v>0</v>
          </cell>
          <cell r="AC1082">
            <v>0</v>
          </cell>
          <cell r="AD1082">
            <v>0</v>
          </cell>
          <cell r="AG1082">
            <v>0</v>
          </cell>
          <cell r="AH1082">
            <v>0</v>
          </cell>
        </row>
        <row r="1083">
          <cell r="H1083">
            <v>1104000</v>
          </cell>
          <cell r="L1083" t="str">
            <v>Regrouped Duty Drawback</v>
          </cell>
          <cell r="O1083" t="str">
            <v>A</v>
          </cell>
          <cell r="Q1083">
            <v>8960974</v>
          </cell>
          <cell r="R1083">
            <v>2620026</v>
          </cell>
          <cell r="U1083">
            <v>8587442</v>
          </cell>
          <cell r="V1083">
            <v>2620026</v>
          </cell>
          <cell r="Y1083">
            <v>373532</v>
          </cell>
          <cell r="AC1083">
            <v>0</v>
          </cell>
        </row>
        <row r="1084">
          <cell r="H1084">
            <v>1105000</v>
          </cell>
          <cell r="O1084" t="str">
            <v>A</v>
          </cell>
          <cell r="Q1084">
            <v>0</v>
          </cell>
          <cell r="R1084">
            <v>0</v>
          </cell>
        </row>
        <row r="1085">
          <cell r="H1085">
            <v>1106000</v>
          </cell>
          <cell r="J1085" t="str">
            <v>OTHER CURRENT ASSETS</v>
          </cell>
          <cell r="M1085" t="e">
            <v>#N/A</v>
          </cell>
          <cell r="N1085" t="e">
            <v>#REF!</v>
          </cell>
          <cell r="O1085" t="str">
            <v>A</v>
          </cell>
          <cell r="P1085">
            <v>0</v>
          </cell>
          <cell r="Q1085">
            <v>8960974</v>
          </cell>
          <cell r="R1085">
            <v>3534281</v>
          </cell>
          <cell r="T1085">
            <v>0</v>
          </cell>
          <cell r="U1085">
            <v>8587442</v>
          </cell>
          <cell r="V1085">
            <v>3534281</v>
          </cell>
          <cell r="W1085">
            <v>0</v>
          </cell>
          <cell r="X1085">
            <v>0</v>
          </cell>
          <cell r="Y1085">
            <v>373532</v>
          </cell>
          <cell r="Z1085">
            <v>0</v>
          </cell>
          <cell r="AA1085">
            <v>0</v>
          </cell>
          <cell r="AB1085">
            <v>0</v>
          </cell>
          <cell r="AC1085">
            <v>0</v>
          </cell>
          <cell r="AD1085">
            <v>0</v>
          </cell>
          <cell r="AE1085">
            <v>0</v>
          </cell>
          <cell r="AF1085">
            <v>0</v>
          </cell>
          <cell r="AG1085">
            <v>0</v>
          </cell>
          <cell r="AH1085">
            <v>0</v>
          </cell>
        </row>
        <row r="1086">
          <cell r="H1086">
            <v>1174000</v>
          </cell>
          <cell r="M1086" t="e">
            <v>#N/A</v>
          </cell>
          <cell r="N1086" t="e">
            <v>#REF!</v>
          </cell>
          <cell r="O1086" t="str">
            <v>A</v>
          </cell>
        </row>
        <row r="1087">
          <cell r="H1087">
            <v>1211000</v>
          </cell>
          <cell r="J1087" t="str">
            <v>System (Erp) Accounts</v>
          </cell>
          <cell r="M1087" t="e">
            <v>#N/A</v>
          </cell>
          <cell r="N1087" t="e">
            <v>#REF!</v>
          </cell>
          <cell r="O1087" t="str">
            <v>S</v>
          </cell>
        </row>
        <row r="1088">
          <cell r="G1088">
            <v>12150</v>
          </cell>
          <cell r="H1088">
            <v>1212000</v>
          </cell>
          <cell r="L1088" t="str">
            <v>Raw Material Consumed (Bom)</v>
          </cell>
          <cell r="M1088" t="str">
            <v>RAW MATERIAL CONSUMED (BOM)</v>
          </cell>
          <cell r="N1088" t="e">
            <v>#REF!</v>
          </cell>
          <cell r="O1088" t="str">
            <v>S</v>
          </cell>
          <cell r="Q1088">
            <v>2544258653</v>
          </cell>
          <cell r="R1088">
            <v>1313344814</v>
          </cell>
          <cell r="U1088">
            <v>271001005</v>
          </cell>
          <cell r="V1088">
            <v>313521147</v>
          </cell>
          <cell r="X1088">
            <v>0</v>
          </cell>
          <cell r="Y1088">
            <v>2273257648</v>
          </cell>
          <cell r="Z1088">
            <v>999823667</v>
          </cell>
        </row>
        <row r="1089">
          <cell r="G1089">
            <v>12153</v>
          </cell>
          <cell r="H1089">
            <v>1213000</v>
          </cell>
          <cell r="L1089" t="str">
            <v>Consumption Raw Materials (Other Than Bom)</v>
          </cell>
          <cell r="M1089" t="str">
            <v>CONSUMPTION RAW MATERIALS (OTHER THAN BOM)</v>
          </cell>
          <cell r="N1089" t="e">
            <v>#REF!</v>
          </cell>
          <cell r="O1089" t="str">
            <v>S</v>
          </cell>
          <cell r="Q1089">
            <v>0</v>
          </cell>
          <cell r="R1089">
            <v>0</v>
          </cell>
          <cell r="U1089">
            <v>0</v>
          </cell>
          <cell r="V1089">
            <v>0</v>
          </cell>
          <cell r="X1089">
            <v>0</v>
          </cell>
          <cell r="Y1089">
            <v>0</v>
          </cell>
          <cell r="Z1089">
            <v>0</v>
          </cell>
        </row>
        <row r="1090">
          <cell r="G1090">
            <v>12155</v>
          </cell>
          <cell r="H1090">
            <v>1214000</v>
          </cell>
          <cell r="L1090" t="str">
            <v>Plating Chemicals Consumed (Other Than Bom)</v>
          </cell>
          <cell r="M1090" t="str">
            <v>PLATING CHEMICALS CONSUMED (OTHER THAN BOM)</v>
          </cell>
          <cell r="N1090" t="e">
            <v>#REF!</v>
          </cell>
          <cell r="O1090" t="str">
            <v>S</v>
          </cell>
          <cell r="Q1090">
            <v>11662880</v>
          </cell>
          <cell r="R1090">
            <v>20024221</v>
          </cell>
          <cell r="U1090">
            <v>11662880</v>
          </cell>
          <cell r="V1090">
            <v>20024221</v>
          </cell>
          <cell r="X1090">
            <v>0</v>
          </cell>
          <cell r="Y1090">
            <v>0</v>
          </cell>
          <cell r="Z1090">
            <v>0</v>
          </cell>
        </row>
        <row r="1091">
          <cell r="G1091">
            <v>12225</v>
          </cell>
          <cell r="H1091">
            <v>1215000</v>
          </cell>
          <cell r="L1091" t="str">
            <v>Packing Material Consumed</v>
          </cell>
          <cell r="M1091" t="str">
            <v>PACKING MATERIAL CONSUMED</v>
          </cell>
          <cell r="N1091" t="e">
            <v>#REF!</v>
          </cell>
          <cell r="O1091" t="str">
            <v>S</v>
          </cell>
          <cell r="Q1091">
            <v>0</v>
          </cell>
          <cell r="R1091">
            <v>0</v>
          </cell>
          <cell r="U1091">
            <v>0</v>
          </cell>
          <cell r="V1091">
            <v>0</v>
          </cell>
          <cell r="X1091">
            <v>0</v>
          </cell>
          <cell r="Y1091">
            <v>0</v>
          </cell>
          <cell r="Z1091">
            <v>0</v>
          </cell>
        </row>
        <row r="1092">
          <cell r="G1092">
            <v>13102</v>
          </cell>
          <cell r="H1092">
            <v>1216000</v>
          </cell>
          <cell r="L1092" t="str">
            <v>Stock Valuation Diff A/C (Wip)</v>
          </cell>
          <cell r="M1092" t="str">
            <v>STOCK VALUATION DIFF A/C (WIP)</v>
          </cell>
          <cell r="N1092" t="e">
            <v>#REF!</v>
          </cell>
          <cell r="O1092" t="str">
            <v>S</v>
          </cell>
          <cell r="Q1092">
            <v>1040734</v>
          </cell>
          <cell r="R1092">
            <v>16595274297</v>
          </cell>
          <cell r="U1092">
            <v>1040734</v>
          </cell>
          <cell r="V1092">
            <v>6645125</v>
          </cell>
          <cell r="X1092">
            <v>0</v>
          </cell>
          <cell r="Y1092">
            <v>0</v>
          </cell>
          <cell r="Z1092">
            <v>16588629172</v>
          </cell>
        </row>
        <row r="1093">
          <cell r="G1093">
            <v>13111</v>
          </cell>
          <cell r="H1093">
            <v>1217000</v>
          </cell>
          <cell r="L1093" t="str">
            <v>Stores, Spare Parts, Consumables Consumed</v>
          </cell>
          <cell r="M1093" t="str">
            <v>STORES, SPARE PARTS, CONSUMABLES CONSUMED</v>
          </cell>
          <cell r="N1093" t="e">
            <v>#REF!</v>
          </cell>
          <cell r="O1093" t="str">
            <v>S</v>
          </cell>
          <cell r="Q1093">
            <v>856106</v>
          </cell>
          <cell r="R1093">
            <v>9785590</v>
          </cell>
          <cell r="U1093">
            <v>709588</v>
          </cell>
          <cell r="V1093">
            <v>8322402</v>
          </cell>
          <cell r="X1093">
            <v>0</v>
          </cell>
          <cell r="Y1093">
            <v>146518</v>
          </cell>
          <cell r="Z1093">
            <v>1463188</v>
          </cell>
        </row>
        <row r="1094">
          <cell r="G1094">
            <v>15089</v>
          </cell>
          <cell r="H1094">
            <v>1218000</v>
          </cell>
          <cell r="L1094" t="str">
            <v>Goods-In-Transit (Fg)</v>
          </cell>
          <cell r="M1094" t="str">
            <v>GOODS-IN-TRANSIT (FG)</v>
          </cell>
          <cell r="N1094" t="e">
            <v>#REF!</v>
          </cell>
          <cell r="O1094" t="str">
            <v>S</v>
          </cell>
          <cell r="Q1094">
            <v>868597</v>
          </cell>
          <cell r="R1094">
            <v>-539075</v>
          </cell>
          <cell r="U1094">
            <v>0</v>
          </cell>
          <cell r="V1094">
            <v>-310713</v>
          </cell>
          <cell r="X1094">
            <v>0</v>
          </cell>
          <cell r="Y1094">
            <v>868597</v>
          </cell>
          <cell r="Z1094">
            <v>-228362</v>
          </cell>
        </row>
        <row r="1095">
          <cell r="G1095">
            <v>15090</v>
          </cell>
          <cell r="H1095">
            <v>1219000</v>
          </cell>
          <cell r="L1095" t="str">
            <v>Goods-In-Transit (Rm)</v>
          </cell>
          <cell r="M1095" t="str">
            <v>GOODS-IN-TRANSIT (RM)</v>
          </cell>
          <cell r="N1095" t="e">
            <v>#REF!</v>
          </cell>
          <cell r="O1095" t="str">
            <v>S</v>
          </cell>
          <cell r="Q1095">
            <v>-196174</v>
          </cell>
          <cell r="R1095">
            <v>107299</v>
          </cell>
          <cell r="U1095">
            <v>0</v>
          </cell>
          <cell r="V1095">
            <v>0</v>
          </cell>
          <cell r="X1095">
            <v>0</v>
          </cell>
          <cell r="Y1095">
            <v>-196174</v>
          </cell>
          <cell r="Z1095">
            <v>107299</v>
          </cell>
        </row>
        <row r="1096">
          <cell r="G1096">
            <v>15091</v>
          </cell>
          <cell r="H1096">
            <v>1220000</v>
          </cell>
          <cell r="L1096" t="str">
            <v>Transfer Issue/Receipt A/C (Git) Rm</v>
          </cell>
          <cell r="M1096" t="str">
            <v>TRANSFER ISSUE/RECEIPT A/C (GIT) RM</v>
          </cell>
          <cell r="N1096" t="e">
            <v>#REF!</v>
          </cell>
          <cell r="O1096" t="str">
            <v>S</v>
          </cell>
          <cell r="Q1096">
            <v>-116273088</v>
          </cell>
          <cell r="R1096">
            <v>93928297</v>
          </cell>
          <cell r="U1096">
            <v>2627569</v>
          </cell>
          <cell r="V1096">
            <v>2251625</v>
          </cell>
          <cell r="X1096">
            <v>0</v>
          </cell>
          <cell r="Y1096">
            <v>-118900657</v>
          </cell>
          <cell r="Z1096">
            <v>91676672</v>
          </cell>
        </row>
        <row r="1097">
          <cell r="G1097">
            <v>15092</v>
          </cell>
          <cell r="H1097">
            <v>1221000</v>
          </cell>
          <cell r="L1097" t="str">
            <v>Unrealised Profit/Loss On Transfer</v>
          </cell>
          <cell r="M1097" t="str">
            <v>UNREALISED PROFIT/LOSS ON TRANSFER</v>
          </cell>
          <cell r="N1097" t="e">
            <v>#REF!</v>
          </cell>
          <cell r="O1097" t="str">
            <v>S</v>
          </cell>
          <cell r="Q1097">
            <v>141475242</v>
          </cell>
          <cell r="R1097">
            <v>-79613689</v>
          </cell>
          <cell r="U1097">
            <v>306502</v>
          </cell>
          <cell r="V1097">
            <v>7589889</v>
          </cell>
          <cell r="X1097">
            <v>0</v>
          </cell>
          <cell r="Y1097">
            <v>141168740</v>
          </cell>
          <cell r="Z1097">
            <v>-87203578</v>
          </cell>
        </row>
        <row r="1098">
          <cell r="G1098">
            <v>15095</v>
          </cell>
          <cell r="H1098">
            <v>1222000</v>
          </cell>
          <cell r="L1098" t="str">
            <v>Transfer Issue/Receipt A/C (Git) Fg</v>
          </cell>
          <cell r="M1098" t="str">
            <v>TRANSFER ISSUE/RECEIPT A/C (GIT) FG</v>
          </cell>
          <cell r="N1098" t="e">
            <v>#REF!</v>
          </cell>
          <cell r="O1098" t="str">
            <v>S</v>
          </cell>
          <cell r="Q1098">
            <v>-25832778</v>
          </cell>
          <cell r="R1098">
            <v>-14171026</v>
          </cell>
          <cell r="U1098">
            <v>-2945984</v>
          </cell>
          <cell r="V1098">
            <v>-9823354</v>
          </cell>
          <cell r="X1098">
            <v>0</v>
          </cell>
          <cell r="Y1098">
            <v>-22886794</v>
          </cell>
          <cell r="Z1098">
            <v>-4347672</v>
          </cell>
        </row>
        <row r="1099">
          <cell r="G1099">
            <v>15116</v>
          </cell>
          <cell r="H1099">
            <v>1223000</v>
          </cell>
          <cell r="L1099" t="str">
            <v>FINISHED GOODS STOCK (BS)</v>
          </cell>
          <cell r="M1099" t="str">
            <v>FINISHED GOODS STOCK (BS)</v>
          </cell>
          <cell r="N1099" t="e">
            <v>#REF!</v>
          </cell>
          <cell r="O1099" t="str">
            <v>S</v>
          </cell>
          <cell r="Q1099">
            <v>-39336812</v>
          </cell>
          <cell r="R1099">
            <v>19967711</v>
          </cell>
          <cell r="U1099">
            <v>-13124738</v>
          </cell>
          <cell r="V1099">
            <v>5146833</v>
          </cell>
          <cell r="X1099">
            <v>0</v>
          </cell>
          <cell r="Y1099">
            <v>-26212074</v>
          </cell>
          <cell r="Z1099">
            <v>14820878</v>
          </cell>
        </row>
        <row r="1100">
          <cell r="G1100">
            <v>15119</v>
          </cell>
          <cell r="H1100">
            <v>1224000</v>
          </cell>
          <cell r="L1100" t="str">
            <v>Packing Slip A/C (Matl Assign Yet To Despatch [Net 15615])</v>
          </cell>
          <cell r="M1100" t="str">
            <v>PACKING SLIP A/C (MATL ASSIGN YET TO DESPATCH [NET 15615])</v>
          </cell>
          <cell r="N1100" t="e">
            <v>#REF!</v>
          </cell>
          <cell r="O1100" t="str">
            <v>S</v>
          </cell>
          <cell r="Q1100">
            <v>-6</v>
          </cell>
          <cell r="R1100">
            <v>-179922</v>
          </cell>
          <cell r="U1100">
            <v>0</v>
          </cell>
          <cell r="V1100">
            <v>-4785</v>
          </cell>
          <cell r="X1100">
            <v>0</v>
          </cell>
          <cell r="Y1100">
            <v>-6</v>
          </cell>
          <cell r="Z1100">
            <v>-175137</v>
          </cell>
        </row>
        <row r="1101">
          <cell r="G1101">
            <v>15123</v>
          </cell>
          <cell r="H1101">
            <v>1225000</v>
          </cell>
          <cell r="L1101" t="str">
            <v>Scrap Receipt</v>
          </cell>
          <cell r="M1101" t="str">
            <v>SCRAP RECEIPT</v>
          </cell>
          <cell r="N1101" t="e">
            <v>#REF!</v>
          </cell>
          <cell r="O1101" t="str">
            <v>S</v>
          </cell>
          <cell r="Q1101">
            <v>-5245931</v>
          </cell>
          <cell r="R1101">
            <v>-3937367</v>
          </cell>
          <cell r="U1101">
            <v>-5245931</v>
          </cell>
          <cell r="V1101">
            <v>-3937367</v>
          </cell>
          <cell r="X1101">
            <v>0</v>
          </cell>
          <cell r="Y1101">
            <v>0</v>
          </cell>
          <cell r="Z1101">
            <v>0</v>
          </cell>
        </row>
        <row r="1102">
          <cell r="G1102">
            <v>15124</v>
          </cell>
          <cell r="H1102">
            <v>1226000</v>
          </cell>
          <cell r="L1102" t="str">
            <v>Purchase, Packing Slip Prov For Pending Grn Wip)</v>
          </cell>
          <cell r="M1102" t="str">
            <v>PURCHASE, PACKING SLIP PROV FOR PENDING GRN WIP)</v>
          </cell>
          <cell r="N1102" t="e">
            <v>#REF!</v>
          </cell>
          <cell r="O1102" t="str">
            <v>S</v>
          </cell>
          <cell r="Q1102">
            <v>0</v>
          </cell>
          <cell r="R1102">
            <v>0</v>
          </cell>
          <cell r="U1102">
            <v>0</v>
          </cell>
          <cell r="V1102">
            <v>0</v>
          </cell>
          <cell r="X1102">
            <v>0</v>
          </cell>
          <cell r="Y1102">
            <v>0</v>
          </cell>
          <cell r="Z1102">
            <v>0</v>
          </cell>
        </row>
        <row r="1103">
          <cell r="G1103">
            <v>15130</v>
          </cell>
          <cell r="H1103">
            <v>1227000</v>
          </cell>
          <cell r="L1103" t="str">
            <v>Closing stock of WIP-BS</v>
          </cell>
          <cell r="M1103" t="str">
            <v>WORK IN PROCESS STOCK (BS)</v>
          </cell>
          <cell r="N1103" t="e">
            <v>#REF!</v>
          </cell>
          <cell r="O1103" t="str">
            <v>S</v>
          </cell>
          <cell r="Q1103">
            <v>243716580</v>
          </cell>
          <cell r="R1103">
            <v>239203058</v>
          </cell>
          <cell r="U1103">
            <v>74086975</v>
          </cell>
          <cell r="V1103">
            <v>104122392</v>
          </cell>
          <cell r="X1103">
            <v>0</v>
          </cell>
          <cell r="Y1103">
            <v>169629605</v>
          </cell>
          <cell r="Z1103">
            <v>135080666</v>
          </cell>
        </row>
        <row r="1104">
          <cell r="G1104">
            <v>15139</v>
          </cell>
          <cell r="H1104">
            <v>1228000</v>
          </cell>
          <cell r="L1104" t="str">
            <v>Branch Sales</v>
          </cell>
          <cell r="M1104" t="str">
            <v>BRANCH SALES</v>
          </cell>
          <cell r="N1104" t="e">
            <v>#REF!</v>
          </cell>
          <cell r="O1104" t="str">
            <v>S</v>
          </cell>
          <cell r="Q1104">
            <v>681593</v>
          </cell>
          <cell r="R1104">
            <v>-24033</v>
          </cell>
          <cell r="U1104">
            <v>32625</v>
          </cell>
          <cell r="V1104">
            <v>-14932</v>
          </cell>
          <cell r="X1104">
            <v>0</v>
          </cell>
          <cell r="Y1104">
            <v>648968</v>
          </cell>
          <cell r="Z1104">
            <v>-9101</v>
          </cell>
        </row>
        <row r="1105">
          <cell r="G1105">
            <v>15219</v>
          </cell>
          <cell r="H1105">
            <v>1229000</v>
          </cell>
          <cell r="L1105" t="str">
            <v>Aa Receivable A/C</v>
          </cell>
          <cell r="M1105" t="str">
            <v>AA RECEIVABLE A/C</v>
          </cell>
          <cell r="N1105" t="e">
            <v>#REF!</v>
          </cell>
          <cell r="O1105" t="str">
            <v>S</v>
          </cell>
          <cell r="Q1105">
            <v>0</v>
          </cell>
          <cell r="R1105">
            <v>0</v>
          </cell>
          <cell r="U1105">
            <v>0</v>
          </cell>
          <cell r="V1105">
            <v>0</v>
          </cell>
          <cell r="X1105">
            <v>0</v>
          </cell>
          <cell r="Y1105">
            <v>0</v>
          </cell>
          <cell r="Z1105">
            <v>0</v>
          </cell>
        </row>
        <row r="1106">
          <cell r="G1106">
            <v>15606</v>
          </cell>
          <cell r="H1106">
            <v>1230000</v>
          </cell>
          <cell r="L1106" t="str">
            <v>Import Duty Expence A/C</v>
          </cell>
          <cell r="M1106" t="str">
            <v>IMPORT DUTY EXPENCE A/C</v>
          </cell>
          <cell r="N1106" t="e">
            <v>#REF!</v>
          </cell>
          <cell r="O1106" t="str">
            <v>S</v>
          </cell>
          <cell r="Q1106">
            <v>0</v>
          </cell>
          <cell r="R1106">
            <v>0</v>
          </cell>
          <cell r="U1106">
            <v>0</v>
          </cell>
          <cell r="V1106">
            <v>0</v>
          </cell>
          <cell r="X1106">
            <v>0</v>
          </cell>
          <cell r="Y1106">
            <v>0</v>
          </cell>
          <cell r="Z1106">
            <v>0</v>
          </cell>
        </row>
        <row r="1107">
          <cell r="G1107">
            <v>15609</v>
          </cell>
          <cell r="H1107">
            <v>1231000</v>
          </cell>
          <cell r="L1107" t="str">
            <v>Export Duty Payable A/C</v>
          </cell>
          <cell r="M1107" t="str">
            <v>EXPORT DUTY PAYABLE A/C</v>
          </cell>
          <cell r="N1107" t="e">
            <v>#REF!</v>
          </cell>
          <cell r="O1107" t="str">
            <v>S</v>
          </cell>
          <cell r="Q1107">
            <v>0</v>
          </cell>
          <cell r="R1107">
            <v>0</v>
          </cell>
          <cell r="U1107">
            <v>0</v>
          </cell>
          <cell r="V1107">
            <v>0</v>
          </cell>
          <cell r="X1107">
            <v>0</v>
          </cell>
          <cell r="Y1107">
            <v>0</v>
          </cell>
          <cell r="Z1107">
            <v>0</v>
          </cell>
        </row>
        <row r="1108">
          <cell r="G1108">
            <v>15612</v>
          </cell>
          <cell r="H1108">
            <v>1232000</v>
          </cell>
          <cell r="L1108" t="str">
            <v>Tax Adjustment - Settlement (Sys)</v>
          </cell>
          <cell r="M1108" t="str">
            <v>TAX ADJUSTMENT - SETTLEMENT (SYS)</v>
          </cell>
          <cell r="N1108" t="e">
            <v>#REF!</v>
          </cell>
          <cell r="O1108" t="str">
            <v>S</v>
          </cell>
          <cell r="Q1108">
            <v>0</v>
          </cell>
          <cell r="R1108">
            <v>0</v>
          </cell>
          <cell r="U1108">
            <v>0</v>
          </cell>
          <cell r="V1108">
            <v>0</v>
          </cell>
          <cell r="X1108">
            <v>0</v>
          </cell>
          <cell r="Y1108">
            <v>0</v>
          </cell>
          <cell r="Z1108">
            <v>0</v>
          </cell>
        </row>
        <row r="1109">
          <cell r="G1109">
            <v>15614</v>
          </cell>
          <cell r="H1109">
            <v>1233000</v>
          </cell>
          <cell r="L1109" t="str">
            <v>Issue A/C - Packing Material Stock (Bs)</v>
          </cell>
          <cell r="M1109" t="str">
            <v>ISSUE A/C - PACKING MATERIAL STOCK (BS)</v>
          </cell>
          <cell r="N1109" t="e">
            <v>#REF!</v>
          </cell>
          <cell r="O1109" t="str">
            <v>S</v>
          </cell>
          <cell r="Q1109">
            <v>-14696132</v>
          </cell>
          <cell r="R1109">
            <v>-16114173</v>
          </cell>
          <cell r="U1109">
            <v>-11681475</v>
          </cell>
          <cell r="V1109">
            <v>-12490111</v>
          </cell>
          <cell r="X1109">
            <v>0</v>
          </cell>
          <cell r="Y1109">
            <v>-3014657</v>
          </cell>
          <cell r="Z1109">
            <v>-3624062</v>
          </cell>
        </row>
        <row r="1110">
          <cell r="G1110">
            <v>15615</v>
          </cell>
          <cell r="H1110">
            <v>1234000</v>
          </cell>
          <cell r="L1110" t="str">
            <v>Packing Slip A/C Off Set (Matl Assign Yet To Des Net 15119)</v>
          </cell>
          <cell r="M1110" t="str">
            <v>PACKING SLIP A/C OFF SET (MATL ASSIGN YET TO DES NET 15119)</v>
          </cell>
          <cell r="N1110" t="e">
            <v>#REF!</v>
          </cell>
          <cell r="O1110" t="str">
            <v>S</v>
          </cell>
          <cell r="Q1110">
            <v>6</v>
          </cell>
          <cell r="R1110">
            <v>179922</v>
          </cell>
          <cell r="U1110">
            <v>0</v>
          </cell>
          <cell r="V1110">
            <v>4785</v>
          </cell>
          <cell r="X1110">
            <v>0</v>
          </cell>
          <cell r="Y1110">
            <v>6</v>
          </cell>
          <cell r="Z1110">
            <v>175137</v>
          </cell>
        </row>
        <row r="1111">
          <cell r="G1111">
            <v>15616</v>
          </cell>
          <cell r="H1111">
            <v>1235000</v>
          </cell>
          <cell r="L1111" t="str">
            <v>Production Issue Offset A/C Sales Order Issue (1)</v>
          </cell>
          <cell r="M1111" t="str">
            <v>PRODUCTION ISSUE OFFSET A/C SALES ORDER ISSUE (1)</v>
          </cell>
          <cell r="N1111" t="e">
            <v>#REF!</v>
          </cell>
          <cell r="O1111" t="str">
            <v>S</v>
          </cell>
          <cell r="Q1111">
            <v>75056881</v>
          </cell>
          <cell r="R1111">
            <v>88711755</v>
          </cell>
          <cell r="U1111">
            <v>64117648</v>
          </cell>
          <cell r="V1111">
            <v>88711990</v>
          </cell>
          <cell r="X1111">
            <v>0</v>
          </cell>
          <cell r="Y1111">
            <v>10939233</v>
          </cell>
          <cell r="Z1111">
            <v>-235</v>
          </cell>
        </row>
        <row r="1112">
          <cell r="G1112">
            <v>15617</v>
          </cell>
          <cell r="H1112">
            <v>1236000</v>
          </cell>
          <cell r="L1112" t="str">
            <v>Production Picking Slip A/C (1)</v>
          </cell>
          <cell r="M1112" t="str">
            <v>PRODUCTION PICKING SLIP A/C (1)</v>
          </cell>
          <cell r="N1112" t="e">
            <v>#REF!</v>
          </cell>
          <cell r="O1112" t="str">
            <v>S</v>
          </cell>
          <cell r="Q1112">
            <v>-16131896</v>
          </cell>
          <cell r="R1112">
            <v>-40854776</v>
          </cell>
          <cell r="U1112">
            <v>5478</v>
          </cell>
          <cell r="V1112">
            <v>0</v>
          </cell>
          <cell r="X1112">
            <v>0</v>
          </cell>
          <cell r="Y1112">
            <v>-16137374</v>
          </cell>
          <cell r="Z1112">
            <v>-40854776</v>
          </cell>
        </row>
        <row r="1113">
          <cell r="G1113">
            <v>15618</v>
          </cell>
          <cell r="H1113">
            <v>1237000</v>
          </cell>
          <cell r="L1113" t="str">
            <v>Production Picking Slip Offset A/C (1)</v>
          </cell>
          <cell r="M1113" t="str">
            <v>PRODUCTION PICKING SLIP OFFSET A/C (1)</v>
          </cell>
          <cell r="N1113" t="e">
            <v>#REF!</v>
          </cell>
          <cell r="O1113" t="str">
            <v>S</v>
          </cell>
          <cell r="Q1113">
            <v>28915475</v>
          </cell>
          <cell r="R1113">
            <v>77295147</v>
          </cell>
          <cell r="U1113">
            <v>313143</v>
          </cell>
          <cell r="V1113">
            <v>-439</v>
          </cell>
          <cell r="X1113">
            <v>0</v>
          </cell>
          <cell r="Y1113">
            <v>28602332</v>
          </cell>
          <cell r="Z1113">
            <v>77295586</v>
          </cell>
        </row>
        <row r="1114">
          <cell r="G1114">
            <v>15631</v>
          </cell>
          <cell r="H1114">
            <v>1238000</v>
          </cell>
          <cell r="L1114" t="str">
            <v>Inventory Issue A/C (Internal) - Rm</v>
          </cell>
          <cell r="M1114" t="str">
            <v>INVENTORY ISSUE A/C (INTERNAL) - RM</v>
          </cell>
          <cell r="N1114" t="e">
            <v>#REF!</v>
          </cell>
          <cell r="O1114" t="str">
            <v>S</v>
          </cell>
          <cell r="Q1114">
            <v>-77599531</v>
          </cell>
          <cell r="R1114">
            <v>-16639758627</v>
          </cell>
          <cell r="U1114">
            <v>-16000867</v>
          </cell>
          <cell r="V1114">
            <v>-21764246</v>
          </cell>
          <cell r="X1114">
            <v>0</v>
          </cell>
          <cell r="Y1114">
            <v>-61598664</v>
          </cell>
          <cell r="Z1114">
            <v>-16617994381</v>
          </cell>
        </row>
        <row r="1115">
          <cell r="G1115">
            <v>15632</v>
          </cell>
          <cell r="H1115">
            <v>1239000</v>
          </cell>
          <cell r="L1115" t="str">
            <v>Issue A/C - Rm</v>
          </cell>
          <cell r="M1115" t="str">
            <v>ISSUE A/C - RM</v>
          </cell>
          <cell r="N1115" t="e">
            <v>#REF!</v>
          </cell>
          <cell r="O1115" t="str">
            <v>S</v>
          </cell>
          <cell r="Q1115">
            <v>-3713352</v>
          </cell>
          <cell r="R1115">
            <v>-3017401</v>
          </cell>
          <cell r="U1115">
            <v>0</v>
          </cell>
          <cell r="V1115">
            <v>0</v>
          </cell>
          <cell r="X1115">
            <v>0</v>
          </cell>
          <cell r="Y1115">
            <v>-3713352</v>
          </cell>
          <cell r="Z1115">
            <v>-3017401</v>
          </cell>
        </row>
        <row r="1116">
          <cell r="G1116">
            <v>15633</v>
          </cell>
          <cell r="H1116">
            <v>1240000</v>
          </cell>
          <cell r="L1116" t="str">
            <v>Inventory Issue A/C (Internal) - Rm (Steel/Hdpe)</v>
          </cell>
          <cell r="M1116" t="str">
            <v>INVENTORY ISSUE A/C (INTERNAL) - RM (STEEL/HDPE)</v>
          </cell>
          <cell r="N1116" t="e">
            <v>#REF!</v>
          </cell>
          <cell r="O1116" t="str">
            <v>S</v>
          </cell>
          <cell r="Q1116">
            <v>-11184761</v>
          </cell>
          <cell r="R1116">
            <v>-35754708</v>
          </cell>
          <cell r="U1116">
            <v>-334149</v>
          </cell>
          <cell r="V1116">
            <v>439</v>
          </cell>
          <cell r="X1116">
            <v>0</v>
          </cell>
          <cell r="Y1116">
            <v>-10850612</v>
          </cell>
          <cell r="Z1116">
            <v>-35755147</v>
          </cell>
        </row>
        <row r="1117">
          <cell r="G1117">
            <v>15634</v>
          </cell>
          <cell r="H1117">
            <v>1241000</v>
          </cell>
          <cell r="L1117" t="str">
            <v>Issue A/C - Rm (Steel / Hdpe) - Bs</v>
          </cell>
          <cell r="M1117" t="str">
            <v>ISSUE A/C - RM (STEEL / HDPE) - BS</v>
          </cell>
          <cell r="N1117" t="e">
            <v>#REF!</v>
          </cell>
          <cell r="O1117" t="str">
            <v>S</v>
          </cell>
          <cell r="Q1117">
            <v>-2560633963</v>
          </cell>
          <cell r="R1117">
            <v>-1385024858</v>
          </cell>
          <cell r="U1117">
            <v>-274055599</v>
          </cell>
          <cell r="V1117">
            <v>-388586811</v>
          </cell>
          <cell r="X1117">
            <v>0</v>
          </cell>
          <cell r="Y1117">
            <v>-2286578364</v>
          </cell>
          <cell r="Z1117">
            <v>-996438047</v>
          </cell>
        </row>
        <row r="1118">
          <cell r="G1118">
            <v>15635</v>
          </cell>
          <cell r="H1118">
            <v>1242000</v>
          </cell>
          <cell r="L1118" t="str">
            <v>Inventory Issue A/C (Internal) - Rm (Gasket Tube/ M B)</v>
          </cell>
          <cell r="M1118" t="str">
            <v>INVENTORY ISSUE A/C (INTERNAL) - RM (GASKET TUBE/ M B)</v>
          </cell>
          <cell r="N1118" t="e">
            <v>#REF!</v>
          </cell>
          <cell r="O1118" t="str">
            <v>S</v>
          </cell>
          <cell r="Q1118">
            <v>-112955</v>
          </cell>
          <cell r="R1118">
            <v>4151</v>
          </cell>
          <cell r="U1118">
            <v>0</v>
          </cell>
          <cell r="V1118">
            <v>0</v>
          </cell>
          <cell r="X1118">
            <v>0</v>
          </cell>
          <cell r="Y1118">
            <v>-112955</v>
          </cell>
          <cell r="Z1118">
            <v>4151</v>
          </cell>
        </row>
        <row r="1119">
          <cell r="G1119">
            <v>15636</v>
          </cell>
          <cell r="H1119">
            <v>1243000</v>
          </cell>
          <cell r="L1119" t="str">
            <v>Issue A/C - Rm (Gasket Tube / Master Batch) - Bs</v>
          </cell>
          <cell r="M1119" t="str">
            <v>ISSUE A/C - RM (GASKET TUBE / MASTER BATCH) - BS</v>
          </cell>
          <cell r="N1119" t="e">
            <v>#REF!</v>
          </cell>
          <cell r="O1119" t="str">
            <v>S</v>
          </cell>
          <cell r="Q1119">
            <v>-8031843</v>
          </cell>
          <cell r="R1119">
            <v>-9118230</v>
          </cell>
          <cell r="U1119">
            <v>0</v>
          </cell>
          <cell r="V1119">
            <v>0</v>
          </cell>
          <cell r="X1119">
            <v>0</v>
          </cell>
          <cell r="Y1119">
            <v>-8031843</v>
          </cell>
          <cell r="Z1119">
            <v>-9118230</v>
          </cell>
        </row>
        <row r="1120">
          <cell r="G1120">
            <v>15637</v>
          </cell>
          <cell r="H1120">
            <v>1244000</v>
          </cell>
          <cell r="L1120" t="str">
            <v>Inventory Issue A/C (Internal) - Rm (Tinplate / Co-Pp)</v>
          </cell>
          <cell r="M1120" t="str">
            <v>INVENTORY ISSUE A/C (INTERNAL) - RM (TINPLATE / CO-PP)</v>
          </cell>
          <cell r="N1120" t="e">
            <v>#REF!</v>
          </cell>
          <cell r="O1120" t="str">
            <v>S</v>
          </cell>
          <cell r="Q1120">
            <v>864465</v>
          </cell>
          <cell r="R1120">
            <v>-778914</v>
          </cell>
          <cell r="U1120">
            <v>0</v>
          </cell>
          <cell r="V1120">
            <v>0</v>
          </cell>
          <cell r="X1120">
            <v>0</v>
          </cell>
          <cell r="Y1120">
            <v>864465</v>
          </cell>
          <cell r="Z1120">
            <v>-778914</v>
          </cell>
        </row>
        <row r="1121">
          <cell r="G1121">
            <v>15638</v>
          </cell>
          <cell r="H1121">
            <v>1245000</v>
          </cell>
          <cell r="L1121" t="str">
            <v>Issue A/C - Rm (Tin Plate / Co-Pp) - Bs</v>
          </cell>
          <cell r="M1121" t="str">
            <v>ISSUE A/C - RM (TIN PLATE / CO-PP) - BS</v>
          </cell>
          <cell r="N1121" t="e">
            <v>#REF!</v>
          </cell>
          <cell r="O1121" t="str">
            <v>S</v>
          </cell>
          <cell r="Q1121">
            <v>-51426498</v>
          </cell>
          <cell r="R1121">
            <v>-62090415</v>
          </cell>
          <cell r="U1121">
            <v>-17794097</v>
          </cell>
          <cell r="V1121">
            <v>-18617227</v>
          </cell>
          <cell r="X1121">
            <v>0</v>
          </cell>
          <cell r="Y1121">
            <v>-33632401</v>
          </cell>
          <cell r="Z1121">
            <v>-43473188</v>
          </cell>
        </row>
        <row r="1122">
          <cell r="G1122">
            <v>15639</v>
          </cell>
          <cell r="H1122">
            <v>1246000</v>
          </cell>
          <cell r="L1122" t="str">
            <v>Inventory Issue A/C (Internal) - Rm (Inks)</v>
          </cell>
          <cell r="M1122" t="str">
            <v>INVENTORY ISSUE A/C (INTERNAL) - RM (INKS)</v>
          </cell>
          <cell r="N1122" t="e">
            <v>#REF!</v>
          </cell>
          <cell r="O1122" t="str">
            <v>S</v>
          </cell>
          <cell r="Q1122">
            <v>-111095</v>
          </cell>
          <cell r="R1122">
            <v>5931</v>
          </cell>
          <cell r="U1122">
            <v>0</v>
          </cell>
          <cell r="V1122">
            <v>0</v>
          </cell>
          <cell r="X1122">
            <v>0</v>
          </cell>
          <cell r="Y1122">
            <v>-111095</v>
          </cell>
          <cell r="Z1122">
            <v>5931</v>
          </cell>
        </row>
        <row r="1123">
          <cell r="G1123">
            <v>15640</v>
          </cell>
          <cell r="H1123">
            <v>1247000</v>
          </cell>
          <cell r="L1123" t="str">
            <v>Isse A/C - Rm (Inks) - Bs</v>
          </cell>
          <cell r="M1123" t="str">
            <v>ISSE A/C - RM (INKS) - BS</v>
          </cell>
          <cell r="N1123" t="e">
            <v>#REF!</v>
          </cell>
          <cell r="O1123" t="str">
            <v>S</v>
          </cell>
          <cell r="Q1123">
            <v>-5618249</v>
          </cell>
          <cell r="R1123">
            <v>-4773776</v>
          </cell>
          <cell r="U1123">
            <v>-1306723</v>
          </cell>
          <cell r="V1123">
            <v>-1162144</v>
          </cell>
          <cell r="X1123">
            <v>0</v>
          </cell>
          <cell r="Y1123">
            <v>-4311526</v>
          </cell>
          <cell r="Z1123">
            <v>-3611632</v>
          </cell>
        </row>
        <row r="1124">
          <cell r="G1124">
            <v>15641</v>
          </cell>
          <cell r="H1124">
            <v>1248000</v>
          </cell>
          <cell r="L1124" t="str">
            <v>Inventory Issue A/C (Internal) - Rm (Chemicals/Accessories)</v>
          </cell>
          <cell r="M1124" t="str">
            <v>INVENTORY ISSUE A/C (INTERNAL) - RM (CHEMICALS/ACCESSORIES)</v>
          </cell>
          <cell r="N1124" t="e">
            <v>#REF!</v>
          </cell>
          <cell r="O1124" t="str">
            <v>S</v>
          </cell>
          <cell r="Q1124">
            <v>-839445</v>
          </cell>
          <cell r="R1124">
            <v>76893</v>
          </cell>
          <cell r="U1124">
            <v>-5254</v>
          </cell>
          <cell r="V1124">
            <v>0</v>
          </cell>
          <cell r="X1124">
            <v>0</v>
          </cell>
          <cell r="Y1124">
            <v>-834191</v>
          </cell>
          <cell r="Z1124">
            <v>76893</v>
          </cell>
        </row>
        <row r="1125">
          <cell r="G1125">
            <v>15642</v>
          </cell>
          <cell r="H1125">
            <v>1249000</v>
          </cell>
          <cell r="L1125" t="str">
            <v>Issue A/C - Rm (Chemicals / Accessories) - Bs</v>
          </cell>
          <cell r="M1125" t="str">
            <v>ISSUE A/C - RM (CHEMICALS / ACCESSORIES) - BS</v>
          </cell>
          <cell r="N1125" t="e">
            <v>#REF!</v>
          </cell>
          <cell r="O1125" t="str">
            <v>S</v>
          </cell>
          <cell r="Q1125">
            <v>-49799490</v>
          </cell>
          <cell r="R1125">
            <v>-70490699</v>
          </cell>
          <cell r="U1125">
            <v>-20672535</v>
          </cell>
          <cell r="V1125">
            <v>-16317302</v>
          </cell>
          <cell r="X1125">
            <v>0</v>
          </cell>
          <cell r="Y1125">
            <v>-29126955</v>
          </cell>
          <cell r="Z1125">
            <v>-54173397</v>
          </cell>
        </row>
        <row r="1126">
          <cell r="G1126">
            <v>15643</v>
          </cell>
          <cell r="H1126">
            <v>1250000</v>
          </cell>
          <cell r="L1126" t="str">
            <v>Inventory Issue A/C (Internal) - Rm (Others)</v>
          </cell>
          <cell r="M1126" t="str">
            <v>INVENTORY ISSUE A/C (INTERNAL) - RM (OTHERS)</v>
          </cell>
          <cell r="N1126" t="e">
            <v>#REF!</v>
          </cell>
          <cell r="O1126" t="str">
            <v>S</v>
          </cell>
          <cell r="Q1126">
            <v>0</v>
          </cell>
          <cell r="R1126">
            <v>0</v>
          </cell>
          <cell r="U1126">
            <v>0</v>
          </cell>
          <cell r="V1126">
            <v>0</v>
          </cell>
          <cell r="X1126">
            <v>0</v>
          </cell>
          <cell r="Y1126">
            <v>0</v>
          </cell>
          <cell r="Z1126">
            <v>0</v>
          </cell>
        </row>
        <row r="1127">
          <cell r="G1127">
            <v>15644</v>
          </cell>
          <cell r="H1127">
            <v>1251000</v>
          </cell>
          <cell r="L1127" t="str">
            <v>Issue A/C - Rm (Others) - Bs</v>
          </cell>
          <cell r="M1127" t="str">
            <v>ISSUE A/C - RM (OTHERS) - BS</v>
          </cell>
          <cell r="N1127" t="e">
            <v>#REF!</v>
          </cell>
          <cell r="O1127" t="str">
            <v>S</v>
          </cell>
          <cell r="Q1127">
            <v>-12189792</v>
          </cell>
          <cell r="R1127">
            <v>-24526144</v>
          </cell>
          <cell r="U1127">
            <v>-12189792</v>
          </cell>
          <cell r="V1127">
            <v>-20937764</v>
          </cell>
          <cell r="X1127">
            <v>0</v>
          </cell>
          <cell r="Y1127">
            <v>0</v>
          </cell>
          <cell r="Z1127">
            <v>-3588380</v>
          </cell>
        </row>
        <row r="1128">
          <cell r="G1128">
            <v>15645</v>
          </cell>
          <cell r="H1128">
            <v>1252000</v>
          </cell>
          <cell r="L1128" t="str">
            <v>Inventory Issue A/C (Internal) - Rm (Purchase+Process)</v>
          </cell>
          <cell r="M1128" t="str">
            <v>INVENTORY ISSUE A/C (INTERNAL) - RM (PURCHASE+PROCESS)</v>
          </cell>
          <cell r="N1128" t="e">
            <v>#REF!</v>
          </cell>
          <cell r="O1128" t="str">
            <v>S</v>
          </cell>
          <cell r="Q1128">
            <v>17007</v>
          </cell>
          <cell r="R1128">
            <v>6298</v>
          </cell>
          <cell r="U1128">
            <v>17007</v>
          </cell>
          <cell r="V1128">
            <v>6298</v>
          </cell>
          <cell r="X1128">
            <v>0</v>
          </cell>
          <cell r="Y1128">
            <v>0</v>
          </cell>
          <cell r="Z1128">
            <v>0</v>
          </cell>
        </row>
        <row r="1129">
          <cell r="G1129">
            <v>15646</v>
          </cell>
          <cell r="H1129">
            <v>1253000</v>
          </cell>
          <cell r="L1129" t="str">
            <v>Issue A/C - Rm (Puchase-Process) - Bs</v>
          </cell>
          <cell r="M1129" t="str">
            <v>ISSUE A/C - RM (PUCHASE+PROCESS) - BS</v>
          </cell>
          <cell r="N1129" t="e">
            <v>#REF!</v>
          </cell>
          <cell r="O1129" t="str">
            <v>S</v>
          </cell>
          <cell r="Q1129">
            <v>-51937030</v>
          </cell>
          <cell r="R1129">
            <v>-58140606</v>
          </cell>
          <cell r="U1129">
            <v>-51937030</v>
          </cell>
          <cell r="V1129">
            <v>-58140606</v>
          </cell>
          <cell r="X1129">
            <v>0</v>
          </cell>
          <cell r="Y1129">
            <v>0</v>
          </cell>
          <cell r="Z1129">
            <v>0</v>
          </cell>
        </row>
        <row r="1130">
          <cell r="G1130">
            <v>15648</v>
          </cell>
          <cell r="H1130">
            <v>984000</v>
          </cell>
          <cell r="L1130" t="str">
            <v>Scrap Consumed</v>
          </cell>
          <cell r="M1130" t="str">
            <v>SCRAP CONSUMED</v>
          </cell>
          <cell r="N1130" t="e">
            <v>#REF!</v>
          </cell>
          <cell r="O1130" t="str">
            <v>S</v>
          </cell>
          <cell r="P1130">
            <v>0</v>
          </cell>
          <cell r="Q1130">
            <v>67974032</v>
          </cell>
          <cell r="R1130">
            <v>85591296</v>
          </cell>
          <cell r="T1130">
            <v>0</v>
          </cell>
          <cell r="U1130">
            <v>67974032</v>
          </cell>
          <cell r="V1130">
            <v>85591296</v>
          </cell>
          <cell r="X1130">
            <v>0</v>
          </cell>
          <cell r="Y1130">
            <v>0</v>
          </cell>
          <cell r="Z1130">
            <v>0</v>
          </cell>
          <cell r="AB1130">
            <v>0</v>
          </cell>
          <cell r="AC1130">
            <v>0</v>
          </cell>
          <cell r="AD1130">
            <v>0</v>
          </cell>
          <cell r="AF1130">
            <v>0</v>
          </cell>
          <cell r="AG1130">
            <v>0</v>
          </cell>
          <cell r="AH1130">
            <v>0</v>
          </cell>
        </row>
        <row r="1131">
          <cell r="G1131" t="str">
            <v>15135-2</v>
          </cell>
          <cell r="H1131">
            <v>985000</v>
          </cell>
          <cell r="L1131" t="str">
            <v>Work In Process Scrap (Bs)</v>
          </cell>
          <cell r="M1131" t="str">
            <v>WORK IN PROCESS SCRAP (BS)</v>
          </cell>
          <cell r="N1131" t="e">
            <v>#REF!</v>
          </cell>
          <cell r="O1131" t="str">
            <v>S</v>
          </cell>
          <cell r="P1131">
            <v>0</v>
          </cell>
          <cell r="Q1131">
            <v>-62435111</v>
          </cell>
          <cell r="R1131">
            <v>-85591295</v>
          </cell>
          <cell r="T1131">
            <v>0</v>
          </cell>
          <cell r="U1131">
            <v>-62435111</v>
          </cell>
          <cell r="V1131">
            <v>-85591295</v>
          </cell>
          <cell r="X1131">
            <v>0</v>
          </cell>
          <cell r="Y1131">
            <v>0</v>
          </cell>
          <cell r="Z1131">
            <v>0</v>
          </cell>
          <cell r="AB1131">
            <v>0</v>
          </cell>
          <cell r="AC1131">
            <v>0</v>
          </cell>
          <cell r="AD1131">
            <v>0</v>
          </cell>
          <cell r="AF1131">
            <v>0</v>
          </cell>
          <cell r="AG1131">
            <v>0</v>
          </cell>
          <cell r="AH1131">
            <v>0</v>
          </cell>
        </row>
        <row r="1132">
          <cell r="G1132">
            <v>15623</v>
          </cell>
          <cell r="H1132">
            <v>986000</v>
          </cell>
          <cell r="L1132" t="str">
            <v>Wip Issue A/C - Work Center</v>
          </cell>
          <cell r="M1132" t="str">
            <v>WIP Issue a/c - Work Center</v>
          </cell>
          <cell r="N1132" t="e">
            <v>#REF!</v>
          </cell>
          <cell r="O1132" t="str">
            <v>S</v>
          </cell>
          <cell r="P1132">
            <v>0</v>
          </cell>
          <cell r="Q1132">
            <v>0</v>
          </cell>
          <cell r="R1132">
            <v>0</v>
          </cell>
          <cell r="T1132">
            <v>0</v>
          </cell>
          <cell r="U1132">
            <v>0</v>
          </cell>
          <cell r="V1132">
            <v>0</v>
          </cell>
          <cell r="X1132">
            <v>0</v>
          </cell>
          <cell r="Y1132">
            <v>0</v>
          </cell>
          <cell r="Z1132">
            <v>0</v>
          </cell>
          <cell r="AB1132">
            <v>0</v>
          </cell>
          <cell r="AC1132">
            <v>0</v>
          </cell>
          <cell r="AD1132">
            <v>0</v>
          </cell>
          <cell r="AF1132">
            <v>0</v>
          </cell>
          <cell r="AG1132">
            <v>0</v>
          </cell>
          <cell r="AH1132">
            <v>0</v>
          </cell>
        </row>
        <row r="1133">
          <cell r="G1133">
            <v>15624</v>
          </cell>
          <cell r="H1133">
            <v>987000</v>
          </cell>
          <cell r="L1133" t="str">
            <v>Wip A/C - Work Center (Costing Offset)</v>
          </cell>
          <cell r="M1133" t="str">
            <v>WIP a/c - Work Center (costing offset)</v>
          </cell>
          <cell r="N1133" t="e">
            <v>#REF!</v>
          </cell>
          <cell r="O1133" t="str">
            <v>S</v>
          </cell>
          <cell r="P1133">
            <v>0</v>
          </cell>
          <cell r="Q1133">
            <v>0</v>
          </cell>
          <cell r="R1133">
            <v>0</v>
          </cell>
          <cell r="T1133">
            <v>0</v>
          </cell>
          <cell r="U1133">
            <v>0</v>
          </cell>
          <cell r="V1133">
            <v>0</v>
          </cell>
          <cell r="X1133">
            <v>0</v>
          </cell>
          <cell r="Y1133">
            <v>0</v>
          </cell>
          <cell r="Z1133">
            <v>0</v>
          </cell>
          <cell r="AB1133">
            <v>0</v>
          </cell>
          <cell r="AC1133">
            <v>0</v>
          </cell>
          <cell r="AD1133">
            <v>0</v>
          </cell>
          <cell r="AF1133">
            <v>0</v>
          </cell>
          <cell r="AG1133">
            <v>0</v>
          </cell>
          <cell r="AH1133">
            <v>0</v>
          </cell>
        </row>
        <row r="1134">
          <cell r="G1134">
            <v>15619</v>
          </cell>
          <cell r="H1134">
            <v>988000</v>
          </cell>
          <cell r="L1134">
            <v>0</v>
          </cell>
          <cell r="M1134" t="str">
            <v>PRODCUTION REPORTS AS FINISHED A/C (NET OFF 15620)</v>
          </cell>
          <cell r="N1134" t="e">
            <v>#REF!</v>
          </cell>
          <cell r="O1134" t="str">
            <v>S</v>
          </cell>
          <cell r="P1134">
            <v>0</v>
          </cell>
          <cell r="Q1134">
            <v>74093950</v>
          </cell>
          <cell r="R1134">
            <v>2635437</v>
          </cell>
          <cell r="T1134">
            <v>0</v>
          </cell>
          <cell r="U1134">
            <v>-942424</v>
          </cell>
          <cell r="V1134">
            <v>0</v>
          </cell>
          <cell r="X1134">
            <v>0</v>
          </cell>
          <cell r="Y1134">
            <v>75036374</v>
          </cell>
          <cell r="Z1134">
            <v>2635437</v>
          </cell>
          <cell r="AB1134">
            <v>0</v>
          </cell>
          <cell r="AC1134">
            <v>0</v>
          </cell>
          <cell r="AD1134">
            <v>0</v>
          </cell>
          <cell r="AF1134">
            <v>0</v>
          </cell>
          <cell r="AG1134">
            <v>0</v>
          </cell>
          <cell r="AH1134">
            <v>0</v>
          </cell>
        </row>
        <row r="1135">
          <cell r="G1135">
            <v>15620</v>
          </cell>
          <cell r="H1135">
            <v>989000</v>
          </cell>
          <cell r="L1135">
            <v>0</v>
          </cell>
          <cell r="M1135" t="str">
            <v>PRODCUTION REPORTS AS FINISHED OFFSET A/C (NET OFF 15619</v>
          </cell>
          <cell r="N1135" t="e">
            <v>#REF!</v>
          </cell>
          <cell r="O1135" t="str">
            <v>S</v>
          </cell>
          <cell r="P1135">
            <v>0</v>
          </cell>
          <cell r="Q1135">
            <v>-74093950</v>
          </cell>
          <cell r="R1135">
            <v>-2635437</v>
          </cell>
          <cell r="T1135">
            <v>0</v>
          </cell>
          <cell r="U1135">
            <v>942424</v>
          </cell>
          <cell r="V1135">
            <v>0</v>
          </cell>
          <cell r="X1135">
            <v>0</v>
          </cell>
          <cell r="Y1135">
            <v>-75036374</v>
          </cell>
          <cell r="Z1135">
            <v>-2635437</v>
          </cell>
          <cell r="AB1135">
            <v>0</v>
          </cell>
          <cell r="AC1135">
            <v>0</v>
          </cell>
          <cell r="AD1135">
            <v>0</v>
          </cell>
          <cell r="AF1135">
            <v>0</v>
          </cell>
          <cell r="AG1135">
            <v>0</v>
          </cell>
          <cell r="AH1135">
            <v>0</v>
          </cell>
        </row>
        <row r="1136">
          <cell r="G1136">
            <v>16001</v>
          </cell>
          <cell r="L1136" t="str">
            <v>STOCK TRF A/C FOR CHENNAI TO COCHIN (CHE NOT IN ERP)</v>
          </cell>
          <cell r="O1136" t="str">
            <v>S</v>
          </cell>
          <cell r="Q1136">
            <v>-200</v>
          </cell>
          <cell r="R1136">
            <v>0</v>
          </cell>
          <cell r="U1136">
            <v>0</v>
          </cell>
          <cell r="V1136">
            <v>0</v>
          </cell>
          <cell r="X1136">
            <v>0</v>
          </cell>
          <cell r="Y1136">
            <v>-200</v>
          </cell>
          <cell r="Z1136">
            <v>0</v>
          </cell>
        </row>
        <row r="1137">
          <cell r="G1137">
            <v>999999</v>
          </cell>
          <cell r="L1137" t="str">
            <v>Dummy A</v>
          </cell>
          <cell r="M1137" t="str">
            <v>Dummy Account</v>
          </cell>
          <cell r="N1137" t="e">
            <v>#REF!</v>
          </cell>
          <cell r="O1137" t="str">
            <v>S</v>
          </cell>
          <cell r="Q1137">
            <v>0</v>
          </cell>
          <cell r="R1137">
            <v>0</v>
          </cell>
          <cell r="U1137">
            <v>0</v>
          </cell>
          <cell r="V1137">
            <v>0</v>
          </cell>
          <cell r="X1137">
            <v>0</v>
          </cell>
          <cell r="Y1137">
            <v>0</v>
          </cell>
          <cell r="Z1137">
            <v>0</v>
          </cell>
        </row>
        <row r="1138">
          <cell r="G1138">
            <v>15647</v>
          </cell>
          <cell r="H1138">
            <v>1254000</v>
          </cell>
          <cell r="L1138" t="str">
            <v>Inventory Issue A/C (Internal) - Fg/Wip/Scrap</v>
          </cell>
          <cell r="M1138" t="str">
            <v>INVENTORY ISSUE A/C (INTERNAL) - FG/WIP/SCRAP</v>
          </cell>
          <cell r="N1138" t="e">
            <v>#REF!</v>
          </cell>
          <cell r="O1138" t="str">
            <v>S</v>
          </cell>
          <cell r="Q1138">
            <v>-3364437</v>
          </cell>
          <cell r="R1138">
            <v>-6949274</v>
          </cell>
          <cell r="U1138">
            <v>-2510617</v>
          </cell>
          <cell r="V1138">
            <v>-2477898</v>
          </cell>
          <cell r="X1138">
            <v>0</v>
          </cell>
          <cell r="Y1138">
            <v>-853820</v>
          </cell>
          <cell r="Z1138">
            <v>-4471376</v>
          </cell>
        </row>
        <row r="1139">
          <cell r="H1139">
            <v>1255000</v>
          </cell>
          <cell r="L1139" t="str">
            <v>Provision taken in Purchase A/c</v>
          </cell>
          <cell r="M1139" t="e">
            <v>#N/A</v>
          </cell>
          <cell r="N1139" t="e">
            <v>#REF!</v>
          </cell>
          <cell r="O1139" t="str">
            <v>S</v>
          </cell>
          <cell r="Q1139">
            <v>-677682</v>
          </cell>
          <cell r="R1139">
            <v>-2057672</v>
          </cell>
          <cell r="U1139">
            <v>-1655284</v>
          </cell>
          <cell r="V1139">
            <v>-1761448</v>
          </cell>
          <cell r="Y1139">
            <v>977602</v>
          </cell>
          <cell r="Z1139">
            <v>-296224</v>
          </cell>
        </row>
        <row r="1140">
          <cell r="H1140">
            <v>1256000</v>
          </cell>
          <cell r="J1140" t="str">
            <v>System (Erp) Accounts</v>
          </cell>
          <cell r="M1140" t="e">
            <v>#N/A</v>
          </cell>
          <cell r="N1140" t="e">
            <v>#REF!</v>
          </cell>
          <cell r="O1140" t="str">
            <v>A</v>
          </cell>
          <cell r="P1140">
            <v>0</v>
          </cell>
          <cell r="Q1140">
            <v>0</v>
          </cell>
          <cell r="R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row>
        <row r="1141">
          <cell r="H1141">
            <v>1257000</v>
          </cell>
          <cell r="J1141" t="str">
            <v>Total of Assets</v>
          </cell>
          <cell r="M1141" t="e">
            <v>#N/A</v>
          </cell>
          <cell r="N1141" t="e">
            <v>#REF!</v>
          </cell>
          <cell r="O1141" t="str">
            <v>A</v>
          </cell>
          <cell r="P1141">
            <v>0</v>
          </cell>
          <cell r="Q1141">
            <v>2171319508</v>
          </cell>
          <cell r="R1141">
            <v>2004997681</v>
          </cell>
          <cell r="T1141">
            <v>2162</v>
          </cell>
          <cell r="U1141">
            <v>842653349</v>
          </cell>
          <cell r="V1141">
            <v>922574883</v>
          </cell>
          <cell r="W1141">
            <v>0</v>
          </cell>
          <cell r="X1141">
            <v>2162</v>
          </cell>
          <cell r="Y1141">
            <v>858056850</v>
          </cell>
          <cell r="Z1141">
            <v>656837633</v>
          </cell>
          <cell r="AA1141">
            <v>0</v>
          </cell>
          <cell r="AB1141">
            <v>2162</v>
          </cell>
          <cell r="AC1141">
            <v>207214107</v>
          </cell>
          <cell r="AD1141">
            <v>211695320</v>
          </cell>
          <cell r="AE1141">
            <v>0</v>
          </cell>
          <cell r="AF1141">
            <v>2162</v>
          </cell>
          <cell r="AG1141">
            <v>267947275</v>
          </cell>
          <cell r="AH1141">
            <v>213889845</v>
          </cell>
        </row>
        <row r="1142">
          <cell r="M1142" t="e">
            <v>#N/A</v>
          </cell>
          <cell r="N1142" t="e">
            <v>#REF!</v>
          </cell>
          <cell r="O1142" t="str">
            <v>A</v>
          </cell>
          <cell r="P1142">
            <v>0</v>
          </cell>
          <cell r="Q1142">
            <v>-4552078</v>
          </cell>
          <cell r="R1142">
            <v>3</v>
          </cell>
          <cell r="T1142" t="e">
            <v>#REF!</v>
          </cell>
          <cell r="U1142">
            <v>3081714686</v>
          </cell>
          <cell r="V1142">
            <v>2991620886</v>
          </cell>
          <cell r="W1142">
            <v>0</v>
          </cell>
          <cell r="X1142" t="e">
            <v>#REF!</v>
          </cell>
          <cell r="Y1142">
            <v>-3081714690</v>
          </cell>
          <cell r="Z1142">
            <v>-2991620883</v>
          </cell>
          <cell r="AA1142">
            <v>0</v>
          </cell>
          <cell r="AB1142" t="e">
            <v>#REF!</v>
          </cell>
          <cell r="AC1142">
            <v>0</v>
          </cell>
          <cell r="AD1142">
            <v>0</v>
          </cell>
          <cell r="AE1142">
            <v>0</v>
          </cell>
          <cell r="AF1142" t="e">
            <v>#REF!</v>
          </cell>
          <cell r="AG1142">
            <v>-1</v>
          </cell>
          <cell r="AH1142">
            <v>0</v>
          </cell>
        </row>
        <row r="1143">
          <cell r="Q1143">
            <v>-2171319508</v>
          </cell>
          <cell r="R1143">
            <v>0</v>
          </cell>
          <cell r="U1143">
            <v>0</v>
          </cell>
          <cell r="V1143">
            <v>2991620888.4199829</v>
          </cell>
          <cell r="Y1143">
            <v>0</v>
          </cell>
          <cell r="Z1143">
            <v>-2991620885.3099303</v>
          </cell>
        </row>
        <row r="1144">
          <cell r="U1144">
            <v>-3081714686</v>
          </cell>
          <cell r="V1144">
            <v>2.41998291015625</v>
          </cell>
          <cell r="Y1144">
            <v>3081714690</v>
          </cell>
          <cell r="Z1144">
            <v>-2.3099303245544434</v>
          </cell>
        </row>
        <row r="1145">
          <cell r="U1145">
            <v>-1540857343</v>
          </cell>
          <cell r="V1145">
            <v>1.209991455078125</v>
          </cell>
          <cell r="Y1145">
            <v>1540857345</v>
          </cell>
          <cell r="Z1145">
            <v>-1.1549651622772217</v>
          </cell>
        </row>
        <row r="1149">
          <cell r="J1149" t="str">
            <v>ADJUSTEMENT ENTRIES</v>
          </cell>
        </row>
        <row r="1150">
          <cell r="R1150">
            <v>0</v>
          </cell>
          <cell r="X1150">
            <v>0</v>
          </cell>
        </row>
        <row r="1151">
          <cell r="L1151" t="str">
            <v>Income Tax</v>
          </cell>
        </row>
        <row r="1152">
          <cell r="L1152" t="str">
            <v>Wealth Tax</v>
          </cell>
        </row>
        <row r="1153">
          <cell r="L1153" t="str">
            <v>Deffered Tax  (P&amp;L)</v>
          </cell>
        </row>
        <row r="1154">
          <cell r="L1154" t="e">
            <v>#REF!</v>
          </cell>
          <cell r="V1154">
            <v>0</v>
          </cell>
        </row>
        <row r="1155">
          <cell r="R1155">
            <v>0</v>
          </cell>
          <cell r="X1155">
            <v>0</v>
          </cell>
        </row>
        <row r="1156">
          <cell r="L1156" t="str">
            <v>Proposed Dividend</v>
          </cell>
          <cell r="R1156">
            <v>0</v>
          </cell>
          <cell r="X1156">
            <v>0</v>
          </cell>
        </row>
        <row r="1157">
          <cell r="L1157" t="str">
            <v>Distribution Tax</v>
          </cell>
          <cell r="R1157">
            <v>0</v>
          </cell>
          <cell r="X1157">
            <v>0</v>
          </cell>
        </row>
        <row r="1158">
          <cell r="L1158" t="str">
            <v>To Gr</v>
          </cell>
          <cell r="R1158">
            <v>0</v>
          </cell>
          <cell r="X1158">
            <v>0</v>
          </cell>
        </row>
        <row r="1159">
          <cell r="R1159">
            <v>0</v>
          </cell>
          <cell r="X1159">
            <v>0</v>
          </cell>
        </row>
        <row r="1160">
          <cell r="R1160">
            <v>0</v>
          </cell>
          <cell r="X1160">
            <v>0</v>
          </cell>
        </row>
        <row r="1161">
          <cell r="R1161">
            <v>0</v>
          </cell>
          <cell r="X1161">
            <v>0</v>
          </cell>
        </row>
        <row r="1162">
          <cell r="R1162">
            <v>0</v>
          </cell>
          <cell r="X1162">
            <v>0</v>
          </cell>
        </row>
        <row r="1163">
          <cell r="R1163">
            <v>0</v>
          </cell>
          <cell r="X1163">
            <v>0</v>
          </cell>
        </row>
        <row r="1164">
          <cell r="R1164">
            <v>0</v>
          </cell>
          <cell r="X1164">
            <v>0</v>
          </cell>
        </row>
        <row r="1165">
          <cell r="R1165">
            <v>0</v>
          </cell>
          <cell r="X1165">
            <v>0</v>
          </cell>
        </row>
        <row r="1166">
          <cell r="R1166">
            <v>0</v>
          </cell>
          <cell r="X1166">
            <v>0</v>
          </cell>
        </row>
        <row r="1167">
          <cell r="R1167">
            <v>0</v>
          </cell>
          <cell r="X1167">
            <v>0</v>
          </cell>
        </row>
        <row r="1168">
          <cell r="R1168">
            <v>0</v>
          </cell>
          <cell r="X1168">
            <v>0</v>
          </cell>
        </row>
        <row r="1169">
          <cell r="R1169">
            <v>0</v>
          </cell>
          <cell r="X1169">
            <v>0</v>
          </cell>
        </row>
        <row r="1170">
          <cell r="R1170">
            <v>0</v>
          </cell>
          <cell r="X1170">
            <v>0</v>
          </cell>
        </row>
        <row r="1171">
          <cell r="R1171">
            <v>0</v>
          </cell>
          <cell r="X1171">
            <v>0</v>
          </cell>
        </row>
        <row r="1172">
          <cell r="R1172">
            <v>0</v>
          </cell>
          <cell r="X1172">
            <v>0</v>
          </cell>
        </row>
        <row r="1173">
          <cell r="R1173">
            <v>0</v>
          </cell>
          <cell r="X1173">
            <v>0</v>
          </cell>
        </row>
        <row r="1174">
          <cell r="R1174">
            <v>0</v>
          </cell>
          <cell r="X1174">
            <v>0</v>
          </cell>
        </row>
        <row r="1175">
          <cell r="R1175">
            <v>0</v>
          </cell>
          <cell r="X1175">
            <v>0</v>
          </cell>
        </row>
        <row r="1176">
          <cell r="R1176">
            <v>0</v>
          </cell>
          <cell r="X1176">
            <v>0</v>
          </cell>
        </row>
        <row r="1177">
          <cell r="R1177">
            <v>0</v>
          </cell>
          <cell r="X1177">
            <v>0</v>
          </cell>
        </row>
        <row r="1178">
          <cell r="R1178">
            <v>0</v>
          </cell>
          <cell r="X1178">
            <v>0</v>
          </cell>
        </row>
        <row r="1179">
          <cell r="R1179">
            <v>0</v>
          </cell>
          <cell r="X1179">
            <v>0</v>
          </cell>
        </row>
        <row r="1180">
          <cell r="R1180">
            <v>0</v>
          </cell>
          <cell r="X1180">
            <v>0</v>
          </cell>
        </row>
        <row r="1181">
          <cell r="R1181">
            <v>0</v>
          </cell>
          <cell r="X1181">
            <v>0</v>
          </cell>
        </row>
        <row r="1182">
          <cell r="R1182">
            <v>0</v>
          </cell>
          <cell r="X1182">
            <v>0</v>
          </cell>
        </row>
        <row r="1183">
          <cell r="R1183">
            <v>0</v>
          </cell>
          <cell r="X1183">
            <v>0</v>
          </cell>
        </row>
        <row r="1184">
          <cell r="R1184">
            <v>0</v>
          </cell>
          <cell r="X1184">
            <v>0</v>
          </cell>
        </row>
        <row r="1185">
          <cell r="R1185">
            <v>0</v>
          </cell>
          <cell r="X1185">
            <v>0</v>
          </cell>
        </row>
        <row r="1186">
          <cell r="R1186">
            <v>0</v>
          </cell>
          <cell r="X1186">
            <v>0</v>
          </cell>
        </row>
        <row r="1187">
          <cell r="R1187">
            <v>0</v>
          </cell>
          <cell r="X1187">
            <v>0</v>
          </cell>
        </row>
        <row r="1188">
          <cell r="R1188">
            <v>0</v>
          </cell>
          <cell r="X1188">
            <v>0</v>
          </cell>
        </row>
        <row r="1189">
          <cell r="R1189">
            <v>0</v>
          </cell>
          <cell r="X1189">
            <v>0</v>
          </cell>
        </row>
        <row r="1190">
          <cell r="R1190">
            <v>0</v>
          </cell>
          <cell r="X1190">
            <v>0</v>
          </cell>
        </row>
        <row r="1191">
          <cell r="R1191">
            <v>0</v>
          </cell>
          <cell r="X1191">
            <v>0</v>
          </cell>
        </row>
        <row r="1192">
          <cell r="R1192">
            <v>0</v>
          </cell>
          <cell r="X1192">
            <v>0</v>
          </cell>
        </row>
        <row r="1193">
          <cell r="R1193">
            <v>0</v>
          </cell>
          <cell r="X1193">
            <v>0</v>
          </cell>
        </row>
        <row r="1194">
          <cell r="R1194">
            <v>0</v>
          </cell>
          <cell r="X1194">
            <v>0</v>
          </cell>
        </row>
        <row r="1195">
          <cell r="R1195">
            <v>0</v>
          </cell>
          <cell r="X1195">
            <v>0</v>
          </cell>
        </row>
        <row r="1196">
          <cell r="R1196">
            <v>0</v>
          </cell>
          <cell r="X1196">
            <v>0</v>
          </cell>
        </row>
        <row r="1197">
          <cell r="R1197">
            <v>0</v>
          </cell>
        </row>
        <row r="1198">
          <cell r="J1198" t="str">
            <v>ADJUSTEMENT ENTRIES</v>
          </cell>
          <cell r="P1198">
            <v>0</v>
          </cell>
          <cell r="R1198">
            <v>0</v>
          </cell>
          <cell r="T1198">
            <v>0</v>
          </cell>
          <cell r="X1198">
            <v>0</v>
          </cell>
          <cell r="Y1198">
            <v>0</v>
          </cell>
          <cell r="Z1198">
            <v>0</v>
          </cell>
          <cell r="AB1198">
            <v>0</v>
          </cell>
          <cell r="AC1198">
            <v>0</v>
          </cell>
          <cell r="AD1198">
            <v>0</v>
          </cell>
          <cell r="AF1198">
            <v>0</v>
          </cell>
          <cell r="AG1198">
            <v>0</v>
          </cell>
          <cell r="AH119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3">
          <cell r="C3">
            <v>-79117202</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5" refreshError="1"/>
      <sheetData sheetId="26" refreshError="1"/>
      <sheetData sheetId="27">
        <row r="1">
          <cell r="B1" t="str">
            <v>BALMER LAWRIE - VAN LEER LTD.</v>
          </cell>
          <cell r="D1">
            <v>3081714704.1900153</v>
          </cell>
          <cell r="E1">
            <v>-3081714697.5800314</v>
          </cell>
          <cell r="F1">
            <v>-1</v>
          </cell>
          <cell r="G1">
            <v>0</v>
          </cell>
          <cell r="H1">
            <v>0</v>
          </cell>
          <cell r="I1">
            <v>-15</v>
          </cell>
          <cell r="J1">
            <v>3081714704</v>
          </cell>
          <cell r="K1">
            <v>-3081714704</v>
          </cell>
        </row>
        <row r="2">
          <cell r="B2" t="str">
            <v>FORMAT FOR TRIAL BALANCE AS ON PARTICULAR DATE</v>
          </cell>
          <cell r="E2">
            <v>6.6099839210510254</v>
          </cell>
          <cell r="H2">
            <v>0</v>
          </cell>
          <cell r="J2">
            <v>0.19001531600952148</v>
          </cell>
          <cell r="K2">
            <v>6.4199686050415039</v>
          </cell>
        </row>
        <row r="3">
          <cell r="B3">
            <v>1</v>
          </cell>
          <cell r="C3">
            <v>2</v>
          </cell>
          <cell r="D3">
            <v>3</v>
          </cell>
          <cell r="E3">
            <v>4</v>
          </cell>
          <cell r="F3">
            <v>5</v>
          </cell>
          <cell r="G3">
            <v>6</v>
          </cell>
          <cell r="H3">
            <v>7</v>
          </cell>
          <cell r="I3">
            <v>8</v>
          </cell>
          <cell r="J3">
            <v>9</v>
          </cell>
          <cell r="K3">
            <v>10</v>
          </cell>
        </row>
        <row r="4">
          <cell r="C4">
            <v>1472.98333</v>
          </cell>
          <cell r="D4">
            <v>42460</v>
          </cell>
          <cell r="F4">
            <v>0</v>
          </cell>
          <cell r="G4" t="str">
            <v xml:space="preserve">Provisions </v>
          </cell>
          <cell r="J4" t="str">
            <v>Final TB  31/03/2016</v>
          </cell>
        </row>
        <row r="5">
          <cell r="B5" t="str">
            <v>GL CODE</v>
          </cell>
          <cell r="C5" t="str">
            <v>ACCOUNT HEAD</v>
          </cell>
        </row>
        <row r="6">
          <cell r="C6">
            <v>0</v>
          </cell>
        </row>
        <row r="7">
          <cell r="D7" t="str">
            <v>SDC-T</v>
          </cell>
          <cell r="E7" t="str">
            <v>PCD-T</v>
          </cell>
          <cell r="G7" t="str">
            <v>SDC-T</v>
          </cell>
          <cell r="H7" t="str">
            <v>PCD-T</v>
          </cell>
          <cell r="J7" t="str">
            <v>SDC-T</v>
          </cell>
          <cell r="K7" t="str">
            <v>PCD-T</v>
          </cell>
        </row>
        <row r="9">
          <cell r="B9">
            <v>11025</v>
          </cell>
          <cell r="C9" t="str">
            <v>PRODUCT SALES (5010)</v>
          </cell>
          <cell r="D9">
            <v>-566195684.80999994</v>
          </cell>
          <cell r="E9">
            <v>-1403586759.2800002</v>
          </cell>
          <cell r="J9">
            <v>-566195685</v>
          </cell>
          <cell r="K9">
            <v>-1403586759</v>
          </cell>
        </row>
        <row r="10">
          <cell r="B10">
            <v>11030</v>
          </cell>
          <cell r="C10" t="str">
            <v>PRODUCT SALES ACCOUNT (5000) (OTHHER THAN FG [SO-POSTING])</v>
          </cell>
          <cell r="D10">
            <v>0</v>
          </cell>
          <cell r="E10">
            <v>-3454072</v>
          </cell>
          <cell r="J10">
            <v>0</v>
          </cell>
          <cell r="K10">
            <v>-3454072</v>
          </cell>
        </row>
        <row r="11">
          <cell r="B11">
            <v>11031</v>
          </cell>
          <cell r="C11" t="str">
            <v>PRODUCT SALES (PRICE VARIATION/ADJUSTMENT)</v>
          </cell>
          <cell r="D11">
            <v>4529068.32</v>
          </cell>
          <cell r="E11">
            <v>8551230.5800000001</v>
          </cell>
          <cell r="J11">
            <v>4529068</v>
          </cell>
          <cell r="K11">
            <v>8551231</v>
          </cell>
        </row>
        <row r="12">
          <cell r="B12">
            <v>11035</v>
          </cell>
          <cell r="C12" t="str">
            <v>SCRAP SALES (GENERATED OUT OF PROCESS) (5100)</v>
          </cell>
          <cell r="D12">
            <v>-44515530</v>
          </cell>
          <cell r="E12">
            <v>-1884700.63</v>
          </cell>
          <cell r="J12">
            <v>-44515530</v>
          </cell>
          <cell r="K12">
            <v>-1884701</v>
          </cell>
        </row>
        <row r="13">
          <cell r="B13">
            <v>11040</v>
          </cell>
          <cell r="C13" t="str">
            <v>SCRAP SALES - MISC (N)</v>
          </cell>
          <cell r="D13">
            <v>310650</v>
          </cell>
          <cell r="E13">
            <v>0</v>
          </cell>
          <cell r="J13">
            <v>310650</v>
          </cell>
          <cell r="K13">
            <v>0</v>
          </cell>
        </row>
        <row r="14">
          <cell r="B14">
            <v>11205</v>
          </cell>
          <cell r="C14" t="str">
            <v>DEPB BENIFIT A/C (INCOME FROM DEPB)</v>
          </cell>
          <cell r="D14">
            <v>-13198080</v>
          </cell>
          <cell r="E14">
            <v>-373532</v>
          </cell>
          <cell r="J14">
            <v>-13198080</v>
          </cell>
          <cell r="K14">
            <v>-373532</v>
          </cell>
        </row>
        <row r="15">
          <cell r="B15">
            <v>11210</v>
          </cell>
          <cell r="C15" t="str">
            <v>MARKETING &amp; MANAGEMENT FEES (INCOME) (5210)</v>
          </cell>
          <cell r="D15">
            <v>-998000</v>
          </cell>
          <cell r="E15">
            <v>0</v>
          </cell>
          <cell r="J15">
            <v>-998000</v>
          </cell>
          <cell r="K15">
            <v>0</v>
          </cell>
        </row>
        <row r="16">
          <cell r="B16">
            <v>11215</v>
          </cell>
          <cell r="C16" t="str">
            <v>INTEREST RECEIVED (5150)</v>
          </cell>
          <cell r="D16">
            <v>-2849162.0000000005</v>
          </cell>
          <cell r="E16">
            <v>-778479.75999999978</v>
          </cell>
          <cell r="J16">
            <v>-2849162</v>
          </cell>
          <cell r="K16">
            <v>-778480</v>
          </cell>
        </row>
        <row r="17">
          <cell r="B17">
            <v>11220</v>
          </cell>
          <cell r="C17" t="str">
            <v>PROVISION (DRS) NO LONGER REQUIRED W/BACK (5180)</v>
          </cell>
          <cell r="D17">
            <v>-22141</v>
          </cell>
          <cell r="E17">
            <v>-78784</v>
          </cell>
          <cell r="J17">
            <v>-22141</v>
          </cell>
          <cell r="K17">
            <v>-78784</v>
          </cell>
        </row>
        <row r="18">
          <cell r="B18">
            <v>11225</v>
          </cell>
          <cell r="C18" t="str">
            <v>SUNDRY CREDIT BALANCES WRITTEN BACK (5235)</v>
          </cell>
          <cell r="D18">
            <v>-25401.679999999702</v>
          </cell>
          <cell r="E18">
            <v>-25141.370000000112</v>
          </cell>
          <cell r="J18">
            <v>-25402</v>
          </cell>
          <cell r="K18">
            <v>-25141</v>
          </cell>
        </row>
        <row r="19">
          <cell r="B19">
            <v>11230</v>
          </cell>
          <cell r="C19" t="str">
            <v>LIABILITIES NO LONGER REQUIRED WRITTEN BACK</v>
          </cell>
          <cell r="D19">
            <v>-31327575</v>
          </cell>
          <cell r="E19">
            <v>-691625</v>
          </cell>
          <cell r="J19">
            <v>-31327575</v>
          </cell>
          <cell r="K19">
            <v>-691625</v>
          </cell>
        </row>
        <row r="20">
          <cell r="B20">
            <v>11240</v>
          </cell>
          <cell r="C20" t="str">
            <v>PROFIT ON SALE OF ASSETS (5170)</v>
          </cell>
          <cell r="D20">
            <v>-214563</v>
          </cell>
          <cell r="E20">
            <v>-388173</v>
          </cell>
          <cell r="G20">
            <v>-551</v>
          </cell>
          <cell r="J20">
            <v>-215114</v>
          </cell>
          <cell r="K20">
            <v>-388173</v>
          </cell>
        </row>
        <row r="21">
          <cell r="B21">
            <v>11245</v>
          </cell>
          <cell r="C21" t="str">
            <v>DIVIDEND INCOME (5240)</v>
          </cell>
          <cell r="D21">
            <v>-38500000</v>
          </cell>
          <cell r="E21">
            <v>0</v>
          </cell>
          <cell r="J21">
            <v>-38500000</v>
          </cell>
          <cell r="K21">
            <v>0</v>
          </cell>
        </row>
        <row r="22">
          <cell r="B22">
            <v>11255</v>
          </cell>
          <cell r="C22" t="str">
            <v>JOBBING INCOME (5160)</v>
          </cell>
          <cell r="D22">
            <v>0</v>
          </cell>
          <cell r="E22">
            <v>3827415</v>
          </cell>
          <cell r="J22">
            <v>0</v>
          </cell>
          <cell r="K22">
            <v>3827415</v>
          </cell>
        </row>
        <row r="23">
          <cell r="B23">
            <v>11265</v>
          </cell>
          <cell r="C23" t="str">
            <v>SUNDRY INCOME (5230)</v>
          </cell>
          <cell r="D23">
            <v>-37718.120000000003</v>
          </cell>
          <cell r="E23">
            <v>0</v>
          </cell>
          <cell r="J23">
            <v>-37718</v>
          </cell>
          <cell r="K23">
            <v>0</v>
          </cell>
        </row>
        <row r="24">
          <cell r="B24">
            <v>12140</v>
          </cell>
          <cell r="C24" t="str">
            <v>ROUNDING OF DIFF A/C</v>
          </cell>
          <cell r="D24">
            <v>-1</v>
          </cell>
          <cell r="E24">
            <v>0</v>
          </cell>
          <cell r="J24">
            <v>-1</v>
          </cell>
          <cell r="K24">
            <v>0</v>
          </cell>
        </row>
        <row r="25">
          <cell r="B25">
            <v>12141</v>
          </cell>
          <cell r="C25" t="str">
            <v>ROUNDING OFF ACCOUNT (JV)</v>
          </cell>
          <cell r="D25">
            <v>9.9999999999909051E-3</v>
          </cell>
          <cell r="E25">
            <v>-9.9999999999980105E-3</v>
          </cell>
          <cell r="J25">
            <v>0</v>
          </cell>
          <cell r="K25">
            <v>0</v>
          </cell>
        </row>
        <row r="26">
          <cell r="B26">
            <v>12142</v>
          </cell>
          <cell r="C26" t="str">
            <v>ORDER INVOICE ROUNDING (SYS)</v>
          </cell>
          <cell r="D26">
            <v>130.66000000000014</v>
          </cell>
          <cell r="E26">
            <v>59.029999999999752</v>
          </cell>
          <cell r="J26">
            <v>131</v>
          </cell>
          <cell r="K26">
            <v>59</v>
          </cell>
        </row>
        <row r="27">
          <cell r="B27">
            <v>12145</v>
          </cell>
          <cell r="C27" t="str">
            <v>DISCOUNT RECEIVED</v>
          </cell>
          <cell r="D27">
            <v>-64715</v>
          </cell>
          <cell r="E27">
            <v>-29550.129999999888</v>
          </cell>
          <cell r="J27">
            <v>-64715</v>
          </cell>
          <cell r="K27">
            <v>-29550</v>
          </cell>
        </row>
        <row r="28">
          <cell r="B28">
            <v>12146</v>
          </cell>
          <cell r="C28" t="str">
            <v>OPENING STOCK OF RAW MATERIALS</v>
          </cell>
          <cell r="D28">
            <v>30804595</v>
          </cell>
          <cell r="E28">
            <v>61749013</v>
          </cell>
          <cell r="J28">
            <v>30804595</v>
          </cell>
          <cell r="K28">
            <v>61749013</v>
          </cell>
        </row>
        <row r="29">
          <cell r="B29">
            <v>12150</v>
          </cell>
          <cell r="C29" t="str">
            <v>RAW MATERIAL CONSUMED (BOM)</v>
          </cell>
          <cell r="D29">
            <v>271001004.94999981</v>
          </cell>
          <cell r="E29">
            <v>2273257648.0900002</v>
          </cell>
          <cell r="J29">
            <v>271001005</v>
          </cell>
          <cell r="K29">
            <v>2273257648</v>
          </cell>
        </row>
        <row r="30">
          <cell r="B30">
            <v>12151</v>
          </cell>
          <cell r="C30" t="str">
            <v>IMPORT BOOKING DIFF IF MISC CHG. (CHARGED OFF)</v>
          </cell>
          <cell r="D30">
            <v>-161802.75999999995</v>
          </cell>
          <cell r="E30">
            <v>6126387.6200000001</v>
          </cell>
          <cell r="J30">
            <v>-161803</v>
          </cell>
          <cell r="K30">
            <v>6126388</v>
          </cell>
        </row>
        <row r="31">
          <cell r="B31">
            <v>12152</v>
          </cell>
          <cell r="C31" t="str">
            <v>TRANSPORT ACCOUNT PURCHASE (6102)</v>
          </cell>
          <cell r="D31">
            <v>-142574.55999999959</v>
          </cell>
          <cell r="E31">
            <v>6288585.9200000018</v>
          </cell>
          <cell r="J31">
            <v>-142575</v>
          </cell>
          <cell r="K31">
            <v>6288586</v>
          </cell>
        </row>
        <row r="32">
          <cell r="B32">
            <v>12153</v>
          </cell>
          <cell r="C32" t="str">
            <v>CONSUMPTION RAW MATERIALS (OTHER THAN BOM)</v>
          </cell>
          <cell r="D32">
            <v>0</v>
          </cell>
          <cell r="E32">
            <v>0</v>
          </cell>
          <cell r="J32">
            <v>0</v>
          </cell>
          <cell r="K32">
            <v>0</v>
          </cell>
        </row>
        <row r="33">
          <cell r="B33">
            <v>12155</v>
          </cell>
          <cell r="C33" t="str">
            <v>PLATING CHEMICALS CONSUMED (OTHER THAN BOM)</v>
          </cell>
          <cell r="D33">
            <v>11662880.149999999</v>
          </cell>
          <cell r="E33">
            <v>0</v>
          </cell>
          <cell r="J33">
            <v>11662880</v>
          </cell>
          <cell r="K33">
            <v>0</v>
          </cell>
        </row>
        <row r="34">
          <cell r="B34">
            <v>12160</v>
          </cell>
          <cell r="C34" t="str">
            <v>NMMC EXPENSE ACCOUNT</v>
          </cell>
          <cell r="D34">
            <v>7529988.3100000005</v>
          </cell>
          <cell r="E34">
            <v>16695981.479999997</v>
          </cell>
          <cell r="J34">
            <v>7529988</v>
          </cell>
          <cell r="K34">
            <v>16695981</v>
          </cell>
        </row>
        <row r="35">
          <cell r="B35">
            <v>12161</v>
          </cell>
          <cell r="C35" t="str">
            <v>Swachh Bharat Cess</v>
          </cell>
          <cell r="D35">
            <v>140819.21999999997</v>
          </cell>
          <cell r="E35">
            <v>135103.62</v>
          </cell>
          <cell r="J35">
            <v>140819</v>
          </cell>
          <cell r="K35">
            <v>135104</v>
          </cell>
        </row>
        <row r="36">
          <cell r="B36">
            <v>12165</v>
          </cell>
          <cell r="C36" t="str">
            <v>OCTROI ON PURCHASE</v>
          </cell>
          <cell r="D36">
            <v>0</v>
          </cell>
          <cell r="E36">
            <v>66524</v>
          </cell>
          <cell r="J36">
            <v>0</v>
          </cell>
          <cell r="K36">
            <v>66524</v>
          </cell>
        </row>
        <row r="37">
          <cell r="B37">
            <v>12170</v>
          </cell>
          <cell r="C37" t="str">
            <v>CST EXPENSES ACCOUNT</v>
          </cell>
          <cell r="D37">
            <v>193124.36999999988</v>
          </cell>
          <cell r="E37">
            <v>335912.10000000009</v>
          </cell>
          <cell r="J37">
            <v>193124</v>
          </cell>
          <cell r="K37">
            <v>335912</v>
          </cell>
        </row>
        <row r="38">
          <cell r="B38">
            <v>12175</v>
          </cell>
          <cell r="C38" t="str">
            <v>Excise duty on FG Stock (Purchase/Consumption)</v>
          </cell>
          <cell r="D38">
            <v>-450545</v>
          </cell>
          <cell r="E38">
            <v>349820</v>
          </cell>
          <cell r="J38">
            <v>-450545</v>
          </cell>
          <cell r="K38">
            <v>349820</v>
          </cell>
        </row>
        <row r="39">
          <cell r="B39">
            <v>12209</v>
          </cell>
          <cell r="C39" t="str">
            <v>CLOSING STOCK OF RAW MATL (P&amp;L)</v>
          </cell>
          <cell r="D39">
            <v>-28821503.959999979</v>
          </cell>
          <cell r="E39">
            <v>-89564836.800000191</v>
          </cell>
          <cell r="G39">
            <v>0</v>
          </cell>
          <cell r="H39">
            <v>2500000</v>
          </cell>
          <cell r="J39">
            <v>-28821504</v>
          </cell>
          <cell r="K39">
            <v>-87064837</v>
          </cell>
        </row>
        <row r="40">
          <cell r="B40">
            <v>12221</v>
          </cell>
          <cell r="C40" t="str">
            <v>OPENING STOCK OF PACKING MATERIALS</v>
          </cell>
          <cell r="D40">
            <v>1261152</v>
          </cell>
          <cell r="E40">
            <v>1244363</v>
          </cell>
          <cell r="J40">
            <v>1261152</v>
          </cell>
          <cell r="K40">
            <v>1244363</v>
          </cell>
        </row>
        <row r="41">
          <cell r="B41">
            <v>12225</v>
          </cell>
          <cell r="C41" t="str">
            <v>PACKING MATERIAL CONSUMED</v>
          </cell>
          <cell r="D41">
            <v>0</v>
          </cell>
          <cell r="E41">
            <v>0</v>
          </cell>
          <cell r="J41">
            <v>0</v>
          </cell>
          <cell r="K41">
            <v>0</v>
          </cell>
        </row>
        <row r="42">
          <cell r="B42">
            <v>12264</v>
          </cell>
          <cell r="C42" t="str">
            <v>CLOSING STOCK OF PACKINGMATL (P&amp;L)</v>
          </cell>
          <cell r="D42">
            <v>-1116747</v>
          </cell>
          <cell r="E42">
            <v>-1364131</v>
          </cell>
          <cell r="J42">
            <v>-1116747</v>
          </cell>
          <cell r="K42">
            <v>-1364131</v>
          </cell>
        </row>
        <row r="43">
          <cell r="B43">
            <v>13102</v>
          </cell>
          <cell r="C43" t="str">
            <v>STOCK VALUATION DIFF A/C (WIP)</v>
          </cell>
          <cell r="D43">
            <v>1040734.4299926758</v>
          </cell>
          <cell r="E43">
            <v>0</v>
          </cell>
          <cell r="J43">
            <v>1040734</v>
          </cell>
          <cell r="K43">
            <v>0</v>
          </cell>
        </row>
        <row r="44">
          <cell r="B44">
            <v>13110</v>
          </cell>
          <cell r="C44" t="str">
            <v>OPENING STOCK OF STORES SPARES</v>
          </cell>
          <cell r="D44">
            <v>32054425</v>
          </cell>
          <cell r="E44">
            <v>18723177</v>
          </cell>
          <cell r="J44">
            <v>32054425</v>
          </cell>
          <cell r="K44">
            <v>18723177</v>
          </cell>
        </row>
        <row r="45">
          <cell r="B45">
            <v>13111</v>
          </cell>
          <cell r="C45" t="str">
            <v>STORES, SPARE PARTS, CONSUMABLES CONSUMED</v>
          </cell>
          <cell r="D45">
            <v>709587.67999998457</v>
          </cell>
          <cell r="E45">
            <v>146517.97999998927</v>
          </cell>
          <cell r="J45">
            <v>709588</v>
          </cell>
          <cell r="K45">
            <v>146518</v>
          </cell>
        </row>
        <row r="46">
          <cell r="B46">
            <v>13115</v>
          </cell>
          <cell r="C46" t="str">
            <v>OTHER MANUFACTURING EXP/ SERVICES (6250)</v>
          </cell>
          <cell r="D46">
            <v>1314077.5</v>
          </cell>
          <cell r="E46">
            <v>22857344.229999997</v>
          </cell>
          <cell r="J46">
            <v>1314078</v>
          </cell>
          <cell r="K46">
            <v>22857344</v>
          </cell>
        </row>
        <row r="47">
          <cell r="B47">
            <v>13117</v>
          </cell>
          <cell r="C47" t="str">
            <v>CLOSING STOCK OF STORES SPARES (P&amp;L)</v>
          </cell>
          <cell r="D47">
            <v>-36709707</v>
          </cell>
          <cell r="E47">
            <v>-19624499</v>
          </cell>
          <cell r="J47">
            <v>-36709707</v>
          </cell>
          <cell r="K47">
            <v>-19624499</v>
          </cell>
        </row>
        <row r="48">
          <cell r="B48">
            <v>13121</v>
          </cell>
          <cell r="C48" t="str">
            <v>POWER (FACTORY) (6210)</v>
          </cell>
          <cell r="D48">
            <v>29956083.32</v>
          </cell>
          <cell r="E48">
            <v>84631439</v>
          </cell>
          <cell r="J48">
            <v>29956083</v>
          </cell>
          <cell r="K48">
            <v>84631439</v>
          </cell>
        </row>
        <row r="49">
          <cell r="B49">
            <v>13124</v>
          </cell>
          <cell r="C49" t="str">
            <v>POWER (OFFICE)</v>
          </cell>
          <cell r="D49">
            <v>665847.7799999998</v>
          </cell>
          <cell r="E49">
            <v>18000</v>
          </cell>
          <cell r="J49">
            <v>665848</v>
          </cell>
          <cell r="K49">
            <v>18000</v>
          </cell>
        </row>
        <row r="50">
          <cell r="B50">
            <v>13132</v>
          </cell>
          <cell r="C50" t="str">
            <v>REPAIRS &amp; MAINT - PLANT &amp; MACHINERY (6310)</v>
          </cell>
          <cell r="D50">
            <v>8306591.8999999985</v>
          </cell>
          <cell r="E50">
            <v>5903692.0999999978</v>
          </cell>
          <cell r="J50">
            <v>8306592</v>
          </cell>
          <cell r="K50">
            <v>5903692</v>
          </cell>
        </row>
        <row r="51">
          <cell r="B51">
            <v>13137</v>
          </cell>
          <cell r="C51" t="str">
            <v>REPAIRS &amp; MAINT - BUILDING (6320)</v>
          </cell>
          <cell r="D51">
            <v>2076844.0699999994</v>
          </cell>
          <cell r="E51">
            <v>2669363.5</v>
          </cell>
          <cell r="J51">
            <v>2076844</v>
          </cell>
          <cell r="K51">
            <v>2669364</v>
          </cell>
        </row>
        <row r="52">
          <cell r="B52">
            <v>13139</v>
          </cell>
          <cell r="C52" t="str">
            <v>GARDEN MAINT.(7473)</v>
          </cell>
          <cell r="D52">
            <v>103764.6</v>
          </cell>
          <cell r="E52">
            <v>240</v>
          </cell>
          <cell r="J52">
            <v>103765</v>
          </cell>
          <cell r="K52">
            <v>240</v>
          </cell>
        </row>
        <row r="53">
          <cell r="B53">
            <v>13141</v>
          </cell>
          <cell r="C53" t="str">
            <v>REPAIRS TO FURNITURE /EQUIPMENT(6315)</v>
          </cell>
          <cell r="D53">
            <v>141137</v>
          </cell>
          <cell r="E53">
            <v>14980</v>
          </cell>
          <cell r="J53">
            <v>141137</v>
          </cell>
          <cell r="K53">
            <v>14980</v>
          </cell>
        </row>
        <row r="54">
          <cell r="B54">
            <v>13146</v>
          </cell>
          <cell r="C54" t="str">
            <v>REPAIRS &amp; MAINT - ELECTRICALS (6330)</v>
          </cell>
          <cell r="D54">
            <v>2880</v>
          </cell>
          <cell r="E54">
            <v>45106</v>
          </cell>
          <cell r="J54">
            <v>2880</v>
          </cell>
          <cell r="K54">
            <v>45106</v>
          </cell>
        </row>
        <row r="55">
          <cell r="B55">
            <v>13148</v>
          </cell>
          <cell r="C55" t="str">
            <v>REPAIRS &amp; MAINT - OTHERS (6340)</v>
          </cell>
          <cell r="D55">
            <v>227755</v>
          </cell>
          <cell r="E55">
            <v>178034</v>
          </cell>
          <cell r="J55">
            <v>227755</v>
          </cell>
          <cell r="K55">
            <v>178034</v>
          </cell>
        </row>
        <row r="56">
          <cell r="B56">
            <v>13204</v>
          </cell>
          <cell r="C56" t="str">
            <v>SALARIES, WAGES, BONUS ETC.(OFFICERS) (6410,12,15,20-2,</v>
          </cell>
          <cell r="D56">
            <v>44104010.299999997</v>
          </cell>
          <cell r="E56">
            <v>22883318.670000002</v>
          </cell>
          <cell r="J56">
            <v>44104010</v>
          </cell>
          <cell r="K56">
            <v>22883319</v>
          </cell>
        </row>
        <row r="57">
          <cell r="B57">
            <v>13207</v>
          </cell>
          <cell r="C57" t="str">
            <v>LEAVE TRAVEL ASSISTANCE (OFFICERS) (6435)</v>
          </cell>
          <cell r="D57">
            <v>1430950</v>
          </cell>
          <cell r="E57">
            <v>835704</v>
          </cell>
          <cell r="J57">
            <v>1430950</v>
          </cell>
          <cell r="K57">
            <v>835704</v>
          </cell>
        </row>
        <row r="58">
          <cell r="B58">
            <v>13208</v>
          </cell>
          <cell r="C58" t="str">
            <v>PERFORMANCE REWARD (OFFICERS)</v>
          </cell>
          <cell r="D58">
            <v>1955200</v>
          </cell>
          <cell r="E58">
            <v>1074194</v>
          </cell>
          <cell r="J58">
            <v>1955200</v>
          </cell>
          <cell r="K58">
            <v>1074194</v>
          </cell>
        </row>
        <row r="59">
          <cell r="B59">
            <v>13210</v>
          </cell>
          <cell r="C59" t="str">
            <v>STIPEND A/C (6504)</v>
          </cell>
          <cell r="D59">
            <v>124000</v>
          </cell>
          <cell r="E59">
            <v>167925</v>
          </cell>
          <cell r="J59">
            <v>124000</v>
          </cell>
          <cell r="K59">
            <v>167925</v>
          </cell>
        </row>
        <row r="60">
          <cell r="B60">
            <v>13213</v>
          </cell>
          <cell r="C60" t="str">
            <v>MANAGERIAL REMUNERATION (6676)</v>
          </cell>
          <cell r="D60">
            <v>0</v>
          </cell>
          <cell r="E60">
            <v>0</v>
          </cell>
          <cell r="J60">
            <v>0</v>
          </cell>
          <cell r="K60">
            <v>0</v>
          </cell>
        </row>
        <row r="61">
          <cell r="B61">
            <v>13223</v>
          </cell>
          <cell r="C61" t="str">
            <v>SALARIES , WAGES, BONUS ETC. (STAFF)</v>
          </cell>
          <cell r="D61">
            <v>889272</v>
          </cell>
          <cell r="E61">
            <v>0</v>
          </cell>
          <cell r="G61">
            <v>-1185539</v>
          </cell>
          <cell r="J61">
            <v>-296267</v>
          </cell>
          <cell r="K61">
            <v>0</v>
          </cell>
        </row>
        <row r="62">
          <cell r="B62">
            <v>13225</v>
          </cell>
          <cell r="C62" t="str">
            <v>LEAVE TRAVEL ASSISTANCE (STAFF) (6550)</v>
          </cell>
          <cell r="D62">
            <v>43950</v>
          </cell>
          <cell r="E62">
            <v>0</v>
          </cell>
          <cell r="J62">
            <v>43950</v>
          </cell>
          <cell r="K62">
            <v>0</v>
          </cell>
        </row>
        <row r="63">
          <cell r="B63">
            <v>13226</v>
          </cell>
          <cell r="C63" t="str">
            <v>PERFROMANCE REWARD (STAFF)</v>
          </cell>
          <cell r="D63">
            <v>-23500</v>
          </cell>
          <cell r="E63">
            <v>0</v>
          </cell>
          <cell r="J63">
            <v>-23500</v>
          </cell>
          <cell r="K63">
            <v>0</v>
          </cell>
        </row>
        <row r="64">
          <cell r="B64">
            <v>13231</v>
          </cell>
          <cell r="C64" t="str">
            <v>SALARIES , WAGES, BONUS ETC. (WORKERS)</v>
          </cell>
          <cell r="D64">
            <v>50307752.00999999</v>
          </cell>
          <cell r="E64">
            <v>24823157.620000005</v>
          </cell>
          <cell r="J64">
            <v>50307752</v>
          </cell>
          <cell r="K64">
            <v>24823158</v>
          </cell>
        </row>
        <row r="65">
          <cell r="B65">
            <v>13233</v>
          </cell>
          <cell r="C65" t="str">
            <v>LEAVE TRAVEL ASSISTANCE (WORKERS) (6650)</v>
          </cell>
          <cell r="D65">
            <v>1292400</v>
          </cell>
          <cell r="E65">
            <v>953195</v>
          </cell>
          <cell r="J65">
            <v>1292400</v>
          </cell>
          <cell r="K65">
            <v>953195</v>
          </cell>
        </row>
        <row r="66">
          <cell r="B66">
            <v>13235</v>
          </cell>
          <cell r="C66" t="str">
            <v>EXGRATIA (WORKERS) (6660)</v>
          </cell>
          <cell r="D66">
            <v>3515206</v>
          </cell>
          <cell r="E66">
            <v>1397318</v>
          </cell>
          <cell r="J66">
            <v>3515206</v>
          </cell>
          <cell r="K66">
            <v>1397318</v>
          </cell>
        </row>
        <row r="67">
          <cell r="B67">
            <v>13243</v>
          </cell>
          <cell r="C67" t="str">
            <v>GRATUITY (OFFICERS) (6450)</v>
          </cell>
          <cell r="D67">
            <v>648373</v>
          </cell>
          <cell r="E67">
            <v>429310</v>
          </cell>
          <cell r="J67">
            <v>648373</v>
          </cell>
          <cell r="K67">
            <v>429310</v>
          </cell>
        </row>
        <row r="68">
          <cell r="B68">
            <v>13245</v>
          </cell>
          <cell r="C68" t="str">
            <v>PROVIDEND FUND (OFFICERS) (6455)</v>
          </cell>
          <cell r="D68">
            <v>2617842</v>
          </cell>
          <cell r="E68">
            <v>1715861</v>
          </cell>
          <cell r="J68">
            <v>2617842</v>
          </cell>
          <cell r="K68">
            <v>1715861</v>
          </cell>
        </row>
        <row r="69">
          <cell r="B69">
            <v>13247</v>
          </cell>
          <cell r="C69" t="str">
            <v>DEPOSIT LINK INSURANCE FUND (OFFICERS) (7425/7426)</v>
          </cell>
          <cell r="D69">
            <v>193280.99999999988</v>
          </cell>
          <cell r="E69">
            <v>51542</v>
          </cell>
          <cell r="J69">
            <v>193281</v>
          </cell>
          <cell r="K69">
            <v>51542</v>
          </cell>
        </row>
        <row r="70">
          <cell r="B70">
            <v>13249</v>
          </cell>
          <cell r="C70" t="str">
            <v>SUPERANNUATION (OFFICERS) (6480)</v>
          </cell>
          <cell r="D70">
            <v>2419661</v>
          </cell>
          <cell r="E70">
            <v>1379804</v>
          </cell>
          <cell r="J70">
            <v>2419661</v>
          </cell>
          <cell r="K70">
            <v>1379804</v>
          </cell>
        </row>
        <row r="71">
          <cell r="B71">
            <v>13250</v>
          </cell>
          <cell r="C71" t="str">
            <v>ESIC OFFICERS</v>
          </cell>
          <cell r="D71">
            <v>1844</v>
          </cell>
          <cell r="E71">
            <v>0</v>
          </cell>
          <cell r="J71">
            <v>1844</v>
          </cell>
          <cell r="K71">
            <v>0</v>
          </cell>
        </row>
        <row r="72">
          <cell r="B72">
            <v>13255</v>
          </cell>
          <cell r="C72" t="str">
            <v>GRATUITY (STAFF) (6565)</v>
          </cell>
          <cell r="D72">
            <v>20951</v>
          </cell>
          <cell r="E72">
            <v>0</v>
          </cell>
          <cell r="J72">
            <v>20951</v>
          </cell>
          <cell r="K72">
            <v>0</v>
          </cell>
        </row>
        <row r="73">
          <cell r="B73">
            <v>13257</v>
          </cell>
          <cell r="C73" t="str">
            <v>PROVIDEND FUND (STAFF) (6570)</v>
          </cell>
          <cell r="D73">
            <v>63384</v>
          </cell>
          <cell r="E73">
            <v>0</v>
          </cell>
          <cell r="J73">
            <v>63384</v>
          </cell>
          <cell r="K73">
            <v>0</v>
          </cell>
        </row>
        <row r="74">
          <cell r="B74">
            <v>13261</v>
          </cell>
          <cell r="C74" t="str">
            <v>ESIC (STAFF) (6590)</v>
          </cell>
          <cell r="D74">
            <v>11004</v>
          </cell>
          <cell r="E74">
            <v>751</v>
          </cell>
          <cell r="J74">
            <v>11004</v>
          </cell>
          <cell r="K74">
            <v>751</v>
          </cell>
        </row>
        <row r="75">
          <cell r="B75">
            <v>13267</v>
          </cell>
          <cell r="C75" t="str">
            <v>GRATUITY (WORKERS) (6665)</v>
          </cell>
          <cell r="D75">
            <v>4562737</v>
          </cell>
          <cell r="E75">
            <v>940069</v>
          </cell>
          <cell r="J75">
            <v>4562737</v>
          </cell>
          <cell r="K75">
            <v>940069</v>
          </cell>
        </row>
        <row r="76">
          <cell r="B76">
            <v>13269</v>
          </cell>
          <cell r="C76" t="str">
            <v>PROVIDEND FUND (WORKERS) (6670)</v>
          </cell>
          <cell r="D76">
            <v>3268369</v>
          </cell>
          <cell r="E76">
            <v>1506706</v>
          </cell>
          <cell r="J76">
            <v>3268369</v>
          </cell>
          <cell r="K76">
            <v>1506706</v>
          </cell>
        </row>
        <row r="77">
          <cell r="B77">
            <v>13273</v>
          </cell>
          <cell r="C77" t="str">
            <v>ESIC (WORKERS) (6690)</v>
          </cell>
          <cell r="D77">
            <v>12545</v>
          </cell>
          <cell r="E77">
            <v>0</v>
          </cell>
          <cell r="J77">
            <v>12545</v>
          </cell>
          <cell r="K77">
            <v>0</v>
          </cell>
        </row>
        <row r="78">
          <cell r="B78">
            <v>13281</v>
          </cell>
          <cell r="C78" t="str">
            <v>MEDICAL EXPENSES (OFFICERS) (6485)</v>
          </cell>
          <cell r="D78">
            <v>1199626</v>
          </cell>
          <cell r="E78">
            <v>840060</v>
          </cell>
          <cell r="J78">
            <v>1199626</v>
          </cell>
          <cell r="K78">
            <v>840060</v>
          </cell>
        </row>
        <row r="79">
          <cell r="B79">
            <v>13283</v>
          </cell>
          <cell r="C79" t="str">
            <v>MEDICLAIM EXPENSES (OFFICERS) (6490)</v>
          </cell>
          <cell r="D79">
            <v>536481</v>
          </cell>
          <cell r="E79">
            <v>293417</v>
          </cell>
          <cell r="J79">
            <v>536481</v>
          </cell>
          <cell r="K79">
            <v>293417</v>
          </cell>
        </row>
        <row r="80">
          <cell r="B80">
            <v>13285</v>
          </cell>
          <cell r="C80" t="str">
            <v>OFFICE DRESS (OFFICERS) (6495)</v>
          </cell>
          <cell r="D80">
            <v>122808</v>
          </cell>
          <cell r="E80">
            <v>101923</v>
          </cell>
          <cell r="J80">
            <v>122808</v>
          </cell>
          <cell r="K80">
            <v>101923</v>
          </cell>
        </row>
        <row r="81">
          <cell r="B81">
            <v>13287</v>
          </cell>
          <cell r="C81" t="str">
            <v>SOFT FURNISINGS (OFFICERS) (6496)</v>
          </cell>
          <cell r="D81">
            <v>10600</v>
          </cell>
          <cell r="E81">
            <v>9600</v>
          </cell>
          <cell r="J81">
            <v>10600</v>
          </cell>
          <cell r="K81">
            <v>9600</v>
          </cell>
        </row>
        <row r="82">
          <cell r="B82">
            <v>13291</v>
          </cell>
          <cell r="C82" t="str">
            <v>OFFICE DRESS (STAFF)</v>
          </cell>
          <cell r="D82">
            <v>10800</v>
          </cell>
          <cell r="E82">
            <v>0</v>
          </cell>
          <cell r="J82">
            <v>10800</v>
          </cell>
          <cell r="K82">
            <v>0</v>
          </cell>
        </row>
        <row r="83">
          <cell r="B83">
            <v>13292</v>
          </cell>
          <cell r="C83" t="str">
            <v>MEDICLAIM STAFF</v>
          </cell>
          <cell r="D83">
            <v>19807</v>
          </cell>
          <cell r="E83">
            <v>0</v>
          </cell>
          <cell r="J83">
            <v>19807</v>
          </cell>
          <cell r="K83">
            <v>0</v>
          </cell>
        </row>
        <row r="84">
          <cell r="B84">
            <v>13293</v>
          </cell>
          <cell r="C84" t="str">
            <v>MEDICAL EXPENSES (STAFF) (6595)</v>
          </cell>
          <cell r="D84">
            <v>20700</v>
          </cell>
          <cell r="E84">
            <v>0</v>
          </cell>
          <cell r="J84">
            <v>20700</v>
          </cell>
          <cell r="K84">
            <v>0</v>
          </cell>
        </row>
        <row r="85">
          <cell r="B85">
            <v>13298</v>
          </cell>
          <cell r="C85" t="str">
            <v>MAHARASHATRA LABOUR WELFARE FUND (6680)</v>
          </cell>
          <cell r="D85">
            <v>9576</v>
          </cell>
          <cell r="E85">
            <v>3744</v>
          </cell>
          <cell r="J85">
            <v>9576</v>
          </cell>
          <cell r="K85">
            <v>3744</v>
          </cell>
        </row>
        <row r="86">
          <cell r="B86">
            <v>13300</v>
          </cell>
          <cell r="C86" t="str">
            <v>MEDICAL EXPENSES (WORKERS) (6695)</v>
          </cell>
          <cell r="D86">
            <v>1412306</v>
          </cell>
          <cell r="E86">
            <v>514070</v>
          </cell>
          <cell r="J86">
            <v>1412306</v>
          </cell>
          <cell r="K86">
            <v>514070</v>
          </cell>
        </row>
        <row r="87">
          <cell r="B87">
            <v>13301</v>
          </cell>
          <cell r="C87" t="str">
            <v>MEDICLAIM (WORKERS)</v>
          </cell>
          <cell r="D87">
            <v>822674</v>
          </cell>
          <cell r="E87">
            <v>628930.00000000023</v>
          </cell>
          <cell r="J87">
            <v>822674</v>
          </cell>
          <cell r="K87">
            <v>628930</v>
          </cell>
        </row>
        <row r="88">
          <cell r="B88">
            <v>13308</v>
          </cell>
          <cell r="C88" t="str">
            <v>CONTRACT LABOUR EXPENSES (6780)</v>
          </cell>
          <cell r="D88">
            <v>8568295.4000000004</v>
          </cell>
          <cell r="E88">
            <v>115588</v>
          </cell>
          <cell r="J88">
            <v>8568295</v>
          </cell>
          <cell r="K88">
            <v>115588</v>
          </cell>
        </row>
        <row r="89">
          <cell r="B89">
            <v>13314</v>
          </cell>
          <cell r="C89" t="str">
            <v>CANTEEN EXPENSES</v>
          </cell>
          <cell r="D89">
            <v>5853955.5</v>
          </cell>
          <cell r="E89">
            <v>2675943</v>
          </cell>
          <cell r="J89">
            <v>5853956</v>
          </cell>
          <cell r="K89">
            <v>2675943</v>
          </cell>
        </row>
        <row r="90">
          <cell r="B90">
            <v>13316</v>
          </cell>
          <cell r="C90" t="str">
            <v>WELFARE - FIRST AID (7020)</v>
          </cell>
          <cell r="D90">
            <v>81999.329999999958</v>
          </cell>
          <cell r="E90">
            <v>20984</v>
          </cell>
          <cell r="J90">
            <v>81999</v>
          </cell>
          <cell r="K90">
            <v>20984</v>
          </cell>
        </row>
        <row r="91">
          <cell r="B91">
            <v>13318</v>
          </cell>
          <cell r="C91" t="str">
            <v>WELFARE - TRANSPORT (JEEP/ BUS HIRE) EXP. (7040)</v>
          </cell>
          <cell r="D91">
            <v>2509117</v>
          </cell>
          <cell r="E91">
            <v>3024519.5199999996</v>
          </cell>
          <cell r="J91">
            <v>2509117</v>
          </cell>
          <cell r="K91">
            <v>3024520</v>
          </cell>
        </row>
        <row r="92">
          <cell r="B92">
            <v>13320</v>
          </cell>
          <cell r="C92" t="str">
            <v>WELFARE - OTHERS (7050)</v>
          </cell>
          <cell r="D92">
            <v>1784668.5</v>
          </cell>
          <cell r="E92">
            <v>588205.46</v>
          </cell>
          <cell r="J92">
            <v>1784669</v>
          </cell>
          <cell r="K92">
            <v>588205</v>
          </cell>
        </row>
        <row r="93">
          <cell r="B93">
            <v>13381</v>
          </cell>
          <cell r="C93" t="str">
            <v>RENT (7100)</v>
          </cell>
          <cell r="D93">
            <v>299079</v>
          </cell>
          <cell r="E93">
            <v>593480</v>
          </cell>
          <cell r="J93">
            <v>299079</v>
          </cell>
          <cell r="K93">
            <v>593480</v>
          </cell>
        </row>
        <row r="94">
          <cell r="B94">
            <v>13384</v>
          </cell>
          <cell r="C94" t="str">
            <v>WATER (6220)</v>
          </cell>
          <cell r="D94">
            <v>1404687.5</v>
          </cell>
          <cell r="E94">
            <v>1459704.5</v>
          </cell>
          <cell r="J94">
            <v>1404688</v>
          </cell>
          <cell r="K94">
            <v>1459705</v>
          </cell>
        </row>
        <row r="95">
          <cell r="B95">
            <v>13385</v>
          </cell>
          <cell r="C95" t="str">
            <v>RATES &amp; TAXES (7110)</v>
          </cell>
          <cell r="D95">
            <v>492907</v>
          </cell>
          <cell r="E95">
            <v>7144769.9999999981</v>
          </cell>
          <cell r="J95">
            <v>492907</v>
          </cell>
          <cell r="K95">
            <v>7144770</v>
          </cell>
        </row>
        <row r="96">
          <cell r="B96">
            <v>13386</v>
          </cell>
          <cell r="C96" t="str">
            <v>SERVICE TAX ON TRANSPORT (GTO) (7111)</v>
          </cell>
          <cell r="D96">
            <v>35875</v>
          </cell>
          <cell r="E96">
            <v>2091752</v>
          </cell>
          <cell r="J96">
            <v>35875</v>
          </cell>
          <cell r="K96">
            <v>2091752</v>
          </cell>
        </row>
        <row r="97">
          <cell r="B97">
            <v>13387</v>
          </cell>
          <cell r="C97" t="str">
            <v>PROFESSIONAL TAX (COMPANY) (</v>
          </cell>
          <cell r="D97">
            <v>0</v>
          </cell>
          <cell r="E97">
            <v>0</v>
          </cell>
          <cell r="J97">
            <v>0</v>
          </cell>
          <cell r="K97">
            <v>0</v>
          </cell>
        </row>
        <row r="98">
          <cell r="B98">
            <v>13393</v>
          </cell>
          <cell r="C98" t="str">
            <v>INSURANCE (7160)</v>
          </cell>
          <cell r="D98">
            <v>966986.96999999974</v>
          </cell>
          <cell r="E98">
            <v>1003038.7000000002</v>
          </cell>
          <cell r="J98">
            <v>966987</v>
          </cell>
          <cell r="K98">
            <v>1003039</v>
          </cell>
        </row>
        <row r="99">
          <cell r="B99">
            <v>13408</v>
          </cell>
          <cell r="C99" t="str">
            <v>DISCOUNT ALLOWED (7180)</v>
          </cell>
          <cell r="D99">
            <v>32722</v>
          </cell>
          <cell r="E99">
            <v>811708</v>
          </cell>
          <cell r="J99">
            <v>32722</v>
          </cell>
          <cell r="K99">
            <v>811708</v>
          </cell>
        </row>
        <row r="100">
          <cell r="B100">
            <v>13412</v>
          </cell>
          <cell r="C100" t="str">
            <v>COMMISSION ON SALE (7170)</v>
          </cell>
          <cell r="D100">
            <v>14883175</v>
          </cell>
          <cell r="E100">
            <v>985085.99999999814</v>
          </cell>
          <cell r="J100">
            <v>14883175</v>
          </cell>
          <cell r="K100">
            <v>985086</v>
          </cell>
        </row>
        <row r="101">
          <cell r="B101">
            <v>13428</v>
          </cell>
          <cell r="C101" t="str">
            <v>SECURITY (7360)</v>
          </cell>
          <cell r="D101">
            <v>1829199</v>
          </cell>
          <cell r="E101">
            <v>2125237</v>
          </cell>
          <cell r="J101">
            <v>1829199</v>
          </cell>
          <cell r="K101">
            <v>2125237</v>
          </cell>
        </row>
        <row r="102">
          <cell r="B102">
            <v>13429</v>
          </cell>
          <cell r="C102" t="str">
            <v>SAFETY &amp; SANITATION (7370)</v>
          </cell>
          <cell r="D102">
            <v>257061</v>
          </cell>
          <cell r="E102">
            <v>150452</v>
          </cell>
          <cell r="J102">
            <v>257061</v>
          </cell>
          <cell r="K102">
            <v>150452</v>
          </cell>
        </row>
        <row r="103">
          <cell r="B103">
            <v>13446</v>
          </cell>
          <cell r="C103" t="str">
            <v>DIRECTOR'S TRAVELLING EXP. (7210)</v>
          </cell>
          <cell r="D103">
            <v>6836371.4199999999</v>
          </cell>
          <cell r="E103">
            <v>0</v>
          </cell>
          <cell r="J103">
            <v>6836371</v>
          </cell>
          <cell r="K103">
            <v>0</v>
          </cell>
        </row>
        <row r="104">
          <cell r="B104">
            <v>13447</v>
          </cell>
          <cell r="C104" t="str">
            <v>FOREIGNER'S TRAVELLING EXP. (7210)</v>
          </cell>
          <cell r="D104">
            <v>5258299.5</v>
          </cell>
          <cell r="E104">
            <v>47794</v>
          </cell>
          <cell r="J104">
            <v>5258300</v>
          </cell>
          <cell r="K104">
            <v>47794</v>
          </cell>
        </row>
        <row r="105">
          <cell r="B105">
            <v>13448</v>
          </cell>
          <cell r="C105" t="str">
            <v>FOREIGN TRAV)EL EXP. (7211)</v>
          </cell>
          <cell r="D105">
            <v>1631425</v>
          </cell>
          <cell r="E105">
            <v>340614</v>
          </cell>
          <cell r="J105">
            <v>1631425</v>
          </cell>
          <cell r="K105">
            <v>340614</v>
          </cell>
        </row>
        <row r="106">
          <cell r="B106">
            <v>13449</v>
          </cell>
          <cell r="C106" t="str">
            <v>LOCAL TRAVELLING (7212/ 7220)</v>
          </cell>
          <cell r="D106">
            <v>1871194.4000000004</v>
          </cell>
          <cell r="E106">
            <v>1398246</v>
          </cell>
          <cell r="J106">
            <v>1871194</v>
          </cell>
          <cell r="K106">
            <v>1398246</v>
          </cell>
        </row>
        <row r="107">
          <cell r="B107">
            <v>13450</v>
          </cell>
          <cell r="C107" t="str">
            <v>CONVENYANCE EXPENSES (LOCAL) (3316)</v>
          </cell>
          <cell r="D107">
            <v>1065314.5</v>
          </cell>
          <cell r="E107">
            <v>538121</v>
          </cell>
          <cell r="J107">
            <v>1065315</v>
          </cell>
          <cell r="K107">
            <v>538121</v>
          </cell>
        </row>
        <row r="108">
          <cell r="B108">
            <v>13470</v>
          </cell>
          <cell r="C108" t="str">
            <v>DIRECTORS FEES (7280)</v>
          </cell>
          <cell r="D108">
            <v>200000</v>
          </cell>
          <cell r="E108">
            <v>0</v>
          </cell>
          <cell r="J108">
            <v>200000</v>
          </cell>
          <cell r="K108">
            <v>0</v>
          </cell>
        </row>
        <row r="109">
          <cell r="B109">
            <v>13475</v>
          </cell>
          <cell r="C109" t="str">
            <v>FREIGHT &amp; TRANSPORT - LOCAL SALES (7285)</v>
          </cell>
          <cell r="D109">
            <v>3413029.0000000019</v>
          </cell>
          <cell r="E109">
            <v>50714499.420000017</v>
          </cell>
          <cell r="J109">
            <v>3413029</v>
          </cell>
          <cell r="K109">
            <v>50714499</v>
          </cell>
        </row>
        <row r="110">
          <cell r="B110">
            <v>13476</v>
          </cell>
          <cell r="C110" t="str">
            <v>LOADING &amp; UNLOADING EXPENSE (7286)</v>
          </cell>
          <cell r="D110">
            <v>-2051</v>
          </cell>
          <cell r="E110">
            <v>13166033.849999994</v>
          </cell>
          <cell r="J110">
            <v>-2051</v>
          </cell>
          <cell r="K110">
            <v>13166034</v>
          </cell>
        </row>
        <row r="111">
          <cell r="B111">
            <v>13478</v>
          </cell>
          <cell r="C111" t="str">
            <v>FREIGHT ON REJECTED DRUMS</v>
          </cell>
          <cell r="D111">
            <v>8954</v>
          </cell>
          <cell r="E111">
            <v>26338.000000000007</v>
          </cell>
          <cell r="J111">
            <v>8954</v>
          </cell>
          <cell r="K111">
            <v>26338</v>
          </cell>
        </row>
        <row r="112">
          <cell r="B112">
            <v>13479</v>
          </cell>
          <cell r="C112" t="str">
            <v>FREIGHT - THAPI &amp; TOLL CHARGES</v>
          </cell>
          <cell r="D112">
            <v>820</v>
          </cell>
          <cell r="E112">
            <v>2400</v>
          </cell>
          <cell r="J112">
            <v>820</v>
          </cell>
          <cell r="K112">
            <v>2400</v>
          </cell>
        </row>
        <row r="113">
          <cell r="B113">
            <v>13480</v>
          </cell>
          <cell r="C113" t="str">
            <v>OCTROI - PAID (7310)</v>
          </cell>
          <cell r="D113">
            <v>115803</v>
          </cell>
          <cell r="E113">
            <v>-5506081.5500000007</v>
          </cell>
          <cell r="J113">
            <v>115803</v>
          </cell>
          <cell r="K113">
            <v>-5506082</v>
          </cell>
        </row>
        <row r="114">
          <cell r="B114">
            <v>13483</v>
          </cell>
          <cell r="C114" t="str">
            <v>FREIGHT &amp; TRANSPORT - RECOVERED LOCAL (7290)</v>
          </cell>
          <cell r="D114">
            <v>-4142521.59</v>
          </cell>
          <cell r="E114">
            <v>-33332153.140000001</v>
          </cell>
          <cell r="J114">
            <v>-4142522</v>
          </cell>
          <cell r="K114">
            <v>-33332153</v>
          </cell>
        </row>
        <row r="115">
          <cell r="B115">
            <v>13484</v>
          </cell>
          <cell r="C115" t="str">
            <v>OCTROI - RECOVERED (7315)</v>
          </cell>
          <cell r="D115">
            <v>0</v>
          </cell>
          <cell r="E115">
            <v>5544780</v>
          </cell>
          <cell r="J115">
            <v>0</v>
          </cell>
          <cell r="K115">
            <v>5544780</v>
          </cell>
        </row>
        <row r="116">
          <cell r="B116">
            <v>13485</v>
          </cell>
          <cell r="C116" t="str">
            <v>FREIGHT &amp; TRANSPORT - EXPORTS SALES (7295)</v>
          </cell>
          <cell r="D116">
            <v>6211052.6799999997</v>
          </cell>
          <cell r="E116">
            <v>1819873.950000003</v>
          </cell>
          <cell r="J116">
            <v>6211053</v>
          </cell>
          <cell r="K116">
            <v>1819874</v>
          </cell>
        </row>
        <row r="117">
          <cell r="B117">
            <v>13486</v>
          </cell>
          <cell r="C117" t="str">
            <v>FREIGHT &amp; TRANSPORT - RECOVERED- EXPORTS (7300)</v>
          </cell>
          <cell r="D117">
            <v>0</v>
          </cell>
          <cell r="E117">
            <v>0</v>
          </cell>
          <cell r="J117">
            <v>0</v>
          </cell>
          <cell r="K117">
            <v>0</v>
          </cell>
        </row>
        <row r="118">
          <cell r="B118">
            <v>13506</v>
          </cell>
          <cell r="C118" t="str">
            <v>BAD DEBTS (7350)</v>
          </cell>
          <cell r="D118">
            <v>0</v>
          </cell>
          <cell r="E118">
            <v>54155.320000000065</v>
          </cell>
          <cell r="J118">
            <v>0</v>
          </cell>
          <cell r="K118">
            <v>54155</v>
          </cell>
        </row>
        <row r="119">
          <cell r="B119">
            <v>13507</v>
          </cell>
          <cell r="C119" t="str">
            <v>ADV. WIRTTEN OFF</v>
          </cell>
          <cell r="D119">
            <v>914255</v>
          </cell>
          <cell r="E119">
            <v>0</v>
          </cell>
          <cell r="J119">
            <v>914255</v>
          </cell>
          <cell r="K119">
            <v>0</v>
          </cell>
        </row>
        <row r="120">
          <cell r="B120">
            <v>13526</v>
          </cell>
          <cell r="C120" t="str">
            <v>PROVISION FOR DOUBTFUL DEBTS/ADVANCE (7355)</v>
          </cell>
          <cell r="D120">
            <v>2168621</v>
          </cell>
          <cell r="E120">
            <v>0</v>
          </cell>
          <cell r="J120">
            <v>2168621</v>
          </cell>
          <cell r="K120">
            <v>0</v>
          </cell>
        </row>
        <row r="121">
          <cell r="B121">
            <v>13539</v>
          </cell>
          <cell r="C121" t="str">
            <v>LEGAL EXPENSES (7260)</v>
          </cell>
          <cell r="D121">
            <v>45010</v>
          </cell>
          <cell r="E121">
            <v>12300</v>
          </cell>
          <cell r="J121">
            <v>45010</v>
          </cell>
          <cell r="K121">
            <v>12300</v>
          </cell>
        </row>
        <row r="122">
          <cell r="B122">
            <v>13540</v>
          </cell>
          <cell r="C122" t="str">
            <v>PROFESSIONAL EXPENSES (7265)</v>
          </cell>
          <cell r="D122">
            <v>19488393.760000005</v>
          </cell>
          <cell r="E122">
            <v>486387</v>
          </cell>
          <cell r="G122">
            <v>250000</v>
          </cell>
          <cell r="J122">
            <v>19738394</v>
          </cell>
          <cell r="K122">
            <v>486387</v>
          </cell>
        </row>
        <row r="123">
          <cell r="B123">
            <v>13542</v>
          </cell>
          <cell r="C123" t="str">
            <v>SECRETARIAL EXPENSES (7271,7272,7273)</v>
          </cell>
          <cell r="D123">
            <v>1016524</v>
          </cell>
          <cell r="E123">
            <v>0</v>
          </cell>
          <cell r="J123">
            <v>1016524</v>
          </cell>
          <cell r="K123">
            <v>0</v>
          </cell>
        </row>
        <row r="124">
          <cell r="B124">
            <v>13558</v>
          </cell>
          <cell r="C124" t="str">
            <v>PRINTING &amp; STATIONERY (7460,7461)</v>
          </cell>
          <cell r="D124">
            <v>592816.65</v>
          </cell>
          <cell r="E124">
            <v>616484.75</v>
          </cell>
          <cell r="J124">
            <v>592817</v>
          </cell>
          <cell r="K124">
            <v>616485</v>
          </cell>
        </row>
        <row r="125">
          <cell r="B125">
            <v>13559</v>
          </cell>
          <cell r="C125" t="str">
            <v>PHOTO COPYING EXPENSES (7495)</v>
          </cell>
          <cell r="D125">
            <v>69584</v>
          </cell>
          <cell r="E125">
            <v>11581.400000000001</v>
          </cell>
          <cell r="J125">
            <v>69584</v>
          </cell>
          <cell r="K125">
            <v>11581</v>
          </cell>
        </row>
        <row r="126">
          <cell r="B126">
            <v>13563</v>
          </cell>
          <cell r="C126" t="str">
            <v>TELEPHONE, TELEX &amp; FAX EXPENSES (7500)</v>
          </cell>
          <cell r="D126">
            <v>1008660.0699999997</v>
          </cell>
          <cell r="E126">
            <v>368890.38000000012</v>
          </cell>
          <cell r="J126">
            <v>1008660</v>
          </cell>
          <cell r="K126">
            <v>368890</v>
          </cell>
        </row>
        <row r="127">
          <cell r="B127">
            <v>13573</v>
          </cell>
          <cell r="C127" t="str">
            <v>CAR EXPENSES [COMPANY CARS] (7650-53)</v>
          </cell>
          <cell r="D127">
            <v>1026810.5900000003</v>
          </cell>
          <cell r="E127">
            <v>0</v>
          </cell>
          <cell r="J127">
            <v>1026811</v>
          </cell>
          <cell r="K127">
            <v>0</v>
          </cell>
        </row>
        <row r="128">
          <cell r="B128">
            <v>13596</v>
          </cell>
          <cell r="C128" t="str">
            <v>BOOKS , NEWS PAPERS AND PERIODICALS (7390)</v>
          </cell>
          <cell r="D128">
            <v>102772</v>
          </cell>
          <cell r="E128">
            <v>13500</v>
          </cell>
          <cell r="J128">
            <v>102772</v>
          </cell>
          <cell r="K128">
            <v>13500</v>
          </cell>
        </row>
        <row r="129">
          <cell r="B129">
            <v>13599</v>
          </cell>
          <cell r="C129" t="str">
            <v>SUBSCRIPTION - OTHERS (7400,7405)</v>
          </cell>
          <cell r="D129">
            <v>373168.47999999986</v>
          </cell>
          <cell r="E129">
            <v>267017</v>
          </cell>
          <cell r="J129">
            <v>373168</v>
          </cell>
          <cell r="K129">
            <v>267017</v>
          </cell>
        </row>
        <row r="130">
          <cell r="B130">
            <v>13600</v>
          </cell>
          <cell r="C130" t="str">
            <v>POSTAGE/ TELEGRAM/ COURIER (7410)</v>
          </cell>
          <cell r="D130">
            <v>956373.06</v>
          </cell>
          <cell r="E130">
            <v>37570.75</v>
          </cell>
          <cell r="J130">
            <v>956373</v>
          </cell>
          <cell r="K130">
            <v>37571</v>
          </cell>
        </row>
        <row r="131">
          <cell r="B131">
            <v>13601</v>
          </cell>
          <cell r="C131" t="str">
            <v>EXPORT EXPENSES (7415)</v>
          </cell>
          <cell r="D131">
            <v>200562</v>
          </cell>
          <cell r="E131">
            <v>21000</v>
          </cell>
          <cell r="J131">
            <v>200562</v>
          </cell>
          <cell r="K131">
            <v>21000</v>
          </cell>
        </row>
        <row r="132">
          <cell r="B132">
            <v>13602</v>
          </cell>
          <cell r="C132" t="str">
            <v>SELLING EXPENSES (SAMPLES) (7420)</v>
          </cell>
          <cell r="D132">
            <v>10390694.519999998</v>
          </cell>
          <cell r="E132">
            <v>1200394.0000000002</v>
          </cell>
          <cell r="J132">
            <v>10390695</v>
          </cell>
          <cell r="K132">
            <v>1200394</v>
          </cell>
        </row>
        <row r="133">
          <cell r="B133">
            <v>13603</v>
          </cell>
          <cell r="C133" t="str">
            <v>ADVERTISEMENT (7430)</v>
          </cell>
          <cell r="D133">
            <v>10000</v>
          </cell>
          <cell r="E133">
            <v>15000</v>
          </cell>
          <cell r="J133">
            <v>10000</v>
          </cell>
          <cell r="K133">
            <v>15000</v>
          </cell>
        </row>
        <row r="134">
          <cell r="B134">
            <v>13604</v>
          </cell>
          <cell r="C134" t="str">
            <v>MEETING &amp; CONFERENCE EXPENSES (7435)</v>
          </cell>
          <cell r="D134">
            <v>849168.94</v>
          </cell>
          <cell r="E134">
            <v>28381</v>
          </cell>
          <cell r="J134">
            <v>849169</v>
          </cell>
          <cell r="K134">
            <v>28381</v>
          </cell>
        </row>
        <row r="135">
          <cell r="B135">
            <v>13605</v>
          </cell>
          <cell r="C135" t="str">
            <v>ENTERTAINMENT EXPENSES (7440)</v>
          </cell>
          <cell r="D135">
            <v>77784</v>
          </cell>
          <cell r="E135">
            <v>26366</v>
          </cell>
          <cell r="J135">
            <v>77784</v>
          </cell>
          <cell r="K135">
            <v>26366</v>
          </cell>
        </row>
        <row r="136">
          <cell r="B136">
            <v>13606</v>
          </cell>
          <cell r="C136" t="str">
            <v>SYSTEM EXPENSES (7445)</v>
          </cell>
          <cell r="D136">
            <v>2091389.5299999993</v>
          </cell>
          <cell r="E136">
            <v>69774.999999999971</v>
          </cell>
          <cell r="J136">
            <v>2091390</v>
          </cell>
          <cell r="K136">
            <v>69775</v>
          </cell>
        </row>
        <row r="137">
          <cell r="B137">
            <v>13607</v>
          </cell>
          <cell r="C137" t="str">
            <v>ISO EXPENSES (7455)</v>
          </cell>
          <cell r="D137">
            <v>23800</v>
          </cell>
          <cell r="E137">
            <v>99618</v>
          </cell>
          <cell r="J137">
            <v>23800</v>
          </cell>
          <cell r="K137">
            <v>99621</v>
          </cell>
        </row>
        <row r="138">
          <cell r="B138">
            <v>13608</v>
          </cell>
          <cell r="C138" t="str">
            <v>GENERAL EXPENSES (7470-71)</v>
          </cell>
          <cell r="D138">
            <v>1831166.9900000002</v>
          </cell>
          <cell r="E138">
            <v>1368715</v>
          </cell>
          <cell r="F138">
            <v>-1</v>
          </cell>
          <cell r="I138">
            <v>-15</v>
          </cell>
          <cell r="J138">
            <v>1831166</v>
          </cell>
          <cell r="K138">
            <v>1368700</v>
          </cell>
        </row>
        <row r="139">
          <cell r="B139">
            <v>13609</v>
          </cell>
          <cell r="C139" t="str">
            <v>GIFT &amp; PRESENTATION (7472-74)</v>
          </cell>
          <cell r="D139">
            <v>146510</v>
          </cell>
          <cell r="E139">
            <v>353090</v>
          </cell>
          <cell r="J139">
            <v>146510</v>
          </cell>
          <cell r="K139">
            <v>353090</v>
          </cell>
        </row>
        <row r="140">
          <cell r="B140">
            <v>13610</v>
          </cell>
          <cell r="C140" t="str">
            <v>CORPORATE EXPENSES (CENTRAL SERVICES) (7475)</v>
          </cell>
          <cell r="D140">
            <v>-39465000</v>
          </cell>
          <cell r="E140">
            <v>27183000</v>
          </cell>
          <cell r="J140">
            <v>-39465000</v>
          </cell>
          <cell r="K140">
            <v>27183000</v>
          </cell>
        </row>
        <row r="141">
          <cell r="B141">
            <v>13611</v>
          </cell>
          <cell r="C141" t="str">
            <v>STAFF TRAINING (7480)</v>
          </cell>
          <cell r="D141">
            <v>433850</v>
          </cell>
          <cell r="E141">
            <v>10500</v>
          </cell>
          <cell r="J141">
            <v>433850</v>
          </cell>
          <cell r="K141">
            <v>10500</v>
          </cell>
        </row>
        <row r="142">
          <cell r="B142">
            <v>13612</v>
          </cell>
          <cell r="C142" t="str">
            <v>RECRUITMENT EXPENSES (7485)</v>
          </cell>
          <cell r="D142">
            <v>40511</v>
          </cell>
          <cell r="E142">
            <v>92904.719999999972</v>
          </cell>
          <cell r="J142">
            <v>40511</v>
          </cell>
          <cell r="K142">
            <v>92905</v>
          </cell>
        </row>
        <row r="143">
          <cell r="B143">
            <v>13613</v>
          </cell>
          <cell r="C143" t="str">
            <v>COURSES &amp; CONFERENCE EXP (7490)</v>
          </cell>
          <cell r="D143">
            <v>677839</v>
          </cell>
          <cell r="E143">
            <v>1222304</v>
          </cell>
          <cell r="J143">
            <v>677839</v>
          </cell>
          <cell r="K143">
            <v>1222304</v>
          </cell>
        </row>
        <row r="144">
          <cell r="B144">
            <v>13639</v>
          </cell>
          <cell r="C144" t="str">
            <v>DONATIONS (7505)</v>
          </cell>
          <cell r="D144">
            <v>2035000</v>
          </cell>
          <cell r="E144">
            <v>0</v>
          </cell>
          <cell r="J144">
            <v>2035000</v>
          </cell>
          <cell r="K144">
            <v>0</v>
          </cell>
        </row>
        <row r="145">
          <cell r="B145">
            <v>13672</v>
          </cell>
          <cell r="C145" t="str">
            <v>LOSS ON SALE OF ASSETS (7450)</v>
          </cell>
          <cell r="D145">
            <v>0</v>
          </cell>
          <cell r="E145">
            <v>0</v>
          </cell>
          <cell r="J145">
            <v>0</v>
          </cell>
          <cell r="K145">
            <v>0</v>
          </cell>
        </row>
        <row r="146">
          <cell r="B146">
            <v>13704</v>
          </cell>
          <cell r="C146" t="str">
            <v>SCREEN PRINTING CHARGES (6230)</v>
          </cell>
          <cell r="D146">
            <v>0</v>
          </cell>
          <cell r="E146">
            <v>18107275</v>
          </cell>
          <cell r="J146">
            <v>0</v>
          </cell>
          <cell r="K146">
            <v>18107275</v>
          </cell>
        </row>
        <row r="147">
          <cell r="B147">
            <v>13738</v>
          </cell>
          <cell r="C147" t="str">
            <v>REALISED GAIN/LOSS ON EXCHANGE (5195)</v>
          </cell>
          <cell r="D147">
            <v>-3475489.85</v>
          </cell>
          <cell r="E147">
            <v>6656856.8800000101</v>
          </cell>
          <cell r="J147">
            <v>-3475490</v>
          </cell>
          <cell r="K147">
            <v>6656857</v>
          </cell>
        </row>
        <row r="148">
          <cell r="B148">
            <v>13739</v>
          </cell>
          <cell r="C148" t="str">
            <v>UNREALISED GAIN/LOSS ON EXCHANGE (5200)</v>
          </cell>
          <cell r="D148">
            <v>1038899.19</v>
          </cell>
          <cell r="E148">
            <v>-2079158.5899999999</v>
          </cell>
          <cell r="J148">
            <v>1038899</v>
          </cell>
          <cell r="K148">
            <v>-2079159</v>
          </cell>
        </row>
        <row r="149">
          <cell r="B149">
            <v>13740</v>
          </cell>
          <cell r="C149" t="str">
            <v>ROUND OFF DIFF IN F CURRENCY (SYS)</v>
          </cell>
          <cell r="D149">
            <v>394637.50000000023</v>
          </cell>
          <cell r="E149">
            <v>97140.019999999946</v>
          </cell>
          <cell r="J149">
            <v>394638</v>
          </cell>
          <cell r="K149">
            <v>97140</v>
          </cell>
        </row>
        <row r="150">
          <cell r="B150">
            <v>13752</v>
          </cell>
          <cell r="C150" t="str">
            <v>OPENING STOCK OF FINISHED GOODS</v>
          </cell>
          <cell r="D150">
            <v>36677104</v>
          </cell>
          <cell r="E150">
            <v>17830652</v>
          </cell>
          <cell r="J150">
            <v>36677104</v>
          </cell>
          <cell r="K150">
            <v>17830652</v>
          </cell>
        </row>
        <row r="151">
          <cell r="B151">
            <v>13753</v>
          </cell>
          <cell r="C151" t="str">
            <v>OPENING STOCKS OF WIP</v>
          </cell>
          <cell r="D151">
            <v>17474851</v>
          </cell>
          <cell r="E151">
            <v>26766530</v>
          </cell>
          <cell r="J151">
            <v>17474851</v>
          </cell>
          <cell r="K151">
            <v>26766530</v>
          </cell>
        </row>
        <row r="152">
          <cell r="B152">
            <v>13756</v>
          </cell>
          <cell r="C152" t="str">
            <v>CLOSING STOCK OF FG (P&amp;L)</v>
          </cell>
          <cell r="D152">
            <v>-33857101</v>
          </cell>
          <cell r="E152">
            <v>-16961544</v>
          </cell>
          <cell r="J152">
            <v>-33857101</v>
          </cell>
          <cell r="K152">
            <v>-16961544</v>
          </cell>
        </row>
        <row r="153">
          <cell r="B153">
            <v>13757</v>
          </cell>
          <cell r="C153" t="str">
            <v>CLOSING STOCK OF WIP (P&amp;L)</v>
          </cell>
          <cell r="D153">
            <v>-15053266</v>
          </cell>
          <cell r="E153">
            <v>-16390687</v>
          </cell>
          <cell r="J153">
            <v>-15053266</v>
          </cell>
          <cell r="K153">
            <v>-16390687</v>
          </cell>
        </row>
        <row r="154">
          <cell r="B154">
            <v>13773</v>
          </cell>
          <cell r="C154" t="str">
            <v>BANK CHARGES (7520-22)</v>
          </cell>
          <cell r="D154">
            <v>2231378.0999999987</v>
          </cell>
          <cell r="E154">
            <v>374072.73000000045</v>
          </cell>
          <cell r="J154">
            <v>2231378</v>
          </cell>
          <cell r="K154">
            <v>374073</v>
          </cell>
        </row>
        <row r="155">
          <cell r="B155">
            <v>13853</v>
          </cell>
          <cell r="C155" t="str">
            <v>INTEREST ON WORKING CAPITAL (7610,15,20,25)</v>
          </cell>
          <cell r="D155">
            <v>31561255.529999997</v>
          </cell>
          <cell r="E155">
            <v>1910.1000000000058</v>
          </cell>
          <cell r="J155">
            <v>31561256</v>
          </cell>
          <cell r="K155">
            <v>1910</v>
          </cell>
        </row>
        <row r="156">
          <cell r="B156">
            <v>13854</v>
          </cell>
          <cell r="C156" t="str">
            <v>INTEREST ON TERM LOAN (7630)</v>
          </cell>
          <cell r="D156">
            <v>8881214.6199999992</v>
          </cell>
          <cell r="E156">
            <v>0</v>
          </cell>
          <cell r="J156">
            <v>8881215</v>
          </cell>
          <cell r="K156">
            <v>0</v>
          </cell>
        </row>
        <row r="157">
          <cell r="B157">
            <v>13855</v>
          </cell>
          <cell r="C157" t="str">
            <v>OTHER INTEREST (7640)</v>
          </cell>
          <cell r="D157">
            <v>193403</v>
          </cell>
          <cell r="E157">
            <v>292341.00000000023</v>
          </cell>
          <cell r="J157">
            <v>193403</v>
          </cell>
          <cell r="K157">
            <v>292341</v>
          </cell>
        </row>
        <row r="158">
          <cell r="B158">
            <v>13858</v>
          </cell>
          <cell r="C158" t="str">
            <v>INTEREST ON CURRENT ACCOUNTS (7645)</v>
          </cell>
          <cell r="D158">
            <v>-31426000</v>
          </cell>
          <cell r="E158">
            <v>19216000</v>
          </cell>
          <cell r="J158">
            <v>-31426000</v>
          </cell>
          <cell r="K158">
            <v>19216000</v>
          </cell>
        </row>
        <row r="159">
          <cell r="B159">
            <v>13887</v>
          </cell>
          <cell r="C159" t="str">
            <v>DEPRECIATION - ENABLING ASSETS (7700)</v>
          </cell>
          <cell r="D159">
            <v>25606991</v>
          </cell>
          <cell r="E159">
            <v>14867119</v>
          </cell>
          <cell r="J159">
            <v>25606991</v>
          </cell>
          <cell r="K159">
            <v>14867119</v>
          </cell>
        </row>
        <row r="160">
          <cell r="B160">
            <v>13920</v>
          </cell>
          <cell r="C160" t="str">
            <v>INCOME TAX (8910)</v>
          </cell>
          <cell r="D160">
            <v>0</v>
          </cell>
          <cell r="E160">
            <v>0</v>
          </cell>
          <cell r="G160">
            <v>36300000</v>
          </cell>
          <cell r="H160">
            <v>0</v>
          </cell>
          <cell r="J160">
            <v>36300000</v>
          </cell>
          <cell r="K160">
            <v>0</v>
          </cell>
        </row>
        <row r="161">
          <cell r="B161">
            <v>13929</v>
          </cell>
          <cell r="C161" t="str">
            <v>DEFFERED TAX (P&amp;L) (8912)</v>
          </cell>
          <cell r="D161">
            <v>0</v>
          </cell>
          <cell r="E161">
            <v>0</v>
          </cell>
          <cell r="G161">
            <v>904252</v>
          </cell>
          <cell r="H161">
            <v>0</v>
          </cell>
          <cell r="J161">
            <v>904252</v>
          </cell>
          <cell r="K161">
            <v>0</v>
          </cell>
        </row>
        <row r="162">
          <cell r="B162">
            <v>13962</v>
          </cell>
          <cell r="C162" t="str">
            <v>PROPOSED DIVIDEND (8000)</v>
          </cell>
          <cell r="D162">
            <v>0</v>
          </cell>
          <cell r="E162">
            <v>0</v>
          </cell>
          <cell r="J162">
            <v>0</v>
          </cell>
          <cell r="K162">
            <v>0</v>
          </cell>
        </row>
        <row r="163">
          <cell r="B163">
            <v>13963</v>
          </cell>
          <cell r="C163" t="str">
            <v>DISTRIBUTION TAX (8050)</v>
          </cell>
          <cell r="D163">
            <v>0</v>
          </cell>
          <cell r="E163">
            <v>0</v>
          </cell>
          <cell r="J163">
            <v>0</v>
          </cell>
          <cell r="K163">
            <v>0</v>
          </cell>
        </row>
        <row r="164">
          <cell r="B164">
            <v>14005</v>
          </cell>
          <cell r="C164" t="str">
            <v>SHARE CAPITAL (1000)</v>
          </cell>
          <cell r="D164">
            <v>-179520140</v>
          </cell>
          <cell r="E164">
            <v>0</v>
          </cell>
          <cell r="J164">
            <v>-179520140</v>
          </cell>
          <cell r="K164">
            <v>0</v>
          </cell>
        </row>
        <row r="165">
          <cell r="B165">
            <v>14006</v>
          </cell>
          <cell r="C165" t="str">
            <v>FOREFITED SHARES (1004)</v>
          </cell>
          <cell r="D165">
            <v>-114000</v>
          </cell>
          <cell r="E165">
            <v>0</v>
          </cell>
          <cell r="J165">
            <v>-114000</v>
          </cell>
          <cell r="K165">
            <v>0</v>
          </cell>
        </row>
        <row r="166">
          <cell r="B166">
            <v>14015</v>
          </cell>
          <cell r="C166" t="str">
            <v>CAPITAL RESERVE (1015)</v>
          </cell>
          <cell r="D166">
            <v>-720125</v>
          </cell>
          <cell r="E166">
            <v>0</v>
          </cell>
          <cell r="J166">
            <v>-720125</v>
          </cell>
          <cell r="K166">
            <v>0</v>
          </cell>
        </row>
        <row r="167">
          <cell r="B167">
            <v>14018</v>
          </cell>
          <cell r="C167" t="str">
            <v>SHARE PREMIUM (1030)</v>
          </cell>
          <cell r="D167">
            <v>-321591974.56000006</v>
          </cell>
          <cell r="E167">
            <v>0</v>
          </cell>
          <cell r="J167">
            <v>-321591975</v>
          </cell>
          <cell r="K167">
            <v>0</v>
          </cell>
        </row>
        <row r="168">
          <cell r="B168">
            <v>14019</v>
          </cell>
          <cell r="C168" t="str">
            <v>FOREFITED SHARE PREMIUM ACCOUNT (1032)</v>
          </cell>
          <cell r="D168">
            <v>-171000</v>
          </cell>
          <cell r="E168">
            <v>0</v>
          </cell>
          <cell r="J168">
            <v>-171000</v>
          </cell>
          <cell r="K168">
            <v>0</v>
          </cell>
        </row>
        <row r="169">
          <cell r="B169">
            <v>14026</v>
          </cell>
          <cell r="C169" t="str">
            <v>GENERAL RESERVE (1010)</v>
          </cell>
          <cell r="D169">
            <v>-32840480.299999997</v>
          </cell>
          <cell r="E169">
            <v>0</v>
          </cell>
          <cell r="G169">
            <v>0</v>
          </cell>
          <cell r="J169">
            <v>-32840480</v>
          </cell>
          <cell r="K169">
            <v>0</v>
          </cell>
        </row>
        <row r="170">
          <cell r="B170">
            <v>14033</v>
          </cell>
          <cell r="C170" t="str">
            <v>PROFIT AND LOSS ACCOUNT (1050)</v>
          </cell>
          <cell r="D170">
            <v>-209006195.99999991</v>
          </cell>
          <cell r="E170">
            <v>-191686773</v>
          </cell>
          <cell r="H170">
            <v>0</v>
          </cell>
          <cell r="J170">
            <v>-209006196</v>
          </cell>
          <cell r="K170">
            <v>-191686773</v>
          </cell>
        </row>
        <row r="171">
          <cell r="B171">
            <v>14034</v>
          </cell>
          <cell r="C171" t="str">
            <v>YEAR END RESULTS</v>
          </cell>
          <cell r="D171">
            <v>-7941769.6300003529</v>
          </cell>
          <cell r="E171">
            <v>-60688294.579998851</v>
          </cell>
          <cell r="J171">
            <v>-7941770</v>
          </cell>
          <cell r="K171">
            <v>-60688295</v>
          </cell>
        </row>
        <row r="172">
          <cell r="B172">
            <v>14070</v>
          </cell>
          <cell r="C172" t="str">
            <v>CASH CREDIT - BOI (21049) (0510)</v>
          </cell>
          <cell r="D172">
            <v>1139365900.2399998</v>
          </cell>
          <cell r="E172">
            <v>-1185912245.54</v>
          </cell>
          <cell r="J172">
            <v>1139365900</v>
          </cell>
          <cell r="K172">
            <v>-1185912246</v>
          </cell>
        </row>
        <row r="173">
          <cell r="B173">
            <v>14072</v>
          </cell>
          <cell r="C173" t="str">
            <v>PACKING CREDIT [BOI] (0520)</v>
          </cell>
          <cell r="D173">
            <v>-7750000</v>
          </cell>
          <cell r="E173">
            <v>0</v>
          </cell>
          <cell r="J173">
            <v>-7750000</v>
          </cell>
          <cell r="K173">
            <v>0</v>
          </cell>
        </row>
        <row r="174">
          <cell r="B174">
            <v>14079</v>
          </cell>
          <cell r="C174" t="str">
            <v>CASH CREDIT - HSBC (005-464698-001) (0600)</v>
          </cell>
          <cell r="D174">
            <v>-31157387.300000012</v>
          </cell>
          <cell r="E174">
            <v>22376362.790000003</v>
          </cell>
          <cell r="J174">
            <v>-31157387</v>
          </cell>
          <cell r="K174">
            <v>22376363</v>
          </cell>
        </row>
        <row r="175">
          <cell r="B175">
            <v>14080</v>
          </cell>
          <cell r="C175" t="str">
            <v>CASH CREDIT - HSBC (005-464698-002)</v>
          </cell>
          <cell r="D175">
            <v>-230131375.8499999</v>
          </cell>
          <cell r="E175">
            <v>221942479.19999963</v>
          </cell>
          <cell r="J175">
            <v>-230131376</v>
          </cell>
          <cell r="K175">
            <v>221942479</v>
          </cell>
        </row>
        <row r="176">
          <cell r="B176">
            <v>14082</v>
          </cell>
          <cell r="C176" t="str">
            <v>DEMAND LOAN - HSBC (0630)</v>
          </cell>
          <cell r="D176">
            <v>-190000000</v>
          </cell>
          <cell r="E176">
            <v>0</v>
          </cell>
          <cell r="J176">
            <v>-190000000</v>
          </cell>
          <cell r="K176">
            <v>0</v>
          </cell>
        </row>
        <row r="177">
          <cell r="B177">
            <v>14083</v>
          </cell>
          <cell r="C177" t="str">
            <v>PACKING CREDIT - HSBC (0610)</v>
          </cell>
          <cell r="D177">
            <v>-24522617.370000005</v>
          </cell>
          <cell r="E177">
            <v>0</v>
          </cell>
          <cell r="J177">
            <v>-24522617</v>
          </cell>
          <cell r="K177">
            <v>0</v>
          </cell>
        </row>
        <row r="178">
          <cell r="B178">
            <v>14114</v>
          </cell>
          <cell r="C178" t="str">
            <v>TERM LOAN (0810, 0815)</v>
          </cell>
          <cell r="D178">
            <v>-17523812.330000013</v>
          </cell>
          <cell r="E178">
            <v>-29999997.950000003</v>
          </cell>
          <cell r="J178">
            <v>-17523812</v>
          </cell>
          <cell r="K178">
            <v>-29999998</v>
          </cell>
        </row>
        <row r="179">
          <cell r="B179">
            <v>14126</v>
          </cell>
          <cell r="C179" t="str">
            <v>LOAN FROM - BL &amp; CO. (1225)</v>
          </cell>
          <cell r="D179">
            <v>-181791984</v>
          </cell>
          <cell r="E179">
            <v>0</v>
          </cell>
          <cell r="J179">
            <v>-181791984</v>
          </cell>
          <cell r="K179">
            <v>0</v>
          </cell>
        </row>
        <row r="180">
          <cell r="B180">
            <v>14142</v>
          </cell>
          <cell r="C180" t="str">
            <v>VEHICLE LOAN FROM BANK (0813)</v>
          </cell>
          <cell r="D180">
            <v>-1881213</v>
          </cell>
          <cell r="E180">
            <v>117609</v>
          </cell>
          <cell r="J180">
            <v>-1881213</v>
          </cell>
          <cell r="K180">
            <v>117609</v>
          </cell>
        </row>
        <row r="181">
          <cell r="B181">
            <v>14143</v>
          </cell>
          <cell r="C181" t="str">
            <v>INTEREST ACCRUED &amp; DUE ON LOAN</v>
          </cell>
          <cell r="D181">
            <v>0</v>
          </cell>
          <cell r="E181">
            <v>0</v>
          </cell>
          <cell r="J181">
            <v>0</v>
          </cell>
          <cell r="K181">
            <v>0</v>
          </cell>
        </row>
        <row r="182">
          <cell r="B182">
            <v>14233</v>
          </cell>
          <cell r="C182" t="str">
            <v>LOAN FROM -GREIF (1220)</v>
          </cell>
          <cell r="D182">
            <v>0</v>
          </cell>
          <cell r="E182">
            <v>0</v>
          </cell>
          <cell r="J182">
            <v>0</v>
          </cell>
          <cell r="K182">
            <v>0</v>
          </cell>
        </row>
        <row r="183">
          <cell r="B183">
            <v>14235</v>
          </cell>
          <cell r="C183" t="str">
            <v>LOAN FROM BANKS (UNSECURED-RBS) (1226)</v>
          </cell>
          <cell r="D183">
            <v>0</v>
          </cell>
          <cell r="E183">
            <v>0</v>
          </cell>
          <cell r="J183">
            <v>0</v>
          </cell>
          <cell r="K183">
            <v>0</v>
          </cell>
        </row>
        <row r="184">
          <cell r="B184">
            <v>14236</v>
          </cell>
          <cell r="C184" t="str">
            <v>LOAN FROM OTHERS (UNSECURED)</v>
          </cell>
          <cell r="D184">
            <v>0</v>
          </cell>
          <cell r="E184">
            <v>0</v>
          </cell>
          <cell r="J184">
            <v>0</v>
          </cell>
          <cell r="K184">
            <v>0</v>
          </cell>
        </row>
        <row r="185">
          <cell r="B185">
            <v>14274</v>
          </cell>
          <cell r="C185" t="str">
            <v>INTER UNIT A/C - (0200-206,0608,)</v>
          </cell>
          <cell r="D185">
            <v>3736183622.9600005</v>
          </cell>
          <cell r="E185">
            <v>-2822704596.7700005</v>
          </cell>
          <cell r="J185">
            <v>3736183623</v>
          </cell>
          <cell r="K185">
            <v>-2822704597</v>
          </cell>
        </row>
        <row r="186">
          <cell r="B186">
            <v>14275</v>
          </cell>
          <cell r="C186" t="str">
            <v>INTER UNIT A/C - PAyable</v>
          </cell>
          <cell r="D186">
            <v>-12528453.510000058</v>
          </cell>
          <cell r="E186">
            <v>-866042724.87999988</v>
          </cell>
          <cell r="H186">
            <v>0</v>
          </cell>
          <cell r="J186">
            <v>-12528454</v>
          </cell>
          <cell r="K186">
            <v>-866042725</v>
          </cell>
        </row>
        <row r="187">
          <cell r="B187">
            <v>14276</v>
          </cell>
          <cell r="C187" t="str">
            <v>INTER UNIT-CHENNAI DIVISION</v>
          </cell>
          <cell r="D187">
            <v>-867356936.35999966</v>
          </cell>
          <cell r="E187">
            <v>1079325976.0699997</v>
          </cell>
          <cell r="J187">
            <v>-867356936</v>
          </cell>
          <cell r="K187">
            <v>1079325976</v>
          </cell>
        </row>
        <row r="188">
          <cell r="B188">
            <v>14277</v>
          </cell>
          <cell r="C188" t="str">
            <v>INTER UNIT-DEHARADUN DIVISION</v>
          </cell>
          <cell r="D188">
            <v>-87186819.679999992</v>
          </cell>
          <cell r="E188">
            <v>331744485.04999995</v>
          </cell>
          <cell r="J188">
            <v>-87186820</v>
          </cell>
          <cell r="K188">
            <v>331744485</v>
          </cell>
        </row>
        <row r="189">
          <cell r="B189">
            <v>14287</v>
          </cell>
          <cell r="C189" t="str">
            <v>DEFFERED TAX (LIAB) (</v>
          </cell>
          <cell r="D189">
            <v>-41110284</v>
          </cell>
          <cell r="E189">
            <v>0</v>
          </cell>
          <cell r="G189">
            <v>-904252</v>
          </cell>
          <cell r="H189">
            <v>0</v>
          </cell>
          <cell r="J189">
            <v>-42014536</v>
          </cell>
          <cell r="K189">
            <v>0</v>
          </cell>
        </row>
        <row r="190">
          <cell r="B190">
            <v>14288</v>
          </cell>
          <cell r="C190" t="str">
            <v>DEFFERED TAX ASSETS</v>
          </cell>
          <cell r="D190">
            <v>14822407</v>
          </cell>
          <cell r="E190">
            <v>0</v>
          </cell>
          <cell r="J190">
            <v>14822407</v>
          </cell>
          <cell r="K190">
            <v>0</v>
          </cell>
        </row>
        <row r="191">
          <cell r="B191">
            <v>14302</v>
          </cell>
          <cell r="C191" t="str">
            <v>FORWARD CONTRACT RECEIVABLE ACCOUNT</v>
          </cell>
          <cell r="D191">
            <v>0</v>
          </cell>
          <cell r="E191">
            <v>123865421.5999999</v>
          </cell>
          <cell r="J191">
            <v>0</v>
          </cell>
          <cell r="K191">
            <v>123865422</v>
          </cell>
        </row>
        <row r="192">
          <cell r="B192">
            <v>14303</v>
          </cell>
          <cell r="C192" t="str">
            <v>DEFERRED PREMIUM ACCOUNT</v>
          </cell>
          <cell r="D192">
            <v>0</v>
          </cell>
          <cell r="E192">
            <v>1118223.1999999993</v>
          </cell>
          <cell r="J192">
            <v>0</v>
          </cell>
          <cell r="K192">
            <v>1118223</v>
          </cell>
        </row>
        <row r="193">
          <cell r="B193">
            <v>14304</v>
          </cell>
          <cell r="C193" t="str">
            <v>FORWARD CONTRACT PAYABLE</v>
          </cell>
          <cell r="D193">
            <v>0</v>
          </cell>
          <cell r="E193">
            <v>-128164944.20000005</v>
          </cell>
          <cell r="J193">
            <v>0</v>
          </cell>
          <cell r="K193">
            <v>-128164944</v>
          </cell>
        </row>
        <row r="194">
          <cell r="B194">
            <v>14305</v>
          </cell>
          <cell r="C194" t="str">
            <v>PREMIUM ON FORWARD CONTRACT ACCOUNT</v>
          </cell>
          <cell r="D194">
            <v>0</v>
          </cell>
          <cell r="E194">
            <v>5910925.4000000004</v>
          </cell>
          <cell r="J194">
            <v>0</v>
          </cell>
          <cell r="K194">
            <v>5910925</v>
          </cell>
        </row>
        <row r="195">
          <cell r="B195">
            <v>15001</v>
          </cell>
          <cell r="C195" t="str">
            <v>FIXED ASSETS: ()</v>
          </cell>
          <cell r="D195">
            <v>304886</v>
          </cell>
          <cell r="E195">
            <v>18500</v>
          </cell>
          <cell r="J195">
            <v>304886</v>
          </cell>
          <cell r="K195">
            <v>18500</v>
          </cell>
        </row>
        <row r="196">
          <cell r="B196">
            <v>15008</v>
          </cell>
          <cell r="C196" t="str">
            <v>COMPUTERS (GB)</v>
          </cell>
          <cell r="D196">
            <v>30000</v>
          </cell>
          <cell r="E196">
            <v>0</v>
          </cell>
          <cell r="J196">
            <v>30000</v>
          </cell>
          <cell r="K196">
            <v>0</v>
          </cell>
        </row>
        <row r="197">
          <cell r="B197">
            <v>15012</v>
          </cell>
          <cell r="C197" t="str">
            <v>FIXED ASSETS- GROSS BLOCK</v>
          </cell>
          <cell r="D197">
            <v>601320462.67000008</v>
          </cell>
          <cell r="E197">
            <v>714548065.46000004</v>
          </cell>
          <cell r="J197">
            <v>601320463</v>
          </cell>
          <cell r="K197">
            <v>714548065</v>
          </cell>
        </row>
        <row r="198">
          <cell r="B198">
            <v>15027</v>
          </cell>
          <cell r="C198" t="str">
            <v>ACCUMLATED DEPRECIATION COMPUTERS</v>
          </cell>
          <cell r="D198">
            <v>0</v>
          </cell>
          <cell r="E198">
            <v>0</v>
          </cell>
          <cell r="J198">
            <v>0</v>
          </cell>
          <cell r="K198">
            <v>0</v>
          </cell>
        </row>
        <row r="199">
          <cell r="B199">
            <v>15028</v>
          </cell>
          <cell r="C199" t="str">
            <v>ACCUMLATED DEPRECIATION FURNITURE &amp; FITTINGS</v>
          </cell>
          <cell r="D199">
            <v>0</v>
          </cell>
          <cell r="E199">
            <v>0</v>
          </cell>
          <cell r="J199">
            <v>0</v>
          </cell>
          <cell r="K199">
            <v>0</v>
          </cell>
        </row>
        <row r="200">
          <cell r="B200">
            <v>15031</v>
          </cell>
          <cell r="C200" t="str">
            <v>ACCUMLATED DEPRECIATION</v>
          </cell>
          <cell r="D200">
            <v>-309771098.05000007</v>
          </cell>
          <cell r="E200">
            <v>-553980077.37000012</v>
          </cell>
          <cell r="G200">
            <v>551</v>
          </cell>
          <cell r="J200">
            <v>-309770547</v>
          </cell>
          <cell r="K200">
            <v>-553980077</v>
          </cell>
        </row>
        <row r="201">
          <cell r="B201">
            <v>15044</v>
          </cell>
          <cell r="C201" t="str">
            <v>CWIP - BUILDLING</v>
          </cell>
          <cell r="D201">
            <v>6582632.0800000019</v>
          </cell>
          <cell r="E201">
            <v>3602607.99</v>
          </cell>
          <cell r="J201">
            <v>6582632</v>
          </cell>
          <cell r="K201">
            <v>3602608</v>
          </cell>
        </row>
        <row r="202">
          <cell r="B202">
            <v>15045</v>
          </cell>
          <cell r="C202" t="str">
            <v>CWIP - PLANT &amp; MACHINERY</v>
          </cell>
          <cell r="D202">
            <v>31247352.559999987</v>
          </cell>
          <cell r="E202">
            <v>16298647.689999998</v>
          </cell>
          <cell r="J202">
            <v>31247353</v>
          </cell>
          <cell r="K202">
            <v>16298648</v>
          </cell>
        </row>
        <row r="203">
          <cell r="B203">
            <v>15046</v>
          </cell>
          <cell r="C203" t="str">
            <v>CWIP - COMPUTERS</v>
          </cell>
          <cell r="D203">
            <v>3105758.7699999996</v>
          </cell>
          <cell r="E203">
            <v>98698.649999999965</v>
          </cell>
          <cell r="J203">
            <v>3105759</v>
          </cell>
          <cell r="K203">
            <v>98699</v>
          </cell>
        </row>
        <row r="204">
          <cell r="B204">
            <v>15047</v>
          </cell>
          <cell r="C204" t="str">
            <v>CWIP - FURNITURE &amp; FITTINGS</v>
          </cell>
          <cell r="D204">
            <v>0.25</v>
          </cell>
          <cell r="E204">
            <v>0</v>
          </cell>
          <cell r="J204">
            <v>0</v>
          </cell>
          <cell r="K204">
            <v>0</v>
          </cell>
        </row>
        <row r="205">
          <cell r="B205">
            <v>15049</v>
          </cell>
          <cell r="C205" t="str">
            <v>CAPITAL ADVANCES</v>
          </cell>
          <cell r="D205">
            <v>0</v>
          </cell>
          <cell r="E205">
            <v>0</v>
          </cell>
          <cell r="J205">
            <v>0</v>
          </cell>
          <cell r="K205">
            <v>0</v>
          </cell>
        </row>
        <row r="206">
          <cell r="B206">
            <v>15050</v>
          </cell>
          <cell r="C206" t="str">
            <v>CWIP</v>
          </cell>
          <cell r="D206">
            <v>-26473599.530000001</v>
          </cell>
          <cell r="E206">
            <v>-2142651.5900000036</v>
          </cell>
          <cell r="J206">
            <v>-26473600</v>
          </cell>
          <cell r="K206">
            <v>-2142652</v>
          </cell>
        </row>
        <row r="207">
          <cell r="B207">
            <v>15062</v>
          </cell>
          <cell r="C207" t="str">
            <v>INVESTMENTS</v>
          </cell>
          <cell r="D207">
            <v>444291837</v>
          </cell>
          <cell r="E207">
            <v>0</v>
          </cell>
          <cell r="J207">
            <v>444291837</v>
          </cell>
          <cell r="K207">
            <v>0</v>
          </cell>
        </row>
        <row r="208">
          <cell r="B208">
            <v>15071</v>
          </cell>
          <cell r="C208" t="str">
            <v>PURCHASE A/C - STORES, SPARES CONSUMABLES STOCK</v>
          </cell>
          <cell r="D208">
            <v>39820693.899999976</v>
          </cell>
          <cell r="E208">
            <v>21269776.309999987</v>
          </cell>
          <cell r="J208">
            <v>39820694</v>
          </cell>
          <cell r="K208">
            <v>21269776</v>
          </cell>
        </row>
        <row r="209">
          <cell r="B209">
            <v>15072</v>
          </cell>
          <cell r="C209" t="str">
            <v>STORES SPARES NOT W/OFF</v>
          </cell>
          <cell r="D209">
            <v>0</v>
          </cell>
          <cell r="E209">
            <v>75505</v>
          </cell>
          <cell r="J209">
            <v>0</v>
          </cell>
          <cell r="K209">
            <v>75505</v>
          </cell>
        </row>
        <row r="210">
          <cell r="B210">
            <v>15075</v>
          </cell>
          <cell r="C210" t="str">
            <v>PURCHASE A/C - RAW MATERIALS</v>
          </cell>
          <cell r="D210">
            <v>7017348.8200000003</v>
          </cell>
          <cell r="E210">
            <v>0</v>
          </cell>
          <cell r="J210">
            <v>7017349</v>
          </cell>
          <cell r="K210">
            <v>0</v>
          </cell>
        </row>
        <row r="211">
          <cell r="B211">
            <v>15076</v>
          </cell>
          <cell r="C211" t="str">
            <v>CLOSING STOCK OF RAW MATERIALS (BS 2012-13)</v>
          </cell>
          <cell r="D211">
            <v>28821503.960000038</v>
          </cell>
          <cell r="E211">
            <v>89564837.140000105</v>
          </cell>
          <cell r="G211">
            <v>0</v>
          </cell>
          <cell r="H211">
            <v>-2500000</v>
          </cell>
          <cell r="J211">
            <v>28821504</v>
          </cell>
          <cell r="K211">
            <v>87064837</v>
          </cell>
        </row>
        <row r="212">
          <cell r="B212">
            <v>15078</v>
          </cell>
          <cell r="C212" t="str">
            <v>PURCHASE, PACKING SLIP (PENDING GRN)(NET OFF WITH 15429)</v>
          </cell>
          <cell r="D212">
            <v>1005299.1499998569</v>
          </cell>
          <cell r="E212">
            <v>76512</v>
          </cell>
          <cell r="J212">
            <v>1005299</v>
          </cell>
          <cell r="K212">
            <v>76512</v>
          </cell>
        </row>
        <row r="213">
          <cell r="B213">
            <v>15089</v>
          </cell>
          <cell r="C213" t="str">
            <v>GOODS-IN-TRANSIT (FG)</v>
          </cell>
          <cell r="D213">
            <v>0</v>
          </cell>
          <cell r="E213">
            <v>868597</v>
          </cell>
          <cell r="J213">
            <v>0</v>
          </cell>
          <cell r="K213">
            <v>868597</v>
          </cell>
        </row>
        <row r="214">
          <cell r="B214">
            <v>15090</v>
          </cell>
          <cell r="C214" t="str">
            <v>GOODS-IN-TRANSIT (RM)</v>
          </cell>
          <cell r="D214">
            <v>0</v>
          </cell>
          <cell r="E214">
            <v>-196174</v>
          </cell>
          <cell r="J214">
            <v>0</v>
          </cell>
          <cell r="K214">
            <v>-196174</v>
          </cell>
        </row>
        <row r="215">
          <cell r="B215">
            <v>15091</v>
          </cell>
          <cell r="C215" t="str">
            <v>TRANSFER ISSUE/RECEIPT A/C (GIT) RM</v>
          </cell>
          <cell r="D215">
            <v>2627569.3100004196</v>
          </cell>
          <cell r="E215">
            <v>-118900656.73999977</v>
          </cell>
          <cell r="J215">
            <v>2627569</v>
          </cell>
          <cell r="K215">
            <v>-118900657</v>
          </cell>
        </row>
        <row r="216">
          <cell r="B216">
            <v>15092</v>
          </cell>
          <cell r="C216" t="str">
            <v>UNREALISED PROFIT/LOSS ON TRANSFER</v>
          </cell>
          <cell r="D216">
            <v>306501.76999998093</v>
          </cell>
          <cell r="E216">
            <v>141168740.06000018</v>
          </cell>
          <cell r="J216">
            <v>306502</v>
          </cell>
          <cell r="K216">
            <v>141168740</v>
          </cell>
        </row>
        <row r="217">
          <cell r="B217">
            <v>15095</v>
          </cell>
          <cell r="C217" t="str">
            <v>TRANSFER ISSUE/RECEIPT A/C (GIT) FG</v>
          </cell>
          <cell r="D217">
            <v>-2945983.7200000286</v>
          </cell>
          <cell r="E217">
            <v>-22886793.960000038</v>
          </cell>
          <cell r="J217">
            <v>-2945984</v>
          </cell>
          <cell r="K217">
            <v>-22886794</v>
          </cell>
        </row>
        <row r="218">
          <cell r="B218">
            <v>15099</v>
          </cell>
          <cell r="C218" t="str">
            <v>PURCHASE A/C - PACKING MATERIALS STOCK (BS)</v>
          </cell>
          <cell r="D218">
            <v>13394821.399999991</v>
          </cell>
          <cell r="E218">
            <v>8372782.3500000015</v>
          </cell>
          <cell r="J218">
            <v>13394821</v>
          </cell>
          <cell r="K218">
            <v>8372782</v>
          </cell>
        </row>
        <row r="219">
          <cell r="B219">
            <v>15116</v>
          </cell>
          <cell r="C219" t="str">
            <v>FINISHED GOODS STOCK (BS)</v>
          </cell>
          <cell r="D219">
            <v>-13124738.049982905</v>
          </cell>
          <cell r="E219">
            <v>-26212074.320068359</v>
          </cell>
          <cell r="J219">
            <v>-13124738</v>
          </cell>
          <cell r="K219">
            <v>-26212074</v>
          </cell>
        </row>
        <row r="220">
          <cell r="B220">
            <v>15117</v>
          </cell>
          <cell r="C220" t="str">
            <v>FG STOCKS - EXCISE DUTY COMPONANT</v>
          </cell>
          <cell r="D220">
            <v>0</v>
          </cell>
          <cell r="E220">
            <v>0</v>
          </cell>
          <cell r="J220">
            <v>0</v>
          </cell>
          <cell r="K220">
            <v>0</v>
          </cell>
        </row>
        <row r="221">
          <cell r="B221">
            <v>15118</v>
          </cell>
          <cell r="C221" t="str">
            <v>CLOSING STOCK OF FG (BS-JV)</v>
          </cell>
          <cell r="D221">
            <v>33857101</v>
          </cell>
          <cell r="E221">
            <v>16961544</v>
          </cell>
          <cell r="J221">
            <v>33857101</v>
          </cell>
          <cell r="K221">
            <v>16961544</v>
          </cell>
        </row>
        <row r="222">
          <cell r="B222">
            <v>15119</v>
          </cell>
          <cell r="C222" t="str">
            <v>PACKING SLIP A/C (MATL ASSIGN YET TO DESPATCH [NET 15615])</v>
          </cell>
          <cell r="D222">
            <v>0</v>
          </cell>
          <cell r="E222">
            <v>-6</v>
          </cell>
          <cell r="J222">
            <v>0</v>
          </cell>
          <cell r="K222">
            <v>-6</v>
          </cell>
        </row>
        <row r="223">
          <cell r="B223">
            <v>15123</v>
          </cell>
          <cell r="C223" t="str">
            <v>SCRAP RECEIPT</v>
          </cell>
          <cell r="D223">
            <v>-5245931.17</v>
          </cell>
          <cell r="E223">
            <v>0</v>
          </cell>
          <cell r="J223">
            <v>-5245931</v>
          </cell>
          <cell r="K223">
            <v>0</v>
          </cell>
        </row>
        <row r="224">
          <cell r="B224">
            <v>15124</v>
          </cell>
          <cell r="C224" t="str">
            <v>PURCHASE, PACKING SLIP PROV FOR PENDING GRN WIP)</v>
          </cell>
          <cell r="D224">
            <v>0</v>
          </cell>
          <cell r="E224">
            <v>0</v>
          </cell>
          <cell r="J224">
            <v>0</v>
          </cell>
          <cell r="K224">
            <v>0</v>
          </cell>
        </row>
        <row r="225">
          <cell r="B225">
            <v>15130</v>
          </cell>
          <cell r="C225" t="str">
            <v>WORK IN PROCESS STOCK (BS)</v>
          </cell>
          <cell r="D225">
            <v>74086975.380004883</v>
          </cell>
          <cell r="E225">
            <v>169629604.90002441</v>
          </cell>
          <cell r="J225">
            <v>74086975</v>
          </cell>
          <cell r="K225">
            <v>169629605</v>
          </cell>
        </row>
        <row r="226">
          <cell r="B226">
            <v>15131</v>
          </cell>
          <cell r="C226" t="str">
            <v>CLOSING STOCK WIP (BS-JV)</v>
          </cell>
          <cell r="D226">
            <v>15053266</v>
          </cell>
          <cell r="E226">
            <v>16390687</v>
          </cell>
          <cell r="J226">
            <v>15053266</v>
          </cell>
          <cell r="K226">
            <v>16390687</v>
          </cell>
        </row>
        <row r="227">
          <cell r="B227">
            <v>15136</v>
          </cell>
          <cell r="C227" t="str">
            <v>SUNDRY DEBTORS - DOMESTIC</v>
          </cell>
          <cell r="D227">
            <v>67411470.119999811</v>
          </cell>
          <cell r="E227">
            <v>99107326.610000625</v>
          </cell>
          <cell r="J227">
            <v>67411470</v>
          </cell>
          <cell r="K227">
            <v>99107327</v>
          </cell>
        </row>
        <row r="228">
          <cell r="B228">
            <v>15137</v>
          </cell>
          <cell r="C228" t="str">
            <v>SUNDRY DEBTORS - FOREIGN</v>
          </cell>
          <cell r="D228">
            <v>61354361</v>
          </cell>
          <cell r="E228">
            <v>91056980.959999919</v>
          </cell>
          <cell r="J228">
            <v>61354361</v>
          </cell>
          <cell r="K228">
            <v>91056981</v>
          </cell>
        </row>
        <row r="229">
          <cell r="B229">
            <v>15138</v>
          </cell>
          <cell r="C229" t="str">
            <v>PROVISION FOR DOUBTFUL DEBTS</v>
          </cell>
          <cell r="D229">
            <v>-2641603.0200000005</v>
          </cell>
          <cell r="E229">
            <v>-1609180.0199999996</v>
          </cell>
          <cell r="J229">
            <v>-2641603</v>
          </cell>
          <cell r="K229">
            <v>-1609180</v>
          </cell>
        </row>
        <row r="230">
          <cell r="B230">
            <v>15139</v>
          </cell>
          <cell r="C230" t="str">
            <v>BRANCH SALES</v>
          </cell>
          <cell r="D230">
            <v>32625</v>
          </cell>
          <cell r="E230">
            <v>648968</v>
          </cell>
          <cell r="J230">
            <v>32625</v>
          </cell>
          <cell r="K230">
            <v>648968</v>
          </cell>
        </row>
        <row r="231">
          <cell r="B231">
            <v>15151</v>
          </cell>
          <cell r="C231" t="str">
            <v>CASH IN HAND</v>
          </cell>
          <cell r="D231">
            <v>-6267074.5800000019</v>
          </cell>
          <cell r="E231">
            <v>6328712.5799999982</v>
          </cell>
          <cell r="J231">
            <v>-6267075</v>
          </cell>
          <cell r="K231">
            <v>6328713</v>
          </cell>
        </row>
        <row r="232">
          <cell r="B232">
            <v>15152</v>
          </cell>
          <cell r="C232" t="str">
            <v>CHEQUES IN HAND</v>
          </cell>
          <cell r="D232">
            <v>1466075</v>
          </cell>
          <cell r="E232">
            <v>2276164</v>
          </cell>
          <cell r="J232">
            <v>1466075</v>
          </cell>
          <cell r="K232">
            <v>2276164</v>
          </cell>
        </row>
        <row r="233">
          <cell r="B233">
            <v>15155</v>
          </cell>
          <cell r="C233" t="str">
            <v>BOI TURHE (CURRENT A/C)</v>
          </cell>
          <cell r="D233">
            <v>-12753608.790000007</v>
          </cell>
          <cell r="E233">
            <v>12825392.729999959</v>
          </cell>
          <cell r="J233">
            <v>-12753609</v>
          </cell>
          <cell r="K233">
            <v>12825393</v>
          </cell>
        </row>
        <row r="234">
          <cell r="B234">
            <v>15156</v>
          </cell>
          <cell r="C234" t="str">
            <v>HSBC MG ROAD</v>
          </cell>
          <cell r="D234">
            <v>78255.539999999979</v>
          </cell>
          <cell r="E234">
            <v>0</v>
          </cell>
          <cell r="J234">
            <v>78256</v>
          </cell>
          <cell r="K234">
            <v>0</v>
          </cell>
        </row>
        <row r="235">
          <cell r="B235">
            <v>15157</v>
          </cell>
          <cell r="C235" t="str">
            <v>CORPORATION BANK</v>
          </cell>
          <cell r="D235">
            <v>1599981.7400000002</v>
          </cell>
          <cell r="E235">
            <v>-1599981.7399999946</v>
          </cell>
          <cell r="J235">
            <v>1599982</v>
          </cell>
          <cell r="K235">
            <v>-1599982</v>
          </cell>
        </row>
        <row r="236">
          <cell r="B236">
            <v>15158</v>
          </cell>
          <cell r="C236" t="str">
            <v>ICICI BANK (CURRENT A/C)</v>
          </cell>
          <cell r="D236">
            <v>9213786.3699999936</v>
          </cell>
          <cell r="E236">
            <v>-9068871</v>
          </cell>
          <cell r="J236">
            <v>9213786</v>
          </cell>
          <cell r="K236">
            <v>-9068871</v>
          </cell>
        </row>
        <row r="237">
          <cell r="B237">
            <v>15159</v>
          </cell>
          <cell r="C237" t="str">
            <v>SBT- BANK</v>
          </cell>
          <cell r="D237">
            <v>-6018214</v>
          </cell>
          <cell r="E237">
            <v>6148228.0200000033</v>
          </cell>
          <cell r="J237">
            <v>-6018214</v>
          </cell>
          <cell r="K237">
            <v>6148228</v>
          </cell>
        </row>
        <row r="238">
          <cell r="B238">
            <v>15160</v>
          </cell>
          <cell r="C238" t="str">
            <v>HDFC (CURRENT A/C)</v>
          </cell>
          <cell r="D238">
            <v>-154237.39999999944</v>
          </cell>
          <cell r="E238">
            <v>238568.71999999881</v>
          </cell>
          <cell r="J238">
            <v>-154237</v>
          </cell>
          <cell r="K238">
            <v>238569</v>
          </cell>
        </row>
        <row r="239">
          <cell r="B239">
            <v>15162</v>
          </cell>
          <cell r="C239" t="str">
            <v>SCB (CURRENT A/C)</v>
          </cell>
          <cell r="D239">
            <v>50527.269999995828</v>
          </cell>
          <cell r="E239">
            <v>0</v>
          </cell>
          <cell r="J239">
            <v>50527</v>
          </cell>
          <cell r="K239">
            <v>0</v>
          </cell>
        </row>
        <row r="240">
          <cell r="B240">
            <v>15163</v>
          </cell>
          <cell r="C240" t="str">
            <v>RBS BANK</v>
          </cell>
          <cell r="D240">
            <v>-48977105.74000001</v>
          </cell>
          <cell r="E240">
            <v>0</v>
          </cell>
          <cell r="J240">
            <v>-48977106</v>
          </cell>
          <cell r="K240">
            <v>0</v>
          </cell>
        </row>
        <row r="241">
          <cell r="B241">
            <v>15164</v>
          </cell>
          <cell r="C241" t="str">
            <v>EEFC</v>
          </cell>
          <cell r="D241">
            <v>4534672.6200000085</v>
          </cell>
          <cell r="E241">
            <v>-4517658.66</v>
          </cell>
          <cell r="J241">
            <v>4534673</v>
          </cell>
          <cell r="K241">
            <v>-4517659</v>
          </cell>
        </row>
        <row r="242">
          <cell r="B242">
            <v>15165</v>
          </cell>
          <cell r="C242" t="str">
            <v>EEFC-HSBC</v>
          </cell>
          <cell r="D242">
            <v>96715014.030000031</v>
          </cell>
          <cell r="E242">
            <v>-96715014.030000001</v>
          </cell>
          <cell r="J242">
            <v>96715014</v>
          </cell>
          <cell r="K242">
            <v>-96715014</v>
          </cell>
        </row>
        <row r="243">
          <cell r="B243">
            <v>15166</v>
          </cell>
          <cell r="C243" t="str">
            <v>HDFC BANK A/C (CURRENT ACCOUNT -50200003859316)</v>
          </cell>
          <cell r="D243">
            <v>-64862057.519999966</v>
          </cell>
          <cell r="E243">
            <v>65035281.910000011</v>
          </cell>
          <cell r="J243">
            <v>-64862058</v>
          </cell>
          <cell r="K243">
            <v>65035282</v>
          </cell>
        </row>
        <row r="244">
          <cell r="B244">
            <v>15167</v>
          </cell>
          <cell r="C244" t="str">
            <v>KOTAK MAHINDRA BANK (CURRENT ACCOUNT)</v>
          </cell>
          <cell r="D244">
            <v>-234171416.2700001</v>
          </cell>
          <cell r="E244">
            <v>234930512.89000005</v>
          </cell>
          <cell r="J244">
            <v>-234171416</v>
          </cell>
          <cell r="K244">
            <v>234930513</v>
          </cell>
        </row>
        <row r="245">
          <cell r="B245">
            <v>15168</v>
          </cell>
          <cell r="C245" t="str">
            <v>AXIS BANK CURRENT ACCOUNT</v>
          </cell>
          <cell r="D245">
            <v>-30449311.620000005</v>
          </cell>
          <cell r="E245">
            <v>30540678</v>
          </cell>
          <cell r="J245">
            <v>-30449312</v>
          </cell>
          <cell r="K245">
            <v>30540678</v>
          </cell>
        </row>
        <row r="246">
          <cell r="B246">
            <v>15169</v>
          </cell>
          <cell r="C246" t="str">
            <v>FEDRAL REFUND PCD</v>
          </cell>
          <cell r="D246">
            <v>-0.5</v>
          </cell>
          <cell r="E246">
            <v>0</v>
          </cell>
          <cell r="J246">
            <v>-1</v>
          </cell>
          <cell r="K246">
            <v>0</v>
          </cell>
        </row>
        <row r="247">
          <cell r="B247">
            <v>15170</v>
          </cell>
          <cell r="C247" t="str">
            <v>TRUSTEE GROUP GRATUITY (BOI)</v>
          </cell>
          <cell r="D247">
            <v>-794138.96</v>
          </cell>
          <cell r="E247">
            <v>818766</v>
          </cell>
          <cell r="J247">
            <v>-794139</v>
          </cell>
          <cell r="K247">
            <v>818766</v>
          </cell>
        </row>
        <row r="248">
          <cell r="B248">
            <v>15171</v>
          </cell>
          <cell r="C248" t="str">
            <v>SUPERANNUATION (BOI)</v>
          </cell>
          <cell r="D248">
            <v>6700</v>
          </cell>
          <cell r="E248">
            <v>0</v>
          </cell>
          <cell r="J248">
            <v>6700</v>
          </cell>
          <cell r="K248">
            <v>0</v>
          </cell>
        </row>
        <row r="249">
          <cell r="B249">
            <v>15174</v>
          </cell>
          <cell r="C249" t="str">
            <v>DEBENTURE REDEMPTION 98-99 (BOI)</v>
          </cell>
          <cell r="D249">
            <v>0</v>
          </cell>
          <cell r="E249">
            <v>0</v>
          </cell>
          <cell r="J249">
            <v>0</v>
          </cell>
          <cell r="K249">
            <v>0</v>
          </cell>
        </row>
        <row r="250">
          <cell r="B250">
            <v>15175</v>
          </cell>
          <cell r="C250" t="str">
            <v>DIVIDEND (BANK/ ASSET A/C)</v>
          </cell>
          <cell r="D250">
            <v>1671384.6</v>
          </cell>
          <cell r="E250">
            <v>0</v>
          </cell>
          <cell r="J250">
            <v>1671385</v>
          </cell>
          <cell r="K250">
            <v>0</v>
          </cell>
        </row>
        <row r="251">
          <cell r="B251">
            <v>15180</v>
          </cell>
          <cell r="C251" t="str">
            <v>FIXED DEPOSITS</v>
          </cell>
          <cell r="D251">
            <v>4639073.3499999978</v>
          </cell>
          <cell r="E251">
            <v>-87000</v>
          </cell>
          <cell r="J251">
            <v>4639073</v>
          </cell>
          <cell r="K251">
            <v>-87000</v>
          </cell>
        </row>
        <row r="252">
          <cell r="B252">
            <v>15181</v>
          </cell>
          <cell r="C252" t="str">
            <v>WITH OTHERS</v>
          </cell>
          <cell r="D252">
            <v>0</v>
          </cell>
          <cell r="E252">
            <v>0</v>
          </cell>
          <cell r="J252">
            <v>0</v>
          </cell>
          <cell r="K252">
            <v>0</v>
          </cell>
        </row>
        <row r="253">
          <cell r="B253">
            <v>15182</v>
          </cell>
          <cell r="C253" t="str">
            <v>MUNICIPAL CO-OP BANK</v>
          </cell>
          <cell r="D253">
            <v>100000</v>
          </cell>
          <cell r="E253">
            <v>-17158</v>
          </cell>
          <cell r="J253">
            <v>100000</v>
          </cell>
          <cell r="K253">
            <v>-17158</v>
          </cell>
        </row>
        <row r="254">
          <cell r="B254">
            <v>15183</v>
          </cell>
          <cell r="C254" t="str">
            <v>FIXED DEPOSITS (CO-OP BANK)</v>
          </cell>
          <cell r="D254">
            <v>0</v>
          </cell>
          <cell r="E254">
            <v>10000</v>
          </cell>
          <cell r="J254">
            <v>0</v>
          </cell>
          <cell r="K254">
            <v>10000</v>
          </cell>
        </row>
        <row r="255">
          <cell r="B255">
            <v>15184</v>
          </cell>
          <cell r="C255" t="str">
            <v>MARGIN MONEY ACCOUNT</v>
          </cell>
          <cell r="D255">
            <v>0</v>
          </cell>
          <cell r="E255">
            <v>0</v>
          </cell>
          <cell r="J255">
            <v>0</v>
          </cell>
          <cell r="K255">
            <v>0</v>
          </cell>
        </row>
        <row r="256">
          <cell r="B256">
            <v>15185</v>
          </cell>
          <cell r="C256" t="str">
            <v>UCO BANK (A/C NO 19790210005347)</v>
          </cell>
          <cell r="D256">
            <v>-18282286.709999979</v>
          </cell>
          <cell r="E256">
            <v>23757662.920000002</v>
          </cell>
          <cell r="J256">
            <v>-18282287</v>
          </cell>
          <cell r="K256">
            <v>23757663</v>
          </cell>
        </row>
        <row r="257">
          <cell r="B257">
            <v>15186</v>
          </cell>
          <cell r="C257" t="str">
            <v>ICICI BANK-VASHI</v>
          </cell>
          <cell r="D257">
            <v>28985525.370000005</v>
          </cell>
          <cell r="E257">
            <v>-28745195.669999998</v>
          </cell>
          <cell r="J257">
            <v>28985525</v>
          </cell>
          <cell r="K257">
            <v>-28745196</v>
          </cell>
        </row>
        <row r="258">
          <cell r="B258">
            <v>15197</v>
          </cell>
          <cell r="C258" t="str">
            <v>DEPOSITS PAID</v>
          </cell>
          <cell r="D258">
            <v>1502382.4500000002</v>
          </cell>
          <cell r="E258">
            <v>16623055.560000002</v>
          </cell>
          <cell r="J258">
            <v>1502382</v>
          </cell>
          <cell r="K258">
            <v>16623056</v>
          </cell>
        </row>
        <row r="259">
          <cell r="B259">
            <v>15198</v>
          </cell>
          <cell r="C259" t="str">
            <v>RENT DEPOSITS</v>
          </cell>
          <cell r="D259">
            <v>1800</v>
          </cell>
          <cell r="E259">
            <v>0</v>
          </cell>
          <cell r="J259">
            <v>1800</v>
          </cell>
          <cell r="K259">
            <v>0</v>
          </cell>
        </row>
        <row r="260">
          <cell r="B260">
            <v>15216</v>
          </cell>
          <cell r="C260" t="str">
            <v>INTEREST RECEIVABLE</v>
          </cell>
          <cell r="D260">
            <v>41821</v>
          </cell>
          <cell r="E260">
            <v>646144</v>
          </cell>
          <cell r="J260">
            <v>41821</v>
          </cell>
          <cell r="K260">
            <v>646144</v>
          </cell>
        </row>
        <row r="261">
          <cell r="B261">
            <v>15218</v>
          </cell>
          <cell r="C261" t="str">
            <v>DEPB RECEIVABLE A/C</v>
          </cell>
          <cell r="D261">
            <v>8587441.6999999881</v>
          </cell>
          <cell r="E261">
            <v>373532</v>
          </cell>
          <cell r="J261">
            <v>8587442</v>
          </cell>
          <cell r="K261">
            <v>373532</v>
          </cell>
        </row>
        <row r="262">
          <cell r="B262">
            <v>15219</v>
          </cell>
          <cell r="C262" t="str">
            <v>AA RECEIVABLE A/C</v>
          </cell>
          <cell r="D262">
            <v>0</v>
          </cell>
          <cell r="E262">
            <v>0</v>
          </cell>
          <cell r="J262">
            <v>0</v>
          </cell>
          <cell r="K262">
            <v>0</v>
          </cell>
        </row>
        <row r="263">
          <cell r="B263">
            <v>15221</v>
          </cell>
          <cell r="C263" t="str">
            <v>PREPAID EXPENSES</v>
          </cell>
          <cell r="D263">
            <v>917609.52999999933</v>
          </cell>
          <cell r="E263">
            <v>468712</v>
          </cell>
          <cell r="J263">
            <v>917610</v>
          </cell>
          <cell r="K263">
            <v>468712</v>
          </cell>
        </row>
        <row r="264">
          <cell r="B264">
            <v>15222</v>
          </cell>
          <cell r="C264" t="str">
            <v>PREPAID INSURANCE</v>
          </cell>
          <cell r="D264">
            <v>2558678</v>
          </cell>
          <cell r="E264">
            <v>8517</v>
          </cell>
          <cell r="J264">
            <v>2558678</v>
          </cell>
          <cell r="K264">
            <v>8517</v>
          </cell>
        </row>
        <row r="265">
          <cell r="B265">
            <v>15224</v>
          </cell>
          <cell r="C265" t="str">
            <v>RECOVERABLE FROM PROSEAL</v>
          </cell>
          <cell r="D265">
            <v>0</v>
          </cell>
          <cell r="E265">
            <v>0</v>
          </cell>
          <cell r="G265">
            <v>1091810</v>
          </cell>
          <cell r="J265">
            <v>1091810</v>
          </cell>
          <cell r="K265">
            <v>0</v>
          </cell>
        </row>
        <row r="266">
          <cell r="B266">
            <v>15225</v>
          </cell>
          <cell r="C266" t="str">
            <v>RECOVERABLE FROM BALMER LAWRIE</v>
          </cell>
          <cell r="D266">
            <v>100981.96999999997</v>
          </cell>
          <cell r="E266">
            <v>4000</v>
          </cell>
          <cell r="J266">
            <v>100982</v>
          </cell>
          <cell r="K266">
            <v>4000</v>
          </cell>
        </row>
        <row r="267">
          <cell r="B267">
            <v>15226</v>
          </cell>
          <cell r="C267" t="str">
            <v>RECOVERABLE FROM TRANSAFE</v>
          </cell>
          <cell r="D267">
            <v>0</v>
          </cell>
          <cell r="E267">
            <v>0</v>
          </cell>
          <cell r="J267">
            <v>0</v>
          </cell>
          <cell r="K267">
            <v>0</v>
          </cell>
        </row>
        <row r="268">
          <cell r="B268">
            <v>15227</v>
          </cell>
          <cell r="C268" t="str">
            <v>RECOVERABLE FROM EMPLOYEES</v>
          </cell>
          <cell r="D268">
            <v>5000</v>
          </cell>
          <cell r="E268">
            <v>70000</v>
          </cell>
          <cell r="J268">
            <v>5000</v>
          </cell>
          <cell r="K268">
            <v>70000</v>
          </cell>
        </row>
        <row r="269">
          <cell r="B269">
            <v>15228</v>
          </cell>
          <cell r="C269" t="str">
            <v>RECOVERABLE FROM OTHERS</v>
          </cell>
          <cell r="D269">
            <v>4141</v>
          </cell>
          <cell r="E269">
            <v>75834.799999999814</v>
          </cell>
          <cell r="J269">
            <v>4141</v>
          </cell>
          <cell r="K269">
            <v>75835</v>
          </cell>
        </row>
        <row r="270">
          <cell r="B270">
            <v>15229</v>
          </cell>
          <cell r="C270" t="str">
            <v>RECOVERABLE FROM INSURANCE CO.</v>
          </cell>
          <cell r="D270">
            <v>-13143</v>
          </cell>
          <cell r="E270">
            <v>353678.35000000009</v>
          </cell>
          <cell r="J270">
            <v>-13143</v>
          </cell>
          <cell r="K270">
            <v>353678</v>
          </cell>
        </row>
        <row r="271">
          <cell r="B271">
            <v>15230</v>
          </cell>
          <cell r="C271" t="str">
            <v>RECOVERABLE FROM VAN LEER</v>
          </cell>
          <cell r="D271">
            <v>0</v>
          </cell>
          <cell r="E271">
            <v>0</v>
          </cell>
          <cell r="J271">
            <v>0</v>
          </cell>
          <cell r="K271">
            <v>0</v>
          </cell>
        </row>
        <row r="272">
          <cell r="B272">
            <v>15231</v>
          </cell>
          <cell r="C272" t="str">
            <v>RECOVERABLE FROM L.I.C.- GRATUIRTY</v>
          </cell>
          <cell r="D272">
            <v>0</v>
          </cell>
          <cell r="E272">
            <v>0</v>
          </cell>
          <cell r="J272">
            <v>0</v>
          </cell>
          <cell r="K272">
            <v>0</v>
          </cell>
        </row>
        <row r="273">
          <cell r="B273">
            <v>15232</v>
          </cell>
          <cell r="C273" t="str">
            <v>RECOVERABLE FROM ESIC</v>
          </cell>
          <cell r="D273">
            <v>19589</v>
          </cell>
          <cell r="E273">
            <v>222894</v>
          </cell>
          <cell r="J273">
            <v>19589</v>
          </cell>
          <cell r="K273">
            <v>222894</v>
          </cell>
        </row>
        <row r="274">
          <cell r="B274">
            <v>15233</v>
          </cell>
          <cell r="C274" t="str">
            <v>RECOVERABLE FROM GREIF AUSTRALIA</v>
          </cell>
          <cell r="D274">
            <v>0</v>
          </cell>
          <cell r="E274">
            <v>0</v>
          </cell>
          <cell r="J274">
            <v>0</v>
          </cell>
          <cell r="K274">
            <v>0</v>
          </cell>
        </row>
        <row r="275">
          <cell r="B275">
            <v>15239</v>
          </cell>
          <cell r="C275" t="str">
            <v>ADVANCE AGAINST EXPENSES</v>
          </cell>
          <cell r="D275">
            <v>0</v>
          </cell>
          <cell r="E275">
            <v>7000</v>
          </cell>
          <cell r="J275">
            <v>0</v>
          </cell>
          <cell r="K275">
            <v>7000</v>
          </cell>
        </row>
        <row r="276">
          <cell r="B276">
            <v>15241</v>
          </cell>
          <cell r="C276" t="str">
            <v>ADVANCE AGAINST SALARY/WAGES</v>
          </cell>
          <cell r="D276">
            <v>255500</v>
          </cell>
          <cell r="E276">
            <v>45000</v>
          </cell>
          <cell r="J276">
            <v>255500</v>
          </cell>
          <cell r="K276">
            <v>45000</v>
          </cell>
        </row>
        <row r="277">
          <cell r="B277">
            <v>15242</v>
          </cell>
          <cell r="C277" t="str">
            <v>ADVANCE AGAINST LTA</v>
          </cell>
          <cell r="D277">
            <v>0</v>
          </cell>
          <cell r="E277">
            <v>0</v>
          </cell>
          <cell r="J277">
            <v>0</v>
          </cell>
          <cell r="K277">
            <v>0</v>
          </cell>
        </row>
        <row r="278">
          <cell r="B278">
            <v>15243</v>
          </cell>
          <cell r="C278" t="str">
            <v>ADVANCE SUPPLIERS/ OTHERS (3410)</v>
          </cell>
          <cell r="D278">
            <v>7000</v>
          </cell>
          <cell r="E278">
            <v>0</v>
          </cell>
          <cell r="J278">
            <v>7000</v>
          </cell>
          <cell r="K278">
            <v>0</v>
          </cell>
        </row>
        <row r="279">
          <cell r="B279">
            <v>15244</v>
          </cell>
          <cell r="C279" t="str">
            <v>ADVANCE AGAINST CHEQUE</v>
          </cell>
          <cell r="D279">
            <v>0</v>
          </cell>
          <cell r="E279">
            <v>0</v>
          </cell>
          <cell r="J279">
            <v>0</v>
          </cell>
          <cell r="K279">
            <v>0</v>
          </cell>
        </row>
        <row r="280">
          <cell r="B280">
            <v>15249</v>
          </cell>
          <cell r="C280" t="str">
            <v>FESTIVALS LOAN</v>
          </cell>
          <cell r="D280">
            <v>469200</v>
          </cell>
          <cell r="E280">
            <v>162400</v>
          </cell>
          <cell r="J280">
            <v>469200</v>
          </cell>
          <cell r="K280">
            <v>162400</v>
          </cell>
        </row>
        <row r="281">
          <cell r="B281">
            <v>15250</v>
          </cell>
          <cell r="C281" t="str">
            <v>CAR LOAN</v>
          </cell>
          <cell r="D281">
            <v>625943.5</v>
          </cell>
          <cell r="E281">
            <v>5025</v>
          </cell>
          <cell r="J281">
            <v>625944</v>
          </cell>
          <cell r="K281">
            <v>5025</v>
          </cell>
        </row>
        <row r="282">
          <cell r="B282">
            <v>15251</v>
          </cell>
          <cell r="C282" t="str">
            <v>SUNDRY LOAN</v>
          </cell>
          <cell r="D282">
            <v>532112.36000000034</v>
          </cell>
          <cell r="E282">
            <v>708795.87999999989</v>
          </cell>
          <cell r="J282">
            <v>532112</v>
          </cell>
          <cell r="K282">
            <v>708796</v>
          </cell>
        </row>
        <row r="283">
          <cell r="B283">
            <v>15252</v>
          </cell>
          <cell r="C283" t="str">
            <v>LOAN TO SUBSIDIARY</v>
          </cell>
          <cell r="D283">
            <v>35000000</v>
          </cell>
          <cell r="E283">
            <v>0</v>
          </cell>
          <cell r="J283">
            <v>35000000</v>
          </cell>
          <cell r="K283">
            <v>0</v>
          </cell>
        </row>
        <row r="284">
          <cell r="B284">
            <v>15256</v>
          </cell>
          <cell r="C284" t="str">
            <v>CREDITORS DEBIT BALANCES</v>
          </cell>
          <cell r="D284">
            <v>0</v>
          </cell>
          <cell r="E284">
            <v>0</v>
          </cell>
          <cell r="J284">
            <v>0</v>
          </cell>
          <cell r="K284">
            <v>0</v>
          </cell>
        </row>
        <row r="285">
          <cell r="B285">
            <v>15269</v>
          </cell>
          <cell r="C285" t="str">
            <v>PROVISION FOR LOANS &amp; ADVANCES</v>
          </cell>
          <cell r="D285">
            <v>-686451.41999999993</v>
          </cell>
          <cell r="E285">
            <v>-627408.02</v>
          </cell>
          <cell r="J285">
            <v>-686451</v>
          </cell>
          <cell r="K285">
            <v>-627408</v>
          </cell>
        </row>
        <row r="286">
          <cell r="B286">
            <v>15297</v>
          </cell>
          <cell r="C286" t="str">
            <v>PROVISION FOR PENDING GRN (PURCHASE PACKING SLIP OFFSET AC)</v>
          </cell>
          <cell r="D286">
            <v>0</v>
          </cell>
          <cell r="E286">
            <v>0</v>
          </cell>
          <cell r="J286">
            <v>0</v>
          </cell>
          <cell r="K286">
            <v>0</v>
          </cell>
        </row>
        <row r="287">
          <cell r="B287">
            <v>15310</v>
          </cell>
          <cell r="C287" t="str">
            <v>INTERIM HEDU CESS - PLA A/C</v>
          </cell>
          <cell r="D287">
            <v>-1411040.4699999997</v>
          </cell>
          <cell r="E287">
            <v>0</v>
          </cell>
          <cell r="J287">
            <v>-1411040</v>
          </cell>
          <cell r="K287">
            <v>0</v>
          </cell>
        </row>
        <row r="288">
          <cell r="B288">
            <v>15311</v>
          </cell>
          <cell r="C288" t="str">
            <v>INTERIM PLA ACCOUNT</v>
          </cell>
          <cell r="D288">
            <v>0</v>
          </cell>
          <cell r="E288">
            <v>0</v>
          </cell>
          <cell r="J288">
            <v>0</v>
          </cell>
          <cell r="K288">
            <v>0</v>
          </cell>
        </row>
        <row r="289">
          <cell r="B289">
            <v>15312</v>
          </cell>
          <cell r="C289" t="str">
            <v>INTERIM EDUCESS - PLA A/C</v>
          </cell>
          <cell r="D289">
            <v>-2751947.6400000006</v>
          </cell>
          <cell r="E289">
            <v>0</v>
          </cell>
          <cell r="J289">
            <v>-2751948</v>
          </cell>
          <cell r="K289">
            <v>0</v>
          </cell>
        </row>
        <row r="290">
          <cell r="B290">
            <v>15313</v>
          </cell>
          <cell r="C290" t="str">
            <v>BASIC EXCISE DUTY - PLA A/C</v>
          </cell>
          <cell r="D290">
            <v>4954748</v>
          </cell>
          <cell r="E290">
            <v>0</v>
          </cell>
          <cell r="J290">
            <v>4954748</v>
          </cell>
          <cell r="K290">
            <v>0</v>
          </cell>
        </row>
        <row r="291">
          <cell r="B291">
            <v>15314</v>
          </cell>
          <cell r="C291" t="str">
            <v>EDUCATION CESS - PLA A/C</v>
          </cell>
          <cell r="D291">
            <v>5996623</v>
          </cell>
          <cell r="E291">
            <v>0</v>
          </cell>
          <cell r="J291">
            <v>5996623</v>
          </cell>
          <cell r="K291">
            <v>0</v>
          </cell>
        </row>
        <row r="292">
          <cell r="B292">
            <v>15315</v>
          </cell>
          <cell r="C292" t="str">
            <v>HIGHER EDUCATION CESS - PLA A/C</v>
          </cell>
          <cell r="D292">
            <v>2568676</v>
          </cell>
          <cell r="E292">
            <v>0</v>
          </cell>
          <cell r="J292">
            <v>2568676</v>
          </cell>
          <cell r="K292">
            <v>0</v>
          </cell>
        </row>
        <row r="293">
          <cell r="B293">
            <v>15323</v>
          </cell>
          <cell r="C293" t="str">
            <v>BASIC EXCISE DUTY RECOVERABLE - RG 23 A</v>
          </cell>
          <cell r="D293">
            <v>136814237.96000001</v>
          </cell>
          <cell r="E293">
            <v>297969875.63000029</v>
          </cell>
          <cell r="J293">
            <v>136814238</v>
          </cell>
          <cell r="K293">
            <v>297969876</v>
          </cell>
        </row>
        <row r="294">
          <cell r="B294">
            <v>15324</v>
          </cell>
          <cell r="C294" t="str">
            <v>EDUCATION CESS - RG 23 A</v>
          </cell>
          <cell r="D294">
            <v>2519411.8000000007</v>
          </cell>
          <cell r="E294">
            <v>-1098950.42</v>
          </cell>
          <cell r="J294">
            <v>2519412</v>
          </cell>
          <cell r="K294">
            <v>-1098950</v>
          </cell>
        </row>
        <row r="295">
          <cell r="B295">
            <v>15325</v>
          </cell>
          <cell r="C295" t="str">
            <v>HIGHER EDUCATION CESS - RG 23 A</v>
          </cell>
          <cell r="D295">
            <v>883553.94000000018</v>
          </cell>
          <cell r="E295">
            <v>188879.13999999996</v>
          </cell>
          <cell r="J295">
            <v>883554</v>
          </cell>
          <cell r="K295">
            <v>188879</v>
          </cell>
        </row>
        <row r="296">
          <cell r="B296">
            <v>15332</v>
          </cell>
          <cell r="C296" t="str">
            <v>BASIC EXCISE DUTY RECOVERABLE - RG 23 C</v>
          </cell>
          <cell r="D296">
            <v>16962294.090000033</v>
          </cell>
          <cell r="E296">
            <v>18333918.690000005</v>
          </cell>
          <cell r="J296">
            <v>16962294</v>
          </cell>
          <cell r="K296">
            <v>18333919</v>
          </cell>
        </row>
        <row r="297">
          <cell r="B297">
            <v>15333</v>
          </cell>
          <cell r="C297" t="str">
            <v>EDUCATION CESS - RG 23 C</v>
          </cell>
          <cell r="D297">
            <v>111317.06999999983</v>
          </cell>
          <cell r="E297">
            <v>1933.9400000000023</v>
          </cell>
          <cell r="J297">
            <v>111317</v>
          </cell>
          <cell r="K297">
            <v>1934</v>
          </cell>
        </row>
        <row r="298">
          <cell r="B298">
            <v>15334</v>
          </cell>
          <cell r="C298" t="str">
            <v>HIGHER EDUCATION CESS - RG 23 C</v>
          </cell>
          <cell r="D298">
            <v>57706.109999999986</v>
          </cell>
          <cell r="E298">
            <v>945.25</v>
          </cell>
          <cell r="J298">
            <v>57706</v>
          </cell>
          <cell r="K298">
            <v>945</v>
          </cell>
        </row>
        <row r="299">
          <cell r="B299">
            <v>15339</v>
          </cell>
          <cell r="C299" t="str">
            <v>RG 23 D CENVAT CREDIT TRANSFER ACCOUNT</v>
          </cell>
          <cell r="D299">
            <v>-31276</v>
          </cell>
          <cell r="E299">
            <v>-20898067.52</v>
          </cell>
          <cell r="J299">
            <v>-31276</v>
          </cell>
          <cell r="K299">
            <v>-20898068</v>
          </cell>
        </row>
        <row r="300">
          <cell r="B300">
            <v>15340</v>
          </cell>
          <cell r="C300" t="str">
            <v>RG23D CENVAT CREDIT ACCOUNT</v>
          </cell>
          <cell r="D300">
            <v>0</v>
          </cell>
          <cell r="E300">
            <v>21492619.939999998</v>
          </cell>
          <cell r="J300">
            <v>0</v>
          </cell>
          <cell r="K300">
            <v>21492620</v>
          </cell>
        </row>
        <row r="301">
          <cell r="B301">
            <v>15344</v>
          </cell>
          <cell r="C301" t="str">
            <v>SERVICE TAX (RECEIVABLE)</v>
          </cell>
          <cell r="D301">
            <v>-9747061.5600000024</v>
          </cell>
          <cell r="E301">
            <v>48944870.269999936</v>
          </cell>
          <cell r="J301">
            <v>-9747062</v>
          </cell>
          <cell r="K301">
            <v>48944870</v>
          </cell>
        </row>
        <row r="302">
          <cell r="B302">
            <v>15345</v>
          </cell>
          <cell r="C302" t="str">
            <v>EDUCATION CESS ON SERVICE TAX (RECEIVABLE)</v>
          </cell>
          <cell r="D302">
            <v>342800.28999999911</v>
          </cell>
          <cell r="E302">
            <v>1260900.059999998</v>
          </cell>
          <cell r="J302">
            <v>342800</v>
          </cell>
          <cell r="K302">
            <v>1260900</v>
          </cell>
        </row>
        <row r="303">
          <cell r="B303">
            <v>15346</v>
          </cell>
          <cell r="C303" t="str">
            <v>HIGHER EDUCATION CESS ON SERVICE TAX (RECEIVABLE)</v>
          </cell>
          <cell r="D303">
            <v>209989.68999999994</v>
          </cell>
          <cell r="E303">
            <v>507071.82000000135</v>
          </cell>
          <cell r="J303">
            <v>209990</v>
          </cell>
          <cell r="K303">
            <v>507072</v>
          </cell>
        </row>
        <row r="304">
          <cell r="B304">
            <v>15347</v>
          </cell>
          <cell r="C304" t="str">
            <v>SERVICE TAX (PAYABLE)</v>
          </cell>
          <cell r="D304">
            <v>-4989289.1999999993</v>
          </cell>
          <cell r="E304">
            <v>-1515828.8699999992</v>
          </cell>
          <cell r="J304">
            <v>-4989289</v>
          </cell>
          <cell r="K304">
            <v>-1515829</v>
          </cell>
        </row>
        <row r="305">
          <cell r="B305">
            <v>15348</v>
          </cell>
          <cell r="C305" t="str">
            <v>EDUCATION CESS ON SERVICE TAX (PAYABLE)</v>
          </cell>
          <cell r="D305">
            <v>-90236.81</v>
          </cell>
          <cell r="E305">
            <v>-26258.239999999991</v>
          </cell>
          <cell r="J305">
            <v>-90237</v>
          </cell>
          <cell r="K305">
            <v>-26258</v>
          </cell>
        </row>
        <row r="306">
          <cell r="B306">
            <v>15349</v>
          </cell>
          <cell r="C306" t="str">
            <v>HIGHER EDUCATION CESS ON SERVICE TAX (PAYABLE)</v>
          </cell>
          <cell r="D306">
            <v>-45208.86</v>
          </cell>
          <cell r="E306">
            <v>-13668.699999999997</v>
          </cell>
          <cell r="J306">
            <v>-45209</v>
          </cell>
          <cell r="K306">
            <v>-13669</v>
          </cell>
        </row>
        <row r="307">
          <cell r="B307">
            <v>15350</v>
          </cell>
          <cell r="C307" t="str">
            <v>SERVICE TAX INTERIM PAYABLE</v>
          </cell>
          <cell r="D307">
            <v>1875674.83</v>
          </cell>
          <cell r="E307">
            <v>52680.750000000036</v>
          </cell>
          <cell r="J307">
            <v>1875675</v>
          </cell>
          <cell r="K307">
            <v>52681</v>
          </cell>
        </row>
        <row r="308">
          <cell r="B308">
            <v>15351</v>
          </cell>
          <cell r="C308" t="str">
            <v>SERVICE TAX INTERIM RECOVERABLE</v>
          </cell>
          <cell r="D308">
            <v>-3506836.0000000009</v>
          </cell>
          <cell r="E308">
            <v>-4437782.1400000006</v>
          </cell>
          <cell r="J308">
            <v>-3506836</v>
          </cell>
          <cell r="K308">
            <v>-4437782</v>
          </cell>
        </row>
        <row r="309">
          <cell r="B309">
            <v>15352</v>
          </cell>
          <cell r="C309" t="str">
            <v>EDU CESS SERVICE TAX INTERIM RECOVERABLE</v>
          </cell>
          <cell r="D309">
            <v>-3096.1899999999951</v>
          </cell>
          <cell r="E309">
            <v>-21645.640000000014</v>
          </cell>
          <cell r="J309">
            <v>-3096</v>
          </cell>
          <cell r="K309">
            <v>-21646</v>
          </cell>
        </row>
        <row r="310">
          <cell r="B310">
            <v>15353</v>
          </cell>
          <cell r="C310" t="str">
            <v>H EDU CESS SERVICE TAX INTERIM RECOVERABLE</v>
          </cell>
          <cell r="D310">
            <v>-1632.5400000000081</v>
          </cell>
          <cell r="E310">
            <v>-10278.429999999993</v>
          </cell>
          <cell r="J310">
            <v>-1633</v>
          </cell>
          <cell r="K310">
            <v>-10278</v>
          </cell>
        </row>
        <row r="311">
          <cell r="B311">
            <v>15356</v>
          </cell>
          <cell r="C311" t="str">
            <v>RECOVERABLE FROM EXCISE</v>
          </cell>
          <cell r="D311">
            <v>498108</v>
          </cell>
          <cell r="E311">
            <v>-3007441.8300000019</v>
          </cell>
          <cell r="J311">
            <v>498108</v>
          </cell>
          <cell r="K311">
            <v>-3007442</v>
          </cell>
        </row>
        <row r="312">
          <cell r="B312">
            <v>15357</v>
          </cell>
          <cell r="C312" t="str">
            <v>DEFERRED EXCISE DUTY (CAPITAL GOODS)</v>
          </cell>
          <cell r="D312">
            <v>5563099.8000000017</v>
          </cell>
          <cell r="E312">
            <v>7332119.3600000003</v>
          </cell>
          <cell r="J312">
            <v>5563100</v>
          </cell>
          <cell r="K312">
            <v>7332119</v>
          </cell>
        </row>
        <row r="313">
          <cell r="B313">
            <v>15358</v>
          </cell>
          <cell r="C313" t="str">
            <v>DEFERRED EDU. CESS (CAPITAL GOODS)</v>
          </cell>
          <cell r="D313">
            <v>48878.51</v>
          </cell>
          <cell r="E313">
            <v>23298.220000000008</v>
          </cell>
          <cell r="J313">
            <v>48879</v>
          </cell>
          <cell r="K313">
            <v>23298</v>
          </cell>
        </row>
        <row r="314">
          <cell r="B314">
            <v>15359</v>
          </cell>
          <cell r="C314" t="str">
            <v>DEFERRED HIGHER EDU CESS (CAPITAL GOODS)</v>
          </cell>
          <cell r="D314">
            <v>25535.69999999999</v>
          </cell>
          <cell r="E314">
            <v>16872.95</v>
          </cell>
          <cell r="J314">
            <v>25536</v>
          </cell>
          <cell r="K314">
            <v>16873</v>
          </cell>
        </row>
        <row r="315">
          <cell r="B315">
            <v>15360</v>
          </cell>
          <cell r="C315" t="str">
            <v>EXCISE COCHIN</v>
          </cell>
          <cell r="D315">
            <v>-23802</v>
          </cell>
          <cell r="E315">
            <v>14041668</v>
          </cell>
          <cell r="J315">
            <v>-23802</v>
          </cell>
          <cell r="K315">
            <v>14041668</v>
          </cell>
        </row>
        <row r="316">
          <cell r="B316">
            <v>15368</v>
          </cell>
          <cell r="C316" t="str">
            <v>BASIC EXCISE DUTY PAYABLE</v>
          </cell>
          <cell r="D316">
            <v>-155249317.67000008</v>
          </cell>
          <cell r="E316">
            <v>-293951556.31999999</v>
          </cell>
          <cell r="J316">
            <v>-155249318</v>
          </cell>
          <cell r="K316">
            <v>-293951556</v>
          </cell>
        </row>
        <row r="317">
          <cell r="B317">
            <v>15369</v>
          </cell>
          <cell r="C317" t="str">
            <v>EDUCATION CESS PAYABLE</v>
          </cell>
          <cell r="D317">
            <v>-2121053.6799999997</v>
          </cell>
          <cell r="E317">
            <v>-1058338.7399999995</v>
          </cell>
          <cell r="J317">
            <v>-2121054</v>
          </cell>
          <cell r="K317">
            <v>-1058339</v>
          </cell>
        </row>
        <row r="318">
          <cell r="B318">
            <v>15370</v>
          </cell>
          <cell r="C318" t="str">
            <v>HIGHER EDUCATION CESS PAYABLE</v>
          </cell>
          <cell r="D318">
            <v>-1060450.6200000001</v>
          </cell>
          <cell r="E318">
            <v>-596769.88999999932</v>
          </cell>
          <cell r="J318">
            <v>-1060451</v>
          </cell>
          <cell r="K318">
            <v>-596770</v>
          </cell>
        </row>
        <row r="319">
          <cell r="B319">
            <v>15371</v>
          </cell>
          <cell r="C319" t="str">
            <v>RECOVERABLE FROM EXCISE (TILL THE TIME MATL IS WITH PROCESSO</v>
          </cell>
          <cell r="D319">
            <v>-10457098.439999998</v>
          </cell>
          <cell r="E319">
            <v>4530980.1900000004</v>
          </cell>
          <cell r="J319">
            <v>-10457098</v>
          </cell>
          <cell r="K319">
            <v>4530980</v>
          </cell>
        </row>
        <row r="320">
          <cell r="B320">
            <v>15381</v>
          </cell>
          <cell r="C320" t="str">
            <v>RECOVERABLE FROM SALES TAX A/C</v>
          </cell>
          <cell r="D320">
            <v>8176818</v>
          </cell>
          <cell r="E320">
            <v>118950</v>
          </cell>
          <cell r="J320">
            <v>8176818</v>
          </cell>
          <cell r="K320">
            <v>118950</v>
          </cell>
        </row>
        <row r="321">
          <cell r="B321">
            <v>15398</v>
          </cell>
          <cell r="C321" t="str">
            <v>ADVANCE INCOME TAX</v>
          </cell>
          <cell r="D321">
            <v>102155936.49000001</v>
          </cell>
          <cell r="E321">
            <v>434543.06999999995</v>
          </cell>
          <cell r="J321">
            <v>102155936</v>
          </cell>
          <cell r="K321">
            <v>434543</v>
          </cell>
        </row>
        <row r="322">
          <cell r="B322">
            <v>15427</v>
          </cell>
          <cell r="C322" t="str">
            <v>SUNDRY CREDITORS DOMESTIC</v>
          </cell>
          <cell r="D322">
            <v>-19552251.019999716</v>
          </cell>
          <cell r="E322">
            <v>-21676966.780000016</v>
          </cell>
          <cell r="J322">
            <v>-19552251</v>
          </cell>
          <cell r="K322">
            <v>-21676967</v>
          </cell>
        </row>
        <row r="323">
          <cell r="B323">
            <v>15428</v>
          </cell>
          <cell r="C323" t="str">
            <v>SUNDRY CREDITORS FOREIGN</v>
          </cell>
          <cell r="D323">
            <v>-13331099.050000012</v>
          </cell>
          <cell r="E323">
            <v>-196342789.15999961</v>
          </cell>
          <cell r="J323">
            <v>-13331099</v>
          </cell>
          <cell r="K323">
            <v>-196342789</v>
          </cell>
        </row>
        <row r="324">
          <cell r="B324">
            <v>15429</v>
          </cell>
          <cell r="C324" t="str">
            <v>PROVISION FOR PENDING GRN (PURC PACK SLIP OFFSET NET W15078)</v>
          </cell>
          <cell r="D324">
            <v>-1006079.1900000572</v>
          </cell>
          <cell r="E324">
            <v>-76512</v>
          </cell>
          <cell r="J324">
            <v>-1006079</v>
          </cell>
          <cell r="K324">
            <v>-76512</v>
          </cell>
        </row>
        <row r="325">
          <cell r="B325">
            <v>15433</v>
          </cell>
          <cell r="C325" t="str">
            <v>STALE CHEQUE A/C</v>
          </cell>
          <cell r="D325">
            <v>-696204.27</v>
          </cell>
          <cell r="E325">
            <v>-597448.48999999976</v>
          </cell>
          <cell r="J325">
            <v>-696204</v>
          </cell>
          <cell r="K325">
            <v>-597448</v>
          </cell>
        </row>
        <row r="326">
          <cell r="B326">
            <v>15434</v>
          </cell>
          <cell r="C326" t="str">
            <v>CREDITORS FOR EXPENSES (SERVICE PROVIDERS)</v>
          </cell>
          <cell r="D326">
            <v>169251.78999999911</v>
          </cell>
          <cell r="E326">
            <v>-8762204.3300000131</v>
          </cell>
          <cell r="J326">
            <v>169252</v>
          </cell>
          <cell r="K326">
            <v>-8762204</v>
          </cell>
        </row>
        <row r="327">
          <cell r="B327">
            <v>15435</v>
          </cell>
          <cell r="C327" t="str">
            <v>BL - LIABILITY TRAVEL</v>
          </cell>
          <cell r="D327">
            <v>97284</v>
          </cell>
          <cell r="E327">
            <v>-97284</v>
          </cell>
          <cell r="J327">
            <v>97284</v>
          </cell>
          <cell r="K327">
            <v>-97284</v>
          </cell>
        </row>
        <row r="328">
          <cell r="B328">
            <v>15436</v>
          </cell>
          <cell r="C328" t="str">
            <v>LIABILITY FOR EXPENSES (2010-11)</v>
          </cell>
          <cell r="D328">
            <v>-104612.25999999978</v>
          </cell>
          <cell r="E328">
            <v>-341057.97000000067</v>
          </cell>
          <cell r="J328">
            <v>-104612</v>
          </cell>
          <cell r="K328">
            <v>-341058</v>
          </cell>
        </row>
        <row r="329">
          <cell r="B329">
            <v>15439</v>
          </cell>
          <cell r="C329" t="str">
            <v>SHARE APPLN MONEY BOI</v>
          </cell>
          <cell r="D329">
            <v>-1550</v>
          </cell>
          <cell r="E329">
            <v>0</v>
          </cell>
          <cell r="J329">
            <v>-1550</v>
          </cell>
          <cell r="K329">
            <v>0</v>
          </cell>
        </row>
        <row r="330">
          <cell r="B330">
            <v>15440</v>
          </cell>
          <cell r="C330" t="str">
            <v>NET SALARY ADJUSTABLE</v>
          </cell>
          <cell r="D330">
            <v>-5876510.0699999928</v>
          </cell>
          <cell r="E330">
            <v>-3333293</v>
          </cell>
          <cell r="J330">
            <v>-5876510</v>
          </cell>
          <cell r="K330">
            <v>-3333293</v>
          </cell>
        </row>
        <row r="331">
          <cell r="B331">
            <v>15441</v>
          </cell>
          <cell r="C331" t="str">
            <v>SUPERANNUATION ADJUSTABLE</v>
          </cell>
          <cell r="D331">
            <v>-214821</v>
          </cell>
          <cell r="E331">
            <v>-123779</v>
          </cell>
          <cell r="J331">
            <v>-214821</v>
          </cell>
          <cell r="K331">
            <v>-123779</v>
          </cell>
        </row>
        <row r="332">
          <cell r="B332">
            <v>15442</v>
          </cell>
          <cell r="C332" t="str">
            <v>WELFARE FUND ADJUSTABLE</v>
          </cell>
          <cell r="D332">
            <v>2814</v>
          </cell>
          <cell r="E332">
            <v>-2814</v>
          </cell>
          <cell r="J332">
            <v>2814</v>
          </cell>
          <cell r="K332">
            <v>-2814</v>
          </cell>
        </row>
        <row r="333">
          <cell r="B333">
            <v>15443</v>
          </cell>
          <cell r="C333" t="str">
            <v>BANK LOAN ADJUSTABLE A/C</v>
          </cell>
          <cell r="D333">
            <v>-649163</v>
          </cell>
          <cell r="E333">
            <v>16352</v>
          </cell>
          <cell r="J333">
            <v>-649163</v>
          </cell>
          <cell r="K333">
            <v>16352</v>
          </cell>
        </row>
        <row r="334">
          <cell r="B334">
            <v>15444</v>
          </cell>
          <cell r="C334" t="str">
            <v>L I C ADJUSTABLE</v>
          </cell>
          <cell r="D334">
            <v>-132446.12000000104</v>
          </cell>
          <cell r="E334">
            <v>-24370.879999999888</v>
          </cell>
          <cell r="J334">
            <v>-132446</v>
          </cell>
          <cell r="K334">
            <v>-24371</v>
          </cell>
        </row>
        <row r="335">
          <cell r="B335">
            <v>15445</v>
          </cell>
          <cell r="C335" t="str">
            <v>MISC DEDUCTION SALARY ADJUSTABLE A/C</v>
          </cell>
          <cell r="D335">
            <v>-188422.06000000052</v>
          </cell>
          <cell r="E335">
            <v>124128.06000000006</v>
          </cell>
          <cell r="J335">
            <v>-188422</v>
          </cell>
          <cell r="K335">
            <v>124128</v>
          </cell>
        </row>
        <row r="336">
          <cell r="B336">
            <v>15446</v>
          </cell>
          <cell r="C336" t="str">
            <v>EMPLOYEES CO-OP CREDIT SOCIETY</v>
          </cell>
          <cell r="D336">
            <v>-311366</v>
          </cell>
          <cell r="E336">
            <v>-311267</v>
          </cell>
          <cell r="J336">
            <v>-311366</v>
          </cell>
          <cell r="K336">
            <v>-311267</v>
          </cell>
        </row>
        <row r="337">
          <cell r="B337">
            <v>15447</v>
          </cell>
          <cell r="C337" t="str">
            <v>HOUSING LOAN ADJUSTABLE A/C</v>
          </cell>
          <cell r="D337">
            <v>0</v>
          </cell>
          <cell r="E337">
            <v>-23274</v>
          </cell>
          <cell r="J337">
            <v>0</v>
          </cell>
          <cell r="K337">
            <v>-23274</v>
          </cell>
        </row>
        <row r="338">
          <cell r="B338">
            <v>15448</v>
          </cell>
          <cell r="C338" t="str">
            <v>UNCLAIMED SALARY/WAGES</v>
          </cell>
          <cell r="D338">
            <v>-22791</v>
          </cell>
          <cell r="E338">
            <v>0</v>
          </cell>
          <cell r="J338">
            <v>-22791</v>
          </cell>
          <cell r="K338">
            <v>0</v>
          </cell>
        </row>
        <row r="339">
          <cell r="B339">
            <v>15449</v>
          </cell>
          <cell r="C339" t="str">
            <v>UNCLAIMED BONUS</v>
          </cell>
          <cell r="D339">
            <v>-11945.590000000004</v>
          </cell>
          <cell r="E339">
            <v>-3026</v>
          </cell>
          <cell r="J339">
            <v>-11946</v>
          </cell>
          <cell r="K339">
            <v>-3026</v>
          </cell>
        </row>
        <row r="340">
          <cell r="B340">
            <v>15450</v>
          </cell>
          <cell r="C340" t="str">
            <v>COIN ADJ</v>
          </cell>
          <cell r="D340">
            <v>2197.7999999999533</v>
          </cell>
          <cell r="E340">
            <v>79185.160000000149</v>
          </cell>
          <cell r="J340">
            <v>2198</v>
          </cell>
          <cell r="K340">
            <v>79185</v>
          </cell>
        </row>
        <row r="341">
          <cell r="B341">
            <v>15452</v>
          </cell>
          <cell r="C341" t="str">
            <v>PROVISION FOR MANAGERIAL EXP.</v>
          </cell>
          <cell r="D341">
            <v>114516</v>
          </cell>
          <cell r="E341">
            <v>0</v>
          </cell>
          <cell r="J341">
            <v>114516</v>
          </cell>
          <cell r="K341">
            <v>0</v>
          </cell>
        </row>
        <row r="342">
          <cell r="B342">
            <v>15454</v>
          </cell>
          <cell r="C342" t="str">
            <v>PAYABLE TO EMPLOYEES</v>
          </cell>
          <cell r="D342">
            <v>-71664.5</v>
          </cell>
          <cell r="E342">
            <v>5158</v>
          </cell>
          <cell r="J342">
            <v>-71665</v>
          </cell>
          <cell r="K342">
            <v>5158</v>
          </cell>
        </row>
        <row r="343">
          <cell r="B343">
            <v>15456</v>
          </cell>
          <cell r="C343" t="str">
            <v>ADVANCE HP (SALE OF PROPERTY)</v>
          </cell>
          <cell r="D343">
            <v>-2225000</v>
          </cell>
          <cell r="E343">
            <v>0</v>
          </cell>
          <cell r="J343">
            <v>-2225000</v>
          </cell>
          <cell r="K343">
            <v>0</v>
          </cell>
        </row>
        <row r="344">
          <cell r="B344">
            <v>15457</v>
          </cell>
          <cell r="C344" t="str">
            <v>*** NOT TO USE *** LIABILITY FOR MISC. CHG (FERA)</v>
          </cell>
          <cell r="D344">
            <v>2810</v>
          </cell>
          <cell r="E344">
            <v>-3090</v>
          </cell>
          <cell r="J344">
            <v>2810</v>
          </cell>
          <cell r="K344">
            <v>-3090</v>
          </cell>
        </row>
        <row r="345">
          <cell r="B345">
            <v>15458</v>
          </cell>
          <cell r="C345" t="str">
            <v>LIABILITY FOR CLG FRD CHG (FERA)</v>
          </cell>
          <cell r="D345">
            <v>-615441.75999999791</v>
          </cell>
          <cell r="E345">
            <v>634301.76000366174</v>
          </cell>
          <cell r="J345">
            <v>-615442</v>
          </cell>
          <cell r="K345">
            <v>634302</v>
          </cell>
        </row>
        <row r="346">
          <cell r="B346">
            <v>15459</v>
          </cell>
          <cell r="C346" t="str">
            <v>LIABILITY FOR EXPENSES (2011-12)</v>
          </cell>
          <cell r="D346">
            <v>-1270182.6999999955</v>
          </cell>
          <cell r="E346">
            <v>-187190.02000000328</v>
          </cell>
          <cell r="J346">
            <v>-1270183</v>
          </cell>
          <cell r="K346">
            <v>-187190</v>
          </cell>
        </row>
        <row r="347">
          <cell r="B347">
            <v>15460</v>
          </cell>
          <cell r="C347" t="str">
            <v>LIABILITY FOR TPT (CASES WHERE AUTO TPT POSTING IS SKIPED)</v>
          </cell>
          <cell r="D347">
            <v>0</v>
          </cell>
          <cell r="E347">
            <v>0</v>
          </cell>
          <cell r="J347">
            <v>0</v>
          </cell>
          <cell r="K347">
            <v>0</v>
          </cell>
        </row>
        <row r="348">
          <cell r="B348">
            <v>15461</v>
          </cell>
          <cell r="C348" t="str">
            <v>LIABILITY OF FREIGHT IN (FOB) EXPORT</v>
          </cell>
          <cell r="D348">
            <v>4.0000006556510925E-2</v>
          </cell>
          <cell r="E348">
            <v>0</v>
          </cell>
          <cell r="J348">
            <v>0</v>
          </cell>
          <cell r="K348">
            <v>0</v>
          </cell>
        </row>
        <row r="349">
          <cell r="B349">
            <v>15462</v>
          </cell>
          <cell r="C349" t="str">
            <v>LIABILITY FOR EXPENSES (2012-13)</v>
          </cell>
          <cell r="D349">
            <v>-1221624.1999999955</v>
          </cell>
          <cell r="E349">
            <v>-829420</v>
          </cell>
          <cell r="J349">
            <v>-1221624</v>
          </cell>
          <cell r="K349">
            <v>-829420</v>
          </cell>
        </row>
        <row r="350">
          <cell r="B350">
            <v>15463</v>
          </cell>
          <cell r="C350" t="str">
            <v>LIABILITY FOR EXPENSES (2013-14)</v>
          </cell>
          <cell r="D350">
            <v>-2662582</v>
          </cell>
          <cell r="E350">
            <v>1573699</v>
          </cell>
          <cell r="J350">
            <v>-2662582</v>
          </cell>
          <cell r="K350">
            <v>1573699</v>
          </cell>
        </row>
        <row r="351">
          <cell r="B351">
            <v>15464</v>
          </cell>
          <cell r="C351" t="str">
            <v>LIABILITY FOR EXPENSES (2014-15)</v>
          </cell>
          <cell r="D351">
            <v>-2010028.7199999876</v>
          </cell>
          <cell r="E351">
            <v>159269</v>
          </cell>
          <cell r="J351">
            <v>-2010029</v>
          </cell>
          <cell r="K351">
            <v>159269</v>
          </cell>
        </row>
        <row r="352">
          <cell r="B352">
            <v>15465</v>
          </cell>
          <cell r="C352" t="str">
            <v>LIABILITY FOR EXPENSES (2015-16)</v>
          </cell>
          <cell r="D352">
            <v>-41070951.399999999</v>
          </cell>
          <cell r="E352">
            <v>-21433811</v>
          </cell>
          <cell r="G352">
            <v>-225000</v>
          </cell>
          <cell r="J352">
            <v>-41295951</v>
          </cell>
          <cell r="K352">
            <v>-21433811</v>
          </cell>
        </row>
        <row r="353">
          <cell r="B353">
            <v>15470</v>
          </cell>
          <cell r="C353" t="str">
            <v>LIABILITY FOR EXPENSES (OLD [UPTO 2010])</v>
          </cell>
          <cell r="D353">
            <v>-90245.260000001639</v>
          </cell>
          <cell r="E353">
            <v>-252588.62999999896</v>
          </cell>
          <cell r="J353">
            <v>-90245</v>
          </cell>
          <cell r="K353">
            <v>-252589</v>
          </cell>
        </row>
        <row r="354">
          <cell r="B354">
            <v>15474</v>
          </cell>
          <cell r="C354" t="str">
            <v>INT ACCRUED BUT NOT DUE ON LOAN</v>
          </cell>
          <cell r="D354">
            <v>-1301943.2299999967</v>
          </cell>
          <cell r="E354">
            <v>0</v>
          </cell>
          <cell r="J354">
            <v>-1301943</v>
          </cell>
          <cell r="K354">
            <v>0</v>
          </cell>
        </row>
        <row r="355">
          <cell r="B355">
            <v>15489</v>
          </cell>
          <cell r="C355" t="str">
            <v>DIVIDEND (LIAB) A/C (1734-1742)</v>
          </cell>
          <cell r="D355">
            <v>-1671384.599999994</v>
          </cell>
          <cell r="E355">
            <v>0</v>
          </cell>
          <cell r="J355">
            <v>-1671385</v>
          </cell>
          <cell r="K355">
            <v>0</v>
          </cell>
        </row>
        <row r="356">
          <cell r="B356">
            <v>15497</v>
          </cell>
          <cell r="C356" t="str">
            <v>DEPOSIT RECEIVED</v>
          </cell>
          <cell r="D356">
            <v>-1827671</v>
          </cell>
          <cell r="E356">
            <v>-8905444.0300000012</v>
          </cell>
          <cell r="J356">
            <v>-1827671</v>
          </cell>
          <cell r="K356">
            <v>-8905444</v>
          </cell>
        </row>
        <row r="357">
          <cell r="B357">
            <v>15498</v>
          </cell>
          <cell r="C357" t="str">
            <v>EMD RECEIVED</v>
          </cell>
          <cell r="D357">
            <v>0</v>
          </cell>
          <cell r="E357">
            <v>0</v>
          </cell>
          <cell r="J357">
            <v>0</v>
          </cell>
          <cell r="K357">
            <v>0</v>
          </cell>
        </row>
        <row r="358">
          <cell r="B358">
            <v>15499</v>
          </cell>
          <cell r="C358" t="str">
            <v>ADVANCE RECEIVED FROM CUST</v>
          </cell>
          <cell r="D358">
            <v>-7050327.6500000004</v>
          </cell>
          <cell r="E358">
            <v>-51463.179999999993</v>
          </cell>
          <cell r="J358">
            <v>-7050328</v>
          </cell>
          <cell r="K358">
            <v>-51463</v>
          </cell>
        </row>
        <row r="359">
          <cell r="B359">
            <v>15500</v>
          </cell>
          <cell r="C359" t="str">
            <v>DEBTORS CREDIT BALANCES (2010-11)</v>
          </cell>
          <cell r="D359">
            <v>0</v>
          </cell>
          <cell r="E359">
            <v>0</v>
          </cell>
          <cell r="J359">
            <v>0</v>
          </cell>
          <cell r="K359">
            <v>0</v>
          </cell>
        </row>
        <row r="360">
          <cell r="B360">
            <v>15506</v>
          </cell>
          <cell r="C360" t="str">
            <v>VAT PAYABLE</v>
          </cell>
          <cell r="D360">
            <v>-63.5</v>
          </cell>
          <cell r="E360">
            <v>-0.36000001430511475</v>
          </cell>
          <cell r="J360">
            <v>-64</v>
          </cell>
          <cell r="K360">
            <v>0</v>
          </cell>
        </row>
        <row r="361">
          <cell r="B361">
            <v>15507</v>
          </cell>
          <cell r="C361" t="str">
            <v>VAT RECEIVABLE</v>
          </cell>
          <cell r="D361">
            <v>63.5</v>
          </cell>
          <cell r="E361">
            <v>0</v>
          </cell>
          <cell r="J361">
            <v>64</v>
          </cell>
          <cell r="K361">
            <v>0</v>
          </cell>
        </row>
        <row r="362">
          <cell r="B362">
            <v>15511</v>
          </cell>
          <cell r="C362" t="str">
            <v>CST PAYABLE</v>
          </cell>
          <cell r="D362">
            <v>0</v>
          </cell>
          <cell r="E362">
            <v>-1.4988472685217857E-9</v>
          </cell>
          <cell r="J362">
            <v>0</v>
          </cell>
          <cell r="K362">
            <v>0</v>
          </cell>
        </row>
        <row r="363">
          <cell r="B363">
            <v>15518</v>
          </cell>
          <cell r="C363" t="str">
            <v>COCHIN VAT PAYABLE</v>
          </cell>
          <cell r="D363">
            <v>0</v>
          </cell>
          <cell r="E363">
            <v>-249621.38000000082</v>
          </cell>
          <cell r="J363">
            <v>0</v>
          </cell>
          <cell r="K363">
            <v>-249621</v>
          </cell>
        </row>
        <row r="364">
          <cell r="B364">
            <v>15522</v>
          </cell>
          <cell r="C364" t="str">
            <v>CST PAYABLE (COCHIN)</v>
          </cell>
          <cell r="D364">
            <v>0</v>
          </cell>
          <cell r="E364">
            <v>-7129</v>
          </cell>
          <cell r="J364">
            <v>0</v>
          </cell>
          <cell r="K364">
            <v>-7129</v>
          </cell>
        </row>
        <row r="365">
          <cell r="B365">
            <v>15526</v>
          </cell>
          <cell r="C365" t="str">
            <v>LIABILITES TOWARDS SALES TAX</v>
          </cell>
          <cell r="D365">
            <v>-6313860</v>
          </cell>
          <cell r="E365">
            <v>-13468112</v>
          </cell>
          <cell r="J365">
            <v>-6313860</v>
          </cell>
          <cell r="K365">
            <v>-13468112</v>
          </cell>
        </row>
        <row r="366">
          <cell r="B366">
            <v>15531</v>
          </cell>
          <cell r="C366" t="str">
            <v>PURCHASE TAX PAYABLE (vat)</v>
          </cell>
          <cell r="D366">
            <v>-2483.9799999999814</v>
          </cell>
          <cell r="E366">
            <v>2483.9800000002142</v>
          </cell>
          <cell r="J366">
            <v>-2484</v>
          </cell>
          <cell r="K366">
            <v>2484</v>
          </cell>
        </row>
        <row r="367">
          <cell r="B367">
            <v>15535</v>
          </cell>
          <cell r="C367" t="str">
            <v>TCS - SCRAP SALES</v>
          </cell>
          <cell r="D367">
            <v>-45053</v>
          </cell>
          <cell r="E367">
            <v>-5848</v>
          </cell>
          <cell r="J367">
            <v>-45053</v>
          </cell>
          <cell r="K367">
            <v>-5848</v>
          </cell>
        </row>
        <row r="368">
          <cell r="B368">
            <v>15537</v>
          </cell>
          <cell r="C368" t="str">
            <v>TDS - EMPLOYEES (192)</v>
          </cell>
          <cell r="D368">
            <v>-979259.50999999978</v>
          </cell>
          <cell r="E368">
            <v>-467862</v>
          </cell>
          <cell r="J368">
            <v>-979260</v>
          </cell>
          <cell r="K368">
            <v>-467862</v>
          </cell>
        </row>
        <row r="369">
          <cell r="B369">
            <v>15538</v>
          </cell>
          <cell r="C369" t="str">
            <v>TDS - INT OTHER THAN SECURITIES (193)</v>
          </cell>
          <cell r="D369">
            <v>82343</v>
          </cell>
          <cell r="E369">
            <v>-90420</v>
          </cell>
          <cell r="J369">
            <v>82343</v>
          </cell>
          <cell r="K369">
            <v>-90420</v>
          </cell>
        </row>
        <row r="370">
          <cell r="B370">
            <v>15539</v>
          </cell>
          <cell r="C370" t="str">
            <v>TDS - CONTRACTORS (194 C)</v>
          </cell>
          <cell r="D370">
            <v>1108461.5</v>
          </cell>
          <cell r="E370">
            <v>-1560120</v>
          </cell>
          <cell r="J370">
            <v>1108462</v>
          </cell>
          <cell r="K370">
            <v>-1560120</v>
          </cell>
        </row>
        <row r="371">
          <cell r="B371">
            <v>15540</v>
          </cell>
          <cell r="C371" t="str">
            <v>TDS - COMMISSION/ BROKERAGE (195 H)</v>
          </cell>
          <cell r="D371">
            <v>702164.99999999977</v>
          </cell>
          <cell r="E371">
            <v>-720794</v>
          </cell>
          <cell r="J371">
            <v>702165</v>
          </cell>
          <cell r="K371">
            <v>-720794</v>
          </cell>
        </row>
        <row r="372">
          <cell r="B372">
            <v>15541</v>
          </cell>
          <cell r="C372" t="str">
            <v>TDS - RENT (194 I)</v>
          </cell>
          <cell r="D372">
            <v>44785</v>
          </cell>
          <cell r="E372">
            <v>-51632</v>
          </cell>
          <cell r="J372">
            <v>44785</v>
          </cell>
          <cell r="K372">
            <v>-51632</v>
          </cell>
        </row>
        <row r="373">
          <cell r="B373">
            <v>15542</v>
          </cell>
          <cell r="C373" t="str">
            <v>TDS - PROFESSIONALS/ TECHNICAL SERVICES</v>
          </cell>
          <cell r="D373">
            <v>-409404</v>
          </cell>
          <cell r="E373">
            <v>-143282</v>
          </cell>
          <cell r="G373">
            <v>-25000</v>
          </cell>
          <cell r="J373">
            <v>-434404</v>
          </cell>
          <cell r="K373">
            <v>-143282</v>
          </cell>
        </row>
        <row r="374">
          <cell r="B374">
            <v>15543</v>
          </cell>
          <cell r="C374" t="str">
            <v>TDS/ TCS - ADJUSTMENT (OPENING BALANCE)</v>
          </cell>
          <cell r="D374">
            <v>1</v>
          </cell>
          <cell r="E374">
            <v>-1</v>
          </cell>
          <cell r="J374">
            <v>1</v>
          </cell>
          <cell r="K374">
            <v>-1</v>
          </cell>
        </row>
        <row r="375">
          <cell r="B375">
            <v>15544</v>
          </cell>
          <cell r="C375" t="str">
            <v>TDS - ON VAT</v>
          </cell>
          <cell r="D375">
            <v>0</v>
          </cell>
          <cell r="E375">
            <v>0</v>
          </cell>
          <cell r="J375">
            <v>0</v>
          </cell>
          <cell r="K375">
            <v>0</v>
          </cell>
        </row>
        <row r="376">
          <cell r="B376">
            <v>15546</v>
          </cell>
          <cell r="C376" t="str">
            <v>TDS-NRI</v>
          </cell>
          <cell r="D376">
            <v>-1211073</v>
          </cell>
          <cell r="E376">
            <v>-235498</v>
          </cell>
          <cell r="J376">
            <v>-1211073</v>
          </cell>
          <cell r="K376">
            <v>-235498</v>
          </cell>
        </row>
        <row r="377">
          <cell r="B377">
            <v>15556</v>
          </cell>
          <cell r="C377" t="str">
            <v>EXCISE DUTY PAYABLE A/C (FG CL ST)</v>
          </cell>
          <cell r="D377">
            <v>-5237388</v>
          </cell>
          <cell r="E377">
            <v>-2144585</v>
          </cell>
          <cell r="J377">
            <v>-5237388</v>
          </cell>
          <cell r="K377">
            <v>-2144585</v>
          </cell>
        </row>
        <row r="378">
          <cell r="B378">
            <v>15557</v>
          </cell>
          <cell r="C378" t="str">
            <v>PROVIDENT FUND ADJUSTABLE - EMPLOYEES</v>
          </cell>
          <cell r="D378">
            <v>-843539</v>
          </cell>
          <cell r="E378">
            <v>-834755</v>
          </cell>
          <cell r="J378">
            <v>-843539</v>
          </cell>
          <cell r="K378">
            <v>-834755</v>
          </cell>
        </row>
        <row r="379">
          <cell r="B379">
            <v>15558</v>
          </cell>
          <cell r="C379" t="str">
            <v>PROVIDENT FUND ADJUSTABLE - CONTRACTORS &amp; OTHERS</v>
          </cell>
          <cell r="D379">
            <v>-2438</v>
          </cell>
          <cell r="E379">
            <v>-22154</v>
          </cell>
          <cell r="J379">
            <v>-2438</v>
          </cell>
          <cell r="K379">
            <v>-22154</v>
          </cell>
        </row>
        <row r="380">
          <cell r="B380">
            <v>15559</v>
          </cell>
          <cell r="C380" t="str">
            <v>PROFESSIONAL TAX ADJUSTABLE - EMPLOYEES</v>
          </cell>
          <cell r="D380">
            <v>-35375</v>
          </cell>
          <cell r="E380">
            <v>-9000</v>
          </cell>
          <cell r="J380">
            <v>-35375</v>
          </cell>
          <cell r="K380">
            <v>-9000</v>
          </cell>
        </row>
        <row r="381">
          <cell r="B381">
            <v>15560</v>
          </cell>
          <cell r="C381" t="str">
            <v>PROFESSIONAL TAX ADJUSTABLE - CONTRACTORS &amp; OTHERS</v>
          </cell>
          <cell r="D381">
            <v>-575</v>
          </cell>
          <cell r="E381">
            <v>-14800</v>
          </cell>
          <cell r="J381">
            <v>-575</v>
          </cell>
          <cell r="K381">
            <v>-14800</v>
          </cell>
        </row>
        <row r="382">
          <cell r="B382">
            <v>15561</v>
          </cell>
          <cell r="C382" t="str">
            <v>ESIC ADJUSTABLE - EMPLOYEES</v>
          </cell>
          <cell r="D382">
            <v>-3995</v>
          </cell>
          <cell r="E382">
            <v>3995</v>
          </cell>
          <cell r="J382">
            <v>-3995</v>
          </cell>
          <cell r="K382">
            <v>3995</v>
          </cell>
        </row>
        <row r="383">
          <cell r="B383">
            <v>15562</v>
          </cell>
          <cell r="C383" t="str">
            <v>ESIC ADJUSTABLE - CONTRACTORS &amp; OTHERS</v>
          </cell>
          <cell r="D383">
            <v>-36745</v>
          </cell>
          <cell r="E383">
            <v>-45350</v>
          </cell>
          <cell r="J383">
            <v>-36745</v>
          </cell>
          <cell r="K383">
            <v>-45350</v>
          </cell>
        </row>
        <row r="384">
          <cell r="B384">
            <v>15564</v>
          </cell>
          <cell r="C384" t="str">
            <v>REIMB. OF EXP TO BE INCURRED ON DELISTING OF SHARES</v>
          </cell>
          <cell r="D384">
            <v>-233633.21999999997</v>
          </cell>
          <cell r="E384">
            <v>0</v>
          </cell>
          <cell r="J384">
            <v>-233633</v>
          </cell>
          <cell r="K384">
            <v>0</v>
          </cell>
        </row>
        <row r="385">
          <cell r="B385">
            <v>15565</v>
          </cell>
          <cell r="C385" t="str">
            <v>NMMC CESS LIABILITY</v>
          </cell>
          <cell r="D385">
            <v>-18141409.629999995</v>
          </cell>
          <cell r="E385">
            <v>18141409.630000006</v>
          </cell>
          <cell r="J385">
            <v>-18141410</v>
          </cell>
          <cell r="K385">
            <v>18141410</v>
          </cell>
        </row>
        <row r="386">
          <cell r="B386">
            <v>15566</v>
          </cell>
          <cell r="C386" t="str">
            <v>LIABILITY FOR CAPEX</v>
          </cell>
          <cell r="D386">
            <v>0</v>
          </cell>
          <cell r="E386">
            <v>0.28999999980442226</v>
          </cell>
          <cell r="J386">
            <v>0</v>
          </cell>
          <cell r="K386">
            <v>0</v>
          </cell>
        </row>
        <row r="387">
          <cell r="B387">
            <v>15567</v>
          </cell>
          <cell r="C387" t="str">
            <v>Swachh Bharat Cess (Liab)</v>
          </cell>
          <cell r="D387">
            <v>-60535.979999999996</v>
          </cell>
          <cell r="E387">
            <v>-1772.6999999999971</v>
          </cell>
          <cell r="J387">
            <v>-60536</v>
          </cell>
          <cell r="K387">
            <v>-1773</v>
          </cell>
        </row>
        <row r="388">
          <cell r="B388">
            <v>15576</v>
          </cell>
          <cell r="C388" t="str">
            <v>PROVISION FOR GRATUITY</v>
          </cell>
          <cell r="D388">
            <v>-3534475</v>
          </cell>
          <cell r="E388">
            <v>-6666635</v>
          </cell>
          <cell r="G388">
            <v>93729</v>
          </cell>
          <cell r="J388">
            <v>-3440746</v>
          </cell>
          <cell r="K388">
            <v>-6666635</v>
          </cell>
        </row>
        <row r="389">
          <cell r="B389">
            <v>15577</v>
          </cell>
          <cell r="C389" t="str">
            <v>PROVISION FOR LEAVE ENCASHMENT</v>
          </cell>
          <cell r="D389">
            <v>-12601493</v>
          </cell>
          <cell r="E389">
            <v>-8289697</v>
          </cell>
          <cell r="J389">
            <v>-12601493</v>
          </cell>
          <cell r="K389">
            <v>-8289697</v>
          </cell>
        </row>
        <row r="390">
          <cell r="B390">
            <v>15585</v>
          </cell>
          <cell r="C390" t="str">
            <v>PROVISION FOR TAXATION</v>
          </cell>
          <cell r="D390">
            <v>-80993889</v>
          </cell>
          <cell r="E390">
            <v>0</v>
          </cell>
          <cell r="G390">
            <v>-36300000</v>
          </cell>
          <cell r="H390">
            <v>0</v>
          </cell>
          <cell r="J390">
            <v>-117293889</v>
          </cell>
          <cell r="K390">
            <v>0</v>
          </cell>
        </row>
        <row r="391">
          <cell r="B391">
            <v>15586</v>
          </cell>
          <cell r="C391" t="str">
            <v>PROVISION FOR FBT</v>
          </cell>
          <cell r="D391">
            <v>-6240000</v>
          </cell>
          <cell r="E391">
            <v>0</v>
          </cell>
          <cell r="J391">
            <v>-6240000</v>
          </cell>
          <cell r="K391">
            <v>0</v>
          </cell>
        </row>
        <row r="392">
          <cell r="B392">
            <v>15587</v>
          </cell>
          <cell r="C392" t="str">
            <v>PROVISION FOR WEALTH TAX</v>
          </cell>
          <cell r="D392">
            <v>-132055</v>
          </cell>
          <cell r="E392">
            <v>0</v>
          </cell>
          <cell r="J392">
            <v>-132055</v>
          </cell>
          <cell r="K392">
            <v>0</v>
          </cell>
        </row>
        <row r="393">
          <cell r="B393">
            <v>15595</v>
          </cell>
          <cell r="C393" t="str">
            <v>PROPOSED DIVIDEND</v>
          </cell>
          <cell r="D393">
            <v>0</v>
          </cell>
          <cell r="E393">
            <v>0</v>
          </cell>
          <cell r="J393">
            <v>0</v>
          </cell>
          <cell r="K393">
            <v>0</v>
          </cell>
        </row>
        <row r="394">
          <cell r="B394">
            <v>15596</v>
          </cell>
          <cell r="C394" t="str">
            <v>DISTRIBUTION TAX</v>
          </cell>
          <cell r="D394">
            <v>-7512918</v>
          </cell>
          <cell r="E394">
            <v>0</v>
          </cell>
          <cell r="G394">
            <v>0</v>
          </cell>
          <cell r="J394">
            <v>-7512918</v>
          </cell>
          <cell r="K394">
            <v>0</v>
          </cell>
        </row>
        <row r="395">
          <cell r="B395">
            <v>15606</v>
          </cell>
          <cell r="C395" t="str">
            <v>IMPORT DUTY EXPENCE A/C</v>
          </cell>
          <cell r="D395">
            <v>0</v>
          </cell>
          <cell r="E395">
            <v>0</v>
          </cell>
          <cell r="J395">
            <v>0</v>
          </cell>
          <cell r="K395">
            <v>0</v>
          </cell>
        </row>
        <row r="396">
          <cell r="B396">
            <v>15607</v>
          </cell>
          <cell r="C396" t="str">
            <v>IMPORT DUTY PAYABLE A/C</v>
          </cell>
          <cell r="D396">
            <v>4886092.4599999934</v>
          </cell>
          <cell r="E396">
            <v>-4886092.459999999</v>
          </cell>
          <cell r="J396">
            <v>4886092</v>
          </cell>
          <cell r="K396">
            <v>-4886092</v>
          </cell>
        </row>
        <row r="397">
          <cell r="B397">
            <v>15609</v>
          </cell>
          <cell r="C397" t="str">
            <v>EXPORT DUTY PAYABLE A/C</v>
          </cell>
          <cell r="D397">
            <v>0</v>
          </cell>
          <cell r="E397">
            <v>0</v>
          </cell>
          <cell r="J397">
            <v>0</v>
          </cell>
          <cell r="K397">
            <v>0</v>
          </cell>
        </row>
        <row r="398">
          <cell r="B398">
            <v>15612</v>
          </cell>
          <cell r="C398" t="str">
            <v>TAX ADJUSTMENT - SETTLEMENT (SYS)</v>
          </cell>
          <cell r="D398">
            <v>0</v>
          </cell>
          <cell r="E398">
            <v>0</v>
          </cell>
          <cell r="J398">
            <v>0</v>
          </cell>
          <cell r="K398">
            <v>0</v>
          </cell>
        </row>
        <row r="399">
          <cell r="B399">
            <v>15613</v>
          </cell>
          <cell r="C399" t="str">
            <v>LIABILITY FOR TAX Group</v>
          </cell>
          <cell r="D399">
            <v>58051859.730000079</v>
          </cell>
          <cell r="E399">
            <v>-61755796.25999999</v>
          </cell>
          <cell r="J399">
            <v>58051860</v>
          </cell>
          <cell r="K399">
            <v>-61755796</v>
          </cell>
        </row>
        <row r="400">
          <cell r="B400">
            <v>15614</v>
          </cell>
          <cell r="C400" t="str">
            <v>ISSUE A/C - PACKING MATERIAL STOCK (BS)</v>
          </cell>
          <cell r="D400">
            <v>-11681475.190000005</v>
          </cell>
          <cell r="E400">
            <v>-3014657.379999999</v>
          </cell>
          <cell r="J400">
            <v>-11681475</v>
          </cell>
          <cell r="K400">
            <v>-3014657</v>
          </cell>
        </row>
        <row r="401">
          <cell r="B401">
            <v>15615</v>
          </cell>
          <cell r="C401" t="str">
            <v>PACKING SLIP A/C OFF SET (MATL ASSIGN YET TO DES NET 15119)</v>
          </cell>
          <cell r="D401">
            <v>0</v>
          </cell>
          <cell r="E401">
            <v>6</v>
          </cell>
          <cell r="J401">
            <v>0</v>
          </cell>
          <cell r="K401">
            <v>6</v>
          </cell>
        </row>
        <row r="402">
          <cell r="B402">
            <v>15616</v>
          </cell>
          <cell r="C402" t="str">
            <v>PRODUCTION ISSUE OFFSET A/C SALES ORDER ISSUE (1)</v>
          </cell>
          <cell r="D402">
            <v>64117648.429999352</v>
          </cell>
          <cell r="E402">
            <v>10939232.520019531</v>
          </cell>
          <cell r="J402">
            <v>64117648</v>
          </cell>
          <cell r="K402">
            <v>10939233</v>
          </cell>
        </row>
        <row r="403">
          <cell r="B403">
            <v>15617</v>
          </cell>
          <cell r="C403" t="str">
            <v>PRODUCTION PICKING SLIP A/C (1)</v>
          </cell>
          <cell r="D403">
            <v>5477.5999999046326</v>
          </cell>
          <cell r="E403">
            <v>-16137373.729999542</v>
          </cell>
          <cell r="J403">
            <v>5478</v>
          </cell>
          <cell r="K403">
            <v>-16137374</v>
          </cell>
        </row>
        <row r="404">
          <cell r="B404">
            <v>15618</v>
          </cell>
          <cell r="C404" t="str">
            <v>PRODUCTION PICKING SLIP OFFSET A/C (1)</v>
          </cell>
          <cell r="D404">
            <v>313142.69000053406</v>
          </cell>
          <cell r="E404">
            <v>28602331.859998703</v>
          </cell>
          <cell r="J404">
            <v>313143</v>
          </cell>
          <cell r="K404">
            <v>28602332</v>
          </cell>
        </row>
        <row r="405">
          <cell r="B405">
            <v>15619</v>
          </cell>
          <cell r="C405" t="str">
            <v>PRODCUTION REPORTS AS FINISHED A/C (NET OFF 15620)</v>
          </cell>
          <cell r="D405">
            <v>-942424.15000152588</v>
          </cell>
          <cell r="E405">
            <v>75036374.080001831</v>
          </cell>
          <cell r="J405">
            <v>-942424</v>
          </cell>
          <cell r="K405">
            <v>75036374</v>
          </cell>
        </row>
        <row r="406">
          <cell r="B406">
            <v>15620</v>
          </cell>
          <cell r="C406" t="str">
            <v>PRODCUTION REPORTS AS FINISHED OFFSET A/C (NET OFF 15619</v>
          </cell>
          <cell r="D406">
            <v>942424.15000152588</v>
          </cell>
          <cell r="E406">
            <v>-75036374.080001831</v>
          </cell>
          <cell r="J406">
            <v>942424</v>
          </cell>
          <cell r="K406">
            <v>-75036374</v>
          </cell>
        </row>
        <row r="407">
          <cell r="B407">
            <v>15622</v>
          </cell>
          <cell r="C407" t="str">
            <v>MULTIPLE ENTRY IN BANK PAYMENT ACCOUNT (SUSPENSE)</v>
          </cell>
          <cell r="D407">
            <v>8472796.5000000149</v>
          </cell>
          <cell r="E407">
            <v>-8472796.5</v>
          </cell>
          <cell r="J407">
            <v>8472797</v>
          </cell>
          <cell r="K407">
            <v>-8472797</v>
          </cell>
        </row>
        <row r="408">
          <cell r="B408">
            <v>15623</v>
          </cell>
          <cell r="C408" t="str">
            <v>WIP Issue a/c - Work Center</v>
          </cell>
          <cell r="D408">
            <v>0</v>
          </cell>
          <cell r="E408">
            <v>0</v>
          </cell>
          <cell r="J408">
            <v>0</v>
          </cell>
          <cell r="K408">
            <v>0</v>
          </cell>
        </row>
        <row r="409">
          <cell r="B409">
            <v>15624</v>
          </cell>
          <cell r="C409" t="str">
            <v>WIP a/c - Work Center (costing offset)</v>
          </cell>
          <cell r="D409">
            <v>0</v>
          </cell>
          <cell r="E409">
            <v>0</v>
          </cell>
          <cell r="J409">
            <v>0</v>
          </cell>
          <cell r="K409">
            <v>0</v>
          </cell>
        </row>
        <row r="410">
          <cell r="B410">
            <v>15627</v>
          </cell>
          <cell r="C410" t="str">
            <v>OPENING BALANCE OFF SET A/C</v>
          </cell>
          <cell r="D410">
            <v>0.20000028610229492</v>
          </cell>
          <cell r="E410">
            <v>-0.19999980926513672</v>
          </cell>
          <cell r="J410">
            <v>0</v>
          </cell>
          <cell r="K410">
            <v>0</v>
          </cell>
        </row>
        <row r="411">
          <cell r="B411">
            <v>15631</v>
          </cell>
          <cell r="C411" t="str">
            <v>INVENTORY ISSUE A/C (INTERNAL) - RM</v>
          </cell>
          <cell r="D411">
            <v>-16000867.080000162</v>
          </cell>
          <cell r="E411">
            <v>-61598664.409999847</v>
          </cell>
          <cell r="J411">
            <v>-16000867</v>
          </cell>
          <cell r="K411">
            <v>-61598664</v>
          </cell>
        </row>
        <row r="412">
          <cell r="B412">
            <v>15632</v>
          </cell>
          <cell r="C412" t="str">
            <v>ISSUE A/C - RM</v>
          </cell>
          <cell r="D412">
            <v>0</v>
          </cell>
          <cell r="E412">
            <v>-3713352.1500000004</v>
          </cell>
          <cell r="J412">
            <v>0</v>
          </cell>
          <cell r="K412">
            <v>-3713352</v>
          </cell>
        </row>
        <row r="413">
          <cell r="B413">
            <v>15633</v>
          </cell>
          <cell r="C413" t="str">
            <v>INVENTORY ISSUE A/C (INTERNAL) - RM (STEEL/HDPE)</v>
          </cell>
          <cell r="D413">
            <v>-334149.28999996185</v>
          </cell>
          <cell r="E413">
            <v>-10850611.869999886</v>
          </cell>
          <cell r="J413">
            <v>-334149</v>
          </cell>
          <cell r="K413">
            <v>-10850612</v>
          </cell>
        </row>
        <row r="414">
          <cell r="B414">
            <v>15634</v>
          </cell>
          <cell r="C414" t="str">
            <v>ISSUE A/C - RM (STEEL / HDPE) - BS</v>
          </cell>
          <cell r="D414">
            <v>-274055599.27999997</v>
          </cell>
          <cell r="E414">
            <v>-2286578364.4799995</v>
          </cell>
          <cell r="J414">
            <v>-274055599</v>
          </cell>
          <cell r="K414">
            <v>-2286578364</v>
          </cell>
        </row>
        <row r="415">
          <cell r="B415">
            <v>15635</v>
          </cell>
          <cell r="C415" t="str">
            <v>INVENTORY ISSUE A/C (INTERNAL) - RM (GASKET TUBE/ M B)</v>
          </cell>
          <cell r="D415">
            <v>0</v>
          </cell>
          <cell r="E415">
            <v>-112955.21000000089</v>
          </cell>
          <cell r="J415">
            <v>0</v>
          </cell>
          <cell r="K415">
            <v>-112955</v>
          </cell>
        </row>
        <row r="416">
          <cell r="B416">
            <v>15636</v>
          </cell>
          <cell r="C416" t="str">
            <v>ISSUE A/C - RM (GASKET TUBE / MASTER BATCH) - BS</v>
          </cell>
          <cell r="D416">
            <v>0</v>
          </cell>
          <cell r="E416">
            <v>-8031843.2400000021</v>
          </cell>
          <cell r="J416">
            <v>0</v>
          </cell>
          <cell r="K416">
            <v>-8031843</v>
          </cell>
        </row>
        <row r="417">
          <cell r="B417">
            <v>15637</v>
          </cell>
          <cell r="C417" t="str">
            <v>INVENTORY ISSUE A/C (INTERNAL) - RM (TINPLATE / CO-PP)</v>
          </cell>
          <cell r="D417">
            <v>0</v>
          </cell>
          <cell r="E417">
            <v>864464.57999992371</v>
          </cell>
          <cell r="J417">
            <v>0</v>
          </cell>
          <cell r="K417">
            <v>864465</v>
          </cell>
        </row>
        <row r="418">
          <cell r="B418">
            <v>15638</v>
          </cell>
          <cell r="C418" t="str">
            <v>ISSUE A/C - RM (TIN PLATE / CO-PP) - BS</v>
          </cell>
          <cell r="D418">
            <v>-17794096.960000008</v>
          </cell>
          <cell r="E418">
            <v>-33632400.870000124</v>
          </cell>
          <cell r="J418">
            <v>-17794097</v>
          </cell>
          <cell r="K418">
            <v>-33632401</v>
          </cell>
        </row>
        <row r="419">
          <cell r="B419">
            <v>15639</v>
          </cell>
          <cell r="C419" t="str">
            <v>INVENTORY ISSUE A/C (INTERNAL) - RM (INKS)</v>
          </cell>
          <cell r="D419">
            <v>0</v>
          </cell>
          <cell r="E419">
            <v>-111094.66000000015</v>
          </cell>
          <cell r="J419">
            <v>0</v>
          </cell>
          <cell r="K419">
            <v>-111095</v>
          </cell>
        </row>
        <row r="420">
          <cell r="B420">
            <v>15640</v>
          </cell>
          <cell r="C420" t="str">
            <v>ISSE A/C - RM (INKS) - BS</v>
          </cell>
          <cell r="D420">
            <v>-1306722.8299999996</v>
          </cell>
          <cell r="E420">
            <v>-4311525.6300000027</v>
          </cell>
          <cell r="J420">
            <v>-1306723</v>
          </cell>
          <cell r="K420">
            <v>-4311526</v>
          </cell>
        </row>
        <row r="421">
          <cell r="B421">
            <v>15641</v>
          </cell>
          <cell r="C421" t="str">
            <v>INVENTORY ISSUE A/C (INTERNAL) - RM (CHEMICALS/ACCESSORIES)</v>
          </cell>
          <cell r="D421">
            <v>-5254.2699999958277</v>
          </cell>
          <cell r="E421">
            <v>-834190.69999998808</v>
          </cell>
          <cell r="J421">
            <v>-5254</v>
          </cell>
          <cell r="K421">
            <v>-834191</v>
          </cell>
        </row>
        <row r="422">
          <cell r="B422">
            <v>15642</v>
          </cell>
          <cell r="C422" t="str">
            <v>ISSUE A/C - RM (CHEMICALS / ACCESSORIES) - BS</v>
          </cell>
          <cell r="D422">
            <v>-20672534.859999999</v>
          </cell>
          <cell r="E422">
            <v>-29126955.029999971</v>
          </cell>
          <cell r="J422">
            <v>-20672535</v>
          </cell>
          <cell r="K422">
            <v>-29126955</v>
          </cell>
        </row>
        <row r="423">
          <cell r="B423">
            <v>15643</v>
          </cell>
          <cell r="C423" t="str">
            <v>INVENTORY ISSUE A/C (INTERNAL) - RM (OTHERS)</v>
          </cell>
          <cell r="D423">
            <v>0</v>
          </cell>
          <cell r="E423">
            <v>0</v>
          </cell>
          <cell r="J423">
            <v>0</v>
          </cell>
          <cell r="K423">
            <v>0</v>
          </cell>
        </row>
        <row r="424">
          <cell r="B424">
            <v>15644</v>
          </cell>
          <cell r="C424" t="str">
            <v>ISSUE A/C - RM (OTHERS) - BS</v>
          </cell>
          <cell r="D424">
            <v>-12189792.300000004</v>
          </cell>
          <cell r="E424">
            <v>0</v>
          </cell>
          <cell r="J424">
            <v>-12189792</v>
          </cell>
          <cell r="K424">
            <v>0</v>
          </cell>
        </row>
        <row r="425">
          <cell r="B425">
            <v>15645</v>
          </cell>
          <cell r="C425" t="str">
            <v>INVENTORY ISSUE A/C (INTERNAL) - RM (PURCHASE+PROCESS)</v>
          </cell>
          <cell r="D425">
            <v>17006.629999995232</v>
          </cell>
          <cell r="E425">
            <v>0</v>
          </cell>
          <cell r="J425">
            <v>17007</v>
          </cell>
          <cell r="K425">
            <v>0</v>
          </cell>
        </row>
        <row r="426">
          <cell r="B426">
            <v>15646</v>
          </cell>
          <cell r="C426" t="str">
            <v>ISSUE A/C - RM (PUCHASE+PROCESS) - BS</v>
          </cell>
          <cell r="D426">
            <v>-51937030.370000005</v>
          </cell>
          <cell r="E426">
            <v>0</v>
          </cell>
          <cell r="J426">
            <v>-51937030</v>
          </cell>
          <cell r="K426">
            <v>0</v>
          </cell>
        </row>
        <row r="427">
          <cell r="B427">
            <v>15647</v>
          </cell>
          <cell r="C427" t="str">
            <v>INVENTORY ISSUE A/C (INTERNAL) - FG/WIP/SCRAP</v>
          </cell>
          <cell r="D427">
            <v>-2510616.599999994</v>
          </cell>
          <cell r="E427">
            <v>-853820.3599999994</v>
          </cell>
          <cell r="J427">
            <v>-2510617</v>
          </cell>
          <cell r="K427">
            <v>-853820</v>
          </cell>
        </row>
        <row r="428">
          <cell r="B428">
            <v>15648</v>
          </cell>
          <cell r="C428" t="str">
            <v>SCRAP CONSUMED</v>
          </cell>
          <cell r="D428">
            <v>67974031.970000029</v>
          </cell>
          <cell r="E428">
            <v>0</v>
          </cell>
          <cell r="J428">
            <v>67974032</v>
          </cell>
          <cell r="K428">
            <v>0</v>
          </cell>
        </row>
        <row r="429">
          <cell r="B429">
            <v>16000</v>
          </cell>
          <cell r="C429" t="str">
            <v>CLOSING STOCK OF PACKING MATERIALS</v>
          </cell>
          <cell r="D429">
            <v>1116747</v>
          </cell>
          <cell r="E429">
            <v>1364131</v>
          </cell>
          <cell r="J429">
            <v>1116747</v>
          </cell>
          <cell r="K429">
            <v>1364131</v>
          </cell>
        </row>
        <row r="430">
          <cell r="B430">
            <v>16001</v>
          </cell>
          <cell r="C430" t="str">
            <v>STOCK TRF A/C FOR CHENNAI TO COCHIN (CHE NOT IN ERP)</v>
          </cell>
          <cell r="D430">
            <v>0</v>
          </cell>
          <cell r="E430">
            <v>-200</v>
          </cell>
          <cell r="J430">
            <v>0</v>
          </cell>
          <cell r="K430">
            <v>-200</v>
          </cell>
        </row>
        <row r="431">
          <cell r="B431">
            <v>153441</v>
          </cell>
          <cell r="C431" t="str">
            <v>SERVICE TAX RECEIVABLE (RCM)</v>
          </cell>
          <cell r="D431">
            <v>3493634.5</v>
          </cell>
          <cell r="E431">
            <v>2789068</v>
          </cell>
          <cell r="J431">
            <v>3493635</v>
          </cell>
          <cell r="K431">
            <v>2789068</v>
          </cell>
        </row>
        <row r="432">
          <cell r="B432">
            <v>153442</v>
          </cell>
          <cell r="C432" t="str">
            <v>SERVICE TAX - ISD (ASSETS)</v>
          </cell>
          <cell r="D432">
            <v>710.81999999999971</v>
          </cell>
          <cell r="E432">
            <v>143045</v>
          </cell>
          <cell r="J432">
            <v>711</v>
          </cell>
          <cell r="K432">
            <v>143045</v>
          </cell>
        </row>
        <row r="433">
          <cell r="B433">
            <v>153471</v>
          </cell>
          <cell r="C433" t="str">
            <v>SERVICE TAX PAYABLE (RCM)</v>
          </cell>
          <cell r="D433">
            <v>-1262255.7999999998</v>
          </cell>
          <cell r="E433">
            <v>-838733.34000000032</v>
          </cell>
          <cell r="J433">
            <v>-1262256</v>
          </cell>
          <cell r="K433">
            <v>-838733</v>
          </cell>
        </row>
        <row r="434">
          <cell r="B434">
            <v>153501</v>
          </cell>
          <cell r="C434" t="str">
            <v>EDU CESS ON SERVICE TAX INTERIM PAYABLE</v>
          </cell>
          <cell r="D434">
            <v>39133.699999999997</v>
          </cell>
          <cell r="E434">
            <v>5008.5499999999956</v>
          </cell>
          <cell r="J434">
            <v>39134</v>
          </cell>
          <cell r="K434">
            <v>5009</v>
          </cell>
        </row>
        <row r="435">
          <cell r="B435">
            <v>153502</v>
          </cell>
          <cell r="C435" t="str">
            <v>H EDU CESS ON SERVICE TAX INTERIM PAYABLE</v>
          </cell>
          <cell r="D435">
            <v>18974.420000000006</v>
          </cell>
          <cell r="E435">
            <v>3689.619999999999</v>
          </cell>
          <cell r="J435">
            <v>18974</v>
          </cell>
          <cell r="K435">
            <v>3690</v>
          </cell>
        </row>
        <row r="436">
          <cell r="B436">
            <v>999999</v>
          </cell>
          <cell r="C436" t="str">
            <v>Dummy Account</v>
          </cell>
          <cell r="D436">
            <v>0</v>
          </cell>
          <cell r="E436">
            <v>0</v>
          </cell>
          <cell r="J436">
            <v>0</v>
          </cell>
          <cell r="K436">
            <v>0</v>
          </cell>
        </row>
        <row r="437">
          <cell r="B437" t="str">
            <v>13388-1</v>
          </cell>
          <cell r="C437" t="str">
            <v>EDU CESS ON SERVICE TAX EXPENSE</v>
          </cell>
          <cell r="D437">
            <v>0</v>
          </cell>
          <cell r="E437">
            <v>0</v>
          </cell>
          <cell r="J437">
            <v>0</v>
          </cell>
          <cell r="K437">
            <v>0</v>
          </cell>
        </row>
        <row r="438">
          <cell r="B438" t="str">
            <v>13388-2</v>
          </cell>
          <cell r="C438" t="str">
            <v>H EDU CESS ON SERVICE TAX EXPENSE</v>
          </cell>
          <cell r="D438">
            <v>0</v>
          </cell>
          <cell r="E438">
            <v>0</v>
          </cell>
          <cell r="J438">
            <v>0</v>
          </cell>
          <cell r="K438">
            <v>0</v>
          </cell>
        </row>
        <row r="439">
          <cell r="B439" t="str">
            <v>15071-1</v>
          </cell>
          <cell r="C439" t="str">
            <v>CLOSING STOCK OF STORES SPARES BS (2012-13)</v>
          </cell>
          <cell r="D439">
            <v>36709707</v>
          </cell>
          <cell r="E439">
            <v>19624498.850000024</v>
          </cell>
          <cell r="J439">
            <v>36709707</v>
          </cell>
          <cell r="K439">
            <v>19624499</v>
          </cell>
        </row>
        <row r="440">
          <cell r="B440" t="str">
            <v>15075-1</v>
          </cell>
          <cell r="C440" t="str">
            <v>PURCHASE A/C - RM (STEEL / HDPE )</v>
          </cell>
          <cell r="D440">
            <v>192982400.08000004</v>
          </cell>
          <cell r="E440">
            <v>863799970.54998779</v>
          </cell>
          <cell r="J440">
            <v>192982400</v>
          </cell>
          <cell r="K440">
            <v>863799971</v>
          </cell>
        </row>
        <row r="441">
          <cell r="B441" t="str">
            <v>15075-2</v>
          </cell>
          <cell r="C441" t="str">
            <v>PURCHASE A/C - RM (GASKET TUBE / MASTER BATCH)</v>
          </cell>
          <cell r="D441">
            <v>0</v>
          </cell>
          <cell r="E441">
            <v>12204779</v>
          </cell>
          <cell r="J441">
            <v>0</v>
          </cell>
          <cell r="K441">
            <v>12204779</v>
          </cell>
        </row>
        <row r="442">
          <cell r="B442" t="str">
            <v>15075-3</v>
          </cell>
          <cell r="C442" t="str">
            <v>PURCHASE A/C - RM (TIN PLATE / CO-PP)</v>
          </cell>
          <cell r="D442">
            <v>6738693.400000006</v>
          </cell>
          <cell r="E442">
            <v>34270092.659999996</v>
          </cell>
          <cell r="J442">
            <v>6738693</v>
          </cell>
          <cell r="K442">
            <v>34270093</v>
          </cell>
        </row>
        <row r="443">
          <cell r="B443" t="str">
            <v>15075-4</v>
          </cell>
          <cell r="C443" t="str">
            <v>PURCHASE A/C - RM (INKS)</v>
          </cell>
          <cell r="D443">
            <v>1470359</v>
          </cell>
          <cell r="E443">
            <v>8743097.629999999</v>
          </cell>
          <cell r="J443">
            <v>1470359</v>
          </cell>
          <cell r="K443">
            <v>8743098</v>
          </cell>
        </row>
        <row r="444">
          <cell r="B444" t="str">
            <v>15075-5</v>
          </cell>
          <cell r="C444" t="str">
            <v>PURCHASE A/C - RM (CHEMICALS / ACCESSORIES)</v>
          </cell>
          <cell r="D444">
            <v>32633523.960000008</v>
          </cell>
          <cell r="E444">
            <v>16718704.089999987</v>
          </cell>
          <cell r="J444">
            <v>32633524</v>
          </cell>
          <cell r="K444">
            <v>16718704</v>
          </cell>
        </row>
        <row r="445">
          <cell r="B445" t="str">
            <v>15075-6</v>
          </cell>
          <cell r="C445" t="str">
            <v>PURCHASE A/C - RM (OTHERS)</v>
          </cell>
          <cell r="D445">
            <v>13748838.610000001</v>
          </cell>
          <cell r="E445">
            <v>0</v>
          </cell>
          <cell r="J445">
            <v>13748839</v>
          </cell>
          <cell r="K445">
            <v>0</v>
          </cell>
        </row>
        <row r="446">
          <cell r="B446" t="str">
            <v>15075-7</v>
          </cell>
          <cell r="C446" t="str">
            <v>PURCHASE A/C - RM (PURCHASE+PROCESS)</v>
          </cell>
          <cell r="D446">
            <v>47882762.409999996</v>
          </cell>
          <cell r="E446">
            <v>3377681</v>
          </cell>
          <cell r="J446">
            <v>47882762</v>
          </cell>
          <cell r="K446">
            <v>3377681</v>
          </cell>
        </row>
        <row r="447">
          <cell r="B447" t="str">
            <v>15135-2</v>
          </cell>
          <cell r="C447" t="str">
            <v>WORK IN PROCESS SCRAP (BS)</v>
          </cell>
          <cell r="D447">
            <v>-62435111.129999995</v>
          </cell>
          <cell r="E447">
            <v>0</v>
          </cell>
          <cell r="J447">
            <v>-62435111</v>
          </cell>
          <cell r="K447">
            <v>0</v>
          </cell>
        </row>
        <row r="448">
          <cell r="B448" t="str">
            <v>LIAB FOR EXP 13-14</v>
          </cell>
          <cell r="C448" t="str">
            <v>LIABILITY FOR EXPENSES ??</v>
          </cell>
          <cell r="D448">
            <v>0</v>
          </cell>
          <cell r="E448">
            <v>0</v>
          </cell>
        </row>
        <row r="449">
          <cell r="J449">
            <v>0</v>
          </cell>
          <cell r="K449">
            <v>0</v>
          </cell>
        </row>
        <row r="450">
          <cell r="J450">
            <v>0</v>
          </cell>
          <cell r="K450">
            <v>0</v>
          </cell>
        </row>
        <row r="451">
          <cell r="J451">
            <v>0</v>
          </cell>
          <cell r="K451">
            <v>0</v>
          </cell>
        </row>
        <row r="452">
          <cell r="J452">
            <v>0</v>
          </cell>
          <cell r="K452">
            <v>0</v>
          </cell>
        </row>
        <row r="453">
          <cell r="J453">
            <v>0</v>
          </cell>
          <cell r="K453">
            <v>0</v>
          </cell>
        </row>
        <row r="454">
          <cell r="J454">
            <v>0</v>
          </cell>
          <cell r="K454">
            <v>0</v>
          </cell>
        </row>
        <row r="455">
          <cell r="J455">
            <v>0</v>
          </cell>
          <cell r="K455">
            <v>0</v>
          </cell>
        </row>
        <row r="456">
          <cell r="J456">
            <v>0</v>
          </cell>
          <cell r="K456">
            <v>0</v>
          </cell>
        </row>
        <row r="457">
          <cell r="J457">
            <v>0</v>
          </cell>
          <cell r="K457">
            <v>0</v>
          </cell>
        </row>
        <row r="458">
          <cell r="J458">
            <v>0</v>
          </cell>
          <cell r="K458">
            <v>0</v>
          </cell>
        </row>
        <row r="459">
          <cell r="J459">
            <v>0</v>
          </cell>
          <cell r="K459">
            <v>0</v>
          </cell>
        </row>
        <row r="460">
          <cell r="J460">
            <v>0</v>
          </cell>
          <cell r="K460">
            <v>0</v>
          </cell>
        </row>
        <row r="461">
          <cell r="J461">
            <v>0</v>
          </cell>
          <cell r="K461">
            <v>0</v>
          </cell>
        </row>
      </sheetData>
      <sheetData sheetId="28">
        <row r="1">
          <cell r="B1">
            <v>1472.98333</v>
          </cell>
          <cell r="C1" t="str">
            <v>PCD-C</v>
          </cell>
          <cell r="D1">
            <v>1625731860.5799994</v>
          </cell>
          <cell r="E1">
            <v>1625731860.5799997</v>
          </cell>
          <cell r="F1">
            <v>0</v>
          </cell>
          <cell r="G1">
            <v>0</v>
          </cell>
          <cell r="H1">
            <v>-5</v>
          </cell>
          <cell r="I1">
            <v>-7</v>
          </cell>
          <cell r="J1">
            <v>0</v>
          </cell>
          <cell r="K1">
            <v>-2</v>
          </cell>
        </row>
        <row r="2">
          <cell r="B2">
            <v>-110.47177000000001</v>
          </cell>
          <cell r="D2">
            <v>1472.98333</v>
          </cell>
          <cell r="E2">
            <v>0</v>
          </cell>
          <cell r="G2">
            <v>0</v>
          </cell>
        </row>
        <row r="3">
          <cell r="E3" t="str">
            <v>Amount in Indian Rupees</v>
          </cell>
        </row>
        <row r="4">
          <cell r="D4" t="str">
            <v>Parameter: As On Date : 31-03-2016, With Transactions</v>
          </cell>
          <cell r="F4" t="str">
            <v>Blank Col</v>
          </cell>
          <cell r="H4" t="str">
            <v>Debit</v>
          </cell>
          <cell r="I4" t="str">
            <v>Credit</v>
          </cell>
          <cell r="J4" t="str">
            <v>Net Bal for P&amp;L</v>
          </cell>
          <cell r="K4" t="str">
            <v>Net Bal For B/S</v>
          </cell>
        </row>
        <row r="5">
          <cell r="B5" t="str">
            <v>Code</v>
          </cell>
          <cell r="C5" t="str">
            <v>Account Description</v>
          </cell>
          <cell r="D5" t="str">
            <v>Debit</v>
          </cell>
          <cell r="E5" t="str">
            <v>Credit</v>
          </cell>
          <cell r="F5" t="str">
            <v>Debit</v>
          </cell>
          <cell r="G5" t="str">
            <v>Credit</v>
          </cell>
        </row>
        <row r="6">
          <cell r="A6" t="str">
            <v>1627</v>
          </cell>
          <cell r="B6">
            <v>1627</v>
          </cell>
          <cell r="C6" t="str">
            <v>LIABILITY FOR EXPENSES [ 2015-16 ]</v>
          </cell>
          <cell r="D6">
            <v>0</v>
          </cell>
          <cell r="E6">
            <v>3542164</v>
          </cell>
          <cell r="J6">
            <v>-3542164</v>
          </cell>
          <cell r="K6">
            <v>-3542164</v>
          </cell>
        </row>
        <row r="7">
          <cell r="A7" t="str">
            <v>6094</v>
          </cell>
          <cell r="B7">
            <v>6094</v>
          </cell>
          <cell r="C7" t="str">
            <v>SERVICE TAX (RCM) LIABILITY</v>
          </cell>
          <cell r="D7">
            <v>0</v>
          </cell>
          <cell r="E7">
            <v>28905.9</v>
          </cell>
          <cell r="J7">
            <v>-28906</v>
          </cell>
          <cell r="K7">
            <v>-28906</v>
          </cell>
        </row>
        <row r="8">
          <cell r="A8" t="str">
            <v>6095</v>
          </cell>
          <cell r="B8">
            <v>6095</v>
          </cell>
          <cell r="C8" t="str">
            <v>SERVICE TAX (RCM) ASSET</v>
          </cell>
          <cell r="D8">
            <v>732.9</v>
          </cell>
          <cell r="E8">
            <v>0</v>
          </cell>
          <cell r="J8">
            <v>733</v>
          </cell>
          <cell r="K8">
            <v>733</v>
          </cell>
        </row>
        <row r="9">
          <cell r="A9" t="str">
            <v>0200</v>
          </cell>
          <cell r="B9">
            <v>200</v>
          </cell>
          <cell r="C9" t="str">
            <v>Current Account- HO</v>
          </cell>
          <cell r="D9">
            <v>14138382.25</v>
          </cell>
          <cell r="E9">
            <v>0</v>
          </cell>
          <cell r="J9">
            <v>14138382</v>
          </cell>
          <cell r="K9">
            <v>14138382</v>
          </cell>
        </row>
        <row r="10">
          <cell r="A10" t="str">
            <v>0201</v>
          </cell>
          <cell r="B10">
            <v>201</v>
          </cell>
          <cell r="C10" t="str">
            <v>Current Account- Valerex</v>
          </cell>
          <cell r="D10">
            <v>0</v>
          </cell>
          <cell r="E10">
            <v>843360078.13</v>
          </cell>
          <cell r="I10">
            <v>0</v>
          </cell>
          <cell r="J10">
            <v>-843360078</v>
          </cell>
          <cell r="K10">
            <v>-843360078</v>
          </cell>
        </row>
        <row r="11">
          <cell r="A11" t="str">
            <v>0203</v>
          </cell>
          <cell r="B11">
            <v>203</v>
          </cell>
          <cell r="C11" t="str">
            <v>HO A/C.PLASTICCONT.-CHENNAI</v>
          </cell>
          <cell r="D11">
            <v>829428990.71000004</v>
          </cell>
          <cell r="E11">
            <v>0</v>
          </cell>
          <cell r="J11">
            <v>829428991</v>
          </cell>
          <cell r="K11">
            <v>829428991</v>
          </cell>
        </row>
        <row r="12">
          <cell r="A12" t="str">
            <v>0206</v>
          </cell>
          <cell r="B12">
            <v>206</v>
          </cell>
          <cell r="C12" t="str">
            <v>Current Account - HO Dehradun</v>
          </cell>
          <cell r="D12">
            <v>2738931</v>
          </cell>
          <cell r="E12">
            <v>0</v>
          </cell>
          <cell r="J12">
            <v>2738931</v>
          </cell>
          <cell r="K12">
            <v>2738931</v>
          </cell>
        </row>
        <row r="13">
          <cell r="A13" t="str">
            <v>0208</v>
          </cell>
          <cell r="B13">
            <v>208</v>
          </cell>
          <cell r="C13" t="str">
            <v>H.O.A/C.-BANK-CHENNAI</v>
          </cell>
          <cell r="D13">
            <v>0</v>
          </cell>
          <cell r="E13">
            <v>272029100.22000003</v>
          </cell>
          <cell r="J13">
            <v>-272029100</v>
          </cell>
          <cell r="K13">
            <v>-272029100</v>
          </cell>
        </row>
        <row r="14">
          <cell r="A14" t="str">
            <v>0400</v>
          </cell>
          <cell r="B14">
            <v>400</v>
          </cell>
          <cell r="C14" t="str">
            <v>Cash in Hand</v>
          </cell>
          <cell r="D14">
            <v>37519</v>
          </cell>
          <cell r="E14">
            <v>0</v>
          </cell>
          <cell r="J14">
            <v>37519</v>
          </cell>
          <cell r="K14">
            <v>37519</v>
          </cell>
        </row>
        <row r="15">
          <cell r="A15" t="str">
            <v>0451</v>
          </cell>
          <cell r="B15">
            <v>451</v>
          </cell>
          <cell r="C15" t="str">
            <v>Cheque in Stale</v>
          </cell>
          <cell r="D15">
            <v>0</v>
          </cell>
          <cell r="E15">
            <v>167317</v>
          </cell>
          <cell r="J15">
            <v>-167317</v>
          </cell>
          <cell r="K15">
            <v>-167317</v>
          </cell>
        </row>
        <row r="16">
          <cell r="A16" t="str">
            <v>0601</v>
          </cell>
          <cell r="B16">
            <v>601</v>
          </cell>
          <cell r="C16" t="str">
            <v>CURRENT ACCOUNT - HSBC (003)</v>
          </cell>
          <cell r="D16">
            <v>1530445.54</v>
          </cell>
          <cell r="E16">
            <v>0</v>
          </cell>
          <cell r="J16">
            <v>1530446</v>
          </cell>
          <cell r="K16">
            <v>1530446</v>
          </cell>
        </row>
        <row r="17">
          <cell r="A17" t="str">
            <v>0605</v>
          </cell>
          <cell r="B17">
            <v>605</v>
          </cell>
          <cell r="C17" t="str">
            <v>CURRENT ACCOUNT - CORPN. BANK (A/C 03110000)</v>
          </cell>
          <cell r="D17">
            <v>1838595.43</v>
          </cell>
          <cell r="E17">
            <v>0</v>
          </cell>
          <cell r="J17">
            <v>1838595</v>
          </cell>
          <cell r="K17">
            <v>1838595</v>
          </cell>
        </row>
        <row r="18">
          <cell r="A18" t="str">
            <v>0740</v>
          </cell>
          <cell r="B18">
            <v>740</v>
          </cell>
          <cell r="C18" t="str">
            <v>Fixed Deposits</v>
          </cell>
          <cell r="D18">
            <v>125000</v>
          </cell>
          <cell r="E18">
            <v>0</v>
          </cell>
          <cell r="J18">
            <v>125000</v>
          </cell>
          <cell r="K18">
            <v>125000</v>
          </cell>
        </row>
        <row r="19">
          <cell r="A19" t="str">
            <v>813</v>
          </cell>
          <cell r="B19">
            <v>813</v>
          </cell>
          <cell r="C19" t="str">
            <v>CAR LOAN</v>
          </cell>
          <cell r="D19">
            <v>0</v>
          </cell>
          <cell r="E19">
            <v>700000</v>
          </cell>
          <cell r="J19">
            <v>-700000</v>
          </cell>
          <cell r="K19">
            <v>-700000</v>
          </cell>
        </row>
        <row r="20">
          <cell r="A20" t="str">
            <v>1050</v>
          </cell>
          <cell r="B20">
            <v>1050</v>
          </cell>
          <cell r="C20" t="str">
            <v>Profit &amp; Loss</v>
          </cell>
          <cell r="D20">
            <v>90765825.340000004</v>
          </cell>
          <cell r="E20">
            <v>0</v>
          </cell>
          <cell r="J20">
            <v>90765825</v>
          </cell>
          <cell r="K20">
            <v>90765825</v>
          </cell>
        </row>
        <row r="21">
          <cell r="A21" t="str">
            <v>1510</v>
          </cell>
          <cell r="B21">
            <v>1510</v>
          </cell>
          <cell r="C21" t="str">
            <v>Sundry Creditors Control</v>
          </cell>
          <cell r="D21">
            <v>0</v>
          </cell>
          <cell r="E21">
            <v>29428004.620000001</v>
          </cell>
          <cell r="J21">
            <v>-29428005</v>
          </cell>
          <cell r="K21">
            <v>-29428005</v>
          </cell>
        </row>
        <row r="22">
          <cell r="A22" t="str">
            <v>1622</v>
          </cell>
          <cell r="B22">
            <v>1622</v>
          </cell>
          <cell r="C22" t="str">
            <v>Liability for Expenses 2010-11</v>
          </cell>
          <cell r="D22">
            <v>0</v>
          </cell>
          <cell r="E22">
            <v>20983</v>
          </cell>
          <cell r="J22">
            <v>-20983</v>
          </cell>
          <cell r="K22">
            <v>-20983</v>
          </cell>
        </row>
        <row r="23">
          <cell r="A23" t="str">
            <v>1624</v>
          </cell>
          <cell r="B23">
            <v>1624</v>
          </cell>
          <cell r="C23" t="str">
            <v>Liability for Expenses 12-13</v>
          </cell>
          <cell r="D23">
            <v>0</v>
          </cell>
          <cell r="E23">
            <v>438985</v>
          </cell>
          <cell r="J23">
            <v>-438985</v>
          </cell>
          <cell r="K23">
            <v>-438985</v>
          </cell>
        </row>
        <row r="24">
          <cell r="A24" t="str">
            <v>1625</v>
          </cell>
          <cell r="B24">
            <v>1625</v>
          </cell>
          <cell r="C24" t="str">
            <v>LIABILITY FOR EXPENSES [ 2013-14 ]</v>
          </cell>
          <cell r="D24">
            <v>0</v>
          </cell>
          <cell r="E24">
            <v>14596</v>
          </cell>
          <cell r="J24">
            <v>-14596</v>
          </cell>
          <cell r="K24">
            <v>-14596</v>
          </cell>
        </row>
        <row r="25">
          <cell r="A25" t="str">
            <v>1626</v>
          </cell>
          <cell r="B25">
            <v>1626</v>
          </cell>
          <cell r="C25" t="str">
            <v>LIABILITY FOR EXPENSES [ 2014-15 ]</v>
          </cell>
          <cell r="D25">
            <v>0</v>
          </cell>
          <cell r="E25">
            <v>45354</v>
          </cell>
          <cell r="J25">
            <v>-45354</v>
          </cell>
          <cell r="K25">
            <v>-45354</v>
          </cell>
        </row>
        <row r="26">
          <cell r="A26" t="str">
            <v>1840</v>
          </cell>
          <cell r="B26">
            <v>1840</v>
          </cell>
          <cell r="C26" t="str">
            <v>Advance Received From Cust</v>
          </cell>
          <cell r="D26">
            <v>0</v>
          </cell>
          <cell r="E26">
            <v>183669.31</v>
          </cell>
          <cell r="J26">
            <v>-183669</v>
          </cell>
          <cell r="K26">
            <v>-183669</v>
          </cell>
        </row>
        <row r="27">
          <cell r="A27" t="str">
            <v>2010</v>
          </cell>
          <cell r="B27">
            <v>2010</v>
          </cell>
          <cell r="C27" t="str">
            <v>Provision for Gratuity</v>
          </cell>
          <cell r="D27">
            <v>0</v>
          </cell>
          <cell r="E27">
            <v>423882</v>
          </cell>
          <cell r="J27">
            <v>-423882</v>
          </cell>
          <cell r="K27">
            <v>-423882</v>
          </cell>
        </row>
        <row r="28">
          <cell r="A28" t="str">
            <v>2015</v>
          </cell>
          <cell r="B28">
            <v>2015</v>
          </cell>
          <cell r="C28" t="str">
            <v>PROVISION- LEAVE ENCSAHMENT</v>
          </cell>
          <cell r="D28">
            <v>0</v>
          </cell>
          <cell r="E28">
            <v>963549</v>
          </cell>
          <cell r="J28">
            <v>-963549</v>
          </cell>
          <cell r="K28">
            <v>-963549</v>
          </cell>
        </row>
        <row r="29">
          <cell r="A29" t="str">
            <v>2100</v>
          </cell>
          <cell r="B29">
            <v>2100</v>
          </cell>
          <cell r="C29" t="str">
            <v>Provision for Depreciation</v>
          </cell>
          <cell r="D29">
            <v>0</v>
          </cell>
          <cell r="E29">
            <v>64238672</v>
          </cell>
          <cell r="J29">
            <v>-64238672</v>
          </cell>
          <cell r="K29">
            <v>-64238672</v>
          </cell>
        </row>
        <row r="30">
          <cell r="A30" t="str">
            <v>2150</v>
          </cell>
          <cell r="B30">
            <v>2150</v>
          </cell>
          <cell r="C30" t="str">
            <v>Provision for doubtful debts</v>
          </cell>
          <cell r="D30">
            <v>0</v>
          </cell>
          <cell r="E30">
            <v>1240051.03</v>
          </cell>
          <cell r="J30">
            <v>-1240051</v>
          </cell>
          <cell r="K30">
            <v>-1240051</v>
          </cell>
        </row>
        <row r="31">
          <cell r="A31" t="str">
            <v>2160</v>
          </cell>
          <cell r="B31">
            <v>2160</v>
          </cell>
          <cell r="C31" t="str">
            <v>Provision for  Loans &amp; Advances</v>
          </cell>
          <cell r="D31">
            <v>0</v>
          </cell>
          <cell r="E31">
            <v>736137</v>
          </cell>
          <cell r="J31">
            <v>-736137</v>
          </cell>
          <cell r="K31">
            <v>-736137</v>
          </cell>
        </row>
        <row r="32">
          <cell r="A32" t="str">
            <v>2512</v>
          </cell>
          <cell r="B32">
            <v>2512</v>
          </cell>
          <cell r="C32" t="str">
            <v>VAT  A/c - Sales</v>
          </cell>
          <cell r="D32">
            <v>0</v>
          </cell>
          <cell r="E32">
            <v>935669.5</v>
          </cell>
          <cell r="J32">
            <v>-935670</v>
          </cell>
          <cell r="K32">
            <v>-935670</v>
          </cell>
        </row>
        <row r="33">
          <cell r="A33" t="str">
            <v>2513</v>
          </cell>
          <cell r="B33">
            <v>2513</v>
          </cell>
          <cell r="C33" t="str">
            <v>VAT A/c - Purchase</v>
          </cell>
          <cell r="D33">
            <v>533684.78</v>
          </cell>
          <cell r="E33">
            <v>0</v>
          </cell>
          <cell r="J33">
            <v>533685</v>
          </cell>
          <cell r="K33">
            <v>533685</v>
          </cell>
        </row>
        <row r="34">
          <cell r="A34" t="str">
            <v>2514</v>
          </cell>
          <cell r="B34">
            <v>2514</v>
          </cell>
          <cell r="C34" t="str">
            <v>VAT A/C - COCHIN</v>
          </cell>
          <cell r="D34">
            <v>0</v>
          </cell>
          <cell r="E34">
            <v>40316.74</v>
          </cell>
          <cell r="J34">
            <v>-40317</v>
          </cell>
          <cell r="K34">
            <v>-40317</v>
          </cell>
        </row>
        <row r="35">
          <cell r="A35" t="str">
            <v>2520</v>
          </cell>
          <cell r="B35">
            <v>2520</v>
          </cell>
          <cell r="C35" t="str">
            <v>CST Adjustable</v>
          </cell>
          <cell r="D35">
            <v>0</v>
          </cell>
          <cell r="E35">
            <v>305161.7</v>
          </cell>
          <cell r="J35">
            <v>-305162</v>
          </cell>
          <cell r="K35">
            <v>-305162</v>
          </cell>
        </row>
        <row r="36">
          <cell r="A36" t="str">
            <v>2527</v>
          </cell>
          <cell r="B36">
            <v>2527</v>
          </cell>
          <cell r="C36" t="str">
            <v>TDS - OTHERS</v>
          </cell>
          <cell r="D36">
            <v>0</v>
          </cell>
          <cell r="E36">
            <v>41757</v>
          </cell>
          <cell r="J36">
            <v>-41757</v>
          </cell>
          <cell r="K36">
            <v>-41757</v>
          </cell>
        </row>
        <row r="37">
          <cell r="A37" t="str">
            <v>2528</v>
          </cell>
          <cell r="B37">
            <v>2528</v>
          </cell>
          <cell r="C37" t="str">
            <v>TDS - Scrap Sale</v>
          </cell>
          <cell r="D37">
            <v>0</v>
          </cell>
          <cell r="E37">
            <v>8274</v>
          </cell>
          <cell r="J37">
            <v>-8274</v>
          </cell>
          <cell r="K37">
            <v>-8274</v>
          </cell>
        </row>
        <row r="38">
          <cell r="A38" t="str">
            <v>2530</v>
          </cell>
          <cell r="B38">
            <v>2530</v>
          </cell>
          <cell r="C38" t="str">
            <v>TDS - Contractors &amp; Others</v>
          </cell>
          <cell r="D38">
            <v>0</v>
          </cell>
          <cell r="E38">
            <v>1906</v>
          </cell>
          <cell r="J38">
            <v>-1906</v>
          </cell>
          <cell r="K38">
            <v>-1906</v>
          </cell>
        </row>
        <row r="39">
          <cell r="A39" t="str">
            <v>2535</v>
          </cell>
          <cell r="B39">
            <v>2535</v>
          </cell>
          <cell r="C39" t="str">
            <v>T.D.S - Professionals</v>
          </cell>
          <cell r="D39">
            <v>1800</v>
          </cell>
          <cell r="E39">
            <v>0</v>
          </cell>
          <cell r="J39">
            <v>1800</v>
          </cell>
          <cell r="K39">
            <v>1800</v>
          </cell>
        </row>
        <row r="40">
          <cell r="A40" t="str">
            <v>2541</v>
          </cell>
          <cell r="B40">
            <v>2541</v>
          </cell>
          <cell r="C40" t="str">
            <v>Excise Duty Payable (FG CL.STOCK)</v>
          </cell>
          <cell r="D40">
            <v>0</v>
          </cell>
          <cell r="E40">
            <v>595528</v>
          </cell>
          <cell r="J40">
            <v>-595528</v>
          </cell>
          <cell r="K40">
            <v>-595528</v>
          </cell>
        </row>
        <row r="41">
          <cell r="A41" t="str">
            <v>2543</v>
          </cell>
          <cell r="B41">
            <v>2543</v>
          </cell>
          <cell r="C41" t="str">
            <v>Service Tax</v>
          </cell>
          <cell r="D41">
            <v>3585846.82</v>
          </cell>
          <cell r="E41">
            <v>0</v>
          </cell>
          <cell r="J41">
            <v>3585847</v>
          </cell>
          <cell r="K41">
            <v>3585847</v>
          </cell>
        </row>
        <row r="42">
          <cell r="A42" t="str">
            <v>2544</v>
          </cell>
          <cell r="B42">
            <v>2544</v>
          </cell>
          <cell r="C42" t="str">
            <v>Education Cess on Sevice Tax</v>
          </cell>
          <cell r="D42">
            <v>31618.84</v>
          </cell>
          <cell r="E42">
            <v>0</v>
          </cell>
          <cell r="J42">
            <v>31619</v>
          </cell>
          <cell r="K42">
            <v>31619</v>
          </cell>
        </row>
        <row r="43">
          <cell r="A43" t="str">
            <v>2546</v>
          </cell>
          <cell r="B43">
            <v>2546</v>
          </cell>
          <cell r="C43" t="str">
            <v>Service Tax on Transportation</v>
          </cell>
          <cell r="D43">
            <v>0</v>
          </cell>
          <cell r="E43">
            <v>22477</v>
          </cell>
          <cell r="J43">
            <v>-22477</v>
          </cell>
          <cell r="K43">
            <v>-22477</v>
          </cell>
        </row>
        <row r="44">
          <cell r="A44" t="str">
            <v>2572</v>
          </cell>
          <cell r="B44">
            <v>2572</v>
          </cell>
          <cell r="C44" t="str">
            <v>FORWARD CONTRACT PAYABLE</v>
          </cell>
          <cell r="D44">
            <v>0</v>
          </cell>
          <cell r="E44">
            <v>14656358.6</v>
          </cell>
          <cell r="J44">
            <v>-14656359</v>
          </cell>
          <cell r="K44">
            <v>-14656359</v>
          </cell>
        </row>
        <row r="45">
          <cell r="A45" t="str">
            <v>2573</v>
          </cell>
          <cell r="B45">
            <v>2573</v>
          </cell>
          <cell r="C45" t="str">
            <v>DEFFERED PREMIUM ACCOUNT</v>
          </cell>
          <cell r="D45">
            <v>104985.8</v>
          </cell>
          <cell r="E45">
            <v>0</v>
          </cell>
          <cell r="J45">
            <v>104986</v>
          </cell>
          <cell r="K45">
            <v>104986</v>
          </cell>
        </row>
        <row r="46">
          <cell r="A46" t="str">
            <v>2600</v>
          </cell>
          <cell r="B46">
            <v>2600</v>
          </cell>
          <cell r="C46" t="str">
            <v>Net Salary Adjustable</v>
          </cell>
          <cell r="D46">
            <v>0</v>
          </cell>
          <cell r="E46">
            <v>610857</v>
          </cell>
          <cell r="J46">
            <v>-610857</v>
          </cell>
          <cell r="K46">
            <v>-610857</v>
          </cell>
        </row>
        <row r="47">
          <cell r="A47" t="str">
            <v>2610</v>
          </cell>
          <cell r="B47">
            <v>2610</v>
          </cell>
          <cell r="C47" t="str">
            <v>Provident Fund Adjustable</v>
          </cell>
          <cell r="D47">
            <v>0</v>
          </cell>
          <cell r="E47">
            <v>109241</v>
          </cell>
          <cell r="J47">
            <v>-109241</v>
          </cell>
          <cell r="K47">
            <v>-109241</v>
          </cell>
        </row>
        <row r="48">
          <cell r="A48" t="str">
            <v>2660</v>
          </cell>
          <cell r="B48">
            <v>2660</v>
          </cell>
          <cell r="C48" t="str">
            <v>TDS - Employees</v>
          </cell>
          <cell r="D48">
            <v>0</v>
          </cell>
          <cell r="E48">
            <v>7973</v>
          </cell>
          <cell r="J48">
            <v>-7973</v>
          </cell>
          <cell r="K48">
            <v>-7973</v>
          </cell>
        </row>
        <row r="49">
          <cell r="A49" t="str">
            <v>2720</v>
          </cell>
          <cell r="B49">
            <v>2720</v>
          </cell>
          <cell r="C49" t="str">
            <v>Unclaimed Salary\Wages</v>
          </cell>
          <cell r="D49">
            <v>0</v>
          </cell>
          <cell r="E49">
            <v>8430</v>
          </cell>
          <cell r="J49">
            <v>-8430</v>
          </cell>
          <cell r="K49">
            <v>-8430</v>
          </cell>
        </row>
        <row r="50">
          <cell r="A50" t="str">
            <v>2760</v>
          </cell>
          <cell r="B50">
            <v>2760</v>
          </cell>
          <cell r="C50" t="str">
            <v>Coin adj</v>
          </cell>
          <cell r="D50">
            <v>0</v>
          </cell>
          <cell r="E50">
            <v>3523.33</v>
          </cell>
          <cell r="J50">
            <v>-3523</v>
          </cell>
          <cell r="K50">
            <v>-3523</v>
          </cell>
        </row>
        <row r="51">
          <cell r="A51" t="str">
            <v>3010</v>
          </cell>
          <cell r="B51">
            <v>3010</v>
          </cell>
          <cell r="C51" t="str">
            <v>Fixed Assets - Gross Block</v>
          </cell>
          <cell r="D51">
            <v>146604534.69999999</v>
          </cell>
          <cell r="E51">
            <v>0</v>
          </cell>
          <cell r="J51">
            <v>146604535</v>
          </cell>
          <cell r="K51">
            <v>146604535</v>
          </cell>
        </row>
        <row r="52">
          <cell r="A52" t="str">
            <v>3050</v>
          </cell>
          <cell r="B52">
            <v>3050</v>
          </cell>
          <cell r="C52" t="str">
            <v>Capital Work in Process</v>
          </cell>
          <cell r="D52">
            <v>2173851.59</v>
          </cell>
          <cell r="E52">
            <v>0</v>
          </cell>
          <cell r="J52">
            <v>2173852</v>
          </cell>
          <cell r="K52">
            <v>2173852</v>
          </cell>
        </row>
        <row r="53">
          <cell r="A53" t="str">
            <v>3055</v>
          </cell>
          <cell r="B53">
            <v>3055</v>
          </cell>
          <cell r="C53" t="str">
            <v>CWIP - Project</v>
          </cell>
          <cell r="D53">
            <v>0</v>
          </cell>
          <cell r="E53">
            <v>28800</v>
          </cell>
          <cell r="J53">
            <v>-28800</v>
          </cell>
          <cell r="K53">
            <v>-28800</v>
          </cell>
        </row>
        <row r="54">
          <cell r="A54" t="str">
            <v>3200</v>
          </cell>
          <cell r="B54">
            <v>3200</v>
          </cell>
          <cell r="C54" t="str">
            <v>CL.STK.STORES/CONS.(BS)</v>
          </cell>
          <cell r="D54">
            <v>239038</v>
          </cell>
          <cell r="E54">
            <v>0</v>
          </cell>
          <cell r="J54">
            <v>239038</v>
          </cell>
          <cell r="K54">
            <v>239038</v>
          </cell>
        </row>
        <row r="55">
          <cell r="A55" t="str">
            <v>3300</v>
          </cell>
          <cell r="B55">
            <v>3300</v>
          </cell>
          <cell r="C55" t="str">
            <v>Sundry Debtors Control</v>
          </cell>
          <cell r="D55">
            <v>60239711.189999998</v>
          </cell>
          <cell r="E55">
            <v>0</v>
          </cell>
          <cell r="J55">
            <v>60239711</v>
          </cell>
          <cell r="K55">
            <v>60239711</v>
          </cell>
        </row>
        <row r="56">
          <cell r="A56" t="str">
            <v>3410</v>
          </cell>
          <cell r="B56">
            <v>3410</v>
          </cell>
          <cell r="C56" t="str">
            <v>Advance   - Others</v>
          </cell>
          <cell r="D56">
            <v>1013</v>
          </cell>
          <cell r="E56">
            <v>0</v>
          </cell>
          <cell r="J56">
            <v>1013</v>
          </cell>
          <cell r="K56">
            <v>1013</v>
          </cell>
        </row>
        <row r="57">
          <cell r="A57" t="str">
            <v>3420</v>
          </cell>
          <cell r="B57">
            <v>3420</v>
          </cell>
          <cell r="C57" t="str">
            <v>Advance A/c. - Capex</v>
          </cell>
          <cell r="D57">
            <v>700000</v>
          </cell>
          <cell r="E57">
            <v>0</v>
          </cell>
          <cell r="J57">
            <v>700000</v>
          </cell>
          <cell r="K57">
            <v>700000</v>
          </cell>
        </row>
        <row r="58">
          <cell r="A58" t="str">
            <v>3600</v>
          </cell>
          <cell r="B58">
            <v>3600</v>
          </cell>
          <cell r="C58" t="str">
            <v>Recoverable from Employees</v>
          </cell>
          <cell r="D58">
            <v>78.3</v>
          </cell>
          <cell r="E58">
            <v>0</v>
          </cell>
          <cell r="J58">
            <v>78</v>
          </cell>
          <cell r="K58">
            <v>78</v>
          </cell>
        </row>
        <row r="59">
          <cell r="A59" t="str">
            <v>3606</v>
          </cell>
          <cell r="B59">
            <v>3606</v>
          </cell>
          <cell r="C59" t="str">
            <v>FORWARD CONTRACT RECEVIABLE</v>
          </cell>
          <cell r="D59">
            <v>14159692.199999999</v>
          </cell>
          <cell r="E59">
            <v>0</v>
          </cell>
          <cell r="J59">
            <v>14159692</v>
          </cell>
          <cell r="K59">
            <v>14159692</v>
          </cell>
        </row>
        <row r="60">
          <cell r="A60" t="str">
            <v>3700</v>
          </cell>
          <cell r="B60">
            <v>3700</v>
          </cell>
          <cell r="C60" t="str">
            <v>Deposits Paid</v>
          </cell>
          <cell r="D60">
            <v>2533300</v>
          </cell>
          <cell r="E60">
            <v>0</v>
          </cell>
          <cell r="J60">
            <v>2533300</v>
          </cell>
          <cell r="K60">
            <v>2533300</v>
          </cell>
        </row>
        <row r="61">
          <cell r="A61" t="str">
            <v>3710</v>
          </cell>
          <cell r="B61">
            <v>3710</v>
          </cell>
          <cell r="C61" t="str">
            <v>Interest Receivable</v>
          </cell>
          <cell r="D61">
            <v>226306</v>
          </cell>
          <cell r="E61">
            <v>0</v>
          </cell>
          <cell r="J61">
            <v>226306</v>
          </cell>
          <cell r="K61">
            <v>226306</v>
          </cell>
        </row>
        <row r="62">
          <cell r="A62" t="str">
            <v>3750</v>
          </cell>
          <cell r="B62">
            <v>3750</v>
          </cell>
          <cell r="C62" t="str">
            <v>Prepaid Expenses</v>
          </cell>
          <cell r="D62">
            <v>151657.5</v>
          </cell>
          <cell r="E62">
            <v>0</v>
          </cell>
          <cell r="J62">
            <v>151658</v>
          </cell>
          <cell r="K62">
            <v>151658</v>
          </cell>
        </row>
        <row r="63">
          <cell r="A63" t="str">
            <v>3755</v>
          </cell>
          <cell r="B63">
            <v>3755</v>
          </cell>
          <cell r="C63" t="str">
            <v>Prepaid Insurance</v>
          </cell>
          <cell r="D63">
            <v>16869</v>
          </cell>
          <cell r="E63">
            <v>0</v>
          </cell>
          <cell r="J63">
            <v>16869</v>
          </cell>
          <cell r="K63">
            <v>16869</v>
          </cell>
        </row>
        <row r="64">
          <cell r="A64" t="str">
            <v>3785</v>
          </cell>
          <cell r="B64">
            <v>3785</v>
          </cell>
          <cell r="C64" t="str">
            <v>Recover from Excise</v>
          </cell>
          <cell r="D64">
            <v>981953.66</v>
          </cell>
          <cell r="E64">
            <v>0</v>
          </cell>
          <cell r="J64">
            <v>981954</v>
          </cell>
          <cell r="K64">
            <v>981954</v>
          </cell>
        </row>
        <row r="65">
          <cell r="A65" t="str">
            <v>3850</v>
          </cell>
          <cell r="B65">
            <v>3850</v>
          </cell>
          <cell r="C65" t="str">
            <v>Advance Income Tax</v>
          </cell>
          <cell r="D65">
            <v>93819</v>
          </cell>
          <cell r="E65">
            <v>0</v>
          </cell>
          <cell r="J65">
            <v>93819</v>
          </cell>
          <cell r="K65">
            <v>93819</v>
          </cell>
        </row>
        <row r="66">
          <cell r="A66" t="str">
            <v>5000</v>
          </cell>
          <cell r="B66">
            <v>5000</v>
          </cell>
          <cell r="C66" t="str">
            <v>Sales Control A/c.</v>
          </cell>
          <cell r="D66">
            <v>0</v>
          </cell>
          <cell r="E66">
            <v>28000</v>
          </cell>
          <cell r="J66">
            <v>-28000</v>
          </cell>
          <cell r="K66">
            <v>-28000</v>
          </cell>
        </row>
        <row r="67">
          <cell r="A67" t="str">
            <v>5010</v>
          </cell>
          <cell r="B67">
            <v>5010</v>
          </cell>
          <cell r="C67" t="str">
            <v>Product Sales</v>
          </cell>
          <cell r="D67">
            <v>0</v>
          </cell>
          <cell r="E67">
            <v>323530570.19999999</v>
          </cell>
          <cell r="J67">
            <v>-323530570</v>
          </cell>
          <cell r="K67">
            <v>-323530570</v>
          </cell>
        </row>
        <row r="68">
          <cell r="A68" t="str">
            <v>5015</v>
          </cell>
          <cell r="B68">
            <v>5015</v>
          </cell>
          <cell r="C68" t="str">
            <v>PRODUCT SALES - COCHIN</v>
          </cell>
          <cell r="D68">
            <v>0</v>
          </cell>
          <cell r="E68">
            <v>7332331</v>
          </cell>
          <cell r="J68">
            <v>-7332331</v>
          </cell>
          <cell r="K68">
            <v>-7332331</v>
          </cell>
        </row>
        <row r="69">
          <cell r="A69" t="str">
            <v>5100</v>
          </cell>
          <cell r="B69">
            <v>5100</v>
          </cell>
          <cell r="C69" t="str">
            <v>Scrap Sales</v>
          </cell>
          <cell r="D69">
            <v>0</v>
          </cell>
          <cell r="E69">
            <v>1397289.8</v>
          </cell>
          <cell r="J69">
            <v>-1397290</v>
          </cell>
          <cell r="K69">
            <v>-1397290</v>
          </cell>
        </row>
        <row r="70">
          <cell r="A70" t="str">
            <v>5150</v>
          </cell>
          <cell r="B70">
            <v>5150</v>
          </cell>
          <cell r="C70" t="str">
            <v>Interest Received</v>
          </cell>
          <cell r="D70">
            <v>0</v>
          </cell>
          <cell r="E70">
            <v>868025</v>
          </cell>
          <cell r="J70">
            <v>-868025</v>
          </cell>
          <cell r="K70">
            <v>-868025</v>
          </cell>
        </row>
        <row r="71">
          <cell r="A71" t="str">
            <v>5170</v>
          </cell>
          <cell r="B71">
            <v>5170</v>
          </cell>
          <cell r="C71" t="str">
            <v>Profit on Sale of Assets</v>
          </cell>
          <cell r="D71">
            <v>0</v>
          </cell>
          <cell r="E71">
            <v>520200</v>
          </cell>
          <cell r="J71">
            <v>-520200</v>
          </cell>
          <cell r="K71">
            <v>-520200</v>
          </cell>
        </row>
        <row r="72">
          <cell r="A72" t="str">
            <v>5180</v>
          </cell>
          <cell r="B72">
            <v>5180</v>
          </cell>
          <cell r="C72" t="str">
            <v>Provision no longer required written back</v>
          </cell>
          <cell r="D72">
            <v>0</v>
          </cell>
          <cell r="E72">
            <v>1508752.72</v>
          </cell>
          <cell r="J72">
            <v>-1508753</v>
          </cell>
          <cell r="K72">
            <v>-1508753</v>
          </cell>
        </row>
        <row r="73">
          <cell r="A73" t="str">
            <v>5195</v>
          </cell>
          <cell r="B73">
            <v>5195</v>
          </cell>
          <cell r="C73" t="str">
            <v>Realised  Gain/Loss  on Exchange</v>
          </cell>
          <cell r="D73">
            <v>1036038.18</v>
          </cell>
          <cell r="E73">
            <v>0</v>
          </cell>
          <cell r="J73">
            <v>1036038</v>
          </cell>
          <cell r="K73">
            <v>1036038</v>
          </cell>
        </row>
        <row r="74">
          <cell r="A74" t="str">
            <v>5200</v>
          </cell>
          <cell r="B74">
            <v>5200</v>
          </cell>
          <cell r="C74" t="str">
            <v>Unrealised  Gain/Loss  on Exchange</v>
          </cell>
          <cell r="D74">
            <v>0</v>
          </cell>
          <cell r="E74">
            <v>45405</v>
          </cell>
          <cell r="J74">
            <v>-45405</v>
          </cell>
          <cell r="K74">
            <v>-45405</v>
          </cell>
        </row>
        <row r="75">
          <cell r="A75" t="str">
            <v>5230</v>
          </cell>
          <cell r="B75">
            <v>5230</v>
          </cell>
          <cell r="C75" t="str">
            <v>Sundry Income</v>
          </cell>
          <cell r="D75">
            <v>0</v>
          </cell>
          <cell r="E75">
            <v>110859</v>
          </cell>
          <cell r="J75">
            <v>-110859</v>
          </cell>
          <cell r="K75">
            <v>-110859</v>
          </cell>
        </row>
        <row r="76">
          <cell r="A76" t="str">
            <v>5231</v>
          </cell>
          <cell r="B76">
            <v>5231</v>
          </cell>
          <cell r="C76" t="str">
            <v>Discount Received</v>
          </cell>
          <cell r="D76">
            <v>0</v>
          </cell>
          <cell r="E76">
            <v>150848.85</v>
          </cell>
          <cell r="J76">
            <v>-150849</v>
          </cell>
          <cell r="K76">
            <v>-150849</v>
          </cell>
        </row>
        <row r="77">
          <cell r="A77" t="str">
            <v>5235</v>
          </cell>
          <cell r="B77">
            <v>5235</v>
          </cell>
          <cell r="C77" t="str">
            <v>Sundry Credit Balances Written Back</v>
          </cell>
          <cell r="D77">
            <v>0</v>
          </cell>
          <cell r="E77">
            <v>317569.95</v>
          </cell>
          <cell r="J77">
            <v>-317570</v>
          </cell>
          <cell r="K77">
            <v>-317570</v>
          </cell>
        </row>
        <row r="78">
          <cell r="A78" t="str">
            <v>5499</v>
          </cell>
          <cell r="B78">
            <v>5499</v>
          </cell>
          <cell r="C78" t="str">
            <v>Discount Allowed</v>
          </cell>
          <cell r="D78">
            <v>199818.99</v>
          </cell>
          <cell r="E78">
            <v>0</v>
          </cell>
          <cell r="J78">
            <v>199819</v>
          </cell>
          <cell r="K78">
            <v>199819</v>
          </cell>
        </row>
        <row r="79">
          <cell r="A79" t="str">
            <v>5500</v>
          </cell>
          <cell r="B79">
            <v>5500</v>
          </cell>
          <cell r="C79" t="str">
            <v>Sales Return</v>
          </cell>
          <cell r="D79">
            <v>351008</v>
          </cell>
          <cell r="E79">
            <v>0</v>
          </cell>
          <cell r="J79">
            <v>351008</v>
          </cell>
          <cell r="K79">
            <v>351008</v>
          </cell>
        </row>
        <row r="80">
          <cell r="A80" t="str">
            <v>5505</v>
          </cell>
          <cell r="B80">
            <v>5505</v>
          </cell>
          <cell r="C80" t="str">
            <v>STOCK /SALES  TRANSFER - COCHIN</v>
          </cell>
          <cell r="D80">
            <v>7541002</v>
          </cell>
          <cell r="E80">
            <v>0</v>
          </cell>
          <cell r="J80">
            <v>7541002</v>
          </cell>
          <cell r="K80">
            <v>7541002</v>
          </cell>
        </row>
        <row r="81">
          <cell r="A81" t="str">
            <v>6010</v>
          </cell>
          <cell r="B81">
            <v>6010</v>
          </cell>
          <cell r="C81" t="str">
            <v>Purchase A/c -  RM - Steel / HMHDPE - Local</v>
          </cell>
          <cell r="D81">
            <v>0</v>
          </cell>
          <cell r="E81">
            <v>2838437.3</v>
          </cell>
          <cell r="J81">
            <v>-2838437</v>
          </cell>
          <cell r="K81">
            <v>-2838437</v>
          </cell>
        </row>
        <row r="82">
          <cell r="A82" t="str">
            <v>6011</v>
          </cell>
          <cell r="B82">
            <v>6011</v>
          </cell>
          <cell r="C82" t="str">
            <v>Purchase A/c - Master Batch</v>
          </cell>
          <cell r="D82">
            <v>2254083.9</v>
          </cell>
          <cell r="E82">
            <v>0</v>
          </cell>
          <cell r="J82">
            <v>2254084</v>
          </cell>
          <cell r="K82">
            <v>2254084</v>
          </cell>
        </row>
        <row r="83">
          <cell r="A83" t="str">
            <v>6015</v>
          </cell>
          <cell r="B83">
            <v>6015</v>
          </cell>
          <cell r="C83" t="str">
            <v>Purchase A/c -  RM - Steel / HMHDPE - Imported</v>
          </cell>
          <cell r="D83">
            <v>184643018</v>
          </cell>
          <cell r="E83">
            <v>0</v>
          </cell>
          <cell r="J83">
            <v>184643018</v>
          </cell>
          <cell r="K83">
            <v>184643018</v>
          </cell>
        </row>
        <row r="84">
          <cell r="A84" t="str">
            <v>6017</v>
          </cell>
          <cell r="B84">
            <v>6017</v>
          </cell>
          <cell r="C84" t="str">
            <v>Purchase A/c RM - Others - Imported</v>
          </cell>
          <cell r="D84">
            <v>9536</v>
          </cell>
          <cell r="E84">
            <v>0</v>
          </cell>
          <cell r="J84">
            <v>9536</v>
          </cell>
          <cell r="K84">
            <v>9536</v>
          </cell>
        </row>
        <row r="85">
          <cell r="A85" t="str">
            <v>6020</v>
          </cell>
          <cell r="B85">
            <v>6020</v>
          </cell>
          <cell r="C85" t="str">
            <v>Purchase A/c -  RM - Others</v>
          </cell>
          <cell r="D85">
            <v>54636023.140000001</v>
          </cell>
          <cell r="E85">
            <v>0</v>
          </cell>
          <cell r="J85">
            <v>54636023</v>
          </cell>
          <cell r="K85">
            <v>54636023</v>
          </cell>
        </row>
        <row r="86">
          <cell r="A86" t="str">
            <v>6031</v>
          </cell>
          <cell r="B86">
            <v>6031</v>
          </cell>
          <cell r="C86" t="str">
            <v>PURCHASE - EXCISE DUTY ON FG(CL.STOCK)</v>
          </cell>
          <cell r="D86">
            <v>0</v>
          </cell>
          <cell r="E86">
            <v>53792</v>
          </cell>
          <cell r="J86">
            <v>-53792</v>
          </cell>
          <cell r="K86">
            <v>-53792</v>
          </cell>
        </row>
        <row r="87">
          <cell r="A87" t="str">
            <v>6040</v>
          </cell>
          <cell r="B87">
            <v>6040</v>
          </cell>
          <cell r="C87" t="str">
            <v>Purchase A/c -  Packing Materials</v>
          </cell>
          <cell r="D87">
            <v>20514.2</v>
          </cell>
          <cell r="E87">
            <v>0</v>
          </cell>
          <cell r="J87">
            <v>20514</v>
          </cell>
          <cell r="K87">
            <v>20514</v>
          </cell>
        </row>
        <row r="88">
          <cell r="A88" t="str">
            <v>6055</v>
          </cell>
          <cell r="B88">
            <v>6055</v>
          </cell>
          <cell r="C88" t="str">
            <v>Op.Stock - Stores &amp; Spares</v>
          </cell>
          <cell r="D88">
            <v>554252</v>
          </cell>
          <cell r="E88">
            <v>0</v>
          </cell>
          <cell r="J88">
            <v>554252</v>
          </cell>
          <cell r="K88">
            <v>554252</v>
          </cell>
        </row>
        <row r="89">
          <cell r="A89" t="str">
            <v>6060</v>
          </cell>
          <cell r="B89">
            <v>6060</v>
          </cell>
          <cell r="C89" t="str">
            <v>Purchase A/c -  Spare Parts { Local }</v>
          </cell>
          <cell r="D89">
            <v>1574260.68</v>
          </cell>
          <cell r="E89">
            <v>0</v>
          </cell>
          <cell r="J89">
            <v>1574261</v>
          </cell>
          <cell r="K89">
            <v>1574261</v>
          </cell>
        </row>
        <row r="90">
          <cell r="A90" t="str">
            <v>6070</v>
          </cell>
          <cell r="B90">
            <v>6070</v>
          </cell>
          <cell r="C90" t="str">
            <v>Purchase A/c -  Spare Parts { Imported }</v>
          </cell>
          <cell r="D90">
            <v>110756.62</v>
          </cell>
          <cell r="E90">
            <v>0</v>
          </cell>
          <cell r="J90">
            <v>110757</v>
          </cell>
          <cell r="K90">
            <v>110757</v>
          </cell>
        </row>
        <row r="91">
          <cell r="A91" t="str">
            <v>6090</v>
          </cell>
          <cell r="B91">
            <v>6090</v>
          </cell>
          <cell r="C91" t="str">
            <v>Purchase A/c -  Consumables  { Local }</v>
          </cell>
          <cell r="D91">
            <v>771092.41</v>
          </cell>
          <cell r="E91">
            <v>0</v>
          </cell>
          <cell r="J91">
            <v>771092</v>
          </cell>
          <cell r="K91">
            <v>771092</v>
          </cell>
        </row>
        <row r="92">
          <cell r="A92" t="str">
            <v>6096</v>
          </cell>
          <cell r="B92">
            <v>6096</v>
          </cell>
          <cell r="C92" t="str">
            <v>EXCISE - COCHIN</v>
          </cell>
          <cell r="D92">
            <v>0</v>
          </cell>
          <cell r="E92">
            <v>3855847.68</v>
          </cell>
          <cell r="J92">
            <v>-3855848</v>
          </cell>
          <cell r="K92">
            <v>-3855848</v>
          </cell>
        </row>
        <row r="93">
          <cell r="A93" t="str">
            <v>6097</v>
          </cell>
          <cell r="B93">
            <v>6097</v>
          </cell>
          <cell r="C93" t="str">
            <v>Education Cess on C.V.D.</v>
          </cell>
          <cell r="D93">
            <v>54807.62</v>
          </cell>
          <cell r="E93">
            <v>0</v>
          </cell>
          <cell r="J93">
            <v>54808</v>
          </cell>
          <cell r="K93">
            <v>54808</v>
          </cell>
        </row>
        <row r="94">
          <cell r="A94" t="str">
            <v>6098</v>
          </cell>
          <cell r="B94">
            <v>6098</v>
          </cell>
          <cell r="C94" t="str">
            <v>Excise Duty - RG23C</v>
          </cell>
          <cell r="D94">
            <v>4603352.8</v>
          </cell>
          <cell r="E94">
            <v>0</v>
          </cell>
          <cell r="J94">
            <v>4603353</v>
          </cell>
          <cell r="K94">
            <v>4603353</v>
          </cell>
        </row>
        <row r="95">
          <cell r="A95" t="str">
            <v>6099</v>
          </cell>
          <cell r="B95">
            <v>6099</v>
          </cell>
          <cell r="C95" t="str">
            <v>Excise Duty - RG23A</v>
          </cell>
          <cell r="D95">
            <v>4685134.5</v>
          </cell>
          <cell r="E95">
            <v>0</v>
          </cell>
          <cell r="J95">
            <v>4685135</v>
          </cell>
          <cell r="K95">
            <v>4685135</v>
          </cell>
        </row>
        <row r="96">
          <cell r="A96" t="str">
            <v>6100</v>
          </cell>
          <cell r="B96">
            <v>6100</v>
          </cell>
          <cell r="C96" t="str">
            <v>Excise A/c. [ PLA ]</v>
          </cell>
          <cell r="D96">
            <v>499</v>
          </cell>
          <cell r="E96">
            <v>0</v>
          </cell>
          <cell r="J96">
            <v>499</v>
          </cell>
          <cell r="K96">
            <v>499</v>
          </cell>
        </row>
        <row r="97">
          <cell r="A97" t="str">
            <v>6102</v>
          </cell>
          <cell r="B97">
            <v>6102</v>
          </cell>
          <cell r="C97" t="str">
            <v>Transport A/c. - Purchase</v>
          </cell>
          <cell r="D97">
            <v>3305781.52</v>
          </cell>
          <cell r="E97">
            <v>0</v>
          </cell>
          <cell r="J97">
            <v>3305782</v>
          </cell>
          <cell r="K97">
            <v>3305782</v>
          </cell>
        </row>
        <row r="98">
          <cell r="A98" t="str">
            <v>6104</v>
          </cell>
          <cell r="B98">
            <v>6104</v>
          </cell>
          <cell r="C98" t="str">
            <v>C.S.T A/c. - Purchase</v>
          </cell>
          <cell r="D98">
            <v>297942.76</v>
          </cell>
          <cell r="E98">
            <v>0</v>
          </cell>
          <cell r="J98">
            <v>297943</v>
          </cell>
          <cell r="K98">
            <v>297943</v>
          </cell>
        </row>
        <row r="99">
          <cell r="A99" t="str">
            <v>6106</v>
          </cell>
          <cell r="B99">
            <v>6106</v>
          </cell>
          <cell r="C99" t="str">
            <v>Clearing Charges</v>
          </cell>
          <cell r="D99">
            <v>316693.5</v>
          </cell>
          <cell r="E99">
            <v>0</v>
          </cell>
          <cell r="J99">
            <v>316694</v>
          </cell>
          <cell r="K99">
            <v>316694</v>
          </cell>
        </row>
        <row r="100">
          <cell r="A100" t="str">
            <v>6108</v>
          </cell>
          <cell r="B100">
            <v>6108</v>
          </cell>
          <cell r="C100" t="str">
            <v>EXCISE - COCHIN</v>
          </cell>
          <cell r="D100">
            <v>3460926</v>
          </cell>
          <cell r="E100">
            <v>0</v>
          </cell>
          <cell r="J100">
            <v>3460926</v>
          </cell>
          <cell r="K100">
            <v>3460926</v>
          </cell>
        </row>
        <row r="101">
          <cell r="A101" t="str">
            <v>6110</v>
          </cell>
          <cell r="B101">
            <v>6110</v>
          </cell>
          <cell r="C101" t="str">
            <v>Swachh Bharat Cess - Purchase</v>
          </cell>
          <cell r="D101">
            <v>22022.36</v>
          </cell>
          <cell r="E101">
            <v>0</v>
          </cell>
          <cell r="J101">
            <v>22022</v>
          </cell>
          <cell r="K101">
            <v>22022</v>
          </cell>
        </row>
        <row r="102">
          <cell r="A102" t="str">
            <v>6210</v>
          </cell>
          <cell r="B102">
            <v>6210</v>
          </cell>
          <cell r="C102" t="str">
            <v>Power &amp; Fuel</v>
          </cell>
          <cell r="D102">
            <v>23210440.059999999</v>
          </cell>
          <cell r="E102">
            <v>0</v>
          </cell>
          <cell r="J102">
            <v>23210440</v>
          </cell>
          <cell r="K102">
            <v>23210440</v>
          </cell>
        </row>
        <row r="103">
          <cell r="A103" t="str">
            <v>6211</v>
          </cell>
          <cell r="B103">
            <v>6211</v>
          </cell>
          <cell r="C103" t="str">
            <v>Power - Office</v>
          </cell>
          <cell r="D103">
            <v>227354</v>
          </cell>
          <cell r="E103">
            <v>0</v>
          </cell>
          <cell r="J103">
            <v>227354</v>
          </cell>
          <cell r="K103">
            <v>227354</v>
          </cell>
        </row>
        <row r="104">
          <cell r="A104" t="str">
            <v>6220</v>
          </cell>
          <cell r="B104">
            <v>6220</v>
          </cell>
          <cell r="C104" t="str">
            <v>Water</v>
          </cell>
          <cell r="D104">
            <v>183575</v>
          </cell>
          <cell r="E104">
            <v>0</v>
          </cell>
          <cell r="J104">
            <v>183575</v>
          </cell>
          <cell r="K104">
            <v>183575</v>
          </cell>
        </row>
        <row r="105">
          <cell r="A105" t="str">
            <v>6230</v>
          </cell>
          <cell r="B105">
            <v>6230</v>
          </cell>
          <cell r="C105" t="str">
            <v>Screen Printing Charges</v>
          </cell>
          <cell r="D105">
            <v>2075028.75</v>
          </cell>
          <cell r="E105">
            <v>0</v>
          </cell>
          <cell r="J105">
            <v>2075029</v>
          </cell>
          <cell r="K105">
            <v>2075029</v>
          </cell>
        </row>
        <row r="106">
          <cell r="A106" t="str">
            <v>6310</v>
          </cell>
          <cell r="B106">
            <v>6310</v>
          </cell>
          <cell r="C106" t="str">
            <v>Repairs &amp; Maint - Plant &amp; Machinery</v>
          </cell>
          <cell r="D106">
            <v>922299.07</v>
          </cell>
          <cell r="E106">
            <v>0</v>
          </cell>
          <cell r="J106">
            <v>922299</v>
          </cell>
          <cell r="K106">
            <v>922299</v>
          </cell>
        </row>
        <row r="107">
          <cell r="A107" t="str">
            <v>6320</v>
          </cell>
          <cell r="B107">
            <v>6320</v>
          </cell>
          <cell r="C107" t="str">
            <v>Repairs &amp; Maint - Building/Flat</v>
          </cell>
          <cell r="D107">
            <v>47398</v>
          </cell>
          <cell r="E107">
            <v>0</v>
          </cell>
          <cell r="J107">
            <v>47398</v>
          </cell>
          <cell r="K107">
            <v>47398</v>
          </cell>
        </row>
        <row r="108">
          <cell r="A108" t="str">
            <v>6330</v>
          </cell>
          <cell r="B108">
            <v>6330</v>
          </cell>
          <cell r="C108" t="str">
            <v>Repairs &amp; Maint - Electricals</v>
          </cell>
          <cell r="D108">
            <v>151528</v>
          </cell>
          <cell r="E108">
            <v>0</v>
          </cell>
          <cell r="J108">
            <v>151528</v>
          </cell>
          <cell r="K108">
            <v>151528</v>
          </cell>
        </row>
        <row r="109">
          <cell r="A109" t="str">
            <v>6340</v>
          </cell>
          <cell r="B109">
            <v>6340</v>
          </cell>
          <cell r="C109" t="str">
            <v>Repairs &amp; Maint - Others</v>
          </cell>
          <cell r="D109">
            <v>1200</v>
          </cell>
          <cell r="E109">
            <v>0</v>
          </cell>
          <cell r="J109">
            <v>1200</v>
          </cell>
          <cell r="K109">
            <v>1200</v>
          </cell>
        </row>
        <row r="110">
          <cell r="A110" t="str">
            <v>6410</v>
          </cell>
          <cell r="B110">
            <v>6410</v>
          </cell>
          <cell r="C110" t="str">
            <v>Est Off-  Basic</v>
          </cell>
          <cell r="D110">
            <v>3065838</v>
          </cell>
          <cell r="E110">
            <v>0</v>
          </cell>
          <cell r="J110">
            <v>3065838</v>
          </cell>
          <cell r="K110">
            <v>3065838</v>
          </cell>
        </row>
        <row r="111">
          <cell r="A111" t="str">
            <v>6440</v>
          </cell>
          <cell r="B111">
            <v>6440</v>
          </cell>
          <cell r="C111" t="str">
            <v>Est Off - Bonus</v>
          </cell>
          <cell r="D111">
            <v>137523</v>
          </cell>
          <cell r="E111">
            <v>0</v>
          </cell>
          <cell r="J111">
            <v>137523</v>
          </cell>
          <cell r="K111">
            <v>137523</v>
          </cell>
        </row>
        <row r="112">
          <cell r="A112" t="str">
            <v>6450</v>
          </cell>
          <cell r="B112">
            <v>6450</v>
          </cell>
          <cell r="C112" t="str">
            <v>Est Off - Gratuity</v>
          </cell>
          <cell r="D112">
            <v>23502</v>
          </cell>
          <cell r="E112">
            <v>0</v>
          </cell>
          <cell r="J112">
            <v>23502</v>
          </cell>
          <cell r="K112">
            <v>23502</v>
          </cell>
        </row>
        <row r="113">
          <cell r="A113" t="str">
            <v>6504</v>
          </cell>
          <cell r="B113">
            <v>6504</v>
          </cell>
          <cell r="C113" t="str">
            <v>Est. Off. Stipend A/c.</v>
          </cell>
          <cell r="D113">
            <v>529588</v>
          </cell>
          <cell r="E113">
            <v>0</v>
          </cell>
          <cell r="J113">
            <v>529588</v>
          </cell>
          <cell r="K113">
            <v>529588</v>
          </cell>
        </row>
        <row r="114">
          <cell r="A114" t="str">
            <v>6510</v>
          </cell>
          <cell r="B114">
            <v>6510</v>
          </cell>
          <cell r="C114" t="str">
            <v>Est Staff - Basic</v>
          </cell>
          <cell r="D114">
            <v>1159770</v>
          </cell>
          <cell r="E114">
            <v>0</v>
          </cell>
          <cell r="J114">
            <v>1159770</v>
          </cell>
          <cell r="K114">
            <v>1159770</v>
          </cell>
        </row>
        <row r="115">
          <cell r="A115" t="str">
            <v>6512</v>
          </cell>
          <cell r="B115">
            <v>6512</v>
          </cell>
          <cell r="C115" t="str">
            <v>Est Staff Dearness Allowance(Cola)</v>
          </cell>
          <cell r="D115">
            <v>455879</v>
          </cell>
          <cell r="E115">
            <v>0</v>
          </cell>
          <cell r="J115">
            <v>455879</v>
          </cell>
          <cell r="K115">
            <v>455879</v>
          </cell>
        </row>
        <row r="116">
          <cell r="A116" t="str">
            <v>6520</v>
          </cell>
          <cell r="B116">
            <v>6520</v>
          </cell>
          <cell r="C116" t="str">
            <v>Est Staff - House rent allowance</v>
          </cell>
          <cell r="D116">
            <v>289943</v>
          </cell>
          <cell r="E116">
            <v>0</v>
          </cell>
          <cell r="J116">
            <v>289943</v>
          </cell>
          <cell r="K116">
            <v>289943</v>
          </cell>
        </row>
        <row r="117">
          <cell r="A117" t="str">
            <v>6530</v>
          </cell>
          <cell r="B117">
            <v>6530</v>
          </cell>
          <cell r="C117" t="str">
            <v>Est Staff - Transport allowance</v>
          </cell>
          <cell r="D117">
            <v>226640</v>
          </cell>
          <cell r="E117">
            <v>0</v>
          </cell>
          <cell r="J117">
            <v>226640</v>
          </cell>
          <cell r="K117">
            <v>226640</v>
          </cell>
        </row>
        <row r="118">
          <cell r="A118" t="str">
            <v>6531</v>
          </cell>
          <cell r="B118">
            <v>6531</v>
          </cell>
          <cell r="C118" t="str">
            <v>Est - Staff Personal Pay (Adhoc Allowance)</v>
          </cell>
          <cell r="D118">
            <v>322520</v>
          </cell>
          <cell r="E118">
            <v>0</v>
          </cell>
          <cell r="I118">
            <v>0</v>
          </cell>
          <cell r="J118">
            <v>322520</v>
          </cell>
          <cell r="K118">
            <v>322520</v>
          </cell>
        </row>
        <row r="119">
          <cell r="A119" t="str">
            <v>6540</v>
          </cell>
          <cell r="B119">
            <v>6540</v>
          </cell>
          <cell r="C119" t="str">
            <v>Est Staff - Encashment of Leave</v>
          </cell>
          <cell r="D119">
            <v>80025</v>
          </cell>
          <cell r="E119">
            <v>0</v>
          </cell>
          <cell r="J119">
            <v>80025</v>
          </cell>
          <cell r="K119">
            <v>80025</v>
          </cell>
        </row>
        <row r="120">
          <cell r="A120" t="str">
            <v>6550</v>
          </cell>
          <cell r="B120">
            <v>6550</v>
          </cell>
          <cell r="C120" t="str">
            <v>Est Staff - LTA</v>
          </cell>
          <cell r="D120">
            <v>98683</v>
          </cell>
          <cell r="E120">
            <v>0</v>
          </cell>
          <cell r="J120">
            <v>98683</v>
          </cell>
          <cell r="K120">
            <v>98683</v>
          </cell>
        </row>
        <row r="121">
          <cell r="A121" t="str">
            <v>6552</v>
          </cell>
          <cell r="B121">
            <v>6552</v>
          </cell>
          <cell r="C121" t="str">
            <v>Est - Staff Production Incentive</v>
          </cell>
          <cell r="D121">
            <v>344718</v>
          </cell>
          <cell r="E121">
            <v>0</v>
          </cell>
          <cell r="J121">
            <v>344718</v>
          </cell>
          <cell r="K121">
            <v>344718</v>
          </cell>
        </row>
        <row r="122">
          <cell r="A122" t="str">
            <v>6555</v>
          </cell>
          <cell r="B122">
            <v>6555</v>
          </cell>
          <cell r="C122" t="str">
            <v>Est Staff - Bonus</v>
          </cell>
          <cell r="D122">
            <v>5000</v>
          </cell>
          <cell r="E122">
            <v>0</v>
          </cell>
          <cell r="J122">
            <v>5000</v>
          </cell>
          <cell r="K122">
            <v>5000</v>
          </cell>
        </row>
        <row r="123">
          <cell r="A123" t="str">
            <v>6570</v>
          </cell>
          <cell r="B123">
            <v>6570</v>
          </cell>
          <cell r="C123" t="str">
            <v>Est Staff - Providend Fund</v>
          </cell>
          <cell r="D123">
            <v>193829</v>
          </cell>
          <cell r="E123">
            <v>0</v>
          </cell>
          <cell r="J123">
            <v>193829</v>
          </cell>
          <cell r="K123">
            <v>193829</v>
          </cell>
        </row>
        <row r="124">
          <cell r="A124" t="str">
            <v>6595</v>
          </cell>
          <cell r="B124">
            <v>6595</v>
          </cell>
          <cell r="C124" t="str">
            <v>Est Staff - Medical Expenses</v>
          </cell>
          <cell r="D124">
            <v>98684</v>
          </cell>
          <cell r="E124">
            <v>0</v>
          </cell>
          <cell r="J124">
            <v>98684</v>
          </cell>
          <cell r="K124">
            <v>98684</v>
          </cell>
        </row>
        <row r="125">
          <cell r="A125" t="str">
            <v>6610</v>
          </cell>
          <cell r="B125">
            <v>6610</v>
          </cell>
          <cell r="C125" t="str">
            <v>Est Lbr - Basic</v>
          </cell>
          <cell r="D125">
            <v>2268651</v>
          </cell>
          <cell r="E125">
            <v>0</v>
          </cell>
          <cell r="J125">
            <v>2268651</v>
          </cell>
          <cell r="K125">
            <v>2268651</v>
          </cell>
        </row>
        <row r="126">
          <cell r="A126" t="str">
            <v>6615</v>
          </cell>
          <cell r="B126">
            <v>6615</v>
          </cell>
          <cell r="C126" t="str">
            <v>Est Lbr - DA</v>
          </cell>
          <cell r="D126">
            <v>1260276</v>
          </cell>
          <cell r="E126">
            <v>0</v>
          </cell>
          <cell r="J126">
            <v>1260276</v>
          </cell>
          <cell r="K126">
            <v>1260276</v>
          </cell>
        </row>
        <row r="127">
          <cell r="A127" t="str">
            <v>6620</v>
          </cell>
          <cell r="B127">
            <v>6620</v>
          </cell>
          <cell r="C127" t="str">
            <v>Est Lbr House Rent Allowance</v>
          </cell>
          <cell r="D127">
            <v>548068</v>
          </cell>
          <cell r="E127">
            <v>0</v>
          </cell>
          <cell r="J127">
            <v>548068</v>
          </cell>
          <cell r="K127">
            <v>548068</v>
          </cell>
        </row>
        <row r="128">
          <cell r="A128" t="str">
            <v>6625</v>
          </cell>
          <cell r="B128">
            <v>6625</v>
          </cell>
          <cell r="C128" t="str">
            <v>Est Lbr - Educational Allowance</v>
          </cell>
          <cell r="D128">
            <v>65072</v>
          </cell>
          <cell r="E128">
            <v>0</v>
          </cell>
          <cell r="J128">
            <v>65072</v>
          </cell>
          <cell r="K128">
            <v>65072</v>
          </cell>
        </row>
        <row r="129">
          <cell r="A129" t="str">
            <v>6640</v>
          </cell>
          <cell r="B129">
            <v>6640</v>
          </cell>
          <cell r="C129" t="str">
            <v>Est Lbr - Encashment of Leave</v>
          </cell>
          <cell r="D129">
            <v>126663</v>
          </cell>
          <cell r="E129">
            <v>0</v>
          </cell>
          <cell r="J129">
            <v>126663</v>
          </cell>
          <cell r="K129">
            <v>126663</v>
          </cell>
        </row>
        <row r="130">
          <cell r="A130" t="str">
            <v>6650</v>
          </cell>
          <cell r="B130">
            <v>6650</v>
          </cell>
          <cell r="C130" t="str">
            <v>Est Lbr - LTA</v>
          </cell>
          <cell r="D130">
            <v>190075</v>
          </cell>
          <cell r="E130">
            <v>0</v>
          </cell>
          <cell r="J130">
            <v>190075</v>
          </cell>
          <cell r="K130">
            <v>190075</v>
          </cell>
        </row>
        <row r="131">
          <cell r="A131" t="str">
            <v>6651</v>
          </cell>
          <cell r="B131">
            <v>6651</v>
          </cell>
          <cell r="C131" t="str">
            <v>EST LBR RELOCATION ALLOW</v>
          </cell>
          <cell r="D131">
            <v>233435</v>
          </cell>
          <cell r="E131">
            <v>0</v>
          </cell>
          <cell r="J131">
            <v>233435</v>
          </cell>
          <cell r="K131">
            <v>233435</v>
          </cell>
        </row>
        <row r="132">
          <cell r="A132" t="str">
            <v>6652</v>
          </cell>
          <cell r="B132">
            <v>6652</v>
          </cell>
          <cell r="C132" t="str">
            <v>EST LBR PRODUCTINO INCENTIVE</v>
          </cell>
          <cell r="D132">
            <v>635594</v>
          </cell>
          <cell r="E132">
            <v>0</v>
          </cell>
          <cell r="J132">
            <v>635594</v>
          </cell>
          <cell r="K132">
            <v>635594</v>
          </cell>
        </row>
        <row r="133">
          <cell r="A133" t="str">
            <v>6653</v>
          </cell>
          <cell r="B133">
            <v>6653</v>
          </cell>
          <cell r="C133" t="str">
            <v>EST LBR ATTENDANCE BONUS</v>
          </cell>
          <cell r="D133">
            <v>73000</v>
          </cell>
          <cell r="E133">
            <v>0</v>
          </cell>
          <cell r="J133">
            <v>73000</v>
          </cell>
          <cell r="K133">
            <v>73000</v>
          </cell>
        </row>
        <row r="134">
          <cell r="A134" t="str">
            <v>6655</v>
          </cell>
          <cell r="B134">
            <v>6655</v>
          </cell>
          <cell r="C134" t="str">
            <v>Est Lbr - Bonus</v>
          </cell>
          <cell r="D134">
            <v>318549</v>
          </cell>
          <cell r="E134">
            <v>0</v>
          </cell>
          <cell r="J134">
            <v>318549</v>
          </cell>
          <cell r="K134">
            <v>318549</v>
          </cell>
        </row>
        <row r="135">
          <cell r="A135" t="str">
            <v>6665</v>
          </cell>
          <cell r="B135">
            <v>6665</v>
          </cell>
          <cell r="C135" t="str">
            <v>Est Lbr - Gratuity</v>
          </cell>
          <cell r="D135">
            <v>207136</v>
          </cell>
          <cell r="E135">
            <v>0</v>
          </cell>
          <cell r="J135">
            <v>207136</v>
          </cell>
          <cell r="K135">
            <v>207136</v>
          </cell>
        </row>
        <row r="136">
          <cell r="A136" t="str">
            <v>6670</v>
          </cell>
          <cell r="B136">
            <v>6670</v>
          </cell>
          <cell r="C136" t="str">
            <v>Est Lbr - Providend Fund</v>
          </cell>
          <cell r="D136">
            <v>423344</v>
          </cell>
          <cell r="E136">
            <v>0</v>
          </cell>
          <cell r="J136">
            <v>423344</v>
          </cell>
          <cell r="K136">
            <v>423344</v>
          </cell>
        </row>
        <row r="137">
          <cell r="A137" t="str">
            <v>6695</v>
          </cell>
          <cell r="B137">
            <v>6695</v>
          </cell>
          <cell r="C137" t="str">
            <v>EST LBR MEDICAL REIMB</v>
          </cell>
          <cell r="D137">
            <v>190075</v>
          </cell>
          <cell r="E137">
            <v>0</v>
          </cell>
          <cell r="J137">
            <v>190075</v>
          </cell>
          <cell r="K137">
            <v>190075</v>
          </cell>
        </row>
        <row r="138">
          <cell r="A138" t="str">
            <v>6700</v>
          </cell>
          <cell r="B138">
            <v>6700</v>
          </cell>
          <cell r="C138" t="str">
            <v>Est Lbr - Uniform/ Shoe A/c</v>
          </cell>
          <cell r="D138">
            <v>63481.71</v>
          </cell>
          <cell r="E138">
            <v>0</v>
          </cell>
          <cell r="J138">
            <v>63482</v>
          </cell>
          <cell r="K138">
            <v>63482</v>
          </cell>
        </row>
        <row r="139">
          <cell r="A139" t="str">
            <v>6780</v>
          </cell>
          <cell r="B139">
            <v>6780</v>
          </cell>
          <cell r="C139" t="str">
            <v>Contract Labour Expenses</v>
          </cell>
          <cell r="D139">
            <v>2705511.05</v>
          </cell>
          <cell r="E139">
            <v>0</v>
          </cell>
          <cell r="J139">
            <v>2705511</v>
          </cell>
          <cell r="K139">
            <v>2705511</v>
          </cell>
        </row>
        <row r="140">
          <cell r="A140" t="str">
            <v>7000</v>
          </cell>
          <cell r="B140">
            <v>7000</v>
          </cell>
          <cell r="C140" t="str">
            <v>WELFARE  LUNCH/DINNER</v>
          </cell>
          <cell r="D140">
            <v>382021</v>
          </cell>
          <cell r="E140">
            <v>0</v>
          </cell>
          <cell r="J140">
            <v>382021</v>
          </cell>
          <cell r="K140">
            <v>382021</v>
          </cell>
        </row>
        <row r="141">
          <cell r="A141" t="str">
            <v>7005</v>
          </cell>
          <cell r="B141">
            <v>7005</v>
          </cell>
          <cell r="C141" t="str">
            <v>WELFARE CANTEEN EXP-TEA</v>
          </cell>
          <cell r="D141">
            <v>381822</v>
          </cell>
          <cell r="E141">
            <v>0</v>
          </cell>
          <cell r="J141">
            <v>381822</v>
          </cell>
          <cell r="K141">
            <v>381822</v>
          </cell>
        </row>
        <row r="142">
          <cell r="A142" t="str">
            <v>7020</v>
          </cell>
          <cell r="B142">
            <v>7020</v>
          </cell>
          <cell r="C142" t="str">
            <v>Welfare - First Aid</v>
          </cell>
          <cell r="D142">
            <v>2257</v>
          </cell>
          <cell r="E142">
            <v>0</v>
          </cell>
          <cell r="J142">
            <v>2257</v>
          </cell>
          <cell r="K142">
            <v>2257</v>
          </cell>
        </row>
        <row r="143">
          <cell r="A143" t="str">
            <v>7045</v>
          </cell>
          <cell r="B143">
            <v>7045</v>
          </cell>
          <cell r="C143" t="str">
            <v>POOJA EXPS</v>
          </cell>
          <cell r="D143">
            <v>51610</v>
          </cell>
          <cell r="E143">
            <v>0</v>
          </cell>
          <cell r="J143">
            <v>51610</v>
          </cell>
          <cell r="K143">
            <v>51610</v>
          </cell>
        </row>
        <row r="144">
          <cell r="A144" t="str">
            <v>7100</v>
          </cell>
          <cell r="B144">
            <v>7100</v>
          </cell>
          <cell r="C144" t="str">
            <v>Rent</v>
          </cell>
          <cell r="D144">
            <v>134283</v>
          </cell>
          <cell r="E144">
            <v>0</v>
          </cell>
          <cell r="J144">
            <v>134283</v>
          </cell>
          <cell r="K144">
            <v>134283</v>
          </cell>
        </row>
        <row r="145">
          <cell r="A145" t="str">
            <v>7110</v>
          </cell>
          <cell r="B145">
            <v>7110</v>
          </cell>
          <cell r="C145" t="str">
            <v>Rates &amp; Taxes</v>
          </cell>
          <cell r="D145">
            <v>430131</v>
          </cell>
          <cell r="E145">
            <v>0</v>
          </cell>
          <cell r="J145">
            <v>430131</v>
          </cell>
          <cell r="K145">
            <v>430131</v>
          </cell>
        </row>
        <row r="146">
          <cell r="A146" t="str">
            <v>7111</v>
          </cell>
          <cell r="B146">
            <v>7111</v>
          </cell>
          <cell r="C146" t="str">
            <v>Service Tax on Transport-GTO</v>
          </cell>
          <cell r="D146">
            <v>689245</v>
          </cell>
          <cell r="E146">
            <v>0</v>
          </cell>
          <cell r="J146">
            <v>689245</v>
          </cell>
          <cell r="K146">
            <v>689245</v>
          </cell>
        </row>
        <row r="147">
          <cell r="A147" t="str">
            <v>7113</v>
          </cell>
          <cell r="B147">
            <v>7113</v>
          </cell>
          <cell r="C147" t="str">
            <v>SURCHARGE ON TNGST</v>
          </cell>
          <cell r="D147">
            <v>0</v>
          </cell>
          <cell r="E147">
            <v>88</v>
          </cell>
          <cell r="J147">
            <v>-88</v>
          </cell>
          <cell r="K147">
            <v>-88</v>
          </cell>
        </row>
        <row r="148">
          <cell r="A148" t="str">
            <v>7160</v>
          </cell>
          <cell r="B148">
            <v>7160</v>
          </cell>
          <cell r="C148" t="str">
            <v>Insurance</v>
          </cell>
          <cell r="D148">
            <v>278897</v>
          </cell>
          <cell r="E148">
            <v>0</v>
          </cell>
          <cell r="J148">
            <v>278897</v>
          </cell>
          <cell r="K148">
            <v>278897</v>
          </cell>
        </row>
        <row r="149">
          <cell r="A149" t="str">
            <v>7170</v>
          </cell>
          <cell r="B149">
            <v>7170</v>
          </cell>
          <cell r="C149" t="str">
            <v>Commission on Sale</v>
          </cell>
          <cell r="D149">
            <v>132063</v>
          </cell>
          <cell r="E149">
            <v>0</v>
          </cell>
          <cell r="J149">
            <v>132063</v>
          </cell>
          <cell r="K149">
            <v>132063</v>
          </cell>
        </row>
        <row r="150">
          <cell r="A150" t="str">
            <v>7180</v>
          </cell>
          <cell r="B150">
            <v>7180</v>
          </cell>
          <cell r="C150" t="str">
            <v>Discount Allowed</v>
          </cell>
          <cell r="D150">
            <v>1710171.83</v>
          </cell>
          <cell r="E150">
            <v>0</v>
          </cell>
          <cell r="J150">
            <v>1710172</v>
          </cell>
          <cell r="K150">
            <v>1710172</v>
          </cell>
        </row>
        <row r="151">
          <cell r="A151" t="str">
            <v>7210</v>
          </cell>
          <cell r="B151">
            <v>7210</v>
          </cell>
          <cell r="C151" t="str">
            <v>Foreigners Travelling Expenses - Ticket</v>
          </cell>
          <cell r="D151">
            <v>18154</v>
          </cell>
          <cell r="E151">
            <v>0</v>
          </cell>
          <cell r="J151">
            <v>18154</v>
          </cell>
          <cell r="K151">
            <v>18154</v>
          </cell>
        </row>
        <row r="152">
          <cell r="A152" t="str">
            <v>7220</v>
          </cell>
          <cell r="B152">
            <v>7220</v>
          </cell>
          <cell r="C152" t="str">
            <v>Travelling Expenses Officers     - Ticket</v>
          </cell>
          <cell r="D152">
            <v>19307</v>
          </cell>
          <cell r="E152">
            <v>0</v>
          </cell>
          <cell r="J152">
            <v>19307</v>
          </cell>
          <cell r="K152">
            <v>19307</v>
          </cell>
        </row>
        <row r="153">
          <cell r="A153" t="str">
            <v>7221</v>
          </cell>
          <cell r="B153">
            <v>7221</v>
          </cell>
          <cell r="C153" t="str">
            <v>Travelling Expenses Officers     - Others</v>
          </cell>
          <cell r="D153">
            <v>227034</v>
          </cell>
          <cell r="E153">
            <v>0</v>
          </cell>
          <cell r="J153">
            <v>227034</v>
          </cell>
          <cell r="K153">
            <v>227034</v>
          </cell>
        </row>
        <row r="154">
          <cell r="A154" t="str">
            <v>7230</v>
          </cell>
          <cell r="B154">
            <v>7230</v>
          </cell>
          <cell r="C154" t="str">
            <v>Travelling Expenses Others       - Ticket</v>
          </cell>
          <cell r="D154">
            <v>27739</v>
          </cell>
          <cell r="E154">
            <v>0</v>
          </cell>
          <cell r="J154">
            <v>27739</v>
          </cell>
          <cell r="K154">
            <v>27739</v>
          </cell>
        </row>
        <row r="155">
          <cell r="A155" t="str">
            <v>7231</v>
          </cell>
          <cell r="B155">
            <v>7231</v>
          </cell>
          <cell r="C155" t="str">
            <v>Travelling Expenses Others       - Others</v>
          </cell>
          <cell r="D155">
            <v>381256</v>
          </cell>
          <cell r="E155">
            <v>0</v>
          </cell>
          <cell r="J155">
            <v>381256</v>
          </cell>
          <cell r="K155">
            <v>381256</v>
          </cell>
        </row>
        <row r="156">
          <cell r="A156" t="str">
            <v>7240</v>
          </cell>
          <cell r="B156">
            <v>7240</v>
          </cell>
          <cell r="C156" t="str">
            <v>Travelling Expenses  - Conveyance</v>
          </cell>
          <cell r="D156">
            <v>148633</v>
          </cell>
          <cell r="E156">
            <v>0</v>
          </cell>
          <cell r="J156">
            <v>148633</v>
          </cell>
          <cell r="K156">
            <v>148633</v>
          </cell>
        </row>
        <row r="157">
          <cell r="A157" t="str">
            <v>7250</v>
          </cell>
          <cell r="B157">
            <v>7250</v>
          </cell>
          <cell r="C157" t="str">
            <v>Travelling Expenses  - Car/Bus Hire Charges</v>
          </cell>
          <cell r="D157">
            <v>69258</v>
          </cell>
          <cell r="E157">
            <v>0</v>
          </cell>
          <cell r="J157">
            <v>69258</v>
          </cell>
          <cell r="K157">
            <v>69258</v>
          </cell>
        </row>
        <row r="158">
          <cell r="A158" t="str">
            <v>7265</v>
          </cell>
          <cell r="B158">
            <v>7265</v>
          </cell>
          <cell r="C158" t="str">
            <v>Professional Expenses</v>
          </cell>
          <cell r="D158">
            <v>44414</v>
          </cell>
          <cell r="E158">
            <v>0</v>
          </cell>
          <cell r="J158">
            <v>44414</v>
          </cell>
          <cell r="K158">
            <v>44414</v>
          </cell>
        </row>
        <row r="159">
          <cell r="A159" t="str">
            <v>7285</v>
          </cell>
          <cell r="B159">
            <v>7285</v>
          </cell>
          <cell r="C159" t="str">
            <v>Freight &amp; Transport - Local</v>
          </cell>
          <cell r="D159">
            <v>16504284.5</v>
          </cell>
          <cell r="E159">
            <v>0</v>
          </cell>
          <cell r="J159">
            <v>16504285</v>
          </cell>
          <cell r="K159">
            <v>16504285</v>
          </cell>
        </row>
        <row r="160">
          <cell r="A160" t="str">
            <v>7286</v>
          </cell>
          <cell r="B160">
            <v>7286</v>
          </cell>
          <cell r="C160" t="str">
            <v>Freight - Loading/Unloading chgs</v>
          </cell>
          <cell r="D160">
            <v>503071.72</v>
          </cell>
          <cell r="E160">
            <v>0</v>
          </cell>
          <cell r="J160">
            <v>503072</v>
          </cell>
          <cell r="K160">
            <v>503072</v>
          </cell>
        </row>
        <row r="161">
          <cell r="A161" t="str">
            <v>7290</v>
          </cell>
          <cell r="B161">
            <v>7290</v>
          </cell>
          <cell r="C161" t="str">
            <v>Freight &amp; Transport Recovered- Local</v>
          </cell>
          <cell r="D161">
            <v>0</v>
          </cell>
          <cell r="E161">
            <v>6039509</v>
          </cell>
          <cell r="J161">
            <v>-6039509</v>
          </cell>
          <cell r="K161">
            <v>-6039509</v>
          </cell>
        </row>
        <row r="162">
          <cell r="A162" t="str">
            <v>7350</v>
          </cell>
          <cell r="B162">
            <v>7350</v>
          </cell>
          <cell r="C162" t="str">
            <v>Bad Debts / Deposit  W. Off</v>
          </cell>
          <cell r="D162">
            <v>52223.54</v>
          </cell>
          <cell r="E162">
            <v>0</v>
          </cell>
          <cell r="J162">
            <v>52224</v>
          </cell>
          <cell r="K162">
            <v>52224</v>
          </cell>
        </row>
        <row r="163">
          <cell r="A163" t="str">
            <v>7351</v>
          </cell>
          <cell r="B163">
            <v>7351</v>
          </cell>
          <cell r="C163" t="str">
            <v>Advances written off</v>
          </cell>
          <cell r="D163">
            <v>596065.04</v>
          </cell>
          <cell r="E163">
            <v>0</v>
          </cell>
          <cell r="J163">
            <v>596065</v>
          </cell>
          <cell r="K163">
            <v>596065</v>
          </cell>
        </row>
        <row r="164">
          <cell r="A164" t="str">
            <v>7360</v>
          </cell>
          <cell r="B164">
            <v>7360</v>
          </cell>
          <cell r="C164" t="str">
            <v>Security</v>
          </cell>
          <cell r="D164">
            <v>1251105.6000000001</v>
          </cell>
          <cell r="E164">
            <v>0</v>
          </cell>
          <cell r="J164">
            <v>1251106</v>
          </cell>
          <cell r="K164">
            <v>1251106</v>
          </cell>
        </row>
        <row r="165">
          <cell r="A165" t="str">
            <v>7370</v>
          </cell>
          <cell r="B165">
            <v>7370</v>
          </cell>
          <cell r="C165" t="str">
            <v>Safety &amp; Sanitation</v>
          </cell>
          <cell r="D165">
            <v>122247</v>
          </cell>
          <cell r="E165">
            <v>0</v>
          </cell>
          <cell r="J165">
            <v>122247</v>
          </cell>
          <cell r="K165">
            <v>122247</v>
          </cell>
        </row>
        <row r="166">
          <cell r="A166" t="str">
            <v>7375</v>
          </cell>
          <cell r="B166">
            <v>7375</v>
          </cell>
          <cell r="C166" t="str">
            <v>PREMIUM ON FORWARD CONTRACT</v>
          </cell>
          <cell r="D166">
            <v>709344.8</v>
          </cell>
          <cell r="E166">
            <v>0</v>
          </cell>
          <cell r="J166">
            <v>709345</v>
          </cell>
          <cell r="K166">
            <v>709345</v>
          </cell>
        </row>
        <row r="167">
          <cell r="A167" t="str">
            <v>7380</v>
          </cell>
          <cell r="B167">
            <v>7380</v>
          </cell>
          <cell r="C167" t="str">
            <v>Business Development Expenses</v>
          </cell>
          <cell r="D167">
            <v>149485</v>
          </cell>
          <cell r="E167">
            <v>0</v>
          </cell>
          <cell r="J167">
            <v>149485</v>
          </cell>
          <cell r="K167">
            <v>149485</v>
          </cell>
        </row>
        <row r="168">
          <cell r="A168" t="str">
            <v>7410</v>
          </cell>
          <cell r="B168">
            <v>7410</v>
          </cell>
          <cell r="C168" t="str">
            <v>Postage/Telegram/Courier</v>
          </cell>
          <cell r="D168">
            <v>17897</v>
          </cell>
          <cell r="E168">
            <v>0</v>
          </cell>
          <cell r="J168">
            <v>17897</v>
          </cell>
          <cell r="K168">
            <v>17897</v>
          </cell>
        </row>
        <row r="169">
          <cell r="A169" t="str">
            <v>7420</v>
          </cell>
          <cell r="B169">
            <v>7420</v>
          </cell>
          <cell r="C169" t="str">
            <v>Selling Expenses</v>
          </cell>
          <cell r="D169">
            <v>550558.97</v>
          </cell>
          <cell r="E169">
            <v>0</v>
          </cell>
          <cell r="J169">
            <v>550559</v>
          </cell>
          <cell r="K169">
            <v>550559</v>
          </cell>
        </row>
        <row r="170">
          <cell r="A170" t="str">
            <v>7425</v>
          </cell>
          <cell r="B170">
            <v>7425</v>
          </cell>
          <cell r="C170" t="str">
            <v>Admn Charges on PF</v>
          </cell>
          <cell r="D170">
            <v>43731</v>
          </cell>
          <cell r="E170">
            <v>0</v>
          </cell>
          <cell r="J170">
            <v>43731</v>
          </cell>
          <cell r="K170">
            <v>43731</v>
          </cell>
        </row>
        <row r="171">
          <cell r="A171" t="str">
            <v>7426</v>
          </cell>
          <cell r="B171">
            <v>7426</v>
          </cell>
          <cell r="C171" t="str">
            <v>Admn Chg on PF</v>
          </cell>
          <cell r="D171">
            <v>24325</v>
          </cell>
          <cell r="E171">
            <v>0</v>
          </cell>
          <cell r="J171">
            <v>24325</v>
          </cell>
          <cell r="K171">
            <v>24325</v>
          </cell>
        </row>
        <row r="172">
          <cell r="A172" t="str">
            <v>7430</v>
          </cell>
          <cell r="B172">
            <v>7430</v>
          </cell>
          <cell r="C172" t="str">
            <v>Advertisement</v>
          </cell>
          <cell r="D172">
            <v>10000</v>
          </cell>
          <cell r="E172">
            <v>0</v>
          </cell>
          <cell r="J172">
            <v>10000</v>
          </cell>
          <cell r="K172">
            <v>10000</v>
          </cell>
        </row>
        <row r="173">
          <cell r="A173" t="str">
            <v>7445</v>
          </cell>
          <cell r="B173">
            <v>7445</v>
          </cell>
          <cell r="C173" t="str">
            <v>System Expenses</v>
          </cell>
          <cell r="D173">
            <v>209299</v>
          </cell>
          <cell r="E173">
            <v>0</v>
          </cell>
          <cell r="J173">
            <v>209299</v>
          </cell>
          <cell r="K173">
            <v>209299</v>
          </cell>
        </row>
        <row r="174">
          <cell r="A174" t="str">
            <v>7460</v>
          </cell>
          <cell r="B174">
            <v>7460</v>
          </cell>
          <cell r="C174" t="str">
            <v>Printing &amp; Stationery</v>
          </cell>
          <cell r="D174">
            <v>111907</v>
          </cell>
          <cell r="E174">
            <v>0</v>
          </cell>
          <cell r="J174">
            <v>111907</v>
          </cell>
          <cell r="K174">
            <v>111907</v>
          </cell>
        </row>
        <row r="175">
          <cell r="A175" t="str">
            <v>7470</v>
          </cell>
          <cell r="B175">
            <v>7470</v>
          </cell>
          <cell r="C175" t="str">
            <v>General Expenses - Office</v>
          </cell>
          <cell r="D175">
            <v>489.61</v>
          </cell>
          <cell r="E175">
            <v>0</v>
          </cell>
          <cell r="J175">
            <v>490</v>
          </cell>
          <cell r="K175">
            <v>490</v>
          </cell>
        </row>
        <row r="176">
          <cell r="A176" t="str">
            <v>7471</v>
          </cell>
          <cell r="B176">
            <v>7471</v>
          </cell>
          <cell r="C176" t="str">
            <v>General Expenses - Factory</v>
          </cell>
          <cell r="D176">
            <v>90047.55</v>
          </cell>
          <cell r="E176">
            <v>0</v>
          </cell>
          <cell r="J176">
            <v>90048</v>
          </cell>
          <cell r="K176">
            <v>90048</v>
          </cell>
        </row>
        <row r="177">
          <cell r="A177" t="str">
            <v>7473</v>
          </cell>
          <cell r="B177">
            <v>7473</v>
          </cell>
          <cell r="C177" t="str">
            <v>Garden Expenses</v>
          </cell>
          <cell r="D177">
            <v>900</v>
          </cell>
          <cell r="E177">
            <v>0</v>
          </cell>
          <cell r="J177">
            <v>900</v>
          </cell>
          <cell r="K177">
            <v>900</v>
          </cell>
        </row>
        <row r="178">
          <cell r="A178" t="str">
            <v>7475</v>
          </cell>
          <cell r="B178">
            <v>7475</v>
          </cell>
          <cell r="C178" t="str">
            <v>Corporate Exps(Central Services)</v>
          </cell>
          <cell r="D178">
            <v>5745000</v>
          </cell>
          <cell r="E178">
            <v>0</v>
          </cell>
          <cell r="J178">
            <v>5745000</v>
          </cell>
          <cell r="K178">
            <v>5745000</v>
          </cell>
        </row>
        <row r="179">
          <cell r="A179" t="str">
            <v>7495</v>
          </cell>
          <cell r="B179">
            <v>7495</v>
          </cell>
          <cell r="C179" t="str">
            <v>Photo Copying Expenses</v>
          </cell>
          <cell r="D179">
            <v>3912</v>
          </cell>
          <cell r="E179">
            <v>0</v>
          </cell>
          <cell r="J179">
            <v>3912</v>
          </cell>
          <cell r="K179">
            <v>3912</v>
          </cell>
        </row>
        <row r="180">
          <cell r="A180" t="str">
            <v>7500</v>
          </cell>
          <cell r="B180">
            <v>7500</v>
          </cell>
          <cell r="C180" t="str">
            <v>Telephone, Telex &amp; Fax Expenses</v>
          </cell>
          <cell r="D180">
            <v>300737.31</v>
          </cell>
          <cell r="E180">
            <v>0</v>
          </cell>
          <cell r="J180">
            <v>300737</v>
          </cell>
          <cell r="K180">
            <v>300737</v>
          </cell>
        </row>
        <row r="181">
          <cell r="A181" t="str">
            <v>7520</v>
          </cell>
          <cell r="B181">
            <v>7520</v>
          </cell>
          <cell r="C181" t="str">
            <v>Bank Charges L/c &amp; BG</v>
          </cell>
          <cell r="D181">
            <v>750</v>
          </cell>
          <cell r="E181">
            <v>0</v>
          </cell>
          <cell r="H181">
            <v>-5</v>
          </cell>
          <cell r="I181">
            <v>-7</v>
          </cell>
          <cell r="J181">
            <v>745</v>
          </cell>
          <cell r="K181">
            <v>743</v>
          </cell>
        </row>
        <row r="182">
          <cell r="A182" t="str">
            <v>7522</v>
          </cell>
          <cell r="B182">
            <v>7522</v>
          </cell>
          <cell r="C182" t="str">
            <v>Other Bank Charges</v>
          </cell>
          <cell r="D182">
            <v>254880.19</v>
          </cell>
          <cell r="E182">
            <v>0</v>
          </cell>
          <cell r="J182">
            <v>254880</v>
          </cell>
          <cell r="K182">
            <v>254880</v>
          </cell>
        </row>
        <row r="183">
          <cell r="A183" t="str">
            <v>7640</v>
          </cell>
          <cell r="B183">
            <v>7640</v>
          </cell>
          <cell r="C183" t="str">
            <v>Other Interest</v>
          </cell>
          <cell r="D183">
            <v>33452.870000000003</v>
          </cell>
          <cell r="E183">
            <v>0</v>
          </cell>
          <cell r="J183">
            <v>33453</v>
          </cell>
          <cell r="K183">
            <v>33453</v>
          </cell>
        </row>
        <row r="184">
          <cell r="A184" t="str">
            <v>7645</v>
          </cell>
          <cell r="B184">
            <v>7645</v>
          </cell>
          <cell r="C184" t="str">
            <v>Interest on Current  - PCD Chennai</v>
          </cell>
          <cell r="D184">
            <v>6390000</v>
          </cell>
          <cell r="E184">
            <v>0</v>
          </cell>
          <cell r="J184">
            <v>6390000</v>
          </cell>
          <cell r="K184">
            <v>6390000</v>
          </cell>
        </row>
        <row r="185">
          <cell r="A185" t="str">
            <v>7650</v>
          </cell>
          <cell r="B185">
            <v>7650</v>
          </cell>
          <cell r="C185" t="str">
            <v>Car Expenses -  Petrol</v>
          </cell>
          <cell r="D185">
            <v>191675.68</v>
          </cell>
          <cell r="E185">
            <v>0</v>
          </cell>
          <cell r="J185">
            <v>191676</v>
          </cell>
          <cell r="K185">
            <v>191676</v>
          </cell>
        </row>
        <row r="186">
          <cell r="A186" t="str">
            <v>7651</v>
          </cell>
          <cell r="B186">
            <v>7651</v>
          </cell>
          <cell r="C186" t="str">
            <v>Car Expenses -  Repairs</v>
          </cell>
          <cell r="D186">
            <v>119730</v>
          </cell>
          <cell r="E186">
            <v>0</v>
          </cell>
          <cell r="J186">
            <v>119730</v>
          </cell>
          <cell r="K186">
            <v>119730</v>
          </cell>
        </row>
        <row r="187">
          <cell r="A187" t="str">
            <v>7653</v>
          </cell>
          <cell r="B187">
            <v>7653</v>
          </cell>
          <cell r="C187" t="str">
            <v>Car Expenses -  Others ( Tax/Insu/Pass/Parking)</v>
          </cell>
          <cell r="D187">
            <v>15481</v>
          </cell>
          <cell r="E187">
            <v>0</v>
          </cell>
          <cell r="J187">
            <v>15481</v>
          </cell>
          <cell r="K187">
            <v>15481</v>
          </cell>
        </row>
        <row r="188">
          <cell r="A188" t="str">
            <v>7700</v>
          </cell>
          <cell r="B188">
            <v>7700</v>
          </cell>
          <cell r="C188" t="str">
            <v>DEPRECIATION</v>
          </cell>
          <cell r="D188">
            <v>6574928</v>
          </cell>
          <cell r="E188">
            <v>0</v>
          </cell>
          <cell r="J188">
            <v>6574928</v>
          </cell>
          <cell r="K188">
            <v>6574928</v>
          </cell>
        </row>
        <row r="189">
          <cell r="A189" t="str">
            <v>8971</v>
          </cell>
          <cell r="B189">
            <v>8971</v>
          </cell>
          <cell r="C189" t="str">
            <v>OP.STK.RAW MAT.-[ P&amp;L ]</v>
          </cell>
          <cell r="D189">
            <v>36087751</v>
          </cell>
          <cell r="E189">
            <v>0</v>
          </cell>
          <cell r="J189">
            <v>36087751</v>
          </cell>
          <cell r="K189">
            <v>36087751</v>
          </cell>
        </row>
        <row r="190">
          <cell r="A190" t="str">
            <v>8972</v>
          </cell>
          <cell r="B190">
            <v>8972</v>
          </cell>
          <cell r="C190" t="str">
            <v>OP.STK.(PACKING MATERIAL)</v>
          </cell>
          <cell r="D190">
            <v>210259</v>
          </cell>
          <cell r="E190">
            <v>0</v>
          </cell>
          <cell r="J190">
            <v>210259</v>
          </cell>
          <cell r="K190">
            <v>210259</v>
          </cell>
        </row>
        <row r="191">
          <cell r="A191" t="str">
            <v>8973</v>
          </cell>
          <cell r="B191">
            <v>8973</v>
          </cell>
          <cell r="C191" t="str">
            <v>OP.STK. FG [PL]</v>
          </cell>
          <cell r="D191">
            <v>5455233</v>
          </cell>
          <cell r="E191">
            <v>0</v>
          </cell>
          <cell r="J191">
            <v>5455233</v>
          </cell>
          <cell r="K191">
            <v>5455233</v>
          </cell>
        </row>
        <row r="192">
          <cell r="A192" t="str">
            <v>8974</v>
          </cell>
          <cell r="B192">
            <v>8974</v>
          </cell>
          <cell r="C192" t="str">
            <v>OP. ST. OF WIP - P&amp;L</v>
          </cell>
          <cell r="D192">
            <v>9722574</v>
          </cell>
          <cell r="E192">
            <v>0</v>
          </cell>
          <cell r="J192">
            <v>9722574</v>
          </cell>
          <cell r="K192">
            <v>9722574</v>
          </cell>
        </row>
        <row r="193">
          <cell r="A193" t="str">
            <v>8981</v>
          </cell>
          <cell r="B193">
            <v>8981</v>
          </cell>
          <cell r="C193" t="str">
            <v>CL. STK. RM. (P&amp;L)</v>
          </cell>
          <cell r="D193">
            <v>0</v>
          </cell>
          <cell r="E193">
            <v>24649437</v>
          </cell>
          <cell r="J193">
            <v>-24649437</v>
          </cell>
          <cell r="K193">
            <v>-24649437</v>
          </cell>
        </row>
        <row r="194">
          <cell r="A194" t="str">
            <v>8982</v>
          </cell>
          <cell r="B194">
            <v>8982</v>
          </cell>
          <cell r="C194" t="str">
            <v>CLOSING STOCK-P&amp;L-WIP/FG</v>
          </cell>
          <cell r="D194">
            <v>0</v>
          </cell>
          <cell r="E194">
            <v>132132</v>
          </cell>
          <cell r="J194">
            <v>-132132</v>
          </cell>
          <cell r="K194">
            <v>-132132</v>
          </cell>
        </row>
        <row r="195">
          <cell r="A195" t="str">
            <v>8983</v>
          </cell>
          <cell r="B195">
            <v>8983</v>
          </cell>
          <cell r="C195" t="str">
            <v>Cl. St. Fg- P&amp;L</v>
          </cell>
          <cell r="D195">
            <v>0</v>
          </cell>
          <cell r="E195">
            <v>5355530</v>
          </cell>
          <cell r="J195">
            <v>-5355530</v>
          </cell>
          <cell r="K195">
            <v>-5355530</v>
          </cell>
        </row>
        <row r="196">
          <cell r="A196" t="str">
            <v>8984</v>
          </cell>
          <cell r="B196">
            <v>8984</v>
          </cell>
          <cell r="C196" t="str">
            <v>CLOSING STOCK-WIP [PL]</v>
          </cell>
          <cell r="D196">
            <v>0</v>
          </cell>
          <cell r="E196">
            <v>11820477</v>
          </cell>
          <cell r="J196">
            <v>-11820477</v>
          </cell>
          <cell r="K196">
            <v>-11820477</v>
          </cell>
        </row>
        <row r="197">
          <cell r="A197" t="str">
            <v>8985</v>
          </cell>
          <cell r="B197">
            <v>8985</v>
          </cell>
          <cell r="C197" t="str">
            <v>CL.STK -STORES/SP/CONS.(PL)</v>
          </cell>
          <cell r="D197">
            <v>0</v>
          </cell>
          <cell r="E197">
            <v>239038</v>
          </cell>
          <cell r="J197">
            <v>-239038</v>
          </cell>
          <cell r="K197">
            <v>-239038</v>
          </cell>
        </row>
        <row r="198">
          <cell r="A198" t="str">
            <v>9000</v>
          </cell>
          <cell r="B198">
            <v>9000</v>
          </cell>
          <cell r="C198" t="str">
            <v>Cl.Stock [ GIT ] C / F</v>
          </cell>
          <cell r="D198">
            <v>9079431</v>
          </cell>
          <cell r="E198">
            <v>0</v>
          </cell>
          <cell r="J198">
            <v>9079431</v>
          </cell>
          <cell r="K198">
            <v>9079431</v>
          </cell>
        </row>
        <row r="199">
          <cell r="A199" t="str">
            <v>9001</v>
          </cell>
          <cell r="B199">
            <v>9001</v>
          </cell>
          <cell r="C199" t="str">
            <v>CL.STOCK RM -  [BS]</v>
          </cell>
          <cell r="D199">
            <v>11840145.109999999</v>
          </cell>
          <cell r="E199">
            <v>0</v>
          </cell>
          <cell r="J199">
            <v>11840145</v>
          </cell>
          <cell r="K199">
            <v>11840145</v>
          </cell>
        </row>
        <row r="200">
          <cell r="A200" t="str">
            <v>9002</v>
          </cell>
          <cell r="B200">
            <v>9002</v>
          </cell>
          <cell r="C200" t="str">
            <v>CL.STOCK  - PACKING MATERIAL (BS)</v>
          </cell>
          <cell r="D200">
            <v>132132</v>
          </cell>
          <cell r="E200">
            <v>0</v>
          </cell>
          <cell r="I200">
            <v>0</v>
          </cell>
          <cell r="J200">
            <v>132132</v>
          </cell>
          <cell r="K200">
            <v>132132</v>
          </cell>
        </row>
        <row r="201">
          <cell r="A201" t="str">
            <v>9003</v>
          </cell>
          <cell r="B201">
            <v>9003</v>
          </cell>
          <cell r="C201" t="str">
            <v>CL.STK. FG [ BS ]</v>
          </cell>
          <cell r="D201">
            <v>5355530</v>
          </cell>
          <cell r="E201">
            <v>0</v>
          </cell>
          <cell r="J201">
            <v>5355530</v>
          </cell>
          <cell r="K201">
            <v>5355530</v>
          </cell>
        </row>
        <row r="202">
          <cell r="A202" t="str">
            <v>9004</v>
          </cell>
          <cell r="B202">
            <v>9004</v>
          </cell>
          <cell r="C202" t="str">
            <v>CL.STK. WIP [ BS ]</v>
          </cell>
          <cell r="D202">
            <v>15550337.890000001</v>
          </cell>
          <cell r="E202">
            <v>0</v>
          </cell>
          <cell r="J202">
            <v>15550338</v>
          </cell>
          <cell r="K202">
            <v>15550338</v>
          </cell>
        </row>
        <row r="203">
          <cell r="A203">
            <v>0</v>
          </cell>
          <cell r="J203">
            <v>0</v>
          </cell>
          <cell r="K203">
            <v>0</v>
          </cell>
        </row>
        <row r="204">
          <cell r="A204">
            <v>0</v>
          </cell>
          <cell r="J204">
            <v>0</v>
          </cell>
          <cell r="K204">
            <v>0</v>
          </cell>
        </row>
        <row r="205">
          <cell r="A205">
            <v>0</v>
          </cell>
          <cell r="J205">
            <v>0</v>
          </cell>
          <cell r="K205">
            <v>0</v>
          </cell>
        </row>
        <row r="206">
          <cell r="A206">
            <v>0</v>
          </cell>
          <cell r="J206">
            <v>0</v>
          </cell>
          <cell r="K206">
            <v>0</v>
          </cell>
        </row>
        <row r="207">
          <cell r="G207">
            <v>0</v>
          </cell>
        </row>
      </sheetData>
      <sheetData sheetId="29">
        <row r="1">
          <cell r="B1">
            <v>1472.98333</v>
          </cell>
          <cell r="C1" t="str">
            <v>PCD-N</v>
          </cell>
          <cell r="D1">
            <v>1064488887.09</v>
          </cell>
          <cell r="E1">
            <v>1064488887.0899999</v>
          </cell>
          <cell r="F1">
            <v>0</v>
          </cell>
          <cell r="G1">
            <v>0</v>
          </cell>
          <cell r="H1">
            <v>0</v>
          </cell>
          <cell r="I1">
            <v>0</v>
          </cell>
          <cell r="J1">
            <v>0</v>
          </cell>
          <cell r="K1">
            <v>0</v>
          </cell>
        </row>
        <row r="2">
          <cell r="B2">
            <v>141.73568</v>
          </cell>
          <cell r="C2" t="str">
            <v>Accounting Period : 01-04-14 - 31-03-16</v>
          </cell>
          <cell r="D2">
            <v>1472.98333</v>
          </cell>
          <cell r="E2">
            <v>0</v>
          </cell>
          <cell r="G2">
            <v>0</v>
          </cell>
        </row>
        <row r="3">
          <cell r="A3">
            <v>1</v>
          </cell>
          <cell r="B3">
            <v>2</v>
          </cell>
          <cell r="C3">
            <v>3</v>
          </cell>
          <cell r="D3">
            <v>4</v>
          </cell>
          <cell r="E3">
            <v>5</v>
          </cell>
          <cell r="F3">
            <v>6</v>
          </cell>
          <cell r="G3">
            <v>7</v>
          </cell>
          <cell r="H3">
            <v>8</v>
          </cell>
          <cell r="I3">
            <v>9</v>
          </cell>
          <cell r="J3">
            <v>10</v>
          </cell>
        </row>
        <row r="4">
          <cell r="D4" t="str">
            <v>Parameter : As On Date : 31-03-16, With Transactions</v>
          </cell>
          <cell r="H4" t="str">
            <v>Provision</v>
          </cell>
          <cell r="I4" t="str">
            <v>Provision</v>
          </cell>
          <cell r="J4" t="str">
            <v>DERIVED TB</v>
          </cell>
          <cell r="K4" t="str">
            <v xml:space="preserve">Net Bal </v>
          </cell>
        </row>
        <row r="5">
          <cell r="B5" t="str">
            <v>Code</v>
          </cell>
          <cell r="C5" t="str">
            <v>Account Description</v>
          </cell>
          <cell r="D5" t="str">
            <v>Debit</v>
          </cell>
          <cell r="E5" t="str">
            <v>Credit</v>
          </cell>
        </row>
        <row r="6">
          <cell r="A6" t="str">
            <v>1627</v>
          </cell>
          <cell r="B6">
            <v>1627</v>
          </cell>
          <cell r="C6" t="str">
            <v>LIABILITY FOR EXPENSES [ 2015-16 ]</v>
          </cell>
          <cell r="D6">
            <v>0</v>
          </cell>
          <cell r="E6">
            <v>2535224</v>
          </cell>
          <cell r="J6">
            <v>-2535224</v>
          </cell>
          <cell r="K6">
            <v>-2535224</v>
          </cell>
        </row>
        <row r="7">
          <cell r="A7" t="str">
            <v>203</v>
          </cell>
          <cell r="B7">
            <v>203</v>
          </cell>
          <cell r="C7" t="str">
            <v>HO A/C.PLASTICCONT.-CHENNAI</v>
          </cell>
          <cell r="D7">
            <v>0</v>
          </cell>
          <cell r="E7">
            <v>881231</v>
          </cell>
          <cell r="J7">
            <v>-881231</v>
          </cell>
          <cell r="K7">
            <v>-881231</v>
          </cell>
        </row>
        <row r="8">
          <cell r="A8" t="str">
            <v>206</v>
          </cell>
          <cell r="B8">
            <v>206</v>
          </cell>
          <cell r="C8" t="str">
            <v>H.O.A/C-PLASTICS CONT.DIV.D'DUN</v>
          </cell>
          <cell r="D8">
            <v>0</v>
          </cell>
          <cell r="E8">
            <v>515698804.35000002</v>
          </cell>
          <cell r="J8">
            <v>-515698804</v>
          </cell>
          <cell r="K8">
            <v>-515698804</v>
          </cell>
        </row>
        <row r="9">
          <cell r="A9" t="str">
            <v>207</v>
          </cell>
          <cell r="B9">
            <v>207</v>
          </cell>
          <cell r="C9" t="str">
            <v>H.O.A/C.-BANK-DEHRADUN</v>
          </cell>
          <cell r="D9">
            <v>294228356.86000001</v>
          </cell>
          <cell r="E9">
            <v>0</v>
          </cell>
          <cell r="J9">
            <v>294228357</v>
          </cell>
          <cell r="K9">
            <v>294228357</v>
          </cell>
        </row>
        <row r="10">
          <cell r="A10" t="str">
            <v>400</v>
          </cell>
          <cell r="B10">
            <v>400</v>
          </cell>
          <cell r="C10" t="str">
            <v>Cash in Hand</v>
          </cell>
          <cell r="D10">
            <v>38563</v>
          </cell>
          <cell r="E10">
            <v>0</v>
          </cell>
          <cell r="J10">
            <v>38563</v>
          </cell>
          <cell r="K10">
            <v>38563</v>
          </cell>
        </row>
        <row r="11">
          <cell r="A11" t="str">
            <v>451</v>
          </cell>
          <cell r="B11">
            <v>451</v>
          </cell>
          <cell r="C11" t="str">
            <v>Cheques  Adj. A/C - ( Stale Cheques )</v>
          </cell>
          <cell r="D11">
            <v>0</v>
          </cell>
          <cell r="E11">
            <v>18254</v>
          </cell>
          <cell r="J11">
            <v>-18254</v>
          </cell>
          <cell r="K11">
            <v>-18254</v>
          </cell>
        </row>
        <row r="12">
          <cell r="A12" t="str">
            <v>511</v>
          </cell>
          <cell r="B12">
            <v>511</v>
          </cell>
          <cell r="C12" t="str">
            <v>Cash Credit - Kotak Bank [A/c - 131158650]</v>
          </cell>
          <cell r="D12">
            <v>0</v>
          </cell>
          <cell r="E12">
            <v>2753788</v>
          </cell>
          <cell r="J12">
            <v>-2753788</v>
          </cell>
          <cell r="K12">
            <v>-2753788</v>
          </cell>
        </row>
        <row r="13">
          <cell r="A13" t="str">
            <v>611</v>
          </cell>
          <cell r="B13">
            <v>611</v>
          </cell>
          <cell r="C13" t="str">
            <v>Current Account - INDUSIND BANK</v>
          </cell>
          <cell r="D13">
            <v>231963.97</v>
          </cell>
          <cell r="E13">
            <v>0</v>
          </cell>
          <cell r="J13">
            <v>231964</v>
          </cell>
          <cell r="K13">
            <v>231964</v>
          </cell>
        </row>
        <row r="14">
          <cell r="A14" t="str">
            <v>813</v>
          </cell>
          <cell r="B14">
            <v>813</v>
          </cell>
          <cell r="C14" t="str">
            <v>CAR LOAN</v>
          </cell>
          <cell r="D14">
            <v>0</v>
          </cell>
          <cell r="E14">
            <v>310577.2</v>
          </cell>
          <cell r="J14">
            <v>-310577</v>
          </cell>
          <cell r="K14">
            <v>-310577</v>
          </cell>
        </row>
        <row r="15">
          <cell r="A15" t="str">
            <v>1014</v>
          </cell>
          <cell r="B15">
            <v>1014</v>
          </cell>
          <cell r="C15" t="str">
            <v>CAPITAL SUBSIDY RESERVE</v>
          </cell>
          <cell r="D15">
            <v>0</v>
          </cell>
          <cell r="E15">
            <v>3000000</v>
          </cell>
          <cell r="J15">
            <v>-3000000</v>
          </cell>
          <cell r="K15">
            <v>-3000000</v>
          </cell>
        </row>
        <row r="16">
          <cell r="A16" t="str">
            <v>1050</v>
          </cell>
          <cell r="B16">
            <v>1050</v>
          </cell>
          <cell r="C16" t="str">
            <v>Profit &amp; Loss</v>
          </cell>
          <cell r="D16">
            <v>0</v>
          </cell>
          <cell r="E16">
            <v>8124585.9500000002</v>
          </cell>
          <cell r="J16">
            <v>-8124586</v>
          </cell>
          <cell r="K16">
            <v>-8124586</v>
          </cell>
        </row>
        <row r="17">
          <cell r="A17" t="str">
            <v>1510</v>
          </cell>
          <cell r="B17">
            <v>1510</v>
          </cell>
          <cell r="C17" t="str">
            <v>Sundry Creditors Control</v>
          </cell>
          <cell r="D17">
            <v>0</v>
          </cell>
          <cell r="E17">
            <v>1289593.22</v>
          </cell>
          <cell r="J17">
            <v>-1289593</v>
          </cell>
          <cell r="K17">
            <v>-1289593</v>
          </cell>
        </row>
        <row r="18">
          <cell r="A18" t="str">
            <v>1624</v>
          </cell>
          <cell r="B18">
            <v>1624</v>
          </cell>
          <cell r="C18" t="str">
            <v>LIABILITY FOR EXPENSES [ 2012-13]</v>
          </cell>
          <cell r="D18">
            <v>0</v>
          </cell>
          <cell r="E18">
            <v>3050</v>
          </cell>
          <cell r="J18">
            <v>-3050</v>
          </cell>
          <cell r="K18">
            <v>-3050</v>
          </cell>
        </row>
        <row r="19">
          <cell r="A19" t="str">
            <v>1625</v>
          </cell>
          <cell r="B19">
            <v>1625</v>
          </cell>
          <cell r="C19" t="str">
            <v>LIABILITY FOR EXPENSES [ 2013-14 ]</v>
          </cell>
          <cell r="D19">
            <v>0</v>
          </cell>
          <cell r="E19">
            <v>58687</v>
          </cell>
          <cell r="J19">
            <v>-58687</v>
          </cell>
          <cell r="K19">
            <v>-58687</v>
          </cell>
        </row>
        <row r="20">
          <cell r="A20" t="str">
            <v>1626</v>
          </cell>
          <cell r="B20">
            <v>1626</v>
          </cell>
          <cell r="C20" t="str">
            <v>LIABILITY FOR EXPENSES [ 2014-15 ]</v>
          </cell>
          <cell r="D20">
            <v>0</v>
          </cell>
          <cell r="E20">
            <v>27191</v>
          </cell>
          <cell r="J20">
            <v>-27191</v>
          </cell>
          <cell r="K20">
            <v>-27191</v>
          </cell>
        </row>
        <row r="21">
          <cell r="A21" t="str">
            <v>1811</v>
          </cell>
          <cell r="B21">
            <v>1811</v>
          </cell>
          <cell r="C21" t="str">
            <v>Deposit recd from contractor</v>
          </cell>
          <cell r="D21">
            <v>0</v>
          </cell>
          <cell r="E21">
            <v>1231044</v>
          </cell>
          <cell r="J21">
            <v>-1231044</v>
          </cell>
          <cell r="K21">
            <v>-1231044</v>
          </cell>
        </row>
        <row r="22">
          <cell r="A22" t="str">
            <v>2010</v>
          </cell>
          <cell r="B22">
            <v>2010</v>
          </cell>
          <cell r="C22" t="str">
            <v>Provision for Gratuity</v>
          </cell>
          <cell r="D22">
            <v>0</v>
          </cell>
          <cell r="E22">
            <v>67250</v>
          </cell>
          <cell r="J22">
            <v>-67250</v>
          </cell>
          <cell r="K22">
            <v>-67250</v>
          </cell>
        </row>
        <row r="23">
          <cell r="A23" t="str">
            <v>2015</v>
          </cell>
          <cell r="B23">
            <v>2015</v>
          </cell>
          <cell r="C23" t="str">
            <v>PROVISION- LEAVE ENCSAHMENT</v>
          </cell>
          <cell r="D23">
            <v>0</v>
          </cell>
          <cell r="E23">
            <v>333453</v>
          </cell>
          <cell r="J23">
            <v>-333453</v>
          </cell>
          <cell r="K23">
            <v>-333453</v>
          </cell>
        </row>
        <row r="24">
          <cell r="A24" t="str">
            <v>2100</v>
          </cell>
          <cell r="B24">
            <v>2100</v>
          </cell>
          <cell r="C24" t="str">
            <v>Provision for Depreciation</v>
          </cell>
          <cell r="D24">
            <v>0</v>
          </cell>
          <cell r="E24">
            <v>34355102</v>
          </cell>
          <cell r="J24">
            <v>-34355102</v>
          </cell>
          <cell r="K24">
            <v>-34355102</v>
          </cell>
        </row>
        <row r="25">
          <cell r="A25" t="str">
            <v>2512</v>
          </cell>
          <cell r="B25">
            <v>2512</v>
          </cell>
          <cell r="C25" t="str">
            <v>VAT - Sales</v>
          </cell>
          <cell r="D25">
            <v>0</v>
          </cell>
          <cell r="E25">
            <v>226989.56</v>
          </cell>
          <cell r="J25">
            <v>-226990</v>
          </cell>
          <cell r="K25">
            <v>-226990</v>
          </cell>
        </row>
        <row r="26">
          <cell r="A26" t="str">
            <v>2513</v>
          </cell>
          <cell r="B26">
            <v>2513</v>
          </cell>
          <cell r="C26" t="str">
            <v>VAT - Purchases</v>
          </cell>
          <cell r="D26">
            <v>35433</v>
          </cell>
          <cell r="E26">
            <v>0</v>
          </cell>
          <cell r="J26">
            <v>35433</v>
          </cell>
          <cell r="K26">
            <v>35433</v>
          </cell>
        </row>
        <row r="27">
          <cell r="A27" t="str">
            <v>2522</v>
          </cell>
          <cell r="B27">
            <v>2522</v>
          </cell>
          <cell r="C27" t="str">
            <v>CST - Sales</v>
          </cell>
          <cell r="D27">
            <v>0</v>
          </cell>
          <cell r="E27">
            <v>592147.37</v>
          </cell>
          <cell r="J27">
            <v>-592147</v>
          </cell>
          <cell r="K27">
            <v>-592147</v>
          </cell>
        </row>
        <row r="28">
          <cell r="A28" t="str">
            <v>2528</v>
          </cell>
          <cell r="B28">
            <v>2528</v>
          </cell>
          <cell r="C28" t="str">
            <v>TDS on Scrap Sale</v>
          </cell>
          <cell r="D28">
            <v>0</v>
          </cell>
          <cell r="E28">
            <v>607</v>
          </cell>
          <cell r="J28">
            <v>-607</v>
          </cell>
          <cell r="K28">
            <v>-607</v>
          </cell>
        </row>
        <row r="29">
          <cell r="A29" t="str">
            <v>2530</v>
          </cell>
          <cell r="B29">
            <v>2530</v>
          </cell>
          <cell r="C29" t="str">
            <v>Income Tax Adjustable- Contractors &amp; Others</v>
          </cell>
          <cell r="D29">
            <v>0</v>
          </cell>
          <cell r="E29">
            <v>113753.8</v>
          </cell>
          <cell r="J29">
            <v>-113754</v>
          </cell>
          <cell r="K29">
            <v>-113754</v>
          </cell>
        </row>
        <row r="30">
          <cell r="A30" t="str">
            <v>2534</v>
          </cell>
          <cell r="B30">
            <v>2534</v>
          </cell>
          <cell r="C30" t="str">
            <v>T.D.S - Rent</v>
          </cell>
          <cell r="D30">
            <v>0</v>
          </cell>
          <cell r="E30">
            <v>4200</v>
          </cell>
          <cell r="J30">
            <v>-4200</v>
          </cell>
          <cell r="K30">
            <v>-4200</v>
          </cell>
        </row>
        <row r="31">
          <cell r="A31" t="str">
            <v>2535</v>
          </cell>
          <cell r="B31">
            <v>2535</v>
          </cell>
          <cell r="C31" t="str">
            <v>T.D.S - Professionals</v>
          </cell>
          <cell r="D31">
            <v>0</v>
          </cell>
          <cell r="E31">
            <v>61474</v>
          </cell>
          <cell r="J31">
            <v>-61474</v>
          </cell>
          <cell r="K31">
            <v>-61474</v>
          </cell>
        </row>
        <row r="32">
          <cell r="A32" t="str">
            <v>2540</v>
          </cell>
          <cell r="B32">
            <v>2540</v>
          </cell>
          <cell r="C32" t="str">
            <v>Excise Duty Adjustable</v>
          </cell>
          <cell r="D32">
            <v>5403532.3099999996</v>
          </cell>
          <cell r="E32">
            <v>0</v>
          </cell>
          <cell r="J32">
            <v>5403532</v>
          </cell>
          <cell r="K32">
            <v>5403532</v>
          </cell>
        </row>
        <row r="33">
          <cell r="A33" t="str">
            <v>2541</v>
          </cell>
          <cell r="B33">
            <v>2541</v>
          </cell>
          <cell r="C33" t="str">
            <v>Excise Duty Payable (FG CL.STOCK)</v>
          </cell>
          <cell r="D33">
            <v>0</v>
          </cell>
          <cell r="E33">
            <v>1345550</v>
          </cell>
          <cell r="J33">
            <v>-1345550</v>
          </cell>
          <cell r="K33">
            <v>-1345550</v>
          </cell>
        </row>
        <row r="34">
          <cell r="A34" t="str">
            <v>2543</v>
          </cell>
          <cell r="B34">
            <v>2543</v>
          </cell>
          <cell r="C34" t="str">
            <v>Service Tax</v>
          </cell>
          <cell r="D34">
            <v>402327.57</v>
          </cell>
          <cell r="E34">
            <v>0</v>
          </cell>
          <cell r="J34">
            <v>402328</v>
          </cell>
          <cell r="K34">
            <v>402328</v>
          </cell>
        </row>
        <row r="35">
          <cell r="A35" t="str">
            <v>2572</v>
          </cell>
          <cell r="B35">
            <v>2572</v>
          </cell>
          <cell r="C35" t="str">
            <v>FORWARD CONTRACT PAYABLE</v>
          </cell>
          <cell r="D35">
            <v>0</v>
          </cell>
          <cell r="E35">
            <v>1</v>
          </cell>
          <cell r="J35">
            <v>-1</v>
          </cell>
          <cell r="K35">
            <v>-1</v>
          </cell>
        </row>
        <row r="36">
          <cell r="A36" t="str">
            <v>2600</v>
          </cell>
          <cell r="B36">
            <v>2600</v>
          </cell>
          <cell r="C36" t="str">
            <v>Net Salary Adjustable</v>
          </cell>
          <cell r="D36">
            <v>0</v>
          </cell>
          <cell r="E36">
            <v>727192</v>
          </cell>
          <cell r="J36">
            <v>-727192</v>
          </cell>
          <cell r="K36">
            <v>-727192</v>
          </cell>
        </row>
        <row r="37">
          <cell r="A37" t="str">
            <v>2610</v>
          </cell>
          <cell r="B37">
            <v>2610</v>
          </cell>
          <cell r="C37" t="str">
            <v>Provident Fund Adjustable</v>
          </cell>
          <cell r="D37">
            <v>0</v>
          </cell>
          <cell r="E37">
            <v>75533</v>
          </cell>
          <cell r="J37">
            <v>-75533</v>
          </cell>
          <cell r="K37">
            <v>-75533</v>
          </cell>
        </row>
        <row r="38">
          <cell r="A38" t="str">
            <v>2640</v>
          </cell>
          <cell r="B38">
            <v>2640</v>
          </cell>
          <cell r="C38" t="str">
            <v>ESIC Adjustable</v>
          </cell>
          <cell r="D38">
            <v>0</v>
          </cell>
          <cell r="E38">
            <v>23745</v>
          </cell>
          <cell r="J38">
            <v>-23745</v>
          </cell>
          <cell r="K38">
            <v>-23745</v>
          </cell>
        </row>
        <row r="39">
          <cell r="A39" t="str">
            <v>2641</v>
          </cell>
          <cell r="B39">
            <v>2641</v>
          </cell>
          <cell r="C39" t="str">
            <v>ESIC Adjustable - Contractors &amp; Others</v>
          </cell>
          <cell r="D39">
            <v>0</v>
          </cell>
          <cell r="E39">
            <v>8306</v>
          </cell>
          <cell r="J39">
            <v>-8306</v>
          </cell>
          <cell r="K39">
            <v>-8306</v>
          </cell>
        </row>
        <row r="40">
          <cell r="A40" t="str">
            <v>2760</v>
          </cell>
          <cell r="B40">
            <v>2760</v>
          </cell>
          <cell r="C40" t="str">
            <v>Coin adj</v>
          </cell>
          <cell r="D40">
            <v>52.09</v>
          </cell>
          <cell r="E40">
            <v>0</v>
          </cell>
          <cell r="J40">
            <v>52</v>
          </cell>
          <cell r="K40">
            <v>52</v>
          </cell>
        </row>
        <row r="41">
          <cell r="A41" t="str">
            <v>3010</v>
          </cell>
          <cell r="B41">
            <v>3010</v>
          </cell>
          <cell r="C41" t="str">
            <v>Fixed Assets - Gross Block</v>
          </cell>
          <cell r="D41">
            <v>170675354.09999999</v>
          </cell>
          <cell r="E41">
            <v>0</v>
          </cell>
          <cell r="J41">
            <v>170675354</v>
          </cell>
          <cell r="K41">
            <v>170675354</v>
          </cell>
        </row>
        <row r="42">
          <cell r="A42" t="str">
            <v>3050</v>
          </cell>
          <cell r="B42">
            <v>3050</v>
          </cell>
          <cell r="C42" t="str">
            <v>Capital Work in Process</v>
          </cell>
          <cell r="D42">
            <v>0</v>
          </cell>
          <cell r="E42">
            <v>82511313.140000001</v>
          </cell>
          <cell r="J42">
            <v>-82511313</v>
          </cell>
          <cell r="K42">
            <v>-82511313</v>
          </cell>
        </row>
        <row r="43">
          <cell r="A43" t="str">
            <v>3056</v>
          </cell>
          <cell r="B43">
            <v>3056</v>
          </cell>
          <cell r="C43" t="str">
            <v>C.W.I.P. -PCD -NORTH PROJECT</v>
          </cell>
          <cell r="D43">
            <v>86719577</v>
          </cell>
          <cell r="E43">
            <v>0</v>
          </cell>
          <cell r="J43">
            <v>86719577</v>
          </cell>
          <cell r="K43">
            <v>86719577</v>
          </cell>
        </row>
        <row r="44">
          <cell r="A44" t="str">
            <v>3200</v>
          </cell>
          <cell r="B44">
            <v>3200</v>
          </cell>
          <cell r="C44" t="str">
            <v>CL.STK.STORES/CONS.(BS)</v>
          </cell>
          <cell r="D44">
            <v>1456966</v>
          </cell>
          <cell r="E44">
            <v>0</v>
          </cell>
          <cell r="J44">
            <v>1456966</v>
          </cell>
          <cell r="K44">
            <v>1456966</v>
          </cell>
        </row>
        <row r="45">
          <cell r="A45" t="str">
            <v>3300</v>
          </cell>
          <cell r="B45">
            <v>3300</v>
          </cell>
          <cell r="C45" t="str">
            <v>Sundry Debtors Control</v>
          </cell>
          <cell r="D45">
            <v>64808158</v>
          </cell>
          <cell r="E45">
            <v>0</v>
          </cell>
          <cell r="J45">
            <v>64808158</v>
          </cell>
          <cell r="K45">
            <v>64808158</v>
          </cell>
        </row>
        <row r="46">
          <cell r="A46" t="str">
            <v>3420</v>
          </cell>
          <cell r="B46">
            <v>3420</v>
          </cell>
          <cell r="C46" t="str">
            <v>Advance A/c. - Capex</v>
          </cell>
          <cell r="D46">
            <v>49126</v>
          </cell>
          <cell r="E46">
            <v>0</v>
          </cell>
          <cell r="J46">
            <v>49126</v>
          </cell>
          <cell r="K46">
            <v>49126</v>
          </cell>
        </row>
        <row r="47">
          <cell r="A47" t="str">
            <v>3510</v>
          </cell>
          <cell r="B47">
            <v>3510</v>
          </cell>
          <cell r="C47" t="str">
            <v>Advance Against Expenses</v>
          </cell>
          <cell r="D47">
            <v>5500</v>
          </cell>
          <cell r="E47">
            <v>0</v>
          </cell>
          <cell r="J47">
            <v>5500</v>
          </cell>
          <cell r="K47">
            <v>5500</v>
          </cell>
        </row>
        <row r="48">
          <cell r="A48" t="str">
            <v>3580</v>
          </cell>
          <cell r="B48">
            <v>3580</v>
          </cell>
          <cell r="C48" t="str">
            <v>Sundry Loan</v>
          </cell>
          <cell r="D48">
            <v>38000</v>
          </cell>
          <cell r="E48">
            <v>0</v>
          </cell>
          <cell r="J48">
            <v>38000</v>
          </cell>
          <cell r="K48">
            <v>38000</v>
          </cell>
        </row>
        <row r="49">
          <cell r="A49" t="str">
            <v>3606</v>
          </cell>
          <cell r="B49">
            <v>3606</v>
          </cell>
          <cell r="C49" t="str">
            <v>FORWARD CONTRACT RECEVIABLE</v>
          </cell>
          <cell r="D49">
            <v>1</v>
          </cell>
          <cell r="E49">
            <v>0</v>
          </cell>
          <cell r="J49">
            <v>1</v>
          </cell>
          <cell r="K49">
            <v>1</v>
          </cell>
        </row>
        <row r="50">
          <cell r="A50" t="str">
            <v>3700</v>
          </cell>
          <cell r="B50">
            <v>3700</v>
          </cell>
          <cell r="C50" t="str">
            <v>Deposits Paid</v>
          </cell>
          <cell r="D50">
            <v>2029738.88</v>
          </cell>
          <cell r="E50">
            <v>0</v>
          </cell>
          <cell r="J50">
            <v>2029739</v>
          </cell>
          <cell r="K50">
            <v>2029739</v>
          </cell>
        </row>
        <row r="51">
          <cell r="A51" t="str">
            <v>3710</v>
          </cell>
          <cell r="B51">
            <v>3710</v>
          </cell>
          <cell r="C51" t="str">
            <v>Interest Receivable</v>
          </cell>
          <cell r="D51">
            <v>145312</v>
          </cell>
          <cell r="E51">
            <v>0</v>
          </cell>
          <cell r="J51">
            <v>145312</v>
          </cell>
          <cell r="K51">
            <v>145312</v>
          </cell>
        </row>
        <row r="52">
          <cell r="A52" t="str">
            <v>3750</v>
          </cell>
          <cell r="B52">
            <v>3750</v>
          </cell>
          <cell r="C52" t="str">
            <v>Prepaid Expenses</v>
          </cell>
          <cell r="D52">
            <v>176383.5</v>
          </cell>
          <cell r="E52">
            <v>0</v>
          </cell>
          <cell r="J52">
            <v>176384</v>
          </cell>
          <cell r="K52">
            <v>176384</v>
          </cell>
        </row>
        <row r="53">
          <cell r="A53" t="str">
            <v>3850</v>
          </cell>
          <cell r="B53">
            <v>3850</v>
          </cell>
          <cell r="C53" t="str">
            <v>Advance Income Tax</v>
          </cell>
          <cell r="D53">
            <v>70211.100000000006</v>
          </cell>
          <cell r="E53">
            <v>0</v>
          </cell>
          <cell r="J53">
            <v>70211</v>
          </cell>
          <cell r="K53">
            <v>70211</v>
          </cell>
        </row>
        <row r="54">
          <cell r="A54" t="str">
            <v>5000</v>
          </cell>
          <cell r="B54">
            <v>5000</v>
          </cell>
          <cell r="C54" t="str">
            <v>Sales Control A/c.</v>
          </cell>
          <cell r="D54">
            <v>2979</v>
          </cell>
          <cell r="E54">
            <v>0</v>
          </cell>
          <cell r="J54">
            <v>2979</v>
          </cell>
          <cell r="K54">
            <v>2979</v>
          </cell>
        </row>
        <row r="55">
          <cell r="A55" t="str">
            <v>5001</v>
          </cell>
          <cell r="B55">
            <v>5001</v>
          </cell>
          <cell r="C55" t="str">
            <v>JOBWORK  INCOME (INTER-DEPT)</v>
          </cell>
          <cell r="D55">
            <v>0</v>
          </cell>
          <cell r="E55">
            <v>3827415</v>
          </cell>
          <cell r="J55">
            <v>-3827415</v>
          </cell>
          <cell r="K55">
            <v>-3827415</v>
          </cell>
        </row>
        <row r="56">
          <cell r="A56" t="str">
            <v>5010</v>
          </cell>
          <cell r="B56">
            <v>5010</v>
          </cell>
          <cell r="C56" t="str">
            <v>Product Sales</v>
          </cell>
          <cell r="D56">
            <v>0</v>
          </cell>
          <cell r="E56">
            <v>341777892</v>
          </cell>
          <cell r="J56">
            <v>-341777892</v>
          </cell>
          <cell r="K56">
            <v>-341777892</v>
          </cell>
        </row>
        <row r="57">
          <cell r="A57" t="str">
            <v>5100</v>
          </cell>
          <cell r="B57">
            <v>5100</v>
          </cell>
          <cell r="C57" t="str">
            <v>Scrap Sales</v>
          </cell>
          <cell r="D57">
            <v>0</v>
          </cell>
          <cell r="E57">
            <v>618111</v>
          </cell>
          <cell r="J57">
            <v>-618111</v>
          </cell>
          <cell r="K57">
            <v>-618111</v>
          </cell>
        </row>
        <row r="58">
          <cell r="A58" t="str">
            <v>5150</v>
          </cell>
          <cell r="B58">
            <v>5150</v>
          </cell>
          <cell r="C58" t="str">
            <v>Interest Received</v>
          </cell>
          <cell r="D58">
            <v>0</v>
          </cell>
          <cell r="E58">
            <v>164657</v>
          </cell>
          <cell r="J58">
            <v>-164657</v>
          </cell>
          <cell r="K58">
            <v>-164657</v>
          </cell>
        </row>
        <row r="59">
          <cell r="A59" t="str">
            <v>5195</v>
          </cell>
          <cell r="B59">
            <v>5195</v>
          </cell>
          <cell r="C59" t="str">
            <v>Realised  Gain/Loss  on Exchange</v>
          </cell>
          <cell r="D59">
            <v>30490.32</v>
          </cell>
          <cell r="E59">
            <v>0</v>
          </cell>
          <cell r="J59">
            <v>30490</v>
          </cell>
          <cell r="K59">
            <v>30490</v>
          </cell>
        </row>
        <row r="60">
          <cell r="A60" t="str">
            <v>5200</v>
          </cell>
          <cell r="B60">
            <v>5200</v>
          </cell>
          <cell r="C60" t="str">
            <v>Unrealised  Gain/Loss  on Exchange</v>
          </cell>
          <cell r="D60">
            <v>0</v>
          </cell>
          <cell r="E60">
            <v>104340</v>
          </cell>
          <cell r="J60">
            <v>-104340</v>
          </cell>
          <cell r="K60">
            <v>-104340</v>
          </cell>
        </row>
        <row r="61">
          <cell r="A61" t="str">
            <v>5231</v>
          </cell>
          <cell r="B61">
            <v>5231</v>
          </cell>
          <cell r="C61" t="str">
            <v>Discount Received</v>
          </cell>
          <cell r="D61">
            <v>0</v>
          </cell>
          <cell r="E61">
            <v>488911.5</v>
          </cell>
          <cell r="J61">
            <v>-488912</v>
          </cell>
          <cell r="K61">
            <v>-488912</v>
          </cell>
        </row>
        <row r="62">
          <cell r="A62" t="str">
            <v>5235</v>
          </cell>
          <cell r="B62">
            <v>5235</v>
          </cell>
          <cell r="C62" t="str">
            <v>Sundry Credit Balances Written Back</v>
          </cell>
          <cell r="D62">
            <v>0</v>
          </cell>
          <cell r="E62">
            <v>328962</v>
          </cell>
          <cell r="J62">
            <v>-328962</v>
          </cell>
          <cell r="K62">
            <v>-328962</v>
          </cell>
        </row>
        <row r="63">
          <cell r="A63" t="str">
            <v>5500</v>
          </cell>
          <cell r="B63">
            <v>5500</v>
          </cell>
          <cell r="C63" t="str">
            <v>Sales Return</v>
          </cell>
          <cell r="D63">
            <v>315938</v>
          </cell>
          <cell r="E63">
            <v>0</v>
          </cell>
          <cell r="J63">
            <v>315938</v>
          </cell>
          <cell r="K63">
            <v>315938</v>
          </cell>
        </row>
        <row r="64">
          <cell r="A64" t="str">
            <v>6000</v>
          </cell>
          <cell r="B64">
            <v>6000</v>
          </cell>
          <cell r="C64" t="str">
            <v>Purchase control</v>
          </cell>
          <cell r="D64">
            <v>1950</v>
          </cell>
          <cell r="E64">
            <v>0</v>
          </cell>
          <cell r="J64">
            <v>1950</v>
          </cell>
          <cell r="K64">
            <v>1950</v>
          </cell>
        </row>
        <row r="65">
          <cell r="A65" t="str">
            <v>6010</v>
          </cell>
          <cell r="B65">
            <v>6010</v>
          </cell>
          <cell r="C65" t="str">
            <v>Purchase A/c -  RM - Steel / HMHDPE - Local</v>
          </cell>
          <cell r="D65">
            <v>1090000</v>
          </cell>
          <cell r="E65">
            <v>0</v>
          </cell>
          <cell r="J65">
            <v>1090000</v>
          </cell>
          <cell r="K65">
            <v>1090000</v>
          </cell>
        </row>
        <row r="66">
          <cell r="A66" t="str">
            <v>6015</v>
          </cell>
          <cell r="B66">
            <v>6015</v>
          </cell>
          <cell r="C66" t="str">
            <v>Purchase A/c -  RM - Steel / HMHDPE - Imported</v>
          </cell>
          <cell r="D66">
            <v>236091680</v>
          </cell>
          <cell r="E66">
            <v>0</v>
          </cell>
          <cell r="J66">
            <v>236091680</v>
          </cell>
          <cell r="K66">
            <v>236091680</v>
          </cell>
        </row>
        <row r="67">
          <cell r="A67" t="str">
            <v>6020</v>
          </cell>
          <cell r="B67">
            <v>6020</v>
          </cell>
          <cell r="C67" t="str">
            <v>Purchase A/c -  RM - Others</v>
          </cell>
          <cell r="D67">
            <v>22939122</v>
          </cell>
          <cell r="E67">
            <v>0</v>
          </cell>
          <cell r="J67">
            <v>22939122</v>
          </cell>
          <cell r="K67">
            <v>22939122</v>
          </cell>
        </row>
        <row r="68">
          <cell r="A68" t="str">
            <v>6031</v>
          </cell>
          <cell r="B68">
            <v>6031</v>
          </cell>
          <cell r="C68" t="str">
            <v>PURCHASE - EXCISE DUTY ON FG(CL.STOCK)</v>
          </cell>
          <cell r="D68">
            <v>178950</v>
          </cell>
          <cell r="E68">
            <v>0</v>
          </cell>
          <cell r="J68">
            <v>178950</v>
          </cell>
          <cell r="K68">
            <v>178950</v>
          </cell>
        </row>
        <row r="69">
          <cell r="A69" t="str">
            <v>6040</v>
          </cell>
          <cell r="B69">
            <v>6040</v>
          </cell>
          <cell r="C69" t="str">
            <v>Purchase A/c -  Packing Materials</v>
          </cell>
          <cell r="D69">
            <v>10090</v>
          </cell>
          <cell r="E69">
            <v>0</v>
          </cell>
          <cell r="J69">
            <v>10090</v>
          </cell>
          <cell r="K69">
            <v>10090</v>
          </cell>
        </row>
        <row r="70">
          <cell r="A70" t="str">
            <v>6055</v>
          </cell>
          <cell r="B70">
            <v>6055</v>
          </cell>
          <cell r="C70" t="str">
            <v>Op.Stock - Stores &amp; Spares</v>
          </cell>
          <cell r="D70">
            <v>1412610</v>
          </cell>
          <cell r="E70">
            <v>0</v>
          </cell>
          <cell r="J70">
            <v>1412610</v>
          </cell>
          <cell r="K70">
            <v>1412610</v>
          </cell>
        </row>
        <row r="71">
          <cell r="A71" t="str">
            <v>6060</v>
          </cell>
          <cell r="B71">
            <v>6060</v>
          </cell>
          <cell r="C71" t="str">
            <v>Purchase A/c -  Spare Parts { Local }</v>
          </cell>
          <cell r="D71">
            <v>2665295.44</v>
          </cell>
          <cell r="E71">
            <v>0</v>
          </cell>
          <cell r="J71">
            <v>2665295</v>
          </cell>
          <cell r="K71">
            <v>2665295</v>
          </cell>
        </row>
        <row r="72">
          <cell r="A72" t="str">
            <v>6070</v>
          </cell>
          <cell r="B72">
            <v>6070</v>
          </cell>
          <cell r="C72" t="str">
            <v>Purchase A/c -  Spare Parts { Imported }</v>
          </cell>
          <cell r="D72">
            <v>90363</v>
          </cell>
          <cell r="E72">
            <v>0</v>
          </cell>
          <cell r="J72">
            <v>90363</v>
          </cell>
          <cell r="K72">
            <v>90363</v>
          </cell>
        </row>
        <row r="73">
          <cell r="A73" t="str">
            <v>6090</v>
          </cell>
          <cell r="B73">
            <v>6090</v>
          </cell>
          <cell r="C73" t="str">
            <v>Purchase A/c -  Consumables  { Local }</v>
          </cell>
          <cell r="D73">
            <v>2177013.54</v>
          </cell>
          <cell r="E73">
            <v>0</v>
          </cell>
          <cell r="J73">
            <v>2177014</v>
          </cell>
          <cell r="K73">
            <v>2177014</v>
          </cell>
        </row>
        <row r="74">
          <cell r="A74" t="str">
            <v>6095</v>
          </cell>
          <cell r="B74">
            <v>6095</v>
          </cell>
          <cell r="C74" t="str">
            <v>Stock - Spares not W.Off</v>
          </cell>
          <cell r="D74">
            <v>204788</v>
          </cell>
          <cell r="E74">
            <v>0</v>
          </cell>
          <cell r="J74">
            <v>204788</v>
          </cell>
          <cell r="K74">
            <v>204788</v>
          </cell>
        </row>
        <row r="75">
          <cell r="A75" t="str">
            <v>6097</v>
          </cell>
          <cell r="B75">
            <v>6097</v>
          </cell>
          <cell r="C75" t="str">
            <v>Education Cess on C.V.D.</v>
          </cell>
          <cell r="D75">
            <v>8620</v>
          </cell>
          <cell r="E75">
            <v>0</v>
          </cell>
          <cell r="J75">
            <v>8620</v>
          </cell>
          <cell r="K75">
            <v>8620</v>
          </cell>
        </row>
        <row r="76">
          <cell r="A76" t="str">
            <v>6098</v>
          </cell>
          <cell r="B76">
            <v>6098</v>
          </cell>
          <cell r="C76" t="str">
            <v>Excise Duty - RG23C</v>
          </cell>
          <cell r="D76">
            <v>195308.25</v>
          </cell>
          <cell r="E76">
            <v>0</v>
          </cell>
          <cell r="J76">
            <v>195308</v>
          </cell>
          <cell r="K76">
            <v>195308</v>
          </cell>
        </row>
        <row r="77">
          <cell r="A77" t="str">
            <v>6102</v>
          </cell>
          <cell r="B77">
            <v>6102</v>
          </cell>
          <cell r="C77" t="str">
            <v>Transport A/c. - Purchase</v>
          </cell>
          <cell r="D77">
            <v>10457228.24</v>
          </cell>
          <cell r="E77">
            <v>0</v>
          </cell>
          <cell r="J77">
            <v>10457228</v>
          </cell>
          <cell r="K77">
            <v>10457228</v>
          </cell>
        </row>
        <row r="78">
          <cell r="A78" t="str">
            <v>6110</v>
          </cell>
          <cell r="B78">
            <v>6110</v>
          </cell>
          <cell r="C78" t="str">
            <v>Swachh Bharat Cess - Purchase</v>
          </cell>
          <cell r="D78">
            <v>40639.58</v>
          </cell>
          <cell r="E78">
            <v>0</v>
          </cell>
          <cell r="J78">
            <v>40640</v>
          </cell>
          <cell r="K78">
            <v>40640</v>
          </cell>
        </row>
        <row r="79">
          <cell r="A79" t="str">
            <v>6114</v>
          </cell>
          <cell r="B79">
            <v>6114</v>
          </cell>
          <cell r="C79" t="str">
            <v>CST - Purchases</v>
          </cell>
          <cell r="D79">
            <v>221457.39</v>
          </cell>
          <cell r="E79">
            <v>0</v>
          </cell>
          <cell r="J79">
            <v>221457</v>
          </cell>
          <cell r="K79">
            <v>221457</v>
          </cell>
        </row>
        <row r="80">
          <cell r="A80" t="str">
            <v>6210</v>
          </cell>
          <cell r="B80">
            <v>6210</v>
          </cell>
          <cell r="C80" t="str">
            <v>Power &amp; Fuel</v>
          </cell>
          <cell r="D80">
            <v>20855613</v>
          </cell>
          <cell r="E80">
            <v>0</v>
          </cell>
          <cell r="J80">
            <v>20855613</v>
          </cell>
          <cell r="K80">
            <v>20855613</v>
          </cell>
        </row>
        <row r="81">
          <cell r="A81" t="str">
            <v>6250</v>
          </cell>
          <cell r="B81">
            <v>6250</v>
          </cell>
          <cell r="C81" t="str">
            <v>Other Manufacturing Exp/ Services</v>
          </cell>
          <cell r="D81">
            <v>714289.6</v>
          </cell>
          <cell r="E81">
            <v>0</v>
          </cell>
          <cell r="J81">
            <v>714290</v>
          </cell>
          <cell r="K81">
            <v>714290</v>
          </cell>
        </row>
        <row r="82">
          <cell r="A82" t="str">
            <v>6310</v>
          </cell>
          <cell r="B82">
            <v>6310</v>
          </cell>
          <cell r="C82" t="str">
            <v>Repairs &amp; Maint - Plant &amp; Machinery</v>
          </cell>
          <cell r="D82">
            <v>1103332.47</v>
          </cell>
          <cell r="E82">
            <v>0</v>
          </cell>
          <cell r="J82">
            <v>1103332</v>
          </cell>
          <cell r="K82">
            <v>1103332</v>
          </cell>
        </row>
        <row r="83">
          <cell r="A83" t="str">
            <v>6315</v>
          </cell>
          <cell r="B83">
            <v>6315</v>
          </cell>
          <cell r="C83" t="str">
            <v>REPAIRS TO F&amp;F &amp; EQUIP.</v>
          </cell>
          <cell r="D83">
            <v>82380</v>
          </cell>
          <cell r="E83">
            <v>0</v>
          </cell>
          <cell r="J83">
            <v>82380</v>
          </cell>
          <cell r="K83">
            <v>82380</v>
          </cell>
        </row>
        <row r="84">
          <cell r="A84" t="str">
            <v>6320</v>
          </cell>
          <cell r="B84">
            <v>6320</v>
          </cell>
          <cell r="C84" t="str">
            <v>Repairs &amp; Maint - Building/Flat</v>
          </cell>
          <cell r="D84">
            <v>139985</v>
          </cell>
          <cell r="E84">
            <v>0</v>
          </cell>
          <cell r="J84">
            <v>139985</v>
          </cell>
          <cell r="K84">
            <v>139985</v>
          </cell>
        </row>
        <row r="85">
          <cell r="A85" t="str">
            <v>6330</v>
          </cell>
          <cell r="B85">
            <v>6330</v>
          </cell>
          <cell r="C85" t="str">
            <v>Repairs &amp; Maint - Electricals</v>
          </cell>
          <cell r="D85">
            <v>300</v>
          </cell>
          <cell r="E85">
            <v>0</v>
          </cell>
          <cell r="J85">
            <v>300</v>
          </cell>
          <cell r="K85">
            <v>300</v>
          </cell>
        </row>
        <row r="86">
          <cell r="A86" t="str">
            <v>6340</v>
          </cell>
          <cell r="B86">
            <v>6340</v>
          </cell>
          <cell r="C86" t="str">
            <v>Repairs &amp; Maint - Others</v>
          </cell>
          <cell r="D86">
            <v>11956</v>
          </cell>
          <cell r="E86">
            <v>0</v>
          </cell>
          <cell r="J86">
            <v>11956</v>
          </cell>
          <cell r="K86">
            <v>11956</v>
          </cell>
        </row>
        <row r="87">
          <cell r="A87" t="str">
            <v>6410</v>
          </cell>
          <cell r="B87">
            <v>6410</v>
          </cell>
          <cell r="C87" t="str">
            <v>Est Off-  Basic</v>
          </cell>
          <cell r="D87">
            <v>2743980</v>
          </cell>
          <cell r="E87">
            <v>0</v>
          </cell>
          <cell r="J87">
            <v>2743980</v>
          </cell>
          <cell r="K87">
            <v>2743980</v>
          </cell>
        </row>
        <row r="88">
          <cell r="A88" t="str">
            <v>6412</v>
          </cell>
          <cell r="B88">
            <v>6412</v>
          </cell>
          <cell r="C88" t="str">
            <v>Est Off - Cost of Living Index</v>
          </cell>
          <cell r="D88">
            <v>672829</v>
          </cell>
          <cell r="E88">
            <v>0</v>
          </cell>
          <cell r="J88">
            <v>672829</v>
          </cell>
          <cell r="K88">
            <v>672829</v>
          </cell>
        </row>
        <row r="89">
          <cell r="A89" t="str">
            <v>6415</v>
          </cell>
          <cell r="B89">
            <v>6415</v>
          </cell>
          <cell r="C89" t="str">
            <v>Est Off - House rent allowance</v>
          </cell>
          <cell r="D89">
            <v>324333</v>
          </cell>
          <cell r="E89">
            <v>0</v>
          </cell>
          <cell r="J89">
            <v>324333</v>
          </cell>
          <cell r="K89">
            <v>324333</v>
          </cell>
        </row>
        <row r="90">
          <cell r="A90" t="str">
            <v>6421</v>
          </cell>
          <cell r="B90">
            <v>6421</v>
          </cell>
          <cell r="C90" t="str">
            <v>EST - OFF - CONVEYANCE</v>
          </cell>
          <cell r="D90">
            <v>488505</v>
          </cell>
          <cell r="E90">
            <v>0</v>
          </cell>
          <cell r="J90">
            <v>488505</v>
          </cell>
          <cell r="K90">
            <v>488505</v>
          </cell>
        </row>
        <row r="91">
          <cell r="A91" t="str">
            <v>6422</v>
          </cell>
          <cell r="B91">
            <v>6422</v>
          </cell>
          <cell r="C91" t="str">
            <v>PERSONAL PAY</v>
          </cell>
          <cell r="D91">
            <v>1289936</v>
          </cell>
          <cell r="E91">
            <v>0</v>
          </cell>
          <cell r="J91">
            <v>1289936</v>
          </cell>
          <cell r="K91">
            <v>1289936</v>
          </cell>
        </row>
        <row r="92">
          <cell r="A92" t="str">
            <v>6435</v>
          </cell>
          <cell r="B92">
            <v>6435</v>
          </cell>
          <cell r="C92" t="str">
            <v>Est Off - LTA</v>
          </cell>
          <cell r="D92">
            <v>91950</v>
          </cell>
          <cell r="E92">
            <v>0</v>
          </cell>
          <cell r="J92">
            <v>91950</v>
          </cell>
          <cell r="K92">
            <v>91950</v>
          </cell>
        </row>
        <row r="93">
          <cell r="A93" t="str">
            <v>6440</v>
          </cell>
          <cell r="B93">
            <v>6440</v>
          </cell>
          <cell r="C93" t="str">
            <v>Est Off - Bonus</v>
          </cell>
          <cell r="D93">
            <v>220526</v>
          </cell>
          <cell r="E93">
            <v>0</v>
          </cell>
          <cell r="J93">
            <v>220526</v>
          </cell>
          <cell r="K93">
            <v>220526</v>
          </cell>
        </row>
        <row r="94">
          <cell r="A94" t="str">
            <v>6446</v>
          </cell>
          <cell r="B94">
            <v>6446</v>
          </cell>
          <cell r="C94" t="str">
            <v>Est - Officer - Performance Incentive</v>
          </cell>
          <cell r="D94">
            <v>86500</v>
          </cell>
          <cell r="E94">
            <v>0</v>
          </cell>
          <cell r="J94">
            <v>86500</v>
          </cell>
          <cell r="K94">
            <v>86500</v>
          </cell>
        </row>
        <row r="95">
          <cell r="A95" t="str">
            <v>6450</v>
          </cell>
          <cell r="B95">
            <v>6450</v>
          </cell>
          <cell r="C95" t="str">
            <v>Est Off - Gratuity</v>
          </cell>
          <cell r="D95">
            <v>27141</v>
          </cell>
          <cell r="E95">
            <v>0</v>
          </cell>
          <cell r="J95">
            <v>27141</v>
          </cell>
          <cell r="K95">
            <v>27141</v>
          </cell>
        </row>
        <row r="96">
          <cell r="A96" t="str">
            <v>6455</v>
          </cell>
          <cell r="B96">
            <v>6455</v>
          </cell>
          <cell r="C96" t="str">
            <v>Est Off - Providend Fund</v>
          </cell>
          <cell r="D96">
            <v>65256</v>
          </cell>
          <cell r="E96">
            <v>0</v>
          </cell>
          <cell r="J96">
            <v>65256</v>
          </cell>
          <cell r="K96">
            <v>65256</v>
          </cell>
        </row>
        <row r="97">
          <cell r="A97" t="str">
            <v>6460</v>
          </cell>
          <cell r="B97">
            <v>6460</v>
          </cell>
          <cell r="C97" t="str">
            <v>Est Off - Family Pension Fund</v>
          </cell>
          <cell r="D97">
            <v>145217</v>
          </cell>
          <cell r="E97">
            <v>0</v>
          </cell>
          <cell r="J97">
            <v>145217</v>
          </cell>
          <cell r="K97">
            <v>145217</v>
          </cell>
        </row>
        <row r="98">
          <cell r="A98" t="str">
            <v>6470</v>
          </cell>
          <cell r="B98">
            <v>6470</v>
          </cell>
          <cell r="C98" t="str">
            <v>Est Off - Deposit link Insurance Fund</v>
          </cell>
          <cell r="D98">
            <v>8716</v>
          </cell>
          <cell r="E98">
            <v>0</v>
          </cell>
          <cell r="J98">
            <v>8716</v>
          </cell>
          <cell r="K98">
            <v>8716</v>
          </cell>
        </row>
        <row r="99">
          <cell r="A99" t="str">
            <v>6485</v>
          </cell>
          <cell r="B99">
            <v>6485</v>
          </cell>
          <cell r="C99" t="str">
            <v>Est Off - Medical Expenses</v>
          </cell>
          <cell r="D99">
            <v>89892</v>
          </cell>
          <cell r="E99">
            <v>0</v>
          </cell>
          <cell r="J99">
            <v>89892</v>
          </cell>
          <cell r="K99">
            <v>89892</v>
          </cell>
        </row>
        <row r="100">
          <cell r="A100" t="str">
            <v>6490</v>
          </cell>
          <cell r="B100">
            <v>6490</v>
          </cell>
          <cell r="C100" t="str">
            <v>Est Off - Medicare services</v>
          </cell>
          <cell r="D100">
            <v>53725</v>
          </cell>
          <cell r="E100">
            <v>0</v>
          </cell>
          <cell r="J100">
            <v>53725</v>
          </cell>
          <cell r="K100">
            <v>53725</v>
          </cell>
        </row>
        <row r="101">
          <cell r="A101" t="str">
            <v>6504</v>
          </cell>
          <cell r="B101">
            <v>6504</v>
          </cell>
          <cell r="C101" t="str">
            <v>Est. Off. Stipend A/c.</v>
          </cell>
          <cell r="D101">
            <v>170769</v>
          </cell>
          <cell r="E101">
            <v>0</v>
          </cell>
          <cell r="J101">
            <v>170769</v>
          </cell>
          <cell r="K101">
            <v>170769</v>
          </cell>
        </row>
        <row r="102">
          <cell r="A102" t="str">
            <v>6505</v>
          </cell>
          <cell r="B102">
            <v>6505</v>
          </cell>
          <cell r="C102" t="str">
            <v>Est Off - Canteen</v>
          </cell>
          <cell r="D102">
            <v>207043</v>
          </cell>
          <cell r="E102">
            <v>0</v>
          </cell>
          <cell r="J102">
            <v>207043</v>
          </cell>
          <cell r="K102">
            <v>207043</v>
          </cell>
        </row>
        <row r="103">
          <cell r="A103" t="str">
            <v>6540</v>
          </cell>
          <cell r="B103">
            <v>6540</v>
          </cell>
          <cell r="C103" t="str">
            <v>Est Staff - Encashment of Leave</v>
          </cell>
          <cell r="D103">
            <v>118292</v>
          </cell>
          <cell r="E103">
            <v>0</v>
          </cell>
          <cell r="J103">
            <v>118292</v>
          </cell>
          <cell r="K103">
            <v>118292</v>
          </cell>
        </row>
        <row r="104">
          <cell r="A104" t="str">
            <v>6595</v>
          </cell>
          <cell r="B104">
            <v>6595</v>
          </cell>
          <cell r="C104" t="str">
            <v>Est Staff - Medical Expenses</v>
          </cell>
          <cell r="D104">
            <v>24000</v>
          </cell>
          <cell r="E104">
            <v>0</v>
          </cell>
          <cell r="J104">
            <v>24000</v>
          </cell>
          <cell r="K104">
            <v>24000</v>
          </cell>
        </row>
        <row r="105">
          <cell r="A105" t="str">
            <v>6610</v>
          </cell>
          <cell r="B105">
            <v>6610</v>
          </cell>
          <cell r="C105" t="str">
            <v>Est Lbr - Basic</v>
          </cell>
          <cell r="D105">
            <v>790877</v>
          </cell>
          <cell r="E105">
            <v>0</v>
          </cell>
          <cell r="J105">
            <v>790877</v>
          </cell>
          <cell r="K105">
            <v>790877</v>
          </cell>
        </row>
        <row r="106">
          <cell r="A106" t="str">
            <v>6615</v>
          </cell>
          <cell r="B106">
            <v>6615</v>
          </cell>
          <cell r="C106" t="str">
            <v>Est Lbr - DA</v>
          </cell>
          <cell r="D106">
            <v>850302</v>
          </cell>
          <cell r="E106">
            <v>0</v>
          </cell>
          <cell r="J106">
            <v>850302</v>
          </cell>
          <cell r="K106">
            <v>850302</v>
          </cell>
        </row>
        <row r="107">
          <cell r="A107" t="str">
            <v>6620</v>
          </cell>
          <cell r="B107">
            <v>6620</v>
          </cell>
          <cell r="C107" t="str">
            <v>Est Lbr - House rent allowance</v>
          </cell>
          <cell r="D107">
            <v>198777</v>
          </cell>
          <cell r="E107">
            <v>0</v>
          </cell>
          <cell r="J107">
            <v>198777</v>
          </cell>
          <cell r="K107">
            <v>198777</v>
          </cell>
        </row>
        <row r="108">
          <cell r="A108" t="str">
            <v>6625</v>
          </cell>
          <cell r="B108">
            <v>6625</v>
          </cell>
          <cell r="C108" t="str">
            <v>Est Lbr - Education Transport Canteen  allowance</v>
          </cell>
          <cell r="D108">
            <v>640984</v>
          </cell>
          <cell r="E108">
            <v>0</v>
          </cell>
          <cell r="J108">
            <v>640984</v>
          </cell>
          <cell r="K108">
            <v>640984</v>
          </cell>
        </row>
        <row r="109">
          <cell r="A109" t="str">
            <v>6630</v>
          </cell>
          <cell r="B109">
            <v>6630</v>
          </cell>
          <cell r="C109" t="str">
            <v>Est Lbr - Special allowance</v>
          </cell>
          <cell r="D109">
            <v>445626</v>
          </cell>
          <cell r="E109">
            <v>0</v>
          </cell>
          <cell r="J109">
            <v>445626</v>
          </cell>
          <cell r="K109">
            <v>445626</v>
          </cell>
        </row>
        <row r="110">
          <cell r="A110" t="str">
            <v>6640</v>
          </cell>
          <cell r="B110">
            <v>6640</v>
          </cell>
          <cell r="C110" t="str">
            <v>Est Lbr - Encashment of Leave</v>
          </cell>
          <cell r="D110">
            <v>2750</v>
          </cell>
          <cell r="E110">
            <v>0</v>
          </cell>
          <cell r="J110">
            <v>2750</v>
          </cell>
          <cell r="K110">
            <v>2750</v>
          </cell>
        </row>
        <row r="111">
          <cell r="A111" t="str">
            <v>6645</v>
          </cell>
          <cell r="B111">
            <v>6645</v>
          </cell>
          <cell r="C111" t="str">
            <v>Est Lbr - Overtime</v>
          </cell>
          <cell r="D111">
            <v>1579978</v>
          </cell>
          <cell r="E111">
            <v>0</v>
          </cell>
          <cell r="J111">
            <v>1579978</v>
          </cell>
          <cell r="K111">
            <v>1579978</v>
          </cell>
        </row>
        <row r="112">
          <cell r="A112" t="str">
            <v>6650</v>
          </cell>
          <cell r="B112">
            <v>6650</v>
          </cell>
          <cell r="C112" t="str">
            <v>Est Lbr - LTA</v>
          </cell>
          <cell r="D112">
            <v>79417</v>
          </cell>
          <cell r="E112">
            <v>0</v>
          </cell>
          <cell r="J112">
            <v>79417</v>
          </cell>
          <cell r="K112">
            <v>79417</v>
          </cell>
        </row>
        <row r="113">
          <cell r="A113" t="str">
            <v>6655</v>
          </cell>
          <cell r="B113">
            <v>6655</v>
          </cell>
          <cell r="C113" t="str">
            <v>Est Lbr - Bonus</v>
          </cell>
          <cell r="D113">
            <v>100854</v>
          </cell>
          <cell r="E113">
            <v>0</v>
          </cell>
          <cell r="J113">
            <v>100854</v>
          </cell>
          <cell r="K113">
            <v>100854</v>
          </cell>
        </row>
        <row r="114">
          <cell r="A114" t="str">
            <v>6670</v>
          </cell>
          <cell r="B114">
            <v>6670</v>
          </cell>
          <cell r="C114" t="str">
            <v>Est Lbr - Providend Fund</v>
          </cell>
          <cell r="D114">
            <v>60435</v>
          </cell>
          <cell r="E114">
            <v>0</v>
          </cell>
          <cell r="J114">
            <v>60435</v>
          </cell>
          <cell r="K114">
            <v>60435</v>
          </cell>
        </row>
        <row r="115">
          <cell r="A115" t="str">
            <v>6675</v>
          </cell>
          <cell r="B115">
            <v>6675</v>
          </cell>
          <cell r="C115" t="str">
            <v>Est Lbr - Family Pension Fund</v>
          </cell>
          <cell r="D115">
            <v>137009</v>
          </cell>
          <cell r="E115">
            <v>0</v>
          </cell>
          <cell r="J115">
            <v>137009</v>
          </cell>
          <cell r="K115">
            <v>137009</v>
          </cell>
        </row>
        <row r="116">
          <cell r="A116" t="str">
            <v>6685</v>
          </cell>
          <cell r="B116">
            <v>6685</v>
          </cell>
          <cell r="C116" t="str">
            <v>Est Lbr - Deposit link Insurance Fund</v>
          </cell>
          <cell r="D116">
            <v>8226</v>
          </cell>
          <cell r="E116">
            <v>0</v>
          </cell>
          <cell r="J116">
            <v>8226</v>
          </cell>
          <cell r="K116">
            <v>8226</v>
          </cell>
        </row>
        <row r="117">
          <cell r="A117" t="str">
            <v>6690</v>
          </cell>
          <cell r="B117">
            <v>6690</v>
          </cell>
          <cell r="C117" t="str">
            <v>Est Lbr - ESIC</v>
          </cell>
          <cell r="D117">
            <v>182990</v>
          </cell>
          <cell r="E117">
            <v>0</v>
          </cell>
          <cell r="J117">
            <v>182990</v>
          </cell>
          <cell r="K117">
            <v>182990</v>
          </cell>
        </row>
        <row r="118">
          <cell r="A118" t="str">
            <v>6695</v>
          </cell>
          <cell r="B118">
            <v>6695</v>
          </cell>
          <cell r="C118" t="str">
            <v>Est Lbr - Medical Expenses</v>
          </cell>
          <cell r="D118">
            <v>20958</v>
          </cell>
          <cell r="E118">
            <v>0</v>
          </cell>
          <cell r="J118">
            <v>20958</v>
          </cell>
          <cell r="K118">
            <v>20958</v>
          </cell>
        </row>
        <row r="119">
          <cell r="A119" t="str">
            <v>6780</v>
          </cell>
          <cell r="B119">
            <v>6780</v>
          </cell>
          <cell r="C119" t="str">
            <v>Contract Labour Expenses</v>
          </cell>
          <cell r="D119">
            <v>6313141</v>
          </cell>
          <cell r="E119">
            <v>0</v>
          </cell>
          <cell r="J119">
            <v>6313141</v>
          </cell>
          <cell r="K119">
            <v>6313141</v>
          </cell>
        </row>
        <row r="120">
          <cell r="A120" t="str">
            <v>7000</v>
          </cell>
          <cell r="B120">
            <v>7000</v>
          </cell>
          <cell r="C120" t="str">
            <v>Welfare -Canteen  - Lunch/Dinner</v>
          </cell>
          <cell r="D120">
            <v>9792</v>
          </cell>
          <cell r="E120">
            <v>0</v>
          </cell>
          <cell r="J120">
            <v>9792</v>
          </cell>
          <cell r="K120">
            <v>9792</v>
          </cell>
        </row>
        <row r="121">
          <cell r="A121" t="str">
            <v>7005</v>
          </cell>
          <cell r="B121">
            <v>7005</v>
          </cell>
          <cell r="C121" t="str">
            <v>Welfare - Canteen Exp - Tea, Milk, Sugar</v>
          </cell>
          <cell r="D121">
            <v>323752</v>
          </cell>
          <cell r="E121">
            <v>0</v>
          </cell>
          <cell r="J121">
            <v>323752</v>
          </cell>
          <cell r="K121">
            <v>323752</v>
          </cell>
        </row>
        <row r="122">
          <cell r="A122" t="str">
            <v>7015</v>
          </cell>
          <cell r="B122">
            <v>7015</v>
          </cell>
          <cell r="C122" t="str">
            <v>Welfare - Canteen Exp - Guest/Others</v>
          </cell>
          <cell r="D122">
            <v>32803</v>
          </cell>
          <cell r="E122">
            <v>0</v>
          </cell>
          <cell r="J122">
            <v>32803</v>
          </cell>
          <cell r="K122">
            <v>32803</v>
          </cell>
        </row>
        <row r="123">
          <cell r="A123" t="str">
            <v>7020</v>
          </cell>
          <cell r="B123">
            <v>7020</v>
          </cell>
          <cell r="C123" t="str">
            <v>Welfare - First Aid</v>
          </cell>
          <cell r="D123">
            <v>9015</v>
          </cell>
          <cell r="E123">
            <v>0</v>
          </cell>
          <cell r="J123">
            <v>9015</v>
          </cell>
          <cell r="K123">
            <v>9015</v>
          </cell>
        </row>
        <row r="124">
          <cell r="A124" t="str">
            <v>7045</v>
          </cell>
          <cell r="B124">
            <v>7045</v>
          </cell>
          <cell r="C124" t="str">
            <v>Puja (Festival) Expenses</v>
          </cell>
          <cell r="D124">
            <v>6898</v>
          </cell>
          <cell r="E124">
            <v>0</v>
          </cell>
          <cell r="J124">
            <v>6898</v>
          </cell>
          <cell r="K124">
            <v>6898</v>
          </cell>
        </row>
        <row r="125">
          <cell r="A125" t="str">
            <v>7050</v>
          </cell>
          <cell r="B125">
            <v>7050</v>
          </cell>
          <cell r="C125" t="str">
            <v>Welfare - Others</v>
          </cell>
          <cell r="D125">
            <v>56128</v>
          </cell>
          <cell r="E125">
            <v>0</v>
          </cell>
          <cell r="J125">
            <v>56128</v>
          </cell>
          <cell r="K125">
            <v>56128</v>
          </cell>
        </row>
        <row r="126">
          <cell r="A126" t="str">
            <v>7100</v>
          </cell>
          <cell r="B126">
            <v>7100</v>
          </cell>
          <cell r="C126" t="str">
            <v>Rent</v>
          </cell>
          <cell r="D126">
            <v>395500</v>
          </cell>
          <cell r="E126">
            <v>0</v>
          </cell>
          <cell r="J126">
            <v>395500</v>
          </cell>
          <cell r="K126">
            <v>395500</v>
          </cell>
        </row>
        <row r="127">
          <cell r="A127" t="str">
            <v>7110</v>
          </cell>
          <cell r="B127">
            <v>7110</v>
          </cell>
          <cell r="C127" t="str">
            <v>Rates &amp; Taxes</v>
          </cell>
          <cell r="D127">
            <v>34654</v>
          </cell>
          <cell r="E127">
            <v>0</v>
          </cell>
          <cell r="J127">
            <v>34654</v>
          </cell>
          <cell r="K127">
            <v>34654</v>
          </cell>
        </row>
        <row r="128">
          <cell r="A128" t="str">
            <v>7111</v>
          </cell>
          <cell r="B128">
            <v>7111</v>
          </cell>
          <cell r="C128" t="str">
            <v>Service Tax on Transport-GTO</v>
          </cell>
          <cell r="D128">
            <v>855354</v>
          </cell>
          <cell r="E128">
            <v>0</v>
          </cell>
          <cell r="J128">
            <v>855354</v>
          </cell>
          <cell r="K128">
            <v>855354</v>
          </cell>
        </row>
        <row r="129">
          <cell r="A129" t="str">
            <v>7130</v>
          </cell>
          <cell r="B129">
            <v>7130</v>
          </cell>
          <cell r="C129" t="str">
            <v>Works Contract Tax</v>
          </cell>
          <cell r="D129">
            <v>5949</v>
          </cell>
          <cell r="E129">
            <v>0</v>
          </cell>
          <cell r="J129">
            <v>5949</v>
          </cell>
          <cell r="K129">
            <v>5949</v>
          </cell>
        </row>
        <row r="130">
          <cell r="A130" t="str">
            <v>7160</v>
          </cell>
          <cell r="B130">
            <v>7160</v>
          </cell>
          <cell r="C130" t="str">
            <v>Insurance</v>
          </cell>
          <cell r="D130">
            <v>233429</v>
          </cell>
          <cell r="E130">
            <v>0</v>
          </cell>
          <cell r="J130">
            <v>233429</v>
          </cell>
          <cell r="K130">
            <v>233429</v>
          </cell>
        </row>
        <row r="131">
          <cell r="A131" t="str">
            <v>7210</v>
          </cell>
          <cell r="B131">
            <v>7210</v>
          </cell>
          <cell r="C131" t="str">
            <v>Foreigners Travelling Expenses - Ticket</v>
          </cell>
          <cell r="D131">
            <v>38950</v>
          </cell>
          <cell r="E131">
            <v>0</v>
          </cell>
          <cell r="J131">
            <v>38950</v>
          </cell>
          <cell r="K131">
            <v>38950</v>
          </cell>
        </row>
        <row r="132">
          <cell r="A132" t="str">
            <v>7211</v>
          </cell>
          <cell r="B132">
            <v>7211</v>
          </cell>
          <cell r="C132" t="str">
            <v>Foreigners Travelling Expenses - Others</v>
          </cell>
          <cell r="D132">
            <v>75405</v>
          </cell>
          <cell r="E132">
            <v>0</v>
          </cell>
          <cell r="J132">
            <v>75405</v>
          </cell>
          <cell r="K132">
            <v>75405</v>
          </cell>
        </row>
        <row r="133">
          <cell r="A133" t="str">
            <v>7212</v>
          </cell>
          <cell r="B133">
            <v>7212</v>
          </cell>
          <cell r="C133" t="str">
            <v>TRAVELLING-EMP.'S TOUR EXP.</v>
          </cell>
          <cell r="D133">
            <v>520354</v>
          </cell>
          <cell r="E133">
            <v>0</v>
          </cell>
          <cell r="J133">
            <v>520354</v>
          </cell>
          <cell r="K133">
            <v>520354</v>
          </cell>
        </row>
        <row r="134">
          <cell r="A134" t="str">
            <v>7221</v>
          </cell>
          <cell r="B134">
            <v>7221</v>
          </cell>
          <cell r="C134" t="str">
            <v>Travelling Expenses Officers     - Others</v>
          </cell>
          <cell r="D134">
            <v>13518</v>
          </cell>
          <cell r="E134">
            <v>0</v>
          </cell>
          <cell r="J134">
            <v>13518</v>
          </cell>
          <cell r="K134">
            <v>13518</v>
          </cell>
        </row>
        <row r="135">
          <cell r="A135" t="str">
            <v>7240</v>
          </cell>
          <cell r="B135">
            <v>7240</v>
          </cell>
          <cell r="C135" t="str">
            <v>Travelling Expenses  - Conveyance</v>
          </cell>
          <cell r="D135">
            <v>306251</v>
          </cell>
          <cell r="E135">
            <v>0</v>
          </cell>
          <cell r="J135">
            <v>306251</v>
          </cell>
          <cell r="K135">
            <v>306251</v>
          </cell>
        </row>
        <row r="136">
          <cell r="A136" t="str">
            <v>7250</v>
          </cell>
          <cell r="B136">
            <v>7250</v>
          </cell>
          <cell r="C136" t="str">
            <v>Travelling Expenses  - Car/Bus Hire Charges</v>
          </cell>
          <cell r="D136">
            <v>173962</v>
          </cell>
          <cell r="E136">
            <v>0</v>
          </cell>
          <cell r="J136">
            <v>173962</v>
          </cell>
          <cell r="K136">
            <v>173962</v>
          </cell>
        </row>
        <row r="137">
          <cell r="A137" t="str">
            <v>7265</v>
          </cell>
          <cell r="B137">
            <v>7265</v>
          </cell>
          <cell r="C137" t="str">
            <v>Professional Expenses</v>
          </cell>
          <cell r="D137">
            <v>1061999</v>
          </cell>
          <cell r="E137">
            <v>0</v>
          </cell>
          <cell r="J137">
            <v>1061999</v>
          </cell>
          <cell r="K137">
            <v>1061999</v>
          </cell>
        </row>
        <row r="138">
          <cell r="A138" t="str">
            <v>7285</v>
          </cell>
          <cell r="B138">
            <v>7285</v>
          </cell>
          <cell r="C138" t="str">
            <v>Freight &amp; Transport - Local</v>
          </cell>
          <cell r="D138">
            <v>21748406.530000001</v>
          </cell>
          <cell r="E138">
            <v>0</v>
          </cell>
          <cell r="J138">
            <v>21748407</v>
          </cell>
          <cell r="K138">
            <v>21748407</v>
          </cell>
        </row>
        <row r="139">
          <cell r="A139" t="str">
            <v>7286</v>
          </cell>
          <cell r="B139">
            <v>7286</v>
          </cell>
          <cell r="C139" t="str">
            <v>Freight - Loading/Unloading chgs</v>
          </cell>
          <cell r="D139">
            <v>866876</v>
          </cell>
          <cell r="E139">
            <v>0</v>
          </cell>
          <cell r="J139">
            <v>866876</v>
          </cell>
          <cell r="K139">
            <v>866876</v>
          </cell>
        </row>
        <row r="140">
          <cell r="A140" t="str">
            <v>7287</v>
          </cell>
          <cell r="B140">
            <v>7287</v>
          </cell>
          <cell r="C140" t="str">
            <v>Freight - Detention Chgs</v>
          </cell>
          <cell r="D140">
            <v>49300</v>
          </cell>
          <cell r="E140">
            <v>0</v>
          </cell>
          <cell r="J140">
            <v>49300</v>
          </cell>
          <cell r="K140">
            <v>49300</v>
          </cell>
        </row>
        <row r="141">
          <cell r="A141" t="str">
            <v>7290</v>
          </cell>
          <cell r="B141">
            <v>7290</v>
          </cell>
          <cell r="C141" t="str">
            <v>Freight &amp; Transport Recovered- Local</v>
          </cell>
          <cell r="D141">
            <v>0</v>
          </cell>
          <cell r="E141">
            <v>15714045</v>
          </cell>
          <cell r="J141">
            <v>-15714045</v>
          </cell>
          <cell r="K141">
            <v>-15714045</v>
          </cell>
        </row>
        <row r="142">
          <cell r="A142" t="str">
            <v>7360</v>
          </cell>
          <cell r="B142">
            <v>7360</v>
          </cell>
          <cell r="C142" t="str">
            <v>Security</v>
          </cell>
          <cell r="D142">
            <v>850964</v>
          </cell>
          <cell r="E142">
            <v>0</v>
          </cell>
          <cell r="J142">
            <v>850964</v>
          </cell>
          <cell r="K142">
            <v>850964</v>
          </cell>
        </row>
        <row r="143">
          <cell r="A143" t="str">
            <v>7370</v>
          </cell>
          <cell r="B143">
            <v>7370</v>
          </cell>
          <cell r="C143" t="str">
            <v>Safety &amp; Sanitation</v>
          </cell>
          <cell r="D143">
            <v>45209</v>
          </cell>
          <cell r="E143">
            <v>0</v>
          </cell>
          <cell r="J143">
            <v>45209</v>
          </cell>
          <cell r="K143">
            <v>45209</v>
          </cell>
        </row>
        <row r="144">
          <cell r="A144" t="str">
            <v>7390</v>
          </cell>
          <cell r="B144">
            <v>7390</v>
          </cell>
          <cell r="C144" t="str">
            <v>Books , News Papers and Periodicals</v>
          </cell>
          <cell r="D144">
            <v>4788</v>
          </cell>
          <cell r="E144">
            <v>0</v>
          </cell>
          <cell r="J144">
            <v>4788</v>
          </cell>
          <cell r="K144">
            <v>4788</v>
          </cell>
        </row>
        <row r="145">
          <cell r="A145" t="str">
            <v>7405</v>
          </cell>
          <cell r="B145">
            <v>7405</v>
          </cell>
          <cell r="C145" t="str">
            <v>Subscription - Others</v>
          </cell>
          <cell r="D145">
            <v>10000</v>
          </cell>
          <cell r="E145">
            <v>0</v>
          </cell>
          <cell r="J145">
            <v>10000</v>
          </cell>
          <cell r="K145">
            <v>10000</v>
          </cell>
        </row>
        <row r="146">
          <cell r="A146" t="str">
            <v>7410</v>
          </cell>
          <cell r="B146">
            <v>7410</v>
          </cell>
          <cell r="C146" t="str">
            <v>Postage/Telegram/Courier</v>
          </cell>
          <cell r="D146">
            <v>66255</v>
          </cell>
          <cell r="E146">
            <v>0</v>
          </cell>
          <cell r="J146">
            <v>66255</v>
          </cell>
          <cell r="K146">
            <v>66255</v>
          </cell>
        </row>
        <row r="147">
          <cell r="A147" t="str">
            <v>7420</v>
          </cell>
          <cell r="B147">
            <v>7420</v>
          </cell>
          <cell r="C147" t="str">
            <v>Selling Expenses</v>
          </cell>
          <cell r="D147">
            <v>156694</v>
          </cell>
          <cell r="E147">
            <v>0</v>
          </cell>
          <cell r="J147">
            <v>156694</v>
          </cell>
          <cell r="K147">
            <v>156694</v>
          </cell>
        </row>
        <row r="148">
          <cell r="A148" t="str">
            <v>7425</v>
          </cell>
          <cell r="B148">
            <v>7425</v>
          </cell>
          <cell r="C148" t="str">
            <v>Admn Charges on PF</v>
          </cell>
          <cell r="D148">
            <v>30338</v>
          </cell>
          <cell r="E148">
            <v>0</v>
          </cell>
          <cell r="J148">
            <v>30338</v>
          </cell>
          <cell r="K148">
            <v>30338</v>
          </cell>
        </row>
        <row r="149">
          <cell r="A149" t="str">
            <v>7440</v>
          </cell>
          <cell r="B149">
            <v>7440</v>
          </cell>
          <cell r="C149" t="str">
            <v>Entertainment Expenses</v>
          </cell>
          <cell r="D149">
            <v>75808</v>
          </cell>
          <cell r="E149">
            <v>0</v>
          </cell>
          <cell r="J149">
            <v>75808</v>
          </cell>
          <cell r="K149">
            <v>75808</v>
          </cell>
        </row>
        <row r="150">
          <cell r="A150" t="str">
            <v>7445</v>
          </cell>
          <cell r="B150">
            <v>7445</v>
          </cell>
          <cell r="C150" t="str">
            <v>System Expenses</v>
          </cell>
          <cell r="D150">
            <v>160466.48000000001</v>
          </cell>
          <cell r="E150">
            <v>0</v>
          </cell>
          <cell r="J150">
            <v>160466</v>
          </cell>
          <cell r="K150">
            <v>160466</v>
          </cell>
        </row>
        <row r="151">
          <cell r="A151" t="str">
            <v>7460</v>
          </cell>
          <cell r="B151">
            <v>7460</v>
          </cell>
          <cell r="C151" t="str">
            <v>Printing &amp; Stationery</v>
          </cell>
          <cell r="D151">
            <v>195475</v>
          </cell>
          <cell r="E151">
            <v>0</v>
          </cell>
          <cell r="J151">
            <v>195475</v>
          </cell>
          <cell r="K151">
            <v>195475</v>
          </cell>
        </row>
        <row r="152">
          <cell r="A152" t="str">
            <v>7461</v>
          </cell>
          <cell r="B152">
            <v>7461</v>
          </cell>
          <cell r="C152" t="str">
            <v>Computer Stationery</v>
          </cell>
          <cell r="D152">
            <v>3836</v>
          </cell>
          <cell r="E152">
            <v>0</v>
          </cell>
          <cell r="J152">
            <v>3836</v>
          </cell>
          <cell r="K152">
            <v>3836</v>
          </cell>
        </row>
        <row r="153">
          <cell r="A153" t="str">
            <v>7470</v>
          </cell>
          <cell r="B153">
            <v>7470</v>
          </cell>
          <cell r="C153" t="str">
            <v>General Expenses - Office</v>
          </cell>
          <cell r="D153">
            <v>14696</v>
          </cell>
          <cell r="E153">
            <v>0</v>
          </cell>
          <cell r="J153">
            <v>14696</v>
          </cell>
          <cell r="K153">
            <v>14696</v>
          </cell>
        </row>
        <row r="154">
          <cell r="A154" t="str">
            <v>7471</v>
          </cell>
          <cell r="B154">
            <v>7471</v>
          </cell>
          <cell r="C154" t="str">
            <v>General Expenses - Factory</v>
          </cell>
          <cell r="D154">
            <v>125495</v>
          </cell>
          <cell r="E154">
            <v>0</v>
          </cell>
          <cell r="J154">
            <v>125495</v>
          </cell>
          <cell r="K154">
            <v>125495</v>
          </cell>
        </row>
        <row r="155">
          <cell r="A155" t="str">
            <v>7472</v>
          </cell>
          <cell r="B155">
            <v>7472</v>
          </cell>
          <cell r="C155" t="str">
            <v>Gift &amp; Presentation</v>
          </cell>
          <cell r="D155">
            <v>145802</v>
          </cell>
          <cell r="E155">
            <v>0</v>
          </cell>
          <cell r="J155">
            <v>145802</v>
          </cell>
          <cell r="K155">
            <v>145802</v>
          </cell>
        </row>
        <row r="156">
          <cell r="A156" t="str">
            <v>7473</v>
          </cell>
          <cell r="B156">
            <v>7473</v>
          </cell>
          <cell r="C156" t="str">
            <v>Garden Maint. Exp.</v>
          </cell>
          <cell r="D156">
            <v>99979</v>
          </cell>
          <cell r="E156">
            <v>0</v>
          </cell>
          <cell r="J156">
            <v>99979</v>
          </cell>
          <cell r="K156">
            <v>99979</v>
          </cell>
        </row>
        <row r="157">
          <cell r="A157" t="str">
            <v>7475</v>
          </cell>
          <cell r="B157">
            <v>7475</v>
          </cell>
          <cell r="C157" t="str">
            <v>Corporate Exps(Central Services)</v>
          </cell>
          <cell r="D157">
            <v>6537000</v>
          </cell>
          <cell r="E157">
            <v>0</v>
          </cell>
          <cell r="J157">
            <v>6537000</v>
          </cell>
          <cell r="K157">
            <v>6537000</v>
          </cell>
        </row>
        <row r="158">
          <cell r="A158" t="str">
            <v>7485</v>
          </cell>
          <cell r="B158">
            <v>7485</v>
          </cell>
          <cell r="C158" t="str">
            <v>Recruitment Expenses</v>
          </cell>
          <cell r="D158">
            <v>110242</v>
          </cell>
          <cell r="E158">
            <v>0</v>
          </cell>
          <cell r="J158">
            <v>110242</v>
          </cell>
          <cell r="K158">
            <v>110242</v>
          </cell>
        </row>
        <row r="159">
          <cell r="A159" t="str">
            <v>7490</v>
          </cell>
          <cell r="B159">
            <v>7490</v>
          </cell>
          <cell r="C159" t="str">
            <v>Courses and Conferences</v>
          </cell>
          <cell r="D159">
            <v>57353</v>
          </cell>
          <cell r="E159">
            <v>0</v>
          </cell>
          <cell r="J159">
            <v>57353</v>
          </cell>
          <cell r="K159">
            <v>57353</v>
          </cell>
        </row>
        <row r="160">
          <cell r="A160" t="str">
            <v>7500</v>
          </cell>
          <cell r="B160">
            <v>7500</v>
          </cell>
          <cell r="C160" t="str">
            <v>Telephone, Telex &amp; Fax Expenses</v>
          </cell>
          <cell r="D160">
            <v>173410.92</v>
          </cell>
          <cell r="E160">
            <v>0</v>
          </cell>
          <cell r="J160">
            <v>173411</v>
          </cell>
          <cell r="K160">
            <v>173411</v>
          </cell>
        </row>
        <row r="161">
          <cell r="A161" t="str">
            <v>7505</v>
          </cell>
          <cell r="B161">
            <v>7505</v>
          </cell>
          <cell r="C161" t="str">
            <v>Donations</v>
          </cell>
          <cell r="D161">
            <v>2100</v>
          </cell>
          <cell r="E161">
            <v>0</v>
          </cell>
          <cell r="J161">
            <v>2100</v>
          </cell>
          <cell r="K161">
            <v>2100</v>
          </cell>
        </row>
        <row r="162">
          <cell r="A162" t="str">
            <v>7522</v>
          </cell>
          <cell r="B162">
            <v>7522</v>
          </cell>
          <cell r="C162" t="str">
            <v>Other Bank Charges</v>
          </cell>
          <cell r="D162">
            <v>4525.6400000000003</v>
          </cell>
          <cell r="E162">
            <v>0</v>
          </cell>
          <cell r="J162">
            <v>4526</v>
          </cell>
          <cell r="K162">
            <v>4526</v>
          </cell>
        </row>
        <row r="163">
          <cell r="A163" t="str">
            <v>7610</v>
          </cell>
          <cell r="B163">
            <v>7610</v>
          </cell>
          <cell r="C163" t="str">
            <v>Interest on Cash Credit</v>
          </cell>
          <cell r="D163">
            <v>30619</v>
          </cell>
          <cell r="E163">
            <v>0</v>
          </cell>
          <cell r="J163">
            <v>30619</v>
          </cell>
          <cell r="K163">
            <v>30619</v>
          </cell>
        </row>
        <row r="164">
          <cell r="A164" t="str">
            <v>7625</v>
          </cell>
          <cell r="B164">
            <v>7625</v>
          </cell>
          <cell r="C164" t="str">
            <v>Interest on Demand loan</v>
          </cell>
          <cell r="D164">
            <v>3888</v>
          </cell>
          <cell r="E164">
            <v>0</v>
          </cell>
          <cell r="J164">
            <v>3888</v>
          </cell>
          <cell r="K164">
            <v>3888</v>
          </cell>
        </row>
        <row r="165">
          <cell r="A165" t="str">
            <v>7630</v>
          </cell>
          <cell r="B165">
            <v>7630</v>
          </cell>
          <cell r="C165" t="str">
            <v>Interest on Term Loan</v>
          </cell>
          <cell r="D165">
            <v>160310.25</v>
          </cell>
          <cell r="E165">
            <v>0</v>
          </cell>
          <cell r="J165">
            <v>160310</v>
          </cell>
          <cell r="K165">
            <v>160310</v>
          </cell>
        </row>
        <row r="166">
          <cell r="A166" t="str">
            <v>7640</v>
          </cell>
          <cell r="B166">
            <v>7640</v>
          </cell>
          <cell r="C166" t="str">
            <v>Other Interest</v>
          </cell>
          <cell r="D166">
            <v>55300.06</v>
          </cell>
          <cell r="E166">
            <v>0</v>
          </cell>
          <cell r="J166">
            <v>55300</v>
          </cell>
          <cell r="K166">
            <v>55300</v>
          </cell>
        </row>
        <row r="167">
          <cell r="A167" t="str">
            <v>7645</v>
          </cell>
          <cell r="B167">
            <v>7645</v>
          </cell>
          <cell r="C167" t="str">
            <v>Interest on Current  - Valerex</v>
          </cell>
          <cell r="D167">
            <v>5820000</v>
          </cell>
          <cell r="E167">
            <v>0</v>
          </cell>
          <cell r="J167">
            <v>5820000</v>
          </cell>
          <cell r="K167">
            <v>5820000</v>
          </cell>
        </row>
        <row r="168">
          <cell r="A168" t="str">
            <v>7650</v>
          </cell>
          <cell r="B168">
            <v>7650</v>
          </cell>
          <cell r="C168" t="str">
            <v>Car Expenses -  Petrol</v>
          </cell>
          <cell r="D168">
            <v>131500</v>
          </cell>
          <cell r="E168">
            <v>0</v>
          </cell>
          <cell r="J168">
            <v>131500</v>
          </cell>
          <cell r="K168">
            <v>131500</v>
          </cell>
        </row>
        <row r="169">
          <cell r="A169" t="str">
            <v>7651</v>
          </cell>
          <cell r="B169">
            <v>7651</v>
          </cell>
          <cell r="C169" t="str">
            <v>Car Expenses -  Repairs</v>
          </cell>
          <cell r="D169">
            <v>51700</v>
          </cell>
          <cell r="E169">
            <v>0</v>
          </cell>
          <cell r="J169">
            <v>51700</v>
          </cell>
          <cell r="K169">
            <v>51700</v>
          </cell>
        </row>
        <row r="170">
          <cell r="A170" t="str">
            <v>7653</v>
          </cell>
          <cell r="B170">
            <v>7653</v>
          </cell>
          <cell r="C170" t="str">
            <v>Car Expenses -  Others ( Tax/Insu/Pass/Parking)</v>
          </cell>
          <cell r="D170">
            <v>20051</v>
          </cell>
          <cell r="E170">
            <v>0</v>
          </cell>
          <cell r="J170">
            <v>20051</v>
          </cell>
          <cell r="K170">
            <v>20051</v>
          </cell>
        </row>
        <row r="171">
          <cell r="A171" t="str">
            <v>7661</v>
          </cell>
          <cell r="B171">
            <v>7661</v>
          </cell>
          <cell r="C171" t="str">
            <v>GUEST HOUSE EXPENSES</v>
          </cell>
          <cell r="D171">
            <v>147160</v>
          </cell>
          <cell r="E171">
            <v>0</v>
          </cell>
          <cell r="J171">
            <v>147160</v>
          </cell>
          <cell r="K171">
            <v>147160</v>
          </cell>
        </row>
        <row r="172">
          <cell r="A172" t="str">
            <v>7700</v>
          </cell>
          <cell r="B172">
            <v>7700</v>
          </cell>
          <cell r="C172" t="str">
            <v>DEPRECIATION</v>
          </cell>
          <cell r="D172">
            <v>8277264</v>
          </cell>
          <cell r="E172">
            <v>0</v>
          </cell>
          <cell r="J172">
            <v>8277264</v>
          </cell>
          <cell r="K172">
            <v>8277264</v>
          </cell>
        </row>
        <row r="173">
          <cell r="A173" t="str">
            <v>8383</v>
          </cell>
          <cell r="B173">
            <v>8383</v>
          </cell>
          <cell r="C173" t="str">
            <v>CL.STK FG [ P &amp; L ]</v>
          </cell>
          <cell r="D173">
            <v>0</v>
          </cell>
          <cell r="E173">
            <v>10527518</v>
          </cell>
          <cell r="J173">
            <v>-10527518</v>
          </cell>
          <cell r="K173">
            <v>-10527518</v>
          </cell>
        </row>
        <row r="174">
          <cell r="A174" t="str">
            <v>8971</v>
          </cell>
          <cell r="B174">
            <v>8971</v>
          </cell>
          <cell r="C174" t="str">
            <v>OP.STK.RAW MAT.-[ P&amp;L ]</v>
          </cell>
          <cell r="D174">
            <v>12371869</v>
          </cell>
          <cell r="E174">
            <v>0</v>
          </cell>
          <cell r="J174">
            <v>12371869</v>
          </cell>
          <cell r="K174">
            <v>12371869</v>
          </cell>
        </row>
        <row r="175">
          <cell r="A175" t="str">
            <v>8973</v>
          </cell>
          <cell r="B175">
            <v>8973</v>
          </cell>
          <cell r="C175" t="str">
            <v>OP.STK. FG [PL]</v>
          </cell>
          <cell r="D175">
            <v>8787487</v>
          </cell>
          <cell r="E175">
            <v>0</v>
          </cell>
          <cell r="J175">
            <v>8787487</v>
          </cell>
          <cell r="K175">
            <v>8787487</v>
          </cell>
        </row>
        <row r="176">
          <cell r="A176" t="str">
            <v>8974</v>
          </cell>
          <cell r="B176">
            <v>8974</v>
          </cell>
          <cell r="C176" t="str">
            <v>OP. ST. OF WIP - P&amp;L</v>
          </cell>
          <cell r="D176">
            <v>3516196</v>
          </cell>
          <cell r="E176">
            <v>0</v>
          </cell>
          <cell r="J176">
            <v>3516196</v>
          </cell>
          <cell r="K176">
            <v>3516196</v>
          </cell>
        </row>
        <row r="177">
          <cell r="A177" t="str">
            <v>8981</v>
          </cell>
          <cell r="B177">
            <v>8981</v>
          </cell>
          <cell r="C177" t="str">
            <v>CL. STK. RM. (P&amp;L)</v>
          </cell>
          <cell r="D177">
            <v>0</v>
          </cell>
          <cell r="E177">
            <v>29991834</v>
          </cell>
          <cell r="J177">
            <v>-29991834</v>
          </cell>
          <cell r="K177">
            <v>-29991834</v>
          </cell>
        </row>
        <row r="178">
          <cell r="A178" t="str">
            <v>8984</v>
          </cell>
          <cell r="B178">
            <v>8984</v>
          </cell>
          <cell r="C178" t="str">
            <v>CLOSING STOCK-WIP [PL]</v>
          </cell>
          <cell r="D178">
            <v>0</v>
          </cell>
          <cell r="E178">
            <v>3109589</v>
          </cell>
          <cell r="J178">
            <v>-3109589</v>
          </cell>
          <cell r="K178">
            <v>-3109589</v>
          </cell>
        </row>
        <row r="179">
          <cell r="A179" t="str">
            <v>8985</v>
          </cell>
          <cell r="B179">
            <v>8985</v>
          </cell>
          <cell r="C179" t="str">
            <v>CL.STK -STORES/SP/CONS.(PL)</v>
          </cell>
          <cell r="D179">
            <v>0</v>
          </cell>
          <cell r="E179">
            <v>1456966</v>
          </cell>
          <cell r="J179">
            <v>-1456966</v>
          </cell>
          <cell r="K179">
            <v>-1456966</v>
          </cell>
        </row>
        <row r="180">
          <cell r="A180" t="str">
            <v>9001</v>
          </cell>
          <cell r="B180">
            <v>9001</v>
          </cell>
          <cell r="C180" t="str">
            <v>CL.STOCK RM -  [BS]</v>
          </cell>
          <cell r="D180">
            <v>29991834</v>
          </cell>
          <cell r="E180">
            <v>0</v>
          </cell>
          <cell r="J180">
            <v>29991834</v>
          </cell>
          <cell r="K180">
            <v>29991834</v>
          </cell>
        </row>
        <row r="181">
          <cell r="A181" t="str">
            <v>9003</v>
          </cell>
          <cell r="B181">
            <v>9003</v>
          </cell>
          <cell r="C181" t="str">
            <v>CL.STK. FG [ BS ]</v>
          </cell>
          <cell r="D181">
            <v>10527518</v>
          </cell>
          <cell r="E181">
            <v>0</v>
          </cell>
          <cell r="J181">
            <v>10527518</v>
          </cell>
          <cell r="K181">
            <v>10527518</v>
          </cell>
        </row>
        <row r="182">
          <cell r="A182" t="str">
            <v>9004</v>
          </cell>
          <cell r="B182">
            <v>9004</v>
          </cell>
          <cell r="C182" t="str">
            <v>CL.STK. WIP [ BS ]</v>
          </cell>
          <cell r="D182">
            <v>3109589</v>
          </cell>
          <cell r="E182">
            <v>0</v>
          </cell>
          <cell r="J182">
            <v>3109589</v>
          </cell>
          <cell r="K182">
            <v>3109589</v>
          </cell>
        </row>
        <row r="183">
          <cell r="A183">
            <v>0</v>
          </cell>
          <cell r="J183">
            <v>0</v>
          </cell>
          <cell r="K183">
            <v>0</v>
          </cell>
        </row>
        <row r="184">
          <cell r="A184">
            <v>0</v>
          </cell>
          <cell r="J184">
            <v>0</v>
          </cell>
          <cell r="K184">
            <v>0</v>
          </cell>
        </row>
        <row r="185">
          <cell r="A185">
            <v>0</v>
          </cell>
          <cell r="J185">
            <v>0</v>
          </cell>
          <cell r="K185">
            <v>0</v>
          </cell>
        </row>
        <row r="186">
          <cell r="A186">
            <v>0</v>
          </cell>
          <cell r="J186">
            <v>0</v>
          </cell>
          <cell r="K186">
            <v>0</v>
          </cell>
        </row>
        <row r="187">
          <cell r="A187">
            <v>0</v>
          </cell>
          <cell r="J187">
            <v>0</v>
          </cell>
          <cell r="K187">
            <v>0</v>
          </cell>
        </row>
        <row r="188">
          <cell r="A188">
            <v>0</v>
          </cell>
          <cell r="J188">
            <v>0</v>
          </cell>
          <cell r="K188">
            <v>0</v>
          </cell>
        </row>
        <row r="189">
          <cell r="A189">
            <v>0</v>
          </cell>
          <cell r="J189">
            <v>0</v>
          </cell>
          <cell r="K189">
            <v>0</v>
          </cell>
        </row>
        <row r="190">
          <cell r="A190">
            <v>0</v>
          </cell>
          <cell r="J190">
            <v>0</v>
          </cell>
          <cell r="K190">
            <v>0</v>
          </cell>
        </row>
        <row r="191">
          <cell r="A191">
            <v>0</v>
          </cell>
          <cell r="J191">
            <v>0</v>
          </cell>
          <cell r="K191">
            <v>0</v>
          </cell>
        </row>
        <row r="192">
          <cell r="A192">
            <v>0</v>
          </cell>
          <cell r="J192">
            <v>0</v>
          </cell>
          <cell r="K192">
            <v>0</v>
          </cell>
        </row>
        <row r="193">
          <cell r="A193">
            <v>0</v>
          </cell>
          <cell r="J193">
            <v>0</v>
          </cell>
          <cell r="K193">
            <v>0</v>
          </cell>
        </row>
        <row r="194">
          <cell r="A194">
            <v>0</v>
          </cell>
          <cell r="J194">
            <v>0</v>
          </cell>
          <cell r="K194">
            <v>0</v>
          </cell>
        </row>
        <row r="195">
          <cell r="A195">
            <v>0</v>
          </cell>
          <cell r="J195">
            <v>0</v>
          </cell>
          <cell r="K195">
            <v>0</v>
          </cell>
        </row>
        <row r="196">
          <cell r="A196">
            <v>0</v>
          </cell>
          <cell r="J196">
            <v>0</v>
          </cell>
          <cell r="K196">
            <v>0</v>
          </cell>
        </row>
        <row r="197">
          <cell r="A197">
            <v>0</v>
          </cell>
          <cell r="J197">
            <v>0</v>
          </cell>
          <cell r="K197">
            <v>0</v>
          </cell>
        </row>
        <row r="198">
          <cell r="A198">
            <v>0</v>
          </cell>
          <cell r="J198">
            <v>0</v>
          </cell>
          <cell r="K198">
            <v>0</v>
          </cell>
        </row>
        <row r="199">
          <cell r="A199">
            <v>0</v>
          </cell>
          <cell r="J199">
            <v>0</v>
          </cell>
          <cell r="K199">
            <v>0</v>
          </cell>
        </row>
        <row r="200">
          <cell r="A200">
            <v>0</v>
          </cell>
          <cell r="J200">
            <v>0</v>
          </cell>
          <cell r="K200">
            <v>0</v>
          </cell>
        </row>
        <row r="201">
          <cell r="A201">
            <v>0</v>
          </cell>
          <cell r="J201">
            <v>0</v>
          </cell>
          <cell r="K201">
            <v>0</v>
          </cell>
        </row>
        <row r="202">
          <cell r="A202">
            <v>0</v>
          </cell>
          <cell r="J202">
            <v>0</v>
          </cell>
          <cell r="K202">
            <v>0</v>
          </cell>
        </row>
        <row r="203">
          <cell r="A203">
            <v>0</v>
          </cell>
          <cell r="J203">
            <v>0</v>
          </cell>
          <cell r="K203">
            <v>0</v>
          </cell>
        </row>
        <row r="204">
          <cell r="A204">
            <v>0</v>
          </cell>
          <cell r="J204">
            <v>0</v>
          </cell>
          <cell r="K204">
            <v>0</v>
          </cell>
        </row>
        <row r="205">
          <cell r="A205">
            <v>0</v>
          </cell>
          <cell r="J205">
            <v>0</v>
          </cell>
          <cell r="K205">
            <v>0</v>
          </cell>
        </row>
        <row r="206">
          <cell r="A206">
            <v>0</v>
          </cell>
          <cell r="J206">
            <v>0</v>
          </cell>
          <cell r="K206">
            <v>0</v>
          </cell>
        </row>
        <row r="207">
          <cell r="A207">
            <v>0</v>
          </cell>
          <cell r="J207">
            <v>0</v>
          </cell>
          <cell r="K207">
            <v>0</v>
          </cell>
        </row>
        <row r="208">
          <cell r="A208">
            <v>0</v>
          </cell>
          <cell r="J208">
            <v>0</v>
          </cell>
          <cell r="K208">
            <v>0</v>
          </cell>
        </row>
        <row r="209">
          <cell r="A209">
            <v>0</v>
          </cell>
          <cell r="J209">
            <v>0</v>
          </cell>
          <cell r="K209">
            <v>0</v>
          </cell>
        </row>
        <row r="210">
          <cell r="A210">
            <v>0</v>
          </cell>
          <cell r="J210">
            <v>0</v>
          </cell>
          <cell r="K210">
            <v>0</v>
          </cell>
        </row>
        <row r="211">
          <cell r="A211">
            <v>0</v>
          </cell>
          <cell r="J211">
            <v>0</v>
          </cell>
          <cell r="K211">
            <v>0</v>
          </cell>
        </row>
        <row r="212">
          <cell r="A212">
            <v>0</v>
          </cell>
          <cell r="J212">
            <v>0</v>
          </cell>
          <cell r="K212">
            <v>0</v>
          </cell>
        </row>
        <row r="213">
          <cell r="A213">
            <v>0</v>
          </cell>
          <cell r="J213">
            <v>0</v>
          </cell>
          <cell r="K213">
            <v>0</v>
          </cell>
        </row>
        <row r="214">
          <cell r="A214">
            <v>0</v>
          </cell>
          <cell r="J214">
            <v>0</v>
          </cell>
          <cell r="K214">
            <v>0</v>
          </cell>
        </row>
        <row r="215">
          <cell r="A215">
            <v>0</v>
          </cell>
          <cell r="J215">
            <v>0</v>
          </cell>
          <cell r="K215">
            <v>0</v>
          </cell>
        </row>
        <row r="216">
          <cell r="A216">
            <v>0</v>
          </cell>
          <cell r="J216">
            <v>0</v>
          </cell>
          <cell r="K216">
            <v>0</v>
          </cell>
        </row>
        <row r="217">
          <cell r="A217">
            <v>0</v>
          </cell>
          <cell r="J217">
            <v>0</v>
          </cell>
          <cell r="K217">
            <v>0</v>
          </cell>
        </row>
        <row r="218">
          <cell r="A218">
            <v>0</v>
          </cell>
          <cell r="J218">
            <v>0</v>
          </cell>
          <cell r="K218">
            <v>0</v>
          </cell>
        </row>
        <row r="219">
          <cell r="A219">
            <v>0</v>
          </cell>
          <cell r="J219">
            <v>0</v>
          </cell>
          <cell r="K219">
            <v>0</v>
          </cell>
        </row>
        <row r="220">
          <cell r="A220">
            <v>0</v>
          </cell>
          <cell r="J220">
            <v>0</v>
          </cell>
          <cell r="K220">
            <v>0</v>
          </cell>
        </row>
        <row r="221">
          <cell r="C221" t="str">
            <v>Total</v>
          </cell>
          <cell r="D221">
            <v>1064488887.09</v>
          </cell>
          <cell r="E221">
            <v>1064488887.0899999</v>
          </cell>
          <cell r="F221">
            <v>0</v>
          </cell>
          <cell r="G221">
            <v>0</v>
          </cell>
          <cell r="H221">
            <v>0</v>
          </cell>
          <cell r="I221">
            <v>0</v>
          </cell>
          <cell r="J221">
            <v>0</v>
          </cell>
          <cell r="K221">
            <v>0</v>
          </cell>
        </row>
        <row r="222">
          <cell r="F222" t="e">
            <v>#REF!</v>
          </cell>
          <cell r="G222" t="e">
            <v>#REF!</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BHANDUPSEP"/>
      <sheetName val="BHANDUP"/>
      <sheetName val="BOQ"/>
      <sheetName val="WTP"/>
      <sheetName val="structurewise"/>
      <sheetName val="balance Work"/>
      <sheetName val="Sheet2"/>
      <sheetName val="Sheet3"/>
      <sheetName val="Headings"/>
      <sheetName val="Fee Rate Summary"/>
      <sheetName val="final abstract"/>
      <sheetName val="Names&amp;Cases"/>
      <sheetName val="7 Other Costs"/>
      <sheetName val="MN T.B."/>
      <sheetName val="Oragadam Deal"/>
      <sheetName val="D2"/>
      <sheetName val="4vs3"/>
      <sheetName val="Qty-UG"/>
      <sheetName val="Sheet3 (2)"/>
      <sheetName val="INDSAL99.XLS"/>
      <sheetName val="CB_PRD99.XLS"/>
      <sheetName val="Exp"/>
      <sheetName val="Occ, Other Rev, Exp, Dispo"/>
      <sheetName val="Summary"/>
      <sheetName val="Register"/>
      <sheetName val="train cash"/>
      <sheetName val="accom cash"/>
      <sheetName val="Core Data"/>
      <sheetName val="S1BOQ"/>
      <sheetName val="Assumptions-Input"/>
      <sheetName val="Material List "/>
      <sheetName val="dyes"/>
      <sheetName val="UTILITY"/>
      <sheetName val="Design"/>
      <sheetName val="col-reinft1"/>
      <sheetName val="S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nc."/>
      <sheetName val="Bermuda"/>
      <sheetName val="India "/>
      <sheetName val="China"/>
      <sheetName val="com"/>
      <sheetName val="Singapore"/>
      <sheetName val="For Excel"/>
    </sheetNames>
    <sheetDataSet>
      <sheetData sheetId="0" refreshError="1">
        <row r="89">
          <cell r="C89" t="str">
            <v>IP 1</v>
          </cell>
        </row>
        <row r="90">
          <cell r="C90" t="str">
            <v>IP 2</v>
          </cell>
        </row>
        <row r="91">
          <cell r="C91" t="str">
            <v>IP 3</v>
          </cell>
        </row>
        <row r="92">
          <cell r="C92" t="str">
            <v>IP 4</v>
          </cell>
        </row>
        <row r="93">
          <cell r="C93" t="str">
            <v>IP 5</v>
          </cell>
        </row>
        <row r="94">
          <cell r="C94" t="str">
            <v>IR 1</v>
          </cell>
        </row>
        <row r="95">
          <cell r="C95" t="str">
            <v>IR 2</v>
          </cell>
        </row>
        <row r="96">
          <cell r="C96" t="str">
            <v>IR 3</v>
          </cell>
        </row>
        <row r="97">
          <cell r="C97" t="str">
            <v>IR 4</v>
          </cell>
        </row>
        <row r="98">
          <cell r="C98" t="str">
            <v>BR 1</v>
          </cell>
        </row>
        <row r="99">
          <cell r="C99" t="str">
            <v>BR 2</v>
          </cell>
        </row>
        <row r="100">
          <cell r="C100" t="str">
            <v>MR 1</v>
          </cell>
        </row>
        <row r="101">
          <cell r="C101" t="str">
            <v>MR 2</v>
          </cell>
        </row>
        <row r="102">
          <cell r="C102" t="str">
            <v>CRC</v>
          </cell>
        </row>
        <row r="103">
          <cell r="C103" t="str">
            <v>MR</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
      <sheetName val="G1"/>
      <sheetName val="A"/>
      <sheetName val="B"/>
      <sheetName val="C"/>
      <sheetName val="D"/>
      <sheetName val="AA"/>
      <sheetName val="AA1"/>
      <sheetName val="DD1"/>
      <sheetName val="DD2"/>
      <sheetName val="AA2"/>
      <sheetName val="Transacciones afiliadas"/>
    </sheetNames>
    <sheetDataSet>
      <sheetData sheetId="0"/>
      <sheetData sheetId="1"/>
      <sheetData sheetId="2"/>
      <sheetData sheetId="3"/>
      <sheetData sheetId="4" refreshError="1">
        <row r="1">
          <cell r="A1" t="str">
            <v>DIOPTRA, S.A. DE C.V.</v>
          </cell>
        </row>
        <row r="2">
          <cell r="A2" t="str">
            <v>08 INVENTARIOS.- INTEGRACION AL 30 DE JUNIO DEL 2000.</v>
          </cell>
        </row>
        <row r="4">
          <cell r="B4" t="str">
            <v>D E S C R I P C I O N</v>
          </cell>
          <cell r="D4" t="str">
            <v>PARCIAL</v>
          </cell>
          <cell r="E4" t="str">
            <v>TOTAL</v>
          </cell>
        </row>
        <row r="6">
          <cell r="A6" t="str">
            <v>01</v>
          </cell>
          <cell r="B6" t="str">
            <v>ARTICULOS TERMINADOS</v>
          </cell>
        </row>
        <row r="7">
          <cell r="A7" t="str">
            <v>02</v>
          </cell>
          <cell r="B7" t="str">
            <v>ARTICULOS IMPORTADOS</v>
          </cell>
        </row>
        <row r="8">
          <cell r="B8" t="str">
            <v>01  ARMAZONES</v>
          </cell>
          <cell r="E8">
            <v>173168.24000000028</v>
          </cell>
        </row>
        <row r="10">
          <cell r="A10" t="str">
            <v>05</v>
          </cell>
          <cell r="B10" t="str">
            <v>REFACC. FRESAS Y CORTADORES</v>
          </cell>
        </row>
        <row r="11">
          <cell r="A11" t="str">
            <v>01</v>
          </cell>
          <cell r="B11" t="str">
            <v>DE LINEA</v>
          </cell>
          <cell r="D11">
            <v>155006.12</v>
          </cell>
        </row>
        <row r="12">
          <cell r="B12" t="str">
            <v>02     DE LENTO MOVIMIENTO</v>
          </cell>
          <cell r="D12">
            <v>12157.59</v>
          </cell>
          <cell r="E12">
            <v>167163.71</v>
          </cell>
        </row>
        <row r="15">
          <cell r="A15" t="str">
            <v>08</v>
          </cell>
          <cell r="B15" t="str">
            <v>MERCANCIAS EN TRANSITO</v>
          </cell>
        </row>
        <row r="16">
          <cell r="A16" t="str">
            <v>01</v>
          </cell>
          <cell r="B16" t="str">
            <v>MOULIN OPTICAL MANUFACTORY</v>
          </cell>
          <cell r="D16">
            <v>22885.200000000001</v>
          </cell>
        </row>
        <row r="17">
          <cell r="A17" t="str">
            <v>15</v>
          </cell>
          <cell r="B17" t="str">
            <v>L.B.I. KOREA, LTD.</v>
          </cell>
          <cell r="D17">
            <v>31508.39</v>
          </cell>
        </row>
        <row r="18">
          <cell r="A18" t="str">
            <v>24</v>
          </cell>
          <cell r="B18" t="str">
            <v>L.B.I. LUNETTE, LTD.</v>
          </cell>
          <cell r="D18">
            <v>46254.44</v>
          </cell>
        </row>
        <row r="19">
          <cell r="A19" t="str">
            <v>28</v>
          </cell>
          <cell r="B19" t="str">
            <v>CE-TRU OPTICAL</v>
          </cell>
          <cell r="D19">
            <v>36099.869999999995</v>
          </cell>
          <cell r="E19">
            <v>136747.9</v>
          </cell>
        </row>
        <row r="20">
          <cell r="C20" t="str">
            <v>PARCIAL</v>
          </cell>
          <cell r="E20">
            <v>477079.85000000033</v>
          </cell>
        </row>
        <row r="22">
          <cell r="B22" t="str">
            <v>MENOS: RESERVA PARA INV. OBSOLETOS</v>
          </cell>
          <cell r="E22">
            <v>-167163.71</v>
          </cell>
        </row>
        <row r="24">
          <cell r="B24" t="str">
            <v>TOTAL INVENTARIOS</v>
          </cell>
          <cell r="E24">
            <v>309916.14000000036</v>
          </cell>
        </row>
      </sheetData>
      <sheetData sheetId="5"/>
      <sheetData sheetId="6"/>
      <sheetData sheetId="7"/>
      <sheetData sheetId="8"/>
      <sheetData sheetId="9"/>
      <sheetData sheetId="10"/>
      <sheetData sheetId="1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GRPGS"/>
      <sheetName val="FA-DEPR"/>
      <sheetName val="3CD"/>
      <sheetName val="3CDSTAT"/>
      <sheetName val="STI"/>
    </sheetNames>
    <sheetDataSet>
      <sheetData sheetId="0"/>
      <sheetData sheetId="1"/>
      <sheetData sheetId="2"/>
      <sheetData sheetId="3"/>
      <sheetData sheetId="4"/>
      <sheetData sheetId="5"/>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Managed_Plans"/>
      <sheetName val="REV_PROJ"/>
      <sheetName val="Price_Comparison"/>
      <sheetName val="AC_Cost_XC"/>
      <sheetName val="AC_Cost_KU"/>
      <sheetName val="PC_Cost_XC"/>
      <sheetName val="PC_Cost_Ku"/>
      <sheetName val="Margin"/>
      <sheetName val="Sheet1"/>
      <sheetName val="(Comtech)vs(HX)"/>
      <sheetName val="ENT_PLAN_Legacy"/>
      <sheetName val="market_AC"/>
      <sheetName val="PC_Market"/>
      <sheetName val="HW"/>
      <sheetName val="Quotation_HX_XC_Backup"/>
      <sheetName val="T&amp;C"/>
      <sheetName val="Sheet2"/>
      <sheetName val="ROI"/>
    </sheetNames>
    <sheetDataSet>
      <sheetData sheetId="0" refreshError="1"/>
      <sheetData sheetId="1" refreshError="1"/>
      <sheetData sheetId="2" refreshError="1"/>
      <sheetData sheetId="3" refreshError="1"/>
      <sheetData sheetId="4" refreshError="1"/>
      <sheetData sheetId="5" refreshError="1">
        <row r="12">
          <cell r="B12">
            <v>0.75</v>
          </cell>
        </row>
        <row r="13">
          <cell r="B13">
            <v>1</v>
          </cell>
        </row>
        <row r="14">
          <cell r="B14">
            <v>1</v>
          </cell>
        </row>
      </sheetData>
      <sheetData sheetId="6" refreshError="1"/>
      <sheetData sheetId="7" refreshError="1">
        <row r="8">
          <cell r="B8">
            <v>0.75</v>
          </cell>
        </row>
        <row r="11">
          <cell r="B11">
            <v>0.5</v>
          </cell>
        </row>
        <row r="12">
          <cell r="B12">
            <v>0.65</v>
          </cell>
        </row>
        <row r="13">
          <cell r="B13">
            <v>0.27</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sheet"/>
      <sheetName val="Executive Summary Copy"/>
      <sheetName val="Executive Summary"/>
      <sheetName val="P &amp; L"/>
      <sheetName val="M-o-PM"/>
      <sheetName val="NETWORK"/>
      <sheetName val="CONSOL"/>
      <sheetName val="Region I"/>
      <sheetName val="Malar"/>
      <sheetName val="Vashi"/>
      <sheetName val="S L Raheja"/>
      <sheetName val="Region 2"/>
      <sheetName val="EHIRCL(Consol)"/>
      <sheetName val="EHIRCL"/>
      <sheetName val="Raipur"/>
      <sheetName val="Mohali"/>
      <sheetName val="Amritsar"/>
      <sheetName val="Lafemme"/>
      <sheetName val="VK"/>
      <sheetName val="Region 3"/>
      <sheetName val="Noida"/>
      <sheetName val="FBD"/>
      <sheetName val="Jaipur"/>
      <sheetName val="Jessaram"/>
      <sheetName val="Kota"/>
      <sheetName val="SB"/>
      <sheetName val="CORPORATE"/>
      <sheetName val="HO"/>
      <sheetName val="OSCAR"/>
      <sheetName val="RD1"/>
      <sheetName val="RD2"/>
      <sheetName val="RD3"/>
      <sheetName val="FESL"/>
      <sheetName val="ADJ-M"/>
      <sheetName val="ADJ-S"/>
      <sheetName val="Monthwise"/>
      <sheetName val="Analysis"/>
      <sheetName val="Budget 2010-11"/>
      <sheetName val="Actual 2010-11"/>
      <sheetName val="Actual 2009-10"/>
      <sheetName val="Bar Chart - FHL (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D7">
            <v>40268</v>
          </cell>
          <cell r="E7">
            <v>40298</v>
          </cell>
          <cell r="F7">
            <v>40329</v>
          </cell>
          <cell r="G7">
            <v>40359</v>
          </cell>
          <cell r="H7">
            <v>40390</v>
          </cell>
          <cell r="I7">
            <v>40421</v>
          </cell>
          <cell r="J7">
            <v>40451</v>
          </cell>
          <cell r="K7">
            <v>40482</v>
          </cell>
          <cell r="L7">
            <v>40512</v>
          </cell>
          <cell r="M7">
            <v>40543</v>
          </cell>
          <cell r="N7">
            <v>40574</v>
          </cell>
          <cell r="O7">
            <v>40602</v>
          </cell>
          <cell r="P7">
            <v>40633</v>
          </cell>
        </row>
        <row r="59">
          <cell r="C59" t="str">
            <v>Particulars</v>
          </cell>
        </row>
        <row r="60">
          <cell r="D60">
            <v>40268</v>
          </cell>
          <cell r="E60">
            <v>40298</v>
          </cell>
          <cell r="F60">
            <v>40329</v>
          </cell>
          <cell r="G60">
            <v>40359</v>
          </cell>
          <cell r="H60">
            <v>40390</v>
          </cell>
          <cell r="I60">
            <v>40421</v>
          </cell>
          <cell r="J60">
            <v>40451</v>
          </cell>
          <cell r="K60">
            <v>40482</v>
          </cell>
          <cell r="L60">
            <v>40512</v>
          </cell>
          <cell r="M60">
            <v>40543</v>
          </cell>
          <cell r="N60">
            <v>40574</v>
          </cell>
          <cell r="O60">
            <v>40602</v>
          </cell>
          <cell r="P60">
            <v>40633</v>
          </cell>
          <cell r="Q60" t="str">
            <v>Total</v>
          </cell>
        </row>
      </sheetData>
      <sheetData sheetId="38" refreshError="1">
        <row r="7">
          <cell r="D7">
            <v>40268</v>
          </cell>
          <cell r="E7">
            <v>40298</v>
          </cell>
          <cell r="F7">
            <v>40329</v>
          </cell>
          <cell r="G7">
            <v>40359</v>
          </cell>
          <cell r="H7">
            <v>40390</v>
          </cell>
          <cell r="I7">
            <v>40421</v>
          </cell>
          <cell r="J7">
            <v>40451</v>
          </cell>
          <cell r="K7">
            <v>40482</v>
          </cell>
          <cell r="L7">
            <v>40512</v>
          </cell>
          <cell r="M7">
            <v>40543</v>
          </cell>
          <cell r="N7">
            <v>40574</v>
          </cell>
          <cell r="O7">
            <v>40602</v>
          </cell>
          <cell r="P7">
            <v>40633</v>
          </cell>
        </row>
      </sheetData>
      <sheetData sheetId="39" refreshError="1">
        <row r="7">
          <cell r="E7">
            <v>40298</v>
          </cell>
          <cell r="F7">
            <v>40329</v>
          </cell>
          <cell r="G7">
            <v>40359</v>
          </cell>
          <cell r="H7">
            <v>40390</v>
          </cell>
          <cell r="I7">
            <v>40421</v>
          </cell>
          <cell r="J7">
            <v>40451</v>
          </cell>
          <cell r="K7">
            <v>40482</v>
          </cell>
          <cell r="L7">
            <v>40512</v>
          </cell>
          <cell r="M7">
            <v>40543</v>
          </cell>
          <cell r="N7">
            <v>40574</v>
          </cell>
          <cell r="O7">
            <v>40602</v>
          </cell>
          <cell r="P7">
            <v>40633</v>
          </cell>
        </row>
      </sheetData>
      <sheetData sheetId="40" refreshError="1">
        <row r="1">
          <cell r="F1">
            <v>40359</v>
          </cell>
        </row>
        <row r="9">
          <cell r="A9">
            <v>40298</v>
          </cell>
        </row>
        <row r="10">
          <cell r="A10">
            <v>40329</v>
          </cell>
        </row>
        <row r="11">
          <cell r="A11">
            <v>40359</v>
          </cell>
        </row>
        <row r="12">
          <cell r="A12">
            <v>40390</v>
          </cell>
        </row>
        <row r="13">
          <cell r="A13">
            <v>40421</v>
          </cell>
        </row>
        <row r="14">
          <cell r="A14">
            <v>40451</v>
          </cell>
        </row>
        <row r="15">
          <cell r="A15">
            <v>40482</v>
          </cell>
        </row>
        <row r="16">
          <cell r="A16">
            <v>40512</v>
          </cell>
        </row>
        <row r="17">
          <cell r="A17">
            <v>40543</v>
          </cell>
        </row>
        <row r="18">
          <cell r="A18">
            <v>40574</v>
          </cell>
        </row>
        <row r="19">
          <cell r="A19">
            <v>40602</v>
          </cell>
        </row>
        <row r="20">
          <cell r="A20">
            <v>40633</v>
          </cell>
        </row>
        <row r="29">
          <cell r="A29">
            <v>40298</v>
          </cell>
        </row>
        <row r="30">
          <cell r="A30">
            <v>40329</v>
          </cell>
        </row>
        <row r="31">
          <cell r="A31">
            <v>40359</v>
          </cell>
        </row>
        <row r="32">
          <cell r="A32">
            <v>40390</v>
          </cell>
        </row>
        <row r="33">
          <cell r="A33">
            <v>40421</v>
          </cell>
        </row>
        <row r="34">
          <cell r="A34">
            <v>40451</v>
          </cell>
        </row>
        <row r="35">
          <cell r="A35">
            <v>40482</v>
          </cell>
        </row>
        <row r="36">
          <cell r="A36">
            <v>40512</v>
          </cell>
        </row>
        <row r="37">
          <cell r="A37">
            <v>40543</v>
          </cell>
        </row>
        <row r="38">
          <cell r="A38">
            <v>40574</v>
          </cell>
        </row>
        <row r="39">
          <cell r="A39">
            <v>40602</v>
          </cell>
        </row>
        <row r="40">
          <cell r="A40">
            <v>40633</v>
          </cell>
        </row>
        <row r="48">
          <cell r="A48">
            <v>40298</v>
          </cell>
        </row>
        <row r="49">
          <cell r="A49">
            <v>40329</v>
          </cell>
        </row>
        <row r="50">
          <cell r="A50">
            <v>40359</v>
          </cell>
        </row>
        <row r="51">
          <cell r="A51">
            <v>40390</v>
          </cell>
        </row>
        <row r="52">
          <cell r="A52">
            <v>40421</v>
          </cell>
        </row>
        <row r="53">
          <cell r="A53">
            <v>40451</v>
          </cell>
        </row>
        <row r="54">
          <cell r="A54">
            <v>40482</v>
          </cell>
        </row>
        <row r="55">
          <cell r="A55">
            <v>40512</v>
          </cell>
        </row>
        <row r="56">
          <cell r="A56">
            <v>40543</v>
          </cell>
        </row>
        <row r="57">
          <cell r="A57">
            <v>40574</v>
          </cell>
        </row>
        <row r="58">
          <cell r="A58">
            <v>40602</v>
          </cell>
        </row>
        <row r="59">
          <cell r="A59">
            <v>40633</v>
          </cell>
        </row>
        <row r="65">
          <cell r="A65">
            <v>40298</v>
          </cell>
        </row>
        <row r="66">
          <cell r="A66">
            <v>40329</v>
          </cell>
        </row>
        <row r="67">
          <cell r="A67">
            <v>40359</v>
          </cell>
        </row>
        <row r="68">
          <cell r="A68">
            <v>40390</v>
          </cell>
        </row>
        <row r="69">
          <cell r="A69">
            <v>40421</v>
          </cell>
        </row>
        <row r="70">
          <cell r="A70">
            <v>40451</v>
          </cell>
        </row>
        <row r="71">
          <cell r="A71">
            <v>40482</v>
          </cell>
        </row>
        <row r="72">
          <cell r="A72">
            <v>40512</v>
          </cell>
        </row>
        <row r="73">
          <cell r="A73">
            <v>40543</v>
          </cell>
        </row>
        <row r="74">
          <cell r="A74">
            <v>40574</v>
          </cell>
        </row>
        <row r="75">
          <cell r="A75">
            <v>40602</v>
          </cell>
        </row>
        <row r="76">
          <cell r="A76">
            <v>40633</v>
          </cell>
        </row>
        <row r="84">
          <cell r="A84">
            <v>40298</v>
          </cell>
        </row>
        <row r="85">
          <cell r="A85">
            <v>40329</v>
          </cell>
        </row>
        <row r="86">
          <cell r="A86">
            <v>40359</v>
          </cell>
        </row>
        <row r="87">
          <cell r="A87">
            <v>40390</v>
          </cell>
        </row>
        <row r="88">
          <cell r="A88">
            <v>40421</v>
          </cell>
        </row>
        <row r="89">
          <cell r="A89">
            <v>40451</v>
          </cell>
        </row>
        <row r="90">
          <cell r="A90">
            <v>40482</v>
          </cell>
        </row>
        <row r="91">
          <cell r="A91">
            <v>40512</v>
          </cell>
        </row>
        <row r="92">
          <cell r="A92">
            <v>40543</v>
          </cell>
        </row>
        <row r="93">
          <cell r="A93">
            <v>40574</v>
          </cell>
        </row>
        <row r="94">
          <cell r="A94">
            <v>40602</v>
          </cell>
        </row>
        <row r="95">
          <cell r="A95">
            <v>40633</v>
          </cell>
        </row>
        <row r="103">
          <cell r="A103">
            <v>40298</v>
          </cell>
        </row>
        <row r="104">
          <cell r="A104">
            <v>40329</v>
          </cell>
        </row>
        <row r="105">
          <cell r="A105">
            <v>40359</v>
          </cell>
        </row>
        <row r="106">
          <cell r="A106">
            <v>40390</v>
          </cell>
        </row>
        <row r="107">
          <cell r="A107">
            <v>40421</v>
          </cell>
        </row>
        <row r="108">
          <cell r="A108">
            <v>40451</v>
          </cell>
        </row>
        <row r="109">
          <cell r="A109">
            <v>40482</v>
          </cell>
        </row>
        <row r="110">
          <cell r="A110">
            <v>40512</v>
          </cell>
        </row>
        <row r="111">
          <cell r="A111">
            <v>40543</v>
          </cell>
        </row>
        <row r="112">
          <cell r="A112">
            <v>40574</v>
          </cell>
        </row>
        <row r="113">
          <cell r="A113">
            <v>40602</v>
          </cell>
        </row>
        <row r="114">
          <cell r="A114">
            <v>40633</v>
          </cell>
        </row>
      </sheetData>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C"/>
      <sheetName val="ACTIVO FIJO"/>
      <sheetName val="REPOMO"/>
      <sheetName val="RESUMEN"/>
      <sheetName val="POLIZA"/>
      <sheetName val="ESTADO DE RESULTADOS"/>
      <sheetName val="MATRIZ"/>
    </sheetNames>
    <sheetDataSet>
      <sheetData sheetId="0"/>
      <sheetData sheetId="1"/>
      <sheetData sheetId="2"/>
      <sheetData sheetId="3" refreshError="1">
        <row r="72">
          <cell r="A72" t="str">
            <v>TERRENOS</v>
          </cell>
          <cell r="B72" t="str">
            <v>IMPORTE</v>
          </cell>
          <cell r="C72" t="str">
            <v>IMPORTE</v>
          </cell>
          <cell r="D72" t="str">
            <v>INPC</v>
          </cell>
          <cell r="E72" t="str">
            <v>INPC</v>
          </cell>
          <cell r="F72" t="str">
            <v>FACTOR DE</v>
          </cell>
          <cell r="G72" t="str">
            <v>INVERSION</v>
          </cell>
          <cell r="H72" t="str">
            <v>EFECTO DE</v>
          </cell>
          <cell r="K72" t="str">
            <v>IMP. ACT.</v>
          </cell>
        </row>
        <row r="73">
          <cell r="B73" t="str">
            <v>ACT. ALTAS</v>
          </cell>
          <cell r="C73" t="str">
            <v>INI MES</v>
          </cell>
          <cell r="D73" t="str">
            <v>MES ANT.</v>
          </cell>
          <cell r="E73" t="str">
            <v>MES ACTUAL</v>
          </cell>
          <cell r="F73" t="str">
            <v>ACTUALIZACION</v>
          </cell>
          <cell r="G73" t="str">
            <v>ACTUALIZADA</v>
          </cell>
          <cell r="H73" t="str">
            <v>ACTUALIZACION</v>
          </cell>
          <cell r="I73" t="str">
            <v>ALTAS</v>
          </cell>
          <cell r="J73" t="str">
            <v>BAJAS</v>
          </cell>
          <cell r="K73" t="str">
            <v>FIN DE MES</v>
          </cell>
        </row>
        <row r="74">
          <cell r="A74" t="str">
            <v>ENERO</v>
          </cell>
          <cell r="B74">
            <v>0</v>
          </cell>
          <cell r="C74">
            <v>31112323.110000003</v>
          </cell>
          <cell r="D74">
            <v>308.91899999999998</v>
          </cell>
          <cell r="E74">
            <v>313.06700000000001</v>
          </cell>
          <cell r="F74">
            <v>1.0134274680417845</v>
          </cell>
          <cell r="G74">
            <v>31530082.834265202</v>
          </cell>
          <cell r="H74">
            <v>417759.72426519915</v>
          </cell>
          <cell r="J74">
            <v>0</v>
          </cell>
          <cell r="K74">
            <v>31530082.834265202</v>
          </cell>
        </row>
        <row r="75">
          <cell r="A75" t="str">
            <v>FEBRERO</v>
          </cell>
          <cell r="B75">
            <v>0</v>
          </cell>
          <cell r="C75">
            <v>31530082.834265202</v>
          </cell>
          <cell r="D75">
            <v>313.06700000000001</v>
          </cell>
          <cell r="E75">
            <v>315.84399999999999</v>
          </cell>
          <cell r="F75">
            <v>1.0088703057173065</v>
          </cell>
          <cell r="G75">
            <v>31809764.308297131</v>
          </cell>
          <cell r="H75">
            <v>279681.47403192893</v>
          </cell>
          <cell r="J75">
            <v>0</v>
          </cell>
          <cell r="K75">
            <v>31809764.308297131</v>
          </cell>
        </row>
        <row r="76">
          <cell r="A76" t="str">
            <v>MARZO</v>
          </cell>
          <cell r="B76">
            <v>0</v>
          </cell>
          <cell r="C76">
            <v>31809764.308297131</v>
          </cell>
          <cell r="D76">
            <v>315.84399999999999</v>
          </cell>
          <cell r="E76">
            <v>317.59500000000003</v>
          </cell>
          <cell r="F76">
            <v>1.0055438760907285</v>
          </cell>
          <cell r="G76">
            <v>31986113.700097609</v>
          </cell>
          <cell r="H76">
            <v>176349.3918004781</v>
          </cell>
          <cell r="J76">
            <v>0</v>
          </cell>
          <cell r="K76">
            <v>31986113.700097609</v>
          </cell>
        </row>
        <row r="77">
          <cell r="A77" t="str">
            <v>ABRIL</v>
          </cell>
          <cell r="B77">
            <v>0</v>
          </cell>
          <cell r="C77">
            <v>31986113.700097609</v>
          </cell>
          <cell r="D77">
            <v>317.59500000000003</v>
          </cell>
          <cell r="F77">
            <v>0</v>
          </cell>
          <cell r="G77">
            <v>0</v>
          </cell>
          <cell r="H77">
            <v>-31986113.700097609</v>
          </cell>
          <cell r="J77">
            <v>0</v>
          </cell>
          <cell r="K77">
            <v>0</v>
          </cell>
        </row>
        <row r="78">
          <cell r="A78" t="str">
            <v>MAYO</v>
          </cell>
          <cell r="B78">
            <v>0</v>
          </cell>
          <cell r="C78">
            <v>0</v>
          </cell>
          <cell r="D78">
            <v>0</v>
          </cell>
          <cell r="F78">
            <v>0</v>
          </cell>
          <cell r="G78">
            <v>0</v>
          </cell>
          <cell r="H78">
            <v>0</v>
          </cell>
          <cell r="J78">
            <v>0</v>
          </cell>
          <cell r="K78">
            <v>0</v>
          </cell>
        </row>
        <row r="79">
          <cell r="A79" t="str">
            <v>JUNIO</v>
          </cell>
          <cell r="B79">
            <v>0</v>
          </cell>
          <cell r="C79">
            <v>0</v>
          </cell>
          <cell r="D79">
            <v>0</v>
          </cell>
          <cell r="F79">
            <v>0</v>
          </cell>
          <cell r="G79">
            <v>0</v>
          </cell>
          <cell r="H79">
            <v>0</v>
          </cell>
          <cell r="J79">
            <v>0</v>
          </cell>
          <cell r="K79">
            <v>0</v>
          </cell>
        </row>
        <row r="80">
          <cell r="A80" t="str">
            <v>JULIO</v>
          </cell>
          <cell r="B80">
            <v>0</v>
          </cell>
          <cell r="C80">
            <v>0</v>
          </cell>
          <cell r="D80">
            <v>0</v>
          </cell>
          <cell r="F80">
            <v>0</v>
          </cell>
          <cell r="G80">
            <v>0</v>
          </cell>
          <cell r="H80">
            <v>0</v>
          </cell>
          <cell r="J80">
            <v>0</v>
          </cell>
          <cell r="K80">
            <v>0</v>
          </cell>
        </row>
        <row r="81">
          <cell r="A81" t="str">
            <v>AGOSTO</v>
          </cell>
          <cell r="B81">
            <v>0</v>
          </cell>
          <cell r="C81">
            <v>0</v>
          </cell>
          <cell r="D81">
            <v>0</v>
          </cell>
          <cell r="F81">
            <v>0</v>
          </cell>
          <cell r="G81">
            <v>0</v>
          </cell>
          <cell r="H81">
            <v>0</v>
          </cell>
          <cell r="J81">
            <v>0</v>
          </cell>
          <cell r="K81">
            <v>0</v>
          </cell>
        </row>
        <row r="82">
          <cell r="A82" t="str">
            <v>SEPTIEMBRE</v>
          </cell>
          <cell r="B82">
            <v>0</v>
          </cell>
          <cell r="C82">
            <v>0</v>
          </cell>
          <cell r="D82">
            <v>0</v>
          </cell>
          <cell r="F82">
            <v>0</v>
          </cell>
          <cell r="G82">
            <v>0</v>
          </cell>
          <cell r="H82">
            <v>0</v>
          </cell>
          <cell r="J82">
            <v>0</v>
          </cell>
          <cell r="K82">
            <v>0</v>
          </cell>
        </row>
        <row r="83">
          <cell r="A83" t="str">
            <v>OCTUBRE</v>
          </cell>
          <cell r="B83">
            <v>0</v>
          </cell>
          <cell r="C83">
            <v>0</v>
          </cell>
          <cell r="D83">
            <v>0</v>
          </cell>
          <cell r="F83">
            <v>0</v>
          </cell>
          <cell r="G83">
            <v>0</v>
          </cell>
          <cell r="H83">
            <v>0</v>
          </cell>
          <cell r="J83">
            <v>0</v>
          </cell>
          <cell r="K83">
            <v>0</v>
          </cell>
        </row>
        <row r="84">
          <cell r="A84" t="str">
            <v>NOVIEMBRE</v>
          </cell>
          <cell r="B84">
            <v>0</v>
          </cell>
          <cell r="C84">
            <v>0</v>
          </cell>
          <cell r="D84">
            <v>0</v>
          </cell>
          <cell r="F84">
            <v>0</v>
          </cell>
          <cell r="G84">
            <v>0</v>
          </cell>
          <cell r="H84">
            <v>0</v>
          </cell>
          <cell r="J84">
            <v>0</v>
          </cell>
          <cell r="K84">
            <v>0</v>
          </cell>
        </row>
        <row r="85">
          <cell r="A85" t="str">
            <v>DICIEMBRE</v>
          </cell>
          <cell r="B85">
            <v>0</v>
          </cell>
          <cell r="C85">
            <v>0</v>
          </cell>
          <cell r="D85">
            <v>0</v>
          </cell>
          <cell r="F85">
            <v>0</v>
          </cell>
          <cell r="G85">
            <v>0</v>
          </cell>
          <cell r="H85">
            <v>0</v>
          </cell>
          <cell r="J85">
            <v>0</v>
          </cell>
          <cell r="K85">
            <v>0</v>
          </cell>
        </row>
        <row r="86">
          <cell r="H86">
            <v>-31112323.110000003</v>
          </cell>
          <cell r="J86">
            <v>0</v>
          </cell>
        </row>
      </sheetData>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TS"/>
      <sheetName val="GRF"/>
      <sheetName val="INN"/>
      <sheetName val="PUB"/>
      <sheetName val="IS Mo"/>
      <sheetName val="Fiscal View"/>
      <sheetName val="Simp IS"/>
    </sheetNames>
    <sheetDataSet>
      <sheetData sheetId="0"/>
      <sheetData sheetId="1"/>
      <sheetData sheetId="2"/>
      <sheetData sheetId="3"/>
      <sheetData sheetId="4">
        <row r="1">
          <cell r="A1" t="str">
            <v>The GTS Companies</v>
          </cell>
        </row>
        <row r="2">
          <cell r="A2" t="str">
            <v>Income Statement by Business Unit</v>
          </cell>
        </row>
        <row r="3">
          <cell r="A3" t="str">
            <v>For the Month Ended August 31, 2001</v>
          </cell>
        </row>
        <row r="4">
          <cell r="A4" t="str">
            <v>($ in '000's)</v>
          </cell>
        </row>
        <row r="6">
          <cell r="C6" t="str">
            <v>TOTAL</v>
          </cell>
          <cell r="J6" t="str">
            <v>GRAPHICS</v>
          </cell>
          <cell r="Q6" t="str">
            <v>PUBLISHING SERVICES</v>
          </cell>
          <cell r="X6" t="str">
            <v>INNOVA</v>
          </cell>
          <cell r="AD6" t="str">
            <v>Full Year</v>
          </cell>
          <cell r="AE6" t="str">
            <v>Full Year</v>
          </cell>
        </row>
        <row r="7">
          <cell r="C7">
            <v>37104</v>
          </cell>
          <cell r="D7">
            <v>37104</v>
          </cell>
          <cell r="G7">
            <v>37104</v>
          </cell>
          <cell r="H7">
            <v>36739</v>
          </cell>
          <cell r="J7">
            <v>37104</v>
          </cell>
          <cell r="K7">
            <v>37104</v>
          </cell>
          <cell r="N7">
            <v>37104</v>
          </cell>
          <cell r="O7">
            <v>36739</v>
          </cell>
          <cell r="Q7">
            <v>37104</v>
          </cell>
          <cell r="R7">
            <v>37104</v>
          </cell>
          <cell r="U7">
            <v>37104</v>
          </cell>
          <cell r="V7">
            <v>36739</v>
          </cell>
          <cell r="X7">
            <v>37104</v>
          </cell>
          <cell r="Y7">
            <v>37104</v>
          </cell>
          <cell r="AB7">
            <v>37104</v>
          </cell>
          <cell r="AC7">
            <v>36739</v>
          </cell>
          <cell r="AD7">
            <v>2001</v>
          </cell>
          <cell r="AE7">
            <v>2000</v>
          </cell>
        </row>
        <row r="8">
          <cell r="C8" t="str">
            <v>Actual</v>
          </cell>
          <cell r="D8" t="str">
            <v>Forecast</v>
          </cell>
          <cell r="E8" t="str">
            <v>$ Var</v>
          </cell>
          <cell r="F8" t="str">
            <v>% Var</v>
          </cell>
          <cell r="G8" t="str">
            <v>Budget</v>
          </cell>
          <cell r="H8" t="str">
            <v>Actual</v>
          </cell>
          <cell r="J8" t="str">
            <v>Actual</v>
          </cell>
          <cell r="K8" t="str">
            <v>Forecast</v>
          </cell>
          <cell r="L8" t="str">
            <v>$ Var</v>
          </cell>
          <cell r="M8" t="str">
            <v>% Var</v>
          </cell>
          <cell r="N8" t="str">
            <v>Budget</v>
          </cell>
          <cell r="O8" t="str">
            <v>Actual</v>
          </cell>
          <cell r="Q8" t="str">
            <v>Actual</v>
          </cell>
          <cell r="R8" t="str">
            <v>Forecast</v>
          </cell>
          <cell r="S8" t="str">
            <v>$ Var</v>
          </cell>
          <cell r="T8" t="str">
            <v>% Var</v>
          </cell>
          <cell r="U8" t="str">
            <v>Budget</v>
          </cell>
          <cell r="V8" t="str">
            <v>Actual</v>
          </cell>
          <cell r="X8" t="str">
            <v>Actual</v>
          </cell>
          <cell r="Y8" t="str">
            <v>Forecast</v>
          </cell>
          <cell r="Z8" t="str">
            <v>$ Var</v>
          </cell>
          <cell r="AA8" t="str">
            <v>% Var</v>
          </cell>
          <cell r="AB8" t="str">
            <v>Budget</v>
          </cell>
          <cell r="AC8" t="str">
            <v>Actual</v>
          </cell>
          <cell r="AD8" t="str">
            <v>Forecast</v>
          </cell>
          <cell r="AE8" t="str">
            <v>Actual</v>
          </cell>
        </row>
        <row r="10">
          <cell r="AH10">
            <v>1</v>
          </cell>
          <cell r="AI10">
            <v>2</v>
          </cell>
          <cell r="AJ10">
            <v>3</v>
          </cell>
          <cell r="AK10">
            <v>4</v>
          </cell>
          <cell r="AL10">
            <v>5</v>
          </cell>
          <cell r="AM10">
            <v>6</v>
          </cell>
          <cell r="AN10">
            <v>7</v>
          </cell>
          <cell r="AO10">
            <v>8</v>
          </cell>
          <cell r="AP10">
            <v>9</v>
          </cell>
          <cell r="AQ10">
            <v>10</v>
          </cell>
          <cell r="AR10">
            <v>11</v>
          </cell>
          <cell r="AS10">
            <v>12</v>
          </cell>
          <cell r="AW10">
            <v>1</v>
          </cell>
          <cell r="AX10">
            <v>2</v>
          </cell>
          <cell r="AY10">
            <v>3</v>
          </cell>
          <cell r="AZ10">
            <v>4</v>
          </cell>
          <cell r="BA10">
            <v>5</v>
          </cell>
          <cell r="BB10">
            <v>6</v>
          </cell>
          <cell r="BC10">
            <v>7</v>
          </cell>
          <cell r="BD10">
            <v>8</v>
          </cell>
          <cell r="BE10">
            <v>9</v>
          </cell>
          <cell r="BF10">
            <v>10</v>
          </cell>
          <cell r="BG10">
            <v>11</v>
          </cell>
          <cell r="BH10">
            <v>12</v>
          </cell>
          <cell r="BL10">
            <v>1</v>
          </cell>
          <cell r="BM10">
            <v>2</v>
          </cell>
          <cell r="BN10">
            <v>3</v>
          </cell>
          <cell r="BO10">
            <v>4</v>
          </cell>
          <cell r="BP10">
            <v>5</v>
          </cell>
          <cell r="BQ10">
            <v>6</v>
          </cell>
          <cell r="BR10">
            <v>7</v>
          </cell>
          <cell r="BS10">
            <v>8</v>
          </cell>
          <cell r="BT10">
            <v>9</v>
          </cell>
          <cell r="BU10">
            <v>10</v>
          </cell>
          <cell r="BV10">
            <v>11</v>
          </cell>
          <cell r="BW10">
            <v>12</v>
          </cell>
          <cell r="CP10">
            <v>1</v>
          </cell>
          <cell r="CQ10">
            <v>2</v>
          </cell>
          <cell r="CR10">
            <v>3</v>
          </cell>
          <cell r="CS10">
            <v>4</v>
          </cell>
          <cell r="CT10">
            <v>5</v>
          </cell>
          <cell r="CU10">
            <v>6</v>
          </cell>
          <cell r="CV10">
            <v>7</v>
          </cell>
          <cell r="CW10">
            <v>8</v>
          </cell>
          <cell r="CX10">
            <v>9</v>
          </cell>
          <cell r="CY10">
            <v>10</v>
          </cell>
          <cell r="CZ10">
            <v>11</v>
          </cell>
          <cell r="DA10">
            <v>12</v>
          </cell>
          <cell r="DE10">
            <v>1</v>
          </cell>
          <cell r="DF10">
            <v>2</v>
          </cell>
          <cell r="DG10">
            <v>3</v>
          </cell>
          <cell r="DH10">
            <v>4</v>
          </cell>
          <cell r="DI10">
            <v>5</v>
          </cell>
          <cell r="DJ10">
            <v>6</v>
          </cell>
          <cell r="DK10">
            <v>7</v>
          </cell>
          <cell r="DL10">
            <v>8</v>
          </cell>
          <cell r="DM10">
            <v>9</v>
          </cell>
          <cell r="DN10">
            <v>10</v>
          </cell>
          <cell r="DO10">
            <v>11</v>
          </cell>
          <cell r="DP10">
            <v>12</v>
          </cell>
          <cell r="DT10">
            <v>1</v>
          </cell>
          <cell r="DU10">
            <v>2</v>
          </cell>
          <cell r="DV10">
            <v>3</v>
          </cell>
          <cell r="DW10">
            <v>4</v>
          </cell>
          <cell r="DX10">
            <v>5</v>
          </cell>
          <cell r="DY10">
            <v>6</v>
          </cell>
          <cell r="DZ10">
            <v>7</v>
          </cell>
          <cell r="EA10">
            <v>8</v>
          </cell>
          <cell r="EB10">
            <v>9</v>
          </cell>
          <cell r="EC10">
            <v>10</v>
          </cell>
          <cell r="ED10">
            <v>11</v>
          </cell>
          <cell r="EE10">
            <v>12</v>
          </cell>
          <cell r="EX10">
            <v>1</v>
          </cell>
          <cell r="EY10">
            <v>2</v>
          </cell>
          <cell r="EZ10">
            <v>3</v>
          </cell>
          <cell r="FA10">
            <v>4</v>
          </cell>
          <cell r="FB10">
            <v>5</v>
          </cell>
          <cell r="FC10">
            <v>6</v>
          </cell>
          <cell r="FD10">
            <v>7</v>
          </cell>
          <cell r="FE10">
            <v>8</v>
          </cell>
          <cell r="FF10">
            <v>9</v>
          </cell>
          <cell r="FG10">
            <v>10</v>
          </cell>
          <cell r="FH10">
            <v>11</v>
          </cell>
          <cell r="FI10">
            <v>12</v>
          </cell>
          <cell r="FM10">
            <v>1</v>
          </cell>
          <cell r="FN10">
            <v>2</v>
          </cell>
          <cell r="FO10">
            <v>3</v>
          </cell>
          <cell r="FP10">
            <v>4</v>
          </cell>
          <cell r="FQ10">
            <v>5</v>
          </cell>
          <cell r="FR10">
            <v>6</v>
          </cell>
          <cell r="FS10">
            <v>7</v>
          </cell>
          <cell r="FT10">
            <v>8</v>
          </cell>
          <cell r="FU10">
            <v>9</v>
          </cell>
          <cell r="FV10">
            <v>10</v>
          </cell>
          <cell r="FW10">
            <v>11</v>
          </cell>
          <cell r="FX10">
            <v>12</v>
          </cell>
          <cell r="GB10">
            <v>1</v>
          </cell>
          <cell r="GC10">
            <v>2</v>
          </cell>
          <cell r="GD10">
            <v>3</v>
          </cell>
          <cell r="GE10">
            <v>4</v>
          </cell>
          <cell r="GF10">
            <v>5</v>
          </cell>
          <cell r="GG10">
            <v>6</v>
          </cell>
          <cell r="GH10">
            <v>7</v>
          </cell>
          <cell r="GI10">
            <v>8</v>
          </cell>
          <cell r="GJ10">
            <v>9</v>
          </cell>
          <cell r="GK10">
            <v>10</v>
          </cell>
          <cell r="GL10">
            <v>11</v>
          </cell>
          <cell r="GM10">
            <v>12</v>
          </cell>
        </row>
        <row r="11">
          <cell r="A11" t="str">
            <v>College Revenue</v>
          </cell>
          <cell r="C11">
            <v>0</v>
          </cell>
          <cell r="D11">
            <v>0</v>
          </cell>
          <cell r="E11">
            <v>0</v>
          </cell>
          <cell r="F11" t="str">
            <v>n/a</v>
          </cell>
          <cell r="G11">
            <v>277.10980961718417</v>
          </cell>
          <cell r="H11">
            <v>169.08809436288877</v>
          </cell>
          <cell r="J11">
            <v>0</v>
          </cell>
          <cell r="K11">
            <v>0</v>
          </cell>
          <cell r="L11">
            <v>0</v>
          </cell>
          <cell r="M11" t="str">
            <v>n/a</v>
          </cell>
          <cell r="N11">
            <v>248.1098096171842</v>
          </cell>
          <cell r="O11">
            <v>169.08809436288877</v>
          </cell>
          <cell r="Q11">
            <v>0</v>
          </cell>
          <cell r="R11">
            <v>0</v>
          </cell>
          <cell r="S11">
            <v>0</v>
          </cell>
          <cell r="T11" t="str">
            <v>n/a</v>
          </cell>
          <cell r="U11">
            <v>29</v>
          </cell>
          <cell r="V11">
            <v>0</v>
          </cell>
          <cell r="AD11">
            <v>4636.7506730877903</v>
          </cell>
          <cell r="AE11">
            <v>3407.378008070029</v>
          </cell>
          <cell r="AH11">
            <v>205214.26643880818</v>
          </cell>
          <cell r="AI11">
            <v>337953.89845597075</v>
          </cell>
          <cell r="AJ11">
            <v>436006.41343646194</v>
          </cell>
          <cell r="AK11">
            <v>505422.11964483239</v>
          </cell>
          <cell r="AL11">
            <v>386155.11396069604</v>
          </cell>
          <cell r="AM11">
            <v>843960.17184584751</v>
          </cell>
          <cell r="AN11">
            <v>199613.51718875617</v>
          </cell>
          <cell r="AO11">
            <v>259981.74211641788</v>
          </cell>
          <cell r="AW11">
            <v>71222</v>
          </cell>
          <cell r="AX11">
            <v>92511.44</v>
          </cell>
          <cell r="AY11">
            <v>74899.820000000007</v>
          </cell>
          <cell r="AZ11">
            <v>42631.09</v>
          </cell>
          <cell r="BA11">
            <v>29503.5</v>
          </cell>
          <cell r="BB11">
            <v>105156.79</v>
          </cell>
          <cell r="BC11">
            <v>33913.94</v>
          </cell>
          <cell r="BD11">
            <v>38604.85</v>
          </cell>
          <cell r="BL11">
            <v>0</v>
          </cell>
          <cell r="BM11">
            <v>0</v>
          </cell>
          <cell r="BN11">
            <v>0</v>
          </cell>
          <cell r="BO11">
            <v>0</v>
          </cell>
          <cell r="BP11">
            <v>0</v>
          </cell>
          <cell r="BQ11">
            <v>0</v>
          </cell>
          <cell r="BR11">
            <v>0</v>
          </cell>
          <cell r="BS11">
            <v>0</v>
          </cell>
          <cell r="CP11">
            <v>228500</v>
          </cell>
          <cell r="CQ11">
            <v>368300</v>
          </cell>
          <cell r="CR11">
            <v>364400</v>
          </cell>
          <cell r="CS11">
            <v>396000</v>
          </cell>
          <cell r="CT11">
            <v>390000</v>
          </cell>
          <cell r="CU11">
            <v>575000</v>
          </cell>
          <cell r="CV11">
            <v>165000</v>
          </cell>
          <cell r="CW11">
            <v>232825.00000000006</v>
          </cell>
          <cell r="DE11">
            <v>53000</v>
          </cell>
          <cell r="DF11">
            <v>52500</v>
          </cell>
          <cell r="DG11">
            <v>60000</v>
          </cell>
          <cell r="DH11">
            <v>52000</v>
          </cell>
          <cell r="DI11">
            <v>59000</v>
          </cell>
          <cell r="DJ11">
            <v>74000</v>
          </cell>
          <cell r="DK11">
            <v>14000</v>
          </cell>
          <cell r="DL11">
            <v>13000</v>
          </cell>
          <cell r="DT11">
            <v>0</v>
          </cell>
          <cell r="DU11">
            <v>0</v>
          </cell>
          <cell r="DV11">
            <v>0</v>
          </cell>
          <cell r="DW11">
            <v>0</v>
          </cell>
          <cell r="DX11">
            <v>0</v>
          </cell>
          <cell r="DY11">
            <v>0</v>
          </cell>
          <cell r="DZ11">
            <v>0</v>
          </cell>
          <cell r="EA11">
            <v>0</v>
          </cell>
          <cell r="EX11">
            <v>150989.05909262641</v>
          </cell>
          <cell r="EY11">
            <v>274913.10100586427</v>
          </cell>
          <cell r="EZ11">
            <v>267853.94408285874</v>
          </cell>
          <cell r="FA11">
            <v>240529.41566850158</v>
          </cell>
          <cell r="FB11">
            <v>713032.04905057151</v>
          </cell>
          <cell r="FC11">
            <v>724395.09611670417</v>
          </cell>
          <cell r="FD11">
            <v>81046.22559633413</v>
          </cell>
          <cell r="FE11">
            <v>182651.42841689294</v>
          </cell>
          <cell r="FF11">
            <v>169088.09436288878</v>
          </cell>
          <cell r="FG11">
            <v>165909.97663463958</v>
          </cell>
          <cell r="FH11">
            <v>265541.41458399891</v>
          </cell>
          <cell r="FI11">
            <v>138443.40345814719</v>
          </cell>
          <cell r="FM11">
            <v>0</v>
          </cell>
          <cell r="FN11">
            <v>0</v>
          </cell>
          <cell r="FO11">
            <v>0</v>
          </cell>
          <cell r="FP11">
            <v>0</v>
          </cell>
          <cell r="FQ11">
            <v>0</v>
          </cell>
          <cell r="FR11">
            <v>1910</v>
          </cell>
          <cell r="FS11">
            <v>0</v>
          </cell>
          <cell r="FT11">
            <v>0</v>
          </cell>
          <cell r="FU11">
            <v>0</v>
          </cell>
          <cell r="FV11">
            <v>0</v>
          </cell>
          <cell r="FW11">
            <v>0</v>
          </cell>
          <cell r="FX11">
            <v>31074.799999999999</v>
          </cell>
          <cell r="GB11">
            <v>0</v>
          </cell>
          <cell r="GC11">
            <v>0</v>
          </cell>
          <cell r="GD11">
            <v>0</v>
          </cell>
          <cell r="GE11">
            <v>0</v>
          </cell>
          <cell r="GF11">
            <v>0</v>
          </cell>
          <cell r="GG11">
            <v>0</v>
          </cell>
          <cell r="GH11">
            <v>0</v>
          </cell>
          <cell r="GI11">
            <v>0</v>
          </cell>
          <cell r="GJ11">
            <v>0</v>
          </cell>
          <cell r="GK11">
            <v>0</v>
          </cell>
          <cell r="GL11">
            <v>0</v>
          </cell>
          <cell r="GM11">
            <v>0</v>
          </cell>
        </row>
        <row r="12">
          <cell r="A12" t="str">
            <v>El-Hi Revenue</v>
          </cell>
          <cell r="C12">
            <v>0</v>
          </cell>
          <cell r="D12">
            <v>0</v>
          </cell>
          <cell r="E12">
            <v>0</v>
          </cell>
          <cell r="F12" t="str">
            <v>n/a</v>
          </cell>
          <cell r="G12">
            <v>880.14801542305827</v>
          </cell>
          <cell r="H12">
            <v>554.05997563711117</v>
          </cell>
          <cell r="J12">
            <v>0</v>
          </cell>
          <cell r="K12">
            <v>0</v>
          </cell>
          <cell r="L12">
            <v>0</v>
          </cell>
          <cell r="M12" t="str">
            <v>n/a</v>
          </cell>
          <cell r="N12">
            <v>696.71368921258772</v>
          </cell>
          <cell r="O12">
            <v>467.16867563711122</v>
          </cell>
          <cell r="Q12">
            <v>0</v>
          </cell>
          <cell r="R12">
            <v>0</v>
          </cell>
          <cell r="S12">
            <v>0</v>
          </cell>
          <cell r="T12" t="str">
            <v>n/a</v>
          </cell>
          <cell r="U12">
            <v>183.43432621047054</v>
          </cell>
          <cell r="V12">
            <v>86.891300000000001</v>
          </cell>
          <cell r="AD12">
            <v>8226.9610669122085</v>
          </cell>
          <cell r="AE12">
            <v>7079.8208519299724</v>
          </cell>
          <cell r="AH12">
            <v>312054.89356119186</v>
          </cell>
          <cell r="AI12">
            <v>441344.53154402925</v>
          </cell>
          <cell r="AJ12">
            <v>1293508.246563538</v>
          </cell>
          <cell r="AK12">
            <v>131798.81035516754</v>
          </cell>
          <cell r="AL12">
            <v>1111045.8560393038</v>
          </cell>
          <cell r="AM12">
            <v>807215.93815415248</v>
          </cell>
          <cell r="AN12">
            <v>603406.82281124382</v>
          </cell>
          <cell r="AO12">
            <v>508397.96788358211</v>
          </cell>
          <cell r="AW12">
            <v>50000</v>
          </cell>
          <cell r="AX12">
            <v>141886</v>
          </cell>
          <cell r="AY12">
            <v>286126.32</v>
          </cell>
          <cell r="AZ12">
            <v>156143.03</v>
          </cell>
          <cell r="BA12">
            <v>336151.88</v>
          </cell>
          <cell r="BB12">
            <v>153451.76999999999</v>
          </cell>
          <cell r="BC12">
            <v>124004</v>
          </cell>
          <cell r="BD12">
            <v>122905</v>
          </cell>
          <cell r="BL12">
            <v>0</v>
          </cell>
          <cell r="BM12">
            <v>0</v>
          </cell>
          <cell r="BN12">
            <v>0</v>
          </cell>
          <cell r="BO12">
            <v>0</v>
          </cell>
          <cell r="BP12">
            <v>0</v>
          </cell>
          <cell r="BQ12">
            <v>0</v>
          </cell>
          <cell r="BR12">
            <v>0</v>
          </cell>
          <cell r="BS12">
            <v>0</v>
          </cell>
          <cell r="CP12">
            <v>551000</v>
          </cell>
          <cell r="CQ12">
            <v>638000</v>
          </cell>
          <cell r="CR12">
            <v>1050818</v>
          </cell>
          <cell r="CS12">
            <v>730000</v>
          </cell>
          <cell r="CT12">
            <v>499000</v>
          </cell>
          <cell r="CU12">
            <v>604784</v>
          </cell>
          <cell r="CV12">
            <v>411800</v>
          </cell>
          <cell r="CW12">
            <v>499640</v>
          </cell>
          <cell r="DE12">
            <v>149000</v>
          </cell>
          <cell r="DF12">
            <v>254000</v>
          </cell>
          <cell r="DG12">
            <v>244000</v>
          </cell>
          <cell r="DH12">
            <v>224000</v>
          </cell>
          <cell r="DI12">
            <v>132000</v>
          </cell>
          <cell r="DJ12">
            <v>284000</v>
          </cell>
          <cell r="DK12">
            <v>172000</v>
          </cell>
          <cell r="DL12">
            <v>208000</v>
          </cell>
          <cell r="DT12">
            <v>0</v>
          </cell>
          <cell r="DU12">
            <v>0</v>
          </cell>
          <cell r="DV12">
            <v>0</v>
          </cell>
          <cell r="DW12">
            <v>0</v>
          </cell>
          <cell r="DX12">
            <v>0</v>
          </cell>
          <cell r="DY12">
            <v>0</v>
          </cell>
          <cell r="DZ12">
            <v>0</v>
          </cell>
          <cell r="EA12">
            <v>0</v>
          </cell>
          <cell r="EX12">
            <v>627310.59090737358</v>
          </cell>
          <cell r="EY12">
            <v>540186.87899413577</v>
          </cell>
          <cell r="EZ12">
            <v>1153987.7659171415</v>
          </cell>
          <cell r="FA12">
            <v>503235.39433149836</v>
          </cell>
          <cell r="FB12">
            <v>355390.79094942845</v>
          </cell>
          <cell r="FC12">
            <v>604508.10388329579</v>
          </cell>
          <cell r="FD12">
            <v>219266.70440366588</v>
          </cell>
          <cell r="FE12">
            <v>230951.5615831071</v>
          </cell>
          <cell r="FF12">
            <v>467168.67563711124</v>
          </cell>
          <cell r="FG12">
            <v>487171.2633653605</v>
          </cell>
          <cell r="FH12">
            <v>472546.06541600107</v>
          </cell>
          <cell r="FI12">
            <v>606689.76654185285</v>
          </cell>
          <cell r="FM12">
            <v>86378.5</v>
          </cell>
          <cell r="FN12">
            <v>66707</v>
          </cell>
          <cell r="FO12">
            <v>126767.43</v>
          </cell>
          <cell r="FP12">
            <v>54758.5</v>
          </cell>
          <cell r="FQ12">
            <v>27650</v>
          </cell>
          <cell r="FR12">
            <v>13726.5</v>
          </cell>
          <cell r="FS12">
            <v>21124.400000000001</v>
          </cell>
          <cell r="FT12">
            <v>54662</v>
          </cell>
          <cell r="FU12">
            <v>86891.3</v>
          </cell>
          <cell r="FV12">
            <v>104673.9</v>
          </cell>
          <cell r="FW12">
            <v>88646.5</v>
          </cell>
          <cell r="FX12">
            <v>79421.259999999995</v>
          </cell>
          <cell r="GB12">
            <v>0</v>
          </cell>
          <cell r="GC12">
            <v>0</v>
          </cell>
          <cell r="GD12">
            <v>0</v>
          </cell>
          <cell r="GE12">
            <v>0</v>
          </cell>
          <cell r="GF12">
            <v>0</v>
          </cell>
          <cell r="GG12">
            <v>0</v>
          </cell>
          <cell r="GH12">
            <v>0</v>
          </cell>
          <cell r="GI12">
            <v>0</v>
          </cell>
          <cell r="GJ12">
            <v>0</v>
          </cell>
          <cell r="GK12">
            <v>0</v>
          </cell>
          <cell r="GL12">
            <v>0</v>
          </cell>
          <cell r="GM12">
            <v>0</v>
          </cell>
        </row>
        <row r="13">
          <cell r="A13" t="str">
            <v>Innova Revenue</v>
          </cell>
          <cell r="C13">
            <v>0</v>
          </cell>
          <cell r="D13">
            <v>0</v>
          </cell>
          <cell r="E13">
            <v>0</v>
          </cell>
          <cell r="F13" t="str">
            <v>n/a</v>
          </cell>
          <cell r="G13">
            <v>171.22717495975755</v>
          </cell>
          <cell r="H13">
            <v>112.16851</v>
          </cell>
          <cell r="X13">
            <v>0</v>
          </cell>
          <cell r="Y13">
            <v>0</v>
          </cell>
          <cell r="Z13">
            <v>0</v>
          </cell>
          <cell r="AA13" t="str">
            <v>n/a</v>
          </cell>
          <cell r="AB13">
            <v>171.22717495975755</v>
          </cell>
          <cell r="AC13">
            <v>112.16851</v>
          </cell>
          <cell r="AD13">
            <v>2475.4547199999997</v>
          </cell>
          <cell r="AE13">
            <v>2672.2191999999995</v>
          </cell>
          <cell r="AH13">
            <v>0</v>
          </cell>
          <cell r="AI13">
            <v>0</v>
          </cell>
          <cell r="AJ13">
            <v>0</v>
          </cell>
          <cell r="AK13">
            <v>0</v>
          </cell>
          <cell r="AL13">
            <v>0</v>
          </cell>
          <cell r="AM13">
            <v>0</v>
          </cell>
          <cell r="AN13">
            <v>0</v>
          </cell>
          <cell r="AO13">
            <v>0</v>
          </cell>
          <cell r="AW13">
            <v>0</v>
          </cell>
          <cell r="AX13">
            <v>0</v>
          </cell>
          <cell r="AY13">
            <v>0</v>
          </cell>
          <cell r="AZ13">
            <v>0</v>
          </cell>
          <cell r="BA13">
            <v>0</v>
          </cell>
          <cell r="BB13">
            <v>0</v>
          </cell>
          <cell r="BC13">
            <v>0</v>
          </cell>
          <cell r="BD13">
            <v>0</v>
          </cell>
          <cell r="BL13">
            <v>261898.78</v>
          </cell>
          <cell r="BM13">
            <v>162349.42000000001</v>
          </cell>
          <cell r="BN13">
            <v>187563.92</v>
          </cell>
          <cell r="BO13">
            <v>63975.77</v>
          </cell>
          <cell r="BP13">
            <v>344317.19</v>
          </cell>
          <cell r="BQ13">
            <v>540699.56999999995</v>
          </cell>
          <cell r="BR13">
            <v>170942.31</v>
          </cell>
          <cell r="BS13">
            <v>188929.76</v>
          </cell>
          <cell r="CP13">
            <v>0</v>
          </cell>
          <cell r="CQ13">
            <v>0</v>
          </cell>
          <cell r="CR13">
            <v>0</v>
          </cell>
          <cell r="CS13">
            <v>0</v>
          </cell>
          <cell r="CT13">
            <v>0</v>
          </cell>
          <cell r="CU13">
            <v>0</v>
          </cell>
          <cell r="CV13">
            <v>0</v>
          </cell>
          <cell r="CW13">
            <v>0</v>
          </cell>
          <cell r="DE13">
            <v>0</v>
          </cell>
          <cell r="DF13">
            <v>0</v>
          </cell>
          <cell r="DG13">
            <v>0</v>
          </cell>
          <cell r="DH13">
            <v>0</v>
          </cell>
          <cell r="DI13">
            <v>0</v>
          </cell>
          <cell r="DJ13">
            <v>0</v>
          </cell>
          <cell r="DK13">
            <v>0</v>
          </cell>
          <cell r="DL13">
            <v>0</v>
          </cell>
          <cell r="DT13">
            <v>257970.00000000003</v>
          </cell>
          <cell r="DU13">
            <v>176470</v>
          </cell>
          <cell r="DV13">
            <v>167387</v>
          </cell>
          <cell r="DW13">
            <v>244687</v>
          </cell>
          <cell r="DX13">
            <v>448887</v>
          </cell>
          <cell r="DY13">
            <v>398618</v>
          </cell>
          <cell r="DZ13">
            <v>195831.99999999997</v>
          </cell>
          <cell r="EA13">
            <v>207432</v>
          </cell>
          <cell r="EX13">
            <v>0</v>
          </cell>
          <cell r="EY13">
            <v>0</v>
          </cell>
          <cell r="EZ13">
            <v>0</v>
          </cell>
          <cell r="FA13">
            <v>0</v>
          </cell>
          <cell r="FB13">
            <v>0</v>
          </cell>
          <cell r="FC13">
            <v>0</v>
          </cell>
          <cell r="FD13">
            <v>0</v>
          </cell>
          <cell r="FE13">
            <v>0</v>
          </cell>
          <cell r="FF13">
            <v>0</v>
          </cell>
          <cell r="FG13">
            <v>0</v>
          </cell>
          <cell r="FH13">
            <v>0</v>
          </cell>
          <cell r="FI13">
            <v>0</v>
          </cell>
          <cell r="FM13">
            <v>0</v>
          </cell>
          <cell r="FN13">
            <v>0</v>
          </cell>
          <cell r="FO13">
            <v>0</v>
          </cell>
          <cell r="FP13">
            <v>0</v>
          </cell>
          <cell r="FQ13">
            <v>0</v>
          </cell>
          <cell r="FR13">
            <v>0</v>
          </cell>
          <cell r="FS13">
            <v>0</v>
          </cell>
          <cell r="FT13">
            <v>0</v>
          </cell>
          <cell r="FU13">
            <v>0</v>
          </cell>
          <cell r="FV13">
            <v>0</v>
          </cell>
          <cell r="FW13">
            <v>0</v>
          </cell>
          <cell r="FX13">
            <v>0</v>
          </cell>
          <cell r="GB13">
            <v>124532.41</v>
          </cell>
          <cell r="GC13">
            <v>179964.91</v>
          </cell>
          <cell r="GD13">
            <v>332409.81</v>
          </cell>
          <cell r="GE13">
            <v>235550.41</v>
          </cell>
          <cell r="GF13">
            <v>297897.82</v>
          </cell>
          <cell r="GG13">
            <v>369223.1</v>
          </cell>
          <cell r="GH13">
            <v>187179.15</v>
          </cell>
          <cell r="GI13">
            <v>241105.08</v>
          </cell>
          <cell r="GJ13">
            <v>112168.51</v>
          </cell>
          <cell r="GK13">
            <v>185219.36</v>
          </cell>
          <cell r="GL13">
            <v>141823.78</v>
          </cell>
          <cell r="GM13">
            <v>265144.86</v>
          </cell>
        </row>
        <row r="14">
          <cell r="A14" t="str">
            <v>Commercial Revenue</v>
          </cell>
          <cell r="C14">
            <v>0</v>
          </cell>
          <cell r="D14">
            <v>0</v>
          </cell>
          <cell r="E14">
            <v>0</v>
          </cell>
          <cell r="F14" t="str">
            <v>n/a</v>
          </cell>
          <cell r="G14">
            <v>5</v>
          </cell>
          <cell r="H14">
            <v>2.7149999999999999</v>
          </cell>
          <cell r="J14">
            <v>0</v>
          </cell>
          <cell r="K14">
            <v>0</v>
          </cell>
          <cell r="L14">
            <v>0</v>
          </cell>
          <cell r="M14" t="str">
            <v>n/a</v>
          </cell>
          <cell r="N14">
            <v>5</v>
          </cell>
          <cell r="O14">
            <v>2.7149999999999999</v>
          </cell>
          <cell r="AD14">
            <v>61.895000000000003</v>
          </cell>
          <cell r="AE14">
            <v>74.724000000000004</v>
          </cell>
          <cell r="AH14">
            <v>5060</v>
          </cell>
          <cell r="AI14">
            <v>7877</v>
          </cell>
          <cell r="AJ14">
            <v>8748.5</v>
          </cell>
          <cell r="AK14">
            <v>2220</v>
          </cell>
          <cell r="AL14">
            <v>6973.5</v>
          </cell>
          <cell r="AM14">
            <v>2926</v>
          </cell>
          <cell r="AN14">
            <v>5347.5</v>
          </cell>
          <cell r="AO14">
            <v>2742.5</v>
          </cell>
          <cell r="AW14">
            <v>0</v>
          </cell>
          <cell r="AX14">
            <v>0</v>
          </cell>
          <cell r="AY14">
            <v>0</v>
          </cell>
          <cell r="AZ14">
            <v>0</v>
          </cell>
          <cell r="BA14">
            <v>0</v>
          </cell>
          <cell r="BB14">
            <v>0</v>
          </cell>
          <cell r="BC14">
            <v>0</v>
          </cell>
          <cell r="BD14">
            <v>0</v>
          </cell>
          <cell r="BL14">
            <v>0</v>
          </cell>
          <cell r="BM14">
            <v>0</v>
          </cell>
          <cell r="BN14">
            <v>0</v>
          </cell>
          <cell r="BO14">
            <v>0</v>
          </cell>
          <cell r="BP14">
            <v>0</v>
          </cell>
          <cell r="BQ14">
            <v>0</v>
          </cell>
          <cell r="BR14">
            <v>0</v>
          </cell>
          <cell r="BS14">
            <v>0</v>
          </cell>
          <cell r="CP14">
            <v>5000</v>
          </cell>
          <cell r="CQ14">
            <v>5000</v>
          </cell>
          <cell r="CR14">
            <v>5000</v>
          </cell>
          <cell r="CS14">
            <v>5000</v>
          </cell>
          <cell r="CT14">
            <v>5000</v>
          </cell>
          <cell r="CU14">
            <v>5000</v>
          </cell>
          <cell r="CV14">
            <v>5000</v>
          </cell>
          <cell r="CW14">
            <v>5000</v>
          </cell>
          <cell r="DE14">
            <v>0</v>
          </cell>
          <cell r="DF14">
            <v>0</v>
          </cell>
          <cell r="DG14">
            <v>0</v>
          </cell>
          <cell r="DH14">
            <v>0</v>
          </cell>
          <cell r="DI14">
            <v>0</v>
          </cell>
          <cell r="DJ14">
            <v>0</v>
          </cell>
          <cell r="DK14">
            <v>0</v>
          </cell>
          <cell r="DL14">
            <v>0</v>
          </cell>
          <cell r="DT14">
            <v>0</v>
          </cell>
          <cell r="DU14">
            <v>0</v>
          </cell>
          <cell r="DV14">
            <v>0</v>
          </cell>
          <cell r="DW14">
            <v>0</v>
          </cell>
          <cell r="DX14">
            <v>0</v>
          </cell>
          <cell r="DY14">
            <v>0</v>
          </cell>
          <cell r="DZ14">
            <v>0</v>
          </cell>
          <cell r="EA14">
            <v>0</v>
          </cell>
          <cell r="EX14">
            <v>6256</v>
          </cell>
          <cell r="EY14">
            <v>7952.5</v>
          </cell>
          <cell r="EZ14">
            <v>9365</v>
          </cell>
          <cell r="FA14">
            <v>5589</v>
          </cell>
          <cell r="FB14">
            <v>6062.5</v>
          </cell>
          <cell r="FC14">
            <v>9245</v>
          </cell>
          <cell r="FD14">
            <v>4647</v>
          </cell>
          <cell r="FE14">
            <v>3612</v>
          </cell>
          <cell r="FF14">
            <v>2715</v>
          </cell>
          <cell r="FG14">
            <v>8178.5</v>
          </cell>
          <cell r="FH14">
            <v>4679</v>
          </cell>
          <cell r="FI14">
            <v>6422.5</v>
          </cell>
          <cell r="FM14">
            <v>0</v>
          </cell>
          <cell r="FN14">
            <v>0</v>
          </cell>
          <cell r="FO14">
            <v>0</v>
          </cell>
          <cell r="FP14">
            <v>0</v>
          </cell>
          <cell r="FQ14">
            <v>0</v>
          </cell>
          <cell r="FR14">
            <v>0</v>
          </cell>
          <cell r="FS14">
            <v>0</v>
          </cell>
          <cell r="FT14">
            <v>0</v>
          </cell>
          <cell r="FU14">
            <v>0</v>
          </cell>
          <cell r="FV14">
            <v>0</v>
          </cell>
          <cell r="FW14">
            <v>0</v>
          </cell>
          <cell r="FX14">
            <v>0</v>
          </cell>
          <cell r="GB14">
            <v>0</v>
          </cell>
          <cell r="GC14">
            <v>0</v>
          </cell>
          <cell r="GD14">
            <v>0</v>
          </cell>
          <cell r="GE14">
            <v>0</v>
          </cell>
          <cell r="GF14">
            <v>0</v>
          </cell>
          <cell r="GG14">
            <v>0</v>
          </cell>
          <cell r="GH14">
            <v>0</v>
          </cell>
          <cell r="GI14">
            <v>0</v>
          </cell>
          <cell r="GJ14">
            <v>0</v>
          </cell>
          <cell r="GK14">
            <v>0</v>
          </cell>
          <cell r="GL14">
            <v>0</v>
          </cell>
          <cell r="GM14">
            <v>0</v>
          </cell>
        </row>
        <row r="15">
          <cell r="A15" t="str">
            <v>Accrued Revenue</v>
          </cell>
          <cell r="C15">
            <v>0</v>
          </cell>
          <cell r="D15">
            <v>0</v>
          </cell>
          <cell r="E15">
            <v>0</v>
          </cell>
          <cell r="F15" t="str">
            <v>n/a</v>
          </cell>
          <cell r="G15">
            <v>-116.00000000000001</v>
          </cell>
          <cell r="H15">
            <v>-105</v>
          </cell>
          <cell r="J15">
            <v>0</v>
          </cell>
          <cell r="K15">
            <v>0</v>
          </cell>
          <cell r="L15">
            <v>0</v>
          </cell>
          <cell r="M15" t="str">
            <v>n/a</v>
          </cell>
          <cell r="N15">
            <v>-86.430363389096428</v>
          </cell>
          <cell r="O15">
            <v>-105</v>
          </cell>
          <cell r="Q15">
            <v>0</v>
          </cell>
          <cell r="R15">
            <v>0</v>
          </cell>
          <cell r="S15">
            <v>0</v>
          </cell>
          <cell r="T15" t="str">
            <v>n/a</v>
          </cell>
          <cell r="U15">
            <v>-10.75092857609078</v>
          </cell>
          <cell r="V15">
            <v>0</v>
          </cell>
          <cell r="X15">
            <v>0</v>
          </cell>
          <cell r="Y15">
            <v>0</v>
          </cell>
          <cell r="Z15">
            <v>0</v>
          </cell>
          <cell r="AA15" t="str">
            <v>n/a</v>
          </cell>
          <cell r="AB15">
            <v>-18.818708034812801</v>
          </cell>
          <cell r="AC15">
            <v>0</v>
          </cell>
          <cell r="AD15">
            <v>0</v>
          </cell>
          <cell r="AE15">
            <v>0</v>
          </cell>
          <cell r="AH15">
            <v>142876</v>
          </cell>
          <cell r="AI15">
            <v>50936</v>
          </cell>
          <cell r="AJ15">
            <v>-193812</v>
          </cell>
          <cell r="AK15">
            <v>502128.13</v>
          </cell>
          <cell r="AL15">
            <v>-321825.13</v>
          </cell>
          <cell r="AM15">
            <v>-180303</v>
          </cell>
          <cell r="AN15">
            <v>0</v>
          </cell>
          <cell r="AO15">
            <v>0</v>
          </cell>
          <cell r="AW15">
            <v>91886</v>
          </cell>
          <cell r="AX15">
            <v>-33830</v>
          </cell>
          <cell r="AY15">
            <v>-58056</v>
          </cell>
          <cell r="AZ15">
            <v>117900.97</v>
          </cell>
          <cell r="BA15">
            <v>-82013.97</v>
          </cell>
          <cell r="BB15">
            <v>-35887</v>
          </cell>
          <cell r="BC15">
            <v>0</v>
          </cell>
          <cell r="BD15">
            <v>0</v>
          </cell>
          <cell r="BL15">
            <v>0</v>
          </cell>
          <cell r="BM15">
            <v>0</v>
          </cell>
          <cell r="BN15">
            <v>0</v>
          </cell>
          <cell r="BO15">
            <v>41625</v>
          </cell>
          <cell r="BP15">
            <v>-41625</v>
          </cell>
          <cell r="BQ15">
            <v>0</v>
          </cell>
          <cell r="BR15">
            <v>0</v>
          </cell>
          <cell r="BS15">
            <v>0</v>
          </cell>
          <cell r="CP15">
            <v>67326.599999999991</v>
          </cell>
          <cell r="CQ15">
            <v>-92876</v>
          </cell>
          <cell r="CR15">
            <v>0</v>
          </cell>
          <cell r="CS15">
            <v>0</v>
          </cell>
          <cell r="CT15">
            <v>0</v>
          </cell>
          <cell r="CU15">
            <v>-216190</v>
          </cell>
          <cell r="CV15">
            <v>60000</v>
          </cell>
          <cell r="CW15">
            <v>0</v>
          </cell>
          <cell r="DE15">
            <v>-67326.599999999991</v>
          </cell>
          <cell r="DF15">
            <v>-41886</v>
          </cell>
          <cell r="DG15">
            <v>0</v>
          </cell>
          <cell r="DH15">
            <v>0</v>
          </cell>
          <cell r="DI15">
            <v>0</v>
          </cell>
          <cell r="DJ15">
            <v>0</v>
          </cell>
          <cell r="DK15">
            <v>0</v>
          </cell>
          <cell r="DL15">
            <v>0</v>
          </cell>
          <cell r="DT15">
            <v>0</v>
          </cell>
          <cell r="DU15">
            <v>0</v>
          </cell>
          <cell r="DV15">
            <v>0</v>
          </cell>
          <cell r="DW15">
            <v>0</v>
          </cell>
          <cell r="DX15">
            <v>0</v>
          </cell>
          <cell r="DY15">
            <v>0</v>
          </cell>
          <cell r="DZ15">
            <v>20000</v>
          </cell>
          <cell r="EA15">
            <v>0</v>
          </cell>
          <cell r="EX15">
            <v>0</v>
          </cell>
          <cell r="EY15">
            <v>0</v>
          </cell>
          <cell r="EZ15">
            <v>0</v>
          </cell>
          <cell r="FA15">
            <v>0</v>
          </cell>
          <cell r="FB15">
            <v>0</v>
          </cell>
          <cell r="FC15">
            <v>0</v>
          </cell>
          <cell r="FD15">
            <v>33000</v>
          </cell>
          <cell r="FE15">
            <v>72000</v>
          </cell>
          <cell r="FF15">
            <v>-105000</v>
          </cell>
          <cell r="FG15">
            <v>52294.5</v>
          </cell>
          <cell r="FH15">
            <v>-25294.5</v>
          </cell>
          <cell r="FI15">
            <v>-27000</v>
          </cell>
          <cell r="FM15">
            <v>0</v>
          </cell>
          <cell r="FN15">
            <v>0</v>
          </cell>
          <cell r="FO15">
            <v>0</v>
          </cell>
          <cell r="FP15">
            <v>0</v>
          </cell>
          <cell r="FQ15">
            <v>0</v>
          </cell>
          <cell r="FR15">
            <v>0</v>
          </cell>
          <cell r="FS15">
            <v>0</v>
          </cell>
          <cell r="FT15">
            <v>0</v>
          </cell>
          <cell r="FU15">
            <v>0</v>
          </cell>
          <cell r="FV15">
            <v>0</v>
          </cell>
          <cell r="FW15">
            <v>0</v>
          </cell>
          <cell r="FX15">
            <v>0</v>
          </cell>
          <cell r="GB15">
            <v>0</v>
          </cell>
          <cell r="GC15">
            <v>0</v>
          </cell>
          <cell r="GD15">
            <v>0</v>
          </cell>
          <cell r="GE15">
            <v>0</v>
          </cell>
          <cell r="GF15">
            <v>0</v>
          </cell>
          <cell r="GG15">
            <v>0</v>
          </cell>
          <cell r="GH15">
            <v>55000</v>
          </cell>
          <cell r="GI15">
            <v>-55000</v>
          </cell>
          <cell r="GJ15">
            <v>0</v>
          </cell>
          <cell r="GK15">
            <v>0</v>
          </cell>
          <cell r="GL15">
            <v>70000</v>
          </cell>
          <cell r="GM15">
            <v>-70000</v>
          </cell>
        </row>
        <row r="16">
          <cell r="A16" t="str">
            <v>WIP Change</v>
          </cell>
          <cell r="C16">
            <v>0</v>
          </cell>
          <cell r="D16">
            <v>0</v>
          </cell>
          <cell r="E16">
            <v>0</v>
          </cell>
          <cell r="F16" t="str">
            <v>n/a</v>
          </cell>
          <cell r="G16">
            <v>0</v>
          </cell>
          <cell r="H16">
            <v>0</v>
          </cell>
          <cell r="J16">
            <v>0</v>
          </cell>
          <cell r="K16">
            <v>0</v>
          </cell>
          <cell r="L16">
            <v>0</v>
          </cell>
          <cell r="M16" t="str">
            <v>n/a</v>
          </cell>
          <cell r="N16">
            <v>0</v>
          </cell>
          <cell r="O16">
            <v>0</v>
          </cell>
          <cell r="Q16">
            <v>0</v>
          </cell>
          <cell r="R16">
            <v>0</v>
          </cell>
          <cell r="S16">
            <v>0</v>
          </cell>
          <cell r="T16" t="str">
            <v>n/a</v>
          </cell>
          <cell r="U16">
            <v>0</v>
          </cell>
          <cell r="V16">
            <v>0</v>
          </cell>
          <cell r="X16">
            <v>0</v>
          </cell>
          <cell r="Y16">
            <v>0</v>
          </cell>
          <cell r="Z16">
            <v>0</v>
          </cell>
          <cell r="AA16" t="str">
            <v>n/a</v>
          </cell>
          <cell r="AB16">
            <v>0</v>
          </cell>
          <cell r="AC16">
            <v>0</v>
          </cell>
          <cell r="AD16">
            <v>0</v>
          </cell>
          <cell r="AE16">
            <v>0</v>
          </cell>
          <cell r="AH16">
            <v>0</v>
          </cell>
          <cell r="AI16">
            <v>0</v>
          </cell>
          <cell r="AJ16">
            <v>0</v>
          </cell>
          <cell r="AK16">
            <v>0</v>
          </cell>
          <cell r="AL16">
            <v>0</v>
          </cell>
          <cell r="AM16">
            <v>0</v>
          </cell>
          <cell r="AN16">
            <v>0</v>
          </cell>
          <cell r="AO16">
            <v>0</v>
          </cell>
          <cell r="AW16">
            <v>0</v>
          </cell>
          <cell r="AX16">
            <v>0</v>
          </cell>
          <cell r="AY16">
            <v>0</v>
          </cell>
          <cell r="AZ16">
            <v>0</v>
          </cell>
          <cell r="BA16">
            <v>0</v>
          </cell>
          <cell r="BB16">
            <v>0</v>
          </cell>
          <cell r="BC16">
            <v>0</v>
          </cell>
          <cell r="BD16">
            <v>0</v>
          </cell>
          <cell r="BL16">
            <v>0</v>
          </cell>
          <cell r="BM16">
            <v>0</v>
          </cell>
          <cell r="BN16">
            <v>0</v>
          </cell>
          <cell r="BO16">
            <v>0</v>
          </cell>
          <cell r="BP16">
            <v>0</v>
          </cell>
          <cell r="BQ16">
            <v>0</v>
          </cell>
          <cell r="BR16">
            <v>0</v>
          </cell>
          <cell r="BS16">
            <v>0</v>
          </cell>
          <cell r="EX16">
            <v>0</v>
          </cell>
          <cell r="EY16">
            <v>0</v>
          </cell>
          <cell r="EZ16">
            <v>0</v>
          </cell>
          <cell r="FA16">
            <v>0</v>
          </cell>
          <cell r="FB16">
            <v>0</v>
          </cell>
          <cell r="FC16">
            <v>0</v>
          </cell>
          <cell r="FD16">
            <v>0</v>
          </cell>
          <cell r="FE16">
            <v>0</v>
          </cell>
          <cell r="FF16">
            <v>0</v>
          </cell>
          <cell r="FG16">
            <v>0</v>
          </cell>
          <cell r="FH16">
            <v>0</v>
          </cell>
          <cell r="FI16">
            <v>0</v>
          </cell>
          <cell r="FM16">
            <v>0</v>
          </cell>
          <cell r="FN16">
            <v>0</v>
          </cell>
          <cell r="FO16">
            <v>0</v>
          </cell>
          <cell r="FP16">
            <v>0</v>
          </cell>
          <cell r="FQ16">
            <v>0</v>
          </cell>
          <cell r="FR16">
            <v>0</v>
          </cell>
          <cell r="FS16">
            <v>0</v>
          </cell>
          <cell r="FT16">
            <v>0</v>
          </cell>
          <cell r="FU16">
            <v>0</v>
          </cell>
          <cell r="FV16">
            <v>0</v>
          </cell>
          <cell r="FW16">
            <v>0</v>
          </cell>
          <cell r="FX16">
            <v>0</v>
          </cell>
          <cell r="GB16">
            <v>0</v>
          </cell>
          <cell r="GC16">
            <v>0</v>
          </cell>
          <cell r="GD16">
            <v>0</v>
          </cell>
          <cell r="GE16">
            <v>0</v>
          </cell>
          <cell r="GF16">
            <v>0</v>
          </cell>
          <cell r="GG16">
            <v>0</v>
          </cell>
          <cell r="GH16">
            <v>0</v>
          </cell>
          <cell r="GI16">
            <v>0</v>
          </cell>
          <cell r="GJ16">
            <v>0</v>
          </cell>
          <cell r="GK16">
            <v>0</v>
          </cell>
          <cell r="GL16">
            <v>0</v>
          </cell>
          <cell r="GM16">
            <v>0</v>
          </cell>
        </row>
        <row r="17">
          <cell r="A17" t="str">
            <v>Intercompany Revenue</v>
          </cell>
          <cell r="C17">
            <v>0</v>
          </cell>
          <cell r="D17">
            <v>0</v>
          </cell>
          <cell r="E17">
            <v>0</v>
          </cell>
          <cell r="F17" t="str">
            <v>n/a</v>
          </cell>
          <cell r="G17">
            <v>0</v>
          </cell>
          <cell r="H17">
            <v>0</v>
          </cell>
          <cell r="J17">
            <v>0</v>
          </cell>
          <cell r="K17">
            <v>0</v>
          </cell>
          <cell r="L17">
            <v>0</v>
          </cell>
          <cell r="M17" t="str">
            <v>n/a</v>
          </cell>
          <cell r="N17">
            <v>0</v>
          </cell>
          <cell r="O17">
            <v>0</v>
          </cell>
          <cell r="Q17">
            <v>0</v>
          </cell>
          <cell r="R17">
            <v>0</v>
          </cell>
          <cell r="S17">
            <v>0</v>
          </cell>
          <cell r="T17" t="str">
            <v>n/a</v>
          </cell>
          <cell r="U17">
            <v>0</v>
          </cell>
          <cell r="V17">
            <v>0</v>
          </cell>
          <cell r="X17">
            <v>0</v>
          </cell>
          <cell r="Y17">
            <v>0</v>
          </cell>
          <cell r="Z17">
            <v>0</v>
          </cell>
          <cell r="AA17" t="str">
            <v>n/a</v>
          </cell>
          <cell r="AB17">
            <v>0</v>
          </cell>
          <cell r="AC17">
            <v>0</v>
          </cell>
          <cell r="AD17">
            <v>0</v>
          </cell>
          <cell r="AE17">
            <v>0</v>
          </cell>
        </row>
        <row r="18">
          <cell r="A18" t="str">
            <v>Revenue</v>
          </cell>
          <cell r="C18">
            <v>0</v>
          </cell>
          <cell r="D18">
            <v>0</v>
          </cell>
          <cell r="E18">
            <v>0</v>
          </cell>
          <cell r="F18" t="str">
            <v>n/a</v>
          </cell>
          <cell r="G18">
            <v>1217.4850000000001</v>
          </cell>
          <cell r="H18">
            <v>733.03157999999996</v>
          </cell>
          <cell r="J18">
            <v>0</v>
          </cell>
          <cell r="K18">
            <v>0</v>
          </cell>
          <cell r="L18">
            <v>0</v>
          </cell>
          <cell r="M18" t="str">
            <v>n/a</v>
          </cell>
          <cell r="N18">
            <v>863.39313544067545</v>
          </cell>
          <cell r="O18">
            <v>533.97176999999999</v>
          </cell>
          <cell r="Q18">
            <v>0</v>
          </cell>
          <cell r="R18">
            <v>0</v>
          </cell>
          <cell r="S18">
            <v>0</v>
          </cell>
          <cell r="T18" t="str">
            <v>n/a</v>
          </cell>
          <cell r="U18">
            <v>201.68339763437976</v>
          </cell>
          <cell r="V18">
            <v>86.891300000000001</v>
          </cell>
          <cell r="X18">
            <v>0</v>
          </cell>
          <cell r="Y18">
            <v>0</v>
          </cell>
          <cell r="Z18">
            <v>0</v>
          </cell>
          <cell r="AA18" t="str">
            <v>n/a</v>
          </cell>
          <cell r="AB18">
            <v>152.40846692494475</v>
          </cell>
          <cell r="AC18">
            <v>112.16851</v>
          </cell>
          <cell r="AD18">
            <v>15401.061459999999</v>
          </cell>
          <cell r="AE18">
            <v>13234.14206</v>
          </cell>
          <cell r="AH18">
            <v>665205.16</v>
          </cell>
          <cell r="AI18">
            <v>838111.42999999993</v>
          </cell>
          <cell r="AJ18">
            <v>1544451.16</v>
          </cell>
          <cell r="AK18">
            <v>1141569.06</v>
          </cell>
          <cell r="AL18">
            <v>1182349.3399999999</v>
          </cell>
          <cell r="AM18">
            <v>1473799.1099999999</v>
          </cell>
          <cell r="AN18">
            <v>808367.84</v>
          </cell>
          <cell r="AO18">
            <v>771122.21</v>
          </cell>
          <cell r="AP18">
            <v>0</v>
          </cell>
          <cell r="AQ18">
            <v>0</v>
          </cell>
          <cell r="AR18">
            <v>0</v>
          </cell>
          <cell r="AS18">
            <v>0</v>
          </cell>
          <cell r="AW18">
            <v>213108</v>
          </cell>
          <cell r="AX18">
            <v>200567.44</v>
          </cell>
          <cell r="AY18">
            <v>302970.14</v>
          </cell>
          <cell r="AZ18">
            <v>316675.08999999997</v>
          </cell>
          <cell r="BA18">
            <v>283641.41000000003</v>
          </cell>
          <cell r="BB18">
            <v>222721.56</v>
          </cell>
          <cell r="BC18">
            <v>157917.94</v>
          </cell>
          <cell r="BD18">
            <v>161509.85</v>
          </cell>
          <cell r="BE18">
            <v>0</v>
          </cell>
          <cell r="BF18">
            <v>0</v>
          </cell>
          <cell r="BG18">
            <v>0</v>
          </cell>
          <cell r="BH18">
            <v>0</v>
          </cell>
          <cell r="BL18">
            <v>261898.78</v>
          </cell>
          <cell r="BM18">
            <v>162349.42000000001</v>
          </cell>
          <cell r="BN18">
            <v>187563.92</v>
          </cell>
          <cell r="BO18">
            <v>105600.76999999999</v>
          </cell>
          <cell r="BP18">
            <v>302692.19</v>
          </cell>
          <cell r="BQ18">
            <v>540699.56999999995</v>
          </cell>
          <cell r="BR18">
            <v>170942.31</v>
          </cell>
          <cell r="BS18">
            <v>188929.76</v>
          </cell>
          <cell r="BT18">
            <v>0</v>
          </cell>
          <cell r="BU18">
            <v>0</v>
          </cell>
          <cell r="BV18">
            <v>0</v>
          </cell>
          <cell r="BW18">
            <v>0</v>
          </cell>
          <cell r="CP18">
            <v>851826.6</v>
          </cell>
          <cell r="CQ18">
            <v>918424</v>
          </cell>
          <cell r="CR18">
            <v>1420218</v>
          </cell>
          <cell r="CS18">
            <v>1131000</v>
          </cell>
          <cell r="CT18">
            <v>894000</v>
          </cell>
          <cell r="CU18">
            <v>968594</v>
          </cell>
          <cell r="CV18">
            <v>641800</v>
          </cell>
          <cell r="CW18">
            <v>737465</v>
          </cell>
          <cell r="CX18">
            <v>0</v>
          </cell>
          <cell r="CY18">
            <v>0</v>
          </cell>
          <cell r="CZ18">
            <v>0</v>
          </cell>
          <cell r="DA18">
            <v>0</v>
          </cell>
          <cell r="DE18">
            <v>134673.40000000002</v>
          </cell>
          <cell r="DF18">
            <v>264614</v>
          </cell>
          <cell r="DG18">
            <v>304000</v>
          </cell>
          <cell r="DH18">
            <v>276000</v>
          </cell>
          <cell r="DI18">
            <v>191000</v>
          </cell>
          <cell r="DJ18">
            <v>358000</v>
          </cell>
          <cell r="DK18">
            <v>186000</v>
          </cell>
          <cell r="DL18">
            <v>221000</v>
          </cell>
          <cell r="DM18">
            <v>0</v>
          </cell>
          <cell r="DN18">
            <v>0</v>
          </cell>
          <cell r="DO18">
            <v>0</v>
          </cell>
          <cell r="DP18">
            <v>0</v>
          </cell>
          <cell r="DT18">
            <v>257970.00000000003</v>
          </cell>
          <cell r="DU18">
            <v>176470</v>
          </cell>
          <cell r="DV18">
            <v>167387</v>
          </cell>
          <cell r="DW18">
            <v>244687</v>
          </cell>
          <cell r="DX18">
            <v>448887</v>
          </cell>
          <cell r="DY18">
            <v>398618</v>
          </cell>
          <cell r="DZ18">
            <v>215831.99999999997</v>
          </cell>
          <cell r="EA18">
            <v>207432</v>
          </cell>
          <cell r="EB18">
            <v>0</v>
          </cell>
          <cell r="EC18">
            <v>0</v>
          </cell>
          <cell r="ED18">
            <v>0</v>
          </cell>
          <cell r="EE18">
            <v>0</v>
          </cell>
          <cell r="EX18">
            <v>784555.65</v>
          </cell>
          <cell r="EY18">
            <v>823052.48</v>
          </cell>
          <cell r="EZ18">
            <v>1431206.7100000002</v>
          </cell>
          <cell r="FA18">
            <v>749353.80999999994</v>
          </cell>
          <cell r="FB18">
            <v>1074485.3399999999</v>
          </cell>
          <cell r="FC18">
            <v>1338148.2</v>
          </cell>
          <cell r="FD18">
            <v>337959.93</v>
          </cell>
          <cell r="FE18">
            <v>489214.99000000005</v>
          </cell>
          <cell r="FF18">
            <v>533971.77</v>
          </cell>
          <cell r="FG18">
            <v>713554.24000000011</v>
          </cell>
          <cell r="FH18">
            <v>717471.98</v>
          </cell>
          <cell r="FI18">
            <v>724555.67</v>
          </cell>
          <cell r="FM18">
            <v>86378.5</v>
          </cell>
          <cell r="FN18">
            <v>66707</v>
          </cell>
          <cell r="FO18">
            <v>126767.43</v>
          </cell>
          <cell r="FP18">
            <v>54758.5</v>
          </cell>
          <cell r="FQ18">
            <v>27650</v>
          </cell>
          <cell r="FR18">
            <v>15636.5</v>
          </cell>
          <cell r="FS18">
            <v>21124.400000000001</v>
          </cell>
          <cell r="FT18">
            <v>54662</v>
          </cell>
          <cell r="FU18">
            <v>86891.3</v>
          </cell>
          <cell r="FV18">
            <v>104673.9</v>
          </cell>
          <cell r="FW18">
            <v>88646.5</v>
          </cell>
          <cell r="FX18">
            <v>110496.06</v>
          </cell>
          <cell r="GB18">
            <v>124532.41</v>
          </cell>
          <cell r="GC18">
            <v>179964.91</v>
          </cell>
          <cell r="GD18">
            <v>332409.81</v>
          </cell>
          <cell r="GE18">
            <v>235550.41</v>
          </cell>
          <cell r="GF18">
            <v>297897.82</v>
          </cell>
          <cell r="GG18">
            <v>369223.1</v>
          </cell>
          <cell r="GH18">
            <v>242179.15</v>
          </cell>
          <cell r="GI18">
            <v>186105.08</v>
          </cell>
          <cell r="GJ18">
            <v>112168.51</v>
          </cell>
          <cell r="GK18">
            <v>185219.36</v>
          </cell>
          <cell r="GL18">
            <v>211823.78</v>
          </cell>
          <cell r="GM18">
            <v>195144.86</v>
          </cell>
        </row>
        <row r="20">
          <cell r="A20" t="str">
            <v>Materials</v>
          </cell>
          <cell r="C20">
            <v>0</v>
          </cell>
          <cell r="D20">
            <v>0</v>
          </cell>
          <cell r="E20">
            <v>0</v>
          </cell>
          <cell r="F20" t="str">
            <v>n/a</v>
          </cell>
          <cell r="G20">
            <v>32.273143557501534</v>
          </cell>
          <cell r="H20">
            <v>12.6441</v>
          </cell>
          <cell r="J20">
            <v>0</v>
          </cell>
          <cell r="K20">
            <v>0</v>
          </cell>
          <cell r="L20">
            <v>0</v>
          </cell>
          <cell r="M20" t="str">
            <v>n/a</v>
          </cell>
          <cell r="N20">
            <v>32.919067238989392</v>
          </cell>
          <cell r="O20">
            <v>12.6441</v>
          </cell>
          <cell r="Q20">
            <v>0</v>
          </cell>
          <cell r="R20">
            <v>0</v>
          </cell>
          <cell r="S20">
            <v>0</v>
          </cell>
          <cell r="T20" t="str">
            <v>n/a</v>
          </cell>
          <cell r="U20">
            <v>-0.30635908597511552</v>
          </cell>
          <cell r="V20">
            <v>0</v>
          </cell>
          <cell r="X20">
            <v>0</v>
          </cell>
          <cell r="Y20">
            <v>0</v>
          </cell>
          <cell r="Z20">
            <v>0</v>
          </cell>
          <cell r="AA20" t="str">
            <v>n/a</v>
          </cell>
          <cell r="AB20">
            <v>-0.3395645955127416</v>
          </cell>
          <cell r="AC20">
            <v>0</v>
          </cell>
          <cell r="AD20">
            <v>385.30838999999992</v>
          </cell>
          <cell r="AE20">
            <v>449.01467000000002</v>
          </cell>
          <cell r="AH20">
            <v>31811.33</v>
          </cell>
          <cell r="AI20">
            <v>33239.81</v>
          </cell>
          <cell r="AJ20">
            <v>28360.579999999994</v>
          </cell>
          <cell r="AK20">
            <v>58761.19</v>
          </cell>
          <cell r="AL20">
            <v>56797.440000000002</v>
          </cell>
          <cell r="AM20">
            <v>28950.33</v>
          </cell>
          <cell r="AN20">
            <v>19435.459999999995</v>
          </cell>
          <cell r="AO20">
            <v>34404.980000000003</v>
          </cell>
          <cell r="AW20">
            <v>0</v>
          </cell>
          <cell r="AX20">
            <v>0</v>
          </cell>
          <cell r="AY20">
            <v>1366.08</v>
          </cell>
          <cell r="AZ20">
            <v>0</v>
          </cell>
          <cell r="BA20">
            <v>0</v>
          </cell>
          <cell r="BB20">
            <v>18.43</v>
          </cell>
          <cell r="BC20">
            <v>99.77</v>
          </cell>
          <cell r="BD20">
            <v>0</v>
          </cell>
          <cell r="BL20">
            <v>0</v>
          </cell>
          <cell r="BM20">
            <v>0</v>
          </cell>
          <cell r="BN20">
            <v>0</v>
          </cell>
          <cell r="BO20">
            <v>0</v>
          </cell>
          <cell r="BP20">
            <v>949.67</v>
          </cell>
          <cell r="BQ20">
            <v>-949.67</v>
          </cell>
          <cell r="BR20">
            <v>40.590000000000003</v>
          </cell>
          <cell r="BS20">
            <v>0</v>
          </cell>
          <cell r="CP20">
            <v>29439.127295999999</v>
          </cell>
          <cell r="CQ20">
            <v>31740.73344</v>
          </cell>
          <cell r="CR20">
            <v>49082.734079999995</v>
          </cell>
          <cell r="CS20">
            <v>53157</v>
          </cell>
          <cell r="CT20">
            <v>42018</v>
          </cell>
          <cell r="CU20">
            <v>304.70799999999872</v>
          </cell>
          <cell r="CV20">
            <v>25672</v>
          </cell>
          <cell r="CW20">
            <v>29498.6</v>
          </cell>
          <cell r="DE20">
            <v>0</v>
          </cell>
          <cell r="DF20">
            <v>0</v>
          </cell>
          <cell r="DG20">
            <v>0</v>
          </cell>
          <cell r="DH20">
            <v>0</v>
          </cell>
          <cell r="DI20">
            <v>0</v>
          </cell>
          <cell r="DJ20">
            <v>0</v>
          </cell>
          <cell r="DK20">
            <v>0</v>
          </cell>
          <cell r="DL20">
            <v>0</v>
          </cell>
          <cell r="DT20">
            <v>0</v>
          </cell>
          <cell r="DU20">
            <v>0</v>
          </cell>
          <cell r="DV20">
            <v>0</v>
          </cell>
          <cell r="DW20">
            <v>0</v>
          </cell>
          <cell r="DX20">
            <v>0</v>
          </cell>
          <cell r="DY20">
            <v>0</v>
          </cell>
          <cell r="DZ20">
            <v>0</v>
          </cell>
          <cell r="EA20">
            <v>0</v>
          </cell>
          <cell r="EX20">
            <v>38691.22</v>
          </cell>
          <cell r="EY20">
            <v>107233.36</v>
          </cell>
          <cell r="EZ20">
            <v>41014.559999999998</v>
          </cell>
          <cell r="FA20">
            <v>-18123.989999999998</v>
          </cell>
          <cell r="FB20">
            <v>87646.46</v>
          </cell>
          <cell r="FC20">
            <v>104645.01000000001</v>
          </cell>
          <cell r="FD20">
            <v>-8362.93</v>
          </cell>
          <cell r="FE20">
            <v>33669.82</v>
          </cell>
          <cell r="FF20">
            <v>12644.1</v>
          </cell>
          <cell r="FG20">
            <v>20503.37</v>
          </cell>
          <cell r="FH20">
            <v>24509.93</v>
          </cell>
          <cell r="FI20">
            <v>4862.5</v>
          </cell>
          <cell r="FM20">
            <v>57.26</v>
          </cell>
          <cell r="FN20">
            <v>0</v>
          </cell>
          <cell r="FO20">
            <v>0</v>
          </cell>
          <cell r="FP20">
            <v>0</v>
          </cell>
          <cell r="FQ20">
            <v>0</v>
          </cell>
          <cell r="FR20">
            <v>24</v>
          </cell>
          <cell r="FS20">
            <v>0</v>
          </cell>
          <cell r="FT20">
            <v>0</v>
          </cell>
          <cell r="FU20">
            <v>0</v>
          </cell>
          <cell r="FV20">
            <v>0</v>
          </cell>
          <cell r="FW20">
            <v>0</v>
          </cell>
          <cell r="FX20">
            <v>0</v>
          </cell>
          <cell r="GB20">
            <v>0</v>
          </cell>
          <cell r="GC20">
            <v>0</v>
          </cell>
          <cell r="GD20">
            <v>0</v>
          </cell>
          <cell r="GE20">
            <v>0</v>
          </cell>
          <cell r="GF20">
            <v>0</v>
          </cell>
          <cell r="GG20">
            <v>0</v>
          </cell>
          <cell r="GH20">
            <v>0</v>
          </cell>
          <cell r="GI20">
            <v>0</v>
          </cell>
          <cell r="GJ20">
            <v>0</v>
          </cell>
          <cell r="GK20">
            <v>0</v>
          </cell>
          <cell r="GL20">
            <v>0</v>
          </cell>
          <cell r="GM20">
            <v>0</v>
          </cell>
        </row>
        <row r="22">
          <cell r="A22" t="str">
            <v>Subcontract - Delhi</v>
          </cell>
          <cell r="C22">
            <v>0</v>
          </cell>
          <cell r="D22">
            <v>0</v>
          </cell>
          <cell r="E22">
            <v>0</v>
          </cell>
          <cell r="F22" t="str">
            <v>n/a</v>
          </cell>
          <cell r="G22">
            <v>42.089620209602238</v>
          </cell>
          <cell r="H22">
            <v>0.91500000000000004</v>
          </cell>
          <cell r="J22">
            <v>0</v>
          </cell>
          <cell r="K22">
            <v>0</v>
          </cell>
          <cell r="L22">
            <v>0</v>
          </cell>
          <cell r="M22" t="str">
            <v>n/a</v>
          </cell>
          <cell r="N22">
            <v>34.604800930760788</v>
          </cell>
          <cell r="O22">
            <v>0</v>
          </cell>
          <cell r="Q22">
            <v>0</v>
          </cell>
          <cell r="R22">
            <v>0</v>
          </cell>
          <cell r="S22">
            <v>0</v>
          </cell>
          <cell r="T22" t="str">
            <v>n/a</v>
          </cell>
          <cell r="U22">
            <v>-0.51059847662519253</v>
          </cell>
          <cell r="V22">
            <v>0.91500000000000004</v>
          </cell>
          <cell r="X22">
            <v>0</v>
          </cell>
          <cell r="Y22">
            <v>0</v>
          </cell>
          <cell r="Z22">
            <v>0</v>
          </cell>
          <cell r="AA22" t="str">
            <v>n/a</v>
          </cell>
          <cell r="AB22">
            <v>7.995417755466641</v>
          </cell>
          <cell r="AC22">
            <v>0</v>
          </cell>
          <cell r="AD22">
            <v>196.32271714285716</v>
          </cell>
          <cell r="AE22">
            <v>21.397860000000001</v>
          </cell>
          <cell r="AH22">
            <v>10580</v>
          </cell>
          <cell r="AI22">
            <v>26279.91</v>
          </cell>
          <cell r="AJ22">
            <v>34205.15</v>
          </cell>
          <cell r="AK22">
            <v>36250.5</v>
          </cell>
          <cell r="AL22">
            <v>8465.48</v>
          </cell>
          <cell r="AM22">
            <v>7494.72</v>
          </cell>
          <cell r="AN22">
            <v>7250.5</v>
          </cell>
          <cell r="AO22">
            <v>6368</v>
          </cell>
          <cell r="AW22">
            <v>0</v>
          </cell>
          <cell r="AX22">
            <v>0</v>
          </cell>
          <cell r="AY22">
            <v>0</v>
          </cell>
          <cell r="AZ22">
            <v>0</v>
          </cell>
          <cell r="BA22">
            <v>0</v>
          </cell>
          <cell r="BB22">
            <v>0</v>
          </cell>
          <cell r="BC22">
            <v>0</v>
          </cell>
          <cell r="BD22">
            <v>0</v>
          </cell>
          <cell r="BL22">
            <v>0</v>
          </cell>
          <cell r="BM22">
            <v>0</v>
          </cell>
          <cell r="BN22">
            <v>0</v>
          </cell>
          <cell r="BO22">
            <v>0</v>
          </cell>
          <cell r="BP22">
            <v>0</v>
          </cell>
          <cell r="BQ22">
            <v>0</v>
          </cell>
          <cell r="BR22">
            <v>0</v>
          </cell>
          <cell r="BS22">
            <v>0</v>
          </cell>
          <cell r="CP22">
            <v>0</v>
          </cell>
          <cell r="CQ22">
            <v>0</v>
          </cell>
          <cell r="CR22">
            <v>32415.748571428565</v>
          </cell>
          <cell r="CS22">
            <v>30518.857142857138</v>
          </cell>
          <cell r="CT22">
            <v>16714.285714285714</v>
          </cell>
          <cell r="CU22">
            <v>24642.857142857141</v>
          </cell>
          <cell r="CV22">
            <v>7071.4285714285725</v>
          </cell>
          <cell r="CW22">
            <v>11643.680952380955</v>
          </cell>
          <cell r="DE22">
            <v>0</v>
          </cell>
          <cell r="DF22">
            <v>0</v>
          </cell>
          <cell r="DG22">
            <v>0</v>
          </cell>
          <cell r="DH22">
            <v>0</v>
          </cell>
          <cell r="DI22">
            <v>0</v>
          </cell>
          <cell r="DJ22">
            <v>0</v>
          </cell>
          <cell r="DK22">
            <v>0</v>
          </cell>
          <cell r="DL22">
            <v>0</v>
          </cell>
          <cell r="DT22">
            <v>0</v>
          </cell>
          <cell r="DU22">
            <v>0</v>
          </cell>
          <cell r="DV22">
            <v>3347.7400000000002</v>
          </cell>
          <cell r="DW22">
            <v>4893.74</v>
          </cell>
          <cell r="DX22">
            <v>0</v>
          </cell>
          <cell r="DY22">
            <v>0</v>
          </cell>
          <cell r="DZ22">
            <v>0</v>
          </cell>
          <cell r="EA22">
            <v>0</v>
          </cell>
          <cell r="EX22">
            <v>0</v>
          </cell>
          <cell r="EY22">
            <v>0</v>
          </cell>
          <cell r="EZ22">
            <v>0</v>
          </cell>
          <cell r="FA22">
            <v>0</v>
          </cell>
          <cell r="FB22">
            <v>0</v>
          </cell>
          <cell r="FC22">
            <v>0</v>
          </cell>
          <cell r="FD22">
            <v>0</v>
          </cell>
          <cell r="FE22">
            <v>0</v>
          </cell>
          <cell r="FF22">
            <v>0</v>
          </cell>
          <cell r="FG22">
            <v>5568</v>
          </cell>
          <cell r="FH22">
            <v>2412</v>
          </cell>
          <cell r="FI22">
            <v>12502.86</v>
          </cell>
          <cell r="FM22">
            <v>0</v>
          </cell>
          <cell r="FN22">
            <v>0</v>
          </cell>
          <cell r="FO22">
            <v>0</v>
          </cell>
          <cell r="FP22">
            <v>0</v>
          </cell>
          <cell r="FQ22">
            <v>0</v>
          </cell>
          <cell r="FR22">
            <v>0</v>
          </cell>
          <cell r="FS22">
            <v>0</v>
          </cell>
          <cell r="FT22">
            <v>0</v>
          </cell>
          <cell r="FU22">
            <v>915</v>
          </cell>
          <cell r="FV22">
            <v>0</v>
          </cell>
          <cell r="FW22">
            <v>0</v>
          </cell>
          <cell r="FX22">
            <v>0</v>
          </cell>
          <cell r="GB22">
            <v>0</v>
          </cell>
          <cell r="GC22">
            <v>0</v>
          </cell>
          <cell r="GD22">
            <v>0</v>
          </cell>
          <cell r="GE22">
            <v>0</v>
          </cell>
          <cell r="GF22">
            <v>0</v>
          </cell>
          <cell r="GG22">
            <v>0</v>
          </cell>
          <cell r="GH22">
            <v>0</v>
          </cell>
          <cell r="GI22">
            <v>0</v>
          </cell>
          <cell r="GJ22">
            <v>0</v>
          </cell>
          <cell r="GK22">
            <v>0</v>
          </cell>
          <cell r="GL22">
            <v>0</v>
          </cell>
          <cell r="GM22">
            <v>0</v>
          </cell>
        </row>
        <row r="23">
          <cell r="A23" t="str">
            <v>Subcontract - Other</v>
          </cell>
          <cell r="C23">
            <v>0</v>
          </cell>
          <cell r="D23">
            <v>0</v>
          </cell>
          <cell r="E23">
            <v>0</v>
          </cell>
          <cell r="F23" t="str">
            <v>n/a</v>
          </cell>
          <cell r="G23">
            <v>55.972294383900248</v>
          </cell>
          <cell r="H23">
            <v>62.61215</v>
          </cell>
          <cell r="J23">
            <v>0</v>
          </cell>
          <cell r="K23">
            <v>0</v>
          </cell>
          <cell r="L23">
            <v>0</v>
          </cell>
          <cell r="M23" t="str">
            <v>n/a</v>
          </cell>
          <cell r="N23">
            <v>32.045923681487857</v>
          </cell>
          <cell r="O23">
            <v>20.706189999999999</v>
          </cell>
          <cell r="Q23">
            <v>0</v>
          </cell>
          <cell r="R23">
            <v>0</v>
          </cell>
          <cell r="S23">
            <v>0</v>
          </cell>
          <cell r="T23" t="str">
            <v>n/a</v>
          </cell>
          <cell r="U23">
            <v>-0.30635908597511552</v>
          </cell>
          <cell r="V23">
            <v>11.90835</v>
          </cell>
          <cell r="X23">
            <v>0</v>
          </cell>
          <cell r="Y23">
            <v>0</v>
          </cell>
          <cell r="Z23">
            <v>0</v>
          </cell>
          <cell r="AA23" t="str">
            <v>n/a</v>
          </cell>
          <cell r="AB23">
            <v>24.232729788387505</v>
          </cell>
          <cell r="AC23">
            <v>29.997610000000002</v>
          </cell>
          <cell r="AD23">
            <v>2193.9083000000001</v>
          </cell>
          <cell r="AE23">
            <v>1107.9917799999998</v>
          </cell>
          <cell r="AH23">
            <v>28469.57</v>
          </cell>
          <cell r="AI23">
            <v>75481.570000000007</v>
          </cell>
          <cell r="AJ23">
            <v>103421.59</v>
          </cell>
          <cell r="AK23">
            <v>98638.91</v>
          </cell>
          <cell r="AL23">
            <v>82931.23000000001</v>
          </cell>
          <cell r="AM23">
            <v>21130.11</v>
          </cell>
          <cell r="AN23">
            <v>-19495.010000000002</v>
          </cell>
          <cell r="AO23">
            <v>8986.84</v>
          </cell>
          <cell r="AW23">
            <v>47540.990000000005</v>
          </cell>
          <cell r="AX23">
            <v>110517.61</v>
          </cell>
          <cell r="AY23">
            <v>90609.040000000008</v>
          </cell>
          <cell r="AZ23">
            <v>86199.17</v>
          </cell>
          <cell r="BA23">
            <v>106745.36</v>
          </cell>
          <cell r="BB23">
            <v>175535.2</v>
          </cell>
          <cell r="BC23">
            <v>89047.06</v>
          </cell>
          <cell r="BD23">
            <v>56080.14</v>
          </cell>
          <cell r="BL23">
            <v>60801.86</v>
          </cell>
          <cell r="BM23">
            <v>70553.819999999992</v>
          </cell>
          <cell r="BN23">
            <v>174520.87</v>
          </cell>
          <cell r="BO23">
            <v>105729.16</v>
          </cell>
          <cell r="BP23">
            <v>111484.14</v>
          </cell>
          <cell r="BQ23">
            <v>173064.76</v>
          </cell>
          <cell r="BR23">
            <v>67323.760000000009</v>
          </cell>
          <cell r="BS23">
            <v>50872.75</v>
          </cell>
          <cell r="CP23">
            <v>20240</v>
          </cell>
          <cell r="CQ23">
            <v>57600</v>
          </cell>
          <cell r="CR23">
            <v>109112</v>
          </cell>
          <cell r="CS23">
            <v>43688</v>
          </cell>
          <cell r="CT23">
            <v>46552</v>
          </cell>
          <cell r="CU23">
            <v>84336</v>
          </cell>
          <cell r="CV23">
            <v>9680</v>
          </cell>
          <cell r="CW23">
            <v>33120</v>
          </cell>
          <cell r="DE23">
            <v>16560</v>
          </cell>
          <cell r="DF23">
            <v>27360</v>
          </cell>
          <cell r="DG23">
            <v>53544</v>
          </cell>
          <cell r="DH23">
            <v>32852</v>
          </cell>
          <cell r="DI23">
            <v>25944</v>
          </cell>
          <cell r="DJ23">
            <v>207460.00000000003</v>
          </cell>
          <cell r="DK23">
            <v>69900</v>
          </cell>
          <cell r="DL23">
            <v>68300</v>
          </cell>
          <cell r="DT23">
            <v>64492.500000000007</v>
          </cell>
          <cell r="DU23">
            <v>110794.00000000001</v>
          </cell>
          <cell r="DV23">
            <v>154477.4</v>
          </cell>
          <cell r="DW23">
            <v>207203.05</v>
          </cell>
          <cell r="DX23">
            <v>109833.05</v>
          </cell>
          <cell r="DY23">
            <v>82396.349999999991</v>
          </cell>
          <cell r="DZ23">
            <v>64291.600000000006</v>
          </cell>
          <cell r="EA23">
            <v>64243.200000000004</v>
          </cell>
          <cell r="EX23">
            <v>35395.760000000002</v>
          </cell>
          <cell r="EY23">
            <v>39675.229999999996</v>
          </cell>
          <cell r="EZ23">
            <v>80506.790000000008</v>
          </cell>
          <cell r="FA23">
            <v>71550.53</v>
          </cell>
          <cell r="FB23">
            <v>37217.399999999994</v>
          </cell>
          <cell r="FC23">
            <v>4760.8599999999997</v>
          </cell>
          <cell r="FD23">
            <v>15227.6</v>
          </cell>
          <cell r="FE23">
            <v>23472.199999999997</v>
          </cell>
          <cell r="FF23">
            <v>20706.189999999999</v>
          </cell>
          <cell r="FG23">
            <v>48151.850000000006</v>
          </cell>
          <cell r="FH23">
            <v>20850.22</v>
          </cell>
          <cell r="FI23">
            <v>24732.73</v>
          </cell>
          <cell r="FM23">
            <v>6132.54</v>
          </cell>
          <cell r="FN23">
            <v>8993.74</v>
          </cell>
          <cell r="FO23">
            <v>5081.3099999999995</v>
          </cell>
          <cell r="FP23">
            <v>9194.07</v>
          </cell>
          <cell r="FQ23">
            <v>7073.9699999999993</v>
          </cell>
          <cell r="FR23">
            <v>3400.82</v>
          </cell>
          <cell r="FS23">
            <v>1268.27</v>
          </cell>
          <cell r="FT23">
            <v>6943.94</v>
          </cell>
          <cell r="FU23">
            <v>11908.35</v>
          </cell>
          <cell r="FV23">
            <v>27827.67</v>
          </cell>
          <cell r="FW23">
            <v>23121.73</v>
          </cell>
          <cell r="FX23">
            <v>18534.14</v>
          </cell>
          <cell r="GB23">
            <v>7665</v>
          </cell>
          <cell r="GC23">
            <v>13777.55</v>
          </cell>
          <cell r="GD23">
            <v>77718.86</v>
          </cell>
          <cell r="GE23">
            <v>29283.25</v>
          </cell>
          <cell r="GF23">
            <v>42679.48</v>
          </cell>
          <cell r="GG23">
            <v>75117.69</v>
          </cell>
          <cell r="GH23">
            <v>50171.26</v>
          </cell>
          <cell r="GI23">
            <v>66861.09</v>
          </cell>
          <cell r="GJ23">
            <v>29997.61</v>
          </cell>
          <cell r="GK23">
            <v>100425.68</v>
          </cell>
          <cell r="GL23">
            <v>28690.17</v>
          </cell>
          <cell r="GM23">
            <v>33876.230000000003</v>
          </cell>
        </row>
        <row r="24">
          <cell r="A24" t="str">
            <v>Subcontract</v>
          </cell>
          <cell r="C24">
            <v>0</v>
          </cell>
          <cell r="D24">
            <v>0</v>
          </cell>
          <cell r="E24">
            <v>0</v>
          </cell>
          <cell r="F24" t="str">
            <v>n/a</v>
          </cell>
          <cell r="G24">
            <v>98.061914593502479</v>
          </cell>
          <cell r="H24">
            <v>63.527149999999999</v>
          </cell>
          <cell r="J24">
            <v>0</v>
          </cell>
          <cell r="K24">
            <v>0</v>
          </cell>
          <cell r="L24">
            <v>0</v>
          </cell>
          <cell r="M24" t="str">
            <v>n/a</v>
          </cell>
          <cell r="N24">
            <v>66.650724612248638</v>
          </cell>
          <cell r="O24">
            <v>20.706189999999999</v>
          </cell>
          <cell r="Q24">
            <v>0</v>
          </cell>
          <cell r="R24">
            <v>0</v>
          </cell>
          <cell r="S24">
            <v>0</v>
          </cell>
          <cell r="T24" t="str">
            <v>n/a</v>
          </cell>
          <cell r="U24">
            <v>-0.81695756260030805</v>
          </cell>
          <cell r="V24">
            <v>12.823350000000001</v>
          </cell>
          <cell r="X24">
            <v>0</v>
          </cell>
          <cell r="Y24">
            <v>0</v>
          </cell>
          <cell r="Z24">
            <v>0</v>
          </cell>
          <cell r="AA24" t="str">
            <v>n/a</v>
          </cell>
          <cell r="AB24">
            <v>32.228147543854149</v>
          </cell>
          <cell r="AC24">
            <v>29.997610000000002</v>
          </cell>
          <cell r="AD24">
            <v>2390.2310171428571</v>
          </cell>
          <cell r="AE24">
            <v>1129.3896399999999</v>
          </cell>
          <cell r="AH24">
            <v>39049.57</v>
          </cell>
          <cell r="AI24">
            <v>101761.48000000001</v>
          </cell>
          <cell r="AJ24">
            <v>137626.74</v>
          </cell>
          <cell r="AK24">
            <v>134889.41</v>
          </cell>
          <cell r="AL24">
            <v>91396.71</v>
          </cell>
          <cell r="AM24">
            <v>28624.83</v>
          </cell>
          <cell r="AN24">
            <v>-12244.510000000002</v>
          </cell>
          <cell r="AO24">
            <v>15354.84</v>
          </cell>
          <cell r="AP24">
            <v>0</v>
          </cell>
          <cell r="AQ24">
            <v>0</v>
          </cell>
          <cell r="AR24">
            <v>0</v>
          </cell>
          <cell r="AS24">
            <v>0</v>
          </cell>
          <cell r="AW24">
            <v>47540.990000000005</v>
          </cell>
          <cell r="AX24">
            <v>110517.61</v>
          </cell>
          <cell r="AY24">
            <v>90609.040000000008</v>
          </cell>
          <cell r="AZ24">
            <v>86199.17</v>
          </cell>
          <cell r="BA24">
            <v>106745.36</v>
          </cell>
          <cell r="BB24">
            <v>175535.2</v>
          </cell>
          <cell r="BC24">
            <v>89047.06</v>
          </cell>
          <cell r="BD24">
            <v>56080.14</v>
          </cell>
          <cell r="BE24">
            <v>0</v>
          </cell>
          <cell r="BF24">
            <v>0</v>
          </cell>
          <cell r="BG24">
            <v>0</v>
          </cell>
          <cell r="BH24">
            <v>0</v>
          </cell>
          <cell r="BL24">
            <v>60801.86</v>
          </cell>
          <cell r="BM24">
            <v>70553.819999999992</v>
          </cell>
          <cell r="BN24">
            <v>174520.87</v>
          </cell>
          <cell r="BO24">
            <v>105729.16</v>
          </cell>
          <cell r="BP24">
            <v>111484.14</v>
          </cell>
          <cell r="BQ24">
            <v>173064.76</v>
          </cell>
          <cell r="BR24">
            <v>67323.760000000009</v>
          </cell>
          <cell r="BS24">
            <v>50872.75</v>
          </cell>
          <cell r="BT24">
            <v>0</v>
          </cell>
          <cell r="BU24">
            <v>0</v>
          </cell>
          <cell r="BV24">
            <v>0</v>
          </cell>
          <cell r="BW24">
            <v>0</v>
          </cell>
          <cell r="CP24">
            <v>20240</v>
          </cell>
          <cell r="CQ24">
            <v>57600</v>
          </cell>
          <cell r="CR24">
            <v>141527.74857142856</v>
          </cell>
          <cell r="CS24">
            <v>74206.85714285713</v>
          </cell>
          <cell r="CT24">
            <v>63266.28571428571</v>
          </cell>
          <cell r="CU24">
            <v>108978.85714285714</v>
          </cell>
          <cell r="CV24">
            <v>16751.428571428572</v>
          </cell>
          <cell r="CW24">
            <v>44763.680952380957</v>
          </cell>
          <cell r="CX24">
            <v>0</v>
          </cell>
          <cell r="CY24">
            <v>0</v>
          </cell>
          <cell r="CZ24">
            <v>0</v>
          </cell>
          <cell r="DA24">
            <v>0</v>
          </cell>
          <cell r="DE24">
            <v>16560</v>
          </cell>
          <cell r="DF24">
            <v>27360</v>
          </cell>
          <cell r="DG24">
            <v>53544</v>
          </cell>
          <cell r="DH24">
            <v>32852</v>
          </cell>
          <cell r="DI24">
            <v>25944</v>
          </cell>
          <cell r="DJ24">
            <v>207460.00000000003</v>
          </cell>
          <cell r="DK24">
            <v>69900</v>
          </cell>
          <cell r="DL24">
            <v>68300</v>
          </cell>
          <cell r="DM24">
            <v>0</v>
          </cell>
          <cell r="DN24">
            <v>0</v>
          </cell>
          <cell r="DO24">
            <v>0</v>
          </cell>
          <cell r="DP24">
            <v>0</v>
          </cell>
          <cell r="DT24">
            <v>64492.500000000007</v>
          </cell>
          <cell r="DU24">
            <v>110794.00000000001</v>
          </cell>
          <cell r="DV24">
            <v>157825.13999999998</v>
          </cell>
          <cell r="DW24">
            <v>212096.78999999998</v>
          </cell>
          <cell r="DX24">
            <v>109833.05</v>
          </cell>
          <cell r="DY24">
            <v>82396.349999999991</v>
          </cell>
          <cell r="DZ24">
            <v>64291.600000000006</v>
          </cell>
          <cell r="EA24">
            <v>64243.200000000004</v>
          </cell>
          <cell r="EB24">
            <v>0</v>
          </cell>
          <cell r="EC24">
            <v>0</v>
          </cell>
          <cell r="ED24">
            <v>0</v>
          </cell>
          <cell r="EE24">
            <v>0</v>
          </cell>
          <cell r="EX24">
            <v>35395.760000000002</v>
          </cell>
          <cell r="EY24">
            <v>39675.229999999996</v>
          </cell>
          <cell r="EZ24">
            <v>80506.790000000008</v>
          </cell>
          <cell r="FA24">
            <v>71550.53</v>
          </cell>
          <cell r="FB24">
            <v>37217.399999999994</v>
          </cell>
          <cell r="FC24">
            <v>4760.8599999999997</v>
          </cell>
          <cell r="FD24">
            <v>15227.6</v>
          </cell>
          <cell r="FE24">
            <v>23472.199999999997</v>
          </cell>
          <cell r="FF24">
            <v>20706.189999999999</v>
          </cell>
          <cell r="FG24">
            <v>53719.850000000006</v>
          </cell>
          <cell r="FH24">
            <v>23262.22</v>
          </cell>
          <cell r="FI24">
            <v>37235.589999999997</v>
          </cell>
          <cell r="FM24">
            <v>6132.54</v>
          </cell>
          <cell r="FN24">
            <v>8993.74</v>
          </cell>
          <cell r="FO24">
            <v>5081.3099999999995</v>
          </cell>
          <cell r="FP24">
            <v>9194.07</v>
          </cell>
          <cell r="FQ24">
            <v>7073.9699999999993</v>
          </cell>
          <cell r="FR24">
            <v>3400.82</v>
          </cell>
          <cell r="FS24">
            <v>1268.27</v>
          </cell>
          <cell r="FT24">
            <v>6943.94</v>
          </cell>
          <cell r="FU24">
            <v>12823.35</v>
          </cell>
          <cell r="FV24">
            <v>27827.67</v>
          </cell>
          <cell r="FW24">
            <v>23121.73</v>
          </cell>
          <cell r="FX24">
            <v>18534.14</v>
          </cell>
          <cell r="GB24">
            <v>7665</v>
          </cell>
          <cell r="GC24">
            <v>13777.55</v>
          </cell>
          <cell r="GD24">
            <v>77718.86</v>
          </cell>
          <cell r="GE24">
            <v>29283.25</v>
          </cell>
          <cell r="GF24">
            <v>42679.48</v>
          </cell>
          <cell r="GG24">
            <v>75117.69</v>
          </cell>
          <cell r="GH24">
            <v>50171.26</v>
          </cell>
          <cell r="GI24">
            <v>66861.09</v>
          </cell>
          <cell r="GJ24">
            <v>29997.61</v>
          </cell>
          <cell r="GK24">
            <v>100425.68</v>
          </cell>
          <cell r="GL24">
            <v>28690.17</v>
          </cell>
          <cell r="GM24">
            <v>33876.230000000003</v>
          </cell>
        </row>
        <row r="26">
          <cell r="A26" t="str">
            <v>Value-Added</v>
          </cell>
          <cell r="C26">
            <v>0</v>
          </cell>
          <cell r="D26">
            <v>0</v>
          </cell>
          <cell r="E26">
            <v>0</v>
          </cell>
          <cell r="F26" t="str">
            <v>n/a</v>
          </cell>
          <cell r="G26">
            <v>1087.1499418489961</v>
          </cell>
          <cell r="H26">
            <v>656.86032999999998</v>
          </cell>
          <cell r="J26">
            <v>0</v>
          </cell>
          <cell r="K26">
            <v>0</v>
          </cell>
          <cell r="L26">
            <v>0</v>
          </cell>
          <cell r="M26" t="str">
            <v>n/a</v>
          </cell>
          <cell r="N26">
            <v>763.8233435894374</v>
          </cell>
          <cell r="O26">
            <v>500.62148000000002</v>
          </cell>
          <cell r="Q26">
            <v>0</v>
          </cell>
          <cell r="R26">
            <v>0</v>
          </cell>
          <cell r="S26">
            <v>0</v>
          </cell>
          <cell r="T26" t="str">
            <v>n/a</v>
          </cell>
          <cell r="U26">
            <v>202.80671428295517</v>
          </cell>
          <cell r="V26">
            <v>74.067949999999996</v>
          </cell>
          <cell r="X26">
            <v>0</v>
          </cell>
          <cell r="Y26">
            <v>0</v>
          </cell>
          <cell r="Z26">
            <v>0</v>
          </cell>
          <cell r="AA26" t="str">
            <v>n/a</v>
          </cell>
          <cell r="AB26">
            <v>120.51988397660334</v>
          </cell>
          <cell r="AC26">
            <v>82.170899999999989</v>
          </cell>
          <cell r="AD26">
            <v>12625.522052857141</v>
          </cell>
          <cell r="AE26">
            <v>11655.73775</v>
          </cell>
          <cell r="AH26">
            <v>594344.26000000013</v>
          </cell>
          <cell r="AI26">
            <v>703110.1399999999</v>
          </cell>
          <cell r="AJ26">
            <v>1378463.8399999999</v>
          </cell>
          <cell r="AK26">
            <v>947918.46000000008</v>
          </cell>
          <cell r="AL26">
            <v>1034155.19</v>
          </cell>
          <cell r="AM26">
            <v>1416223.9499999997</v>
          </cell>
          <cell r="AN26">
            <v>801176.89</v>
          </cell>
          <cell r="AO26">
            <v>721362.39</v>
          </cell>
          <cell r="AP26">
            <v>0</v>
          </cell>
          <cell r="AQ26">
            <v>0</v>
          </cell>
          <cell r="AR26">
            <v>0</v>
          </cell>
          <cell r="AS26">
            <v>0</v>
          </cell>
          <cell r="AW26">
            <v>165567.01</v>
          </cell>
          <cell r="AX26">
            <v>90049.83</v>
          </cell>
          <cell r="AY26">
            <v>210995.02</v>
          </cell>
          <cell r="AZ26">
            <v>230475.91999999998</v>
          </cell>
          <cell r="BA26">
            <v>176896.05000000005</v>
          </cell>
          <cell r="BB26">
            <v>47167.929999999993</v>
          </cell>
          <cell r="BC26">
            <v>68771.110000000015</v>
          </cell>
          <cell r="BD26">
            <v>105429.71</v>
          </cell>
          <cell r="BE26">
            <v>0</v>
          </cell>
          <cell r="BF26">
            <v>0</v>
          </cell>
          <cell r="BG26">
            <v>0</v>
          </cell>
          <cell r="BH26">
            <v>0</v>
          </cell>
          <cell r="BL26">
            <v>201096.91999999998</v>
          </cell>
          <cell r="BM26">
            <v>91795.60000000002</v>
          </cell>
          <cell r="BN26">
            <v>13043.050000000017</v>
          </cell>
          <cell r="BO26">
            <v>-128.39000000001397</v>
          </cell>
          <cell r="BP26">
            <v>190258.38</v>
          </cell>
          <cell r="BQ26">
            <v>368584.48</v>
          </cell>
          <cell r="BR26">
            <v>103577.95999999999</v>
          </cell>
          <cell r="BS26">
            <v>138057.01</v>
          </cell>
          <cell r="BT26">
            <v>0</v>
          </cell>
          <cell r="BU26">
            <v>0</v>
          </cell>
          <cell r="BV26">
            <v>0</v>
          </cell>
          <cell r="BW26">
            <v>0</v>
          </cell>
          <cell r="CP26">
            <v>802147.47270399996</v>
          </cell>
          <cell r="CQ26">
            <v>829083.26656000002</v>
          </cell>
          <cell r="CR26">
            <v>1229607.5173485714</v>
          </cell>
          <cell r="CS26">
            <v>1003636.1428571428</v>
          </cell>
          <cell r="CT26">
            <v>788715.71428571432</v>
          </cell>
          <cell r="CU26">
            <v>859310.43485714286</v>
          </cell>
          <cell r="CV26">
            <v>599376.57142857148</v>
          </cell>
          <cell r="CW26">
            <v>663202.71904761903</v>
          </cell>
          <cell r="CX26">
            <v>0</v>
          </cell>
          <cell r="CY26">
            <v>0</v>
          </cell>
          <cell r="CZ26">
            <v>0</v>
          </cell>
          <cell r="DA26">
            <v>0</v>
          </cell>
          <cell r="DE26">
            <v>118113.40000000002</v>
          </cell>
          <cell r="DF26">
            <v>237254</v>
          </cell>
          <cell r="DG26">
            <v>250456</v>
          </cell>
          <cell r="DH26">
            <v>243148</v>
          </cell>
          <cell r="DI26">
            <v>165056</v>
          </cell>
          <cell r="DJ26">
            <v>150539.99999999997</v>
          </cell>
          <cell r="DK26">
            <v>116100</v>
          </cell>
          <cell r="DL26">
            <v>152700</v>
          </cell>
          <cell r="DM26">
            <v>0</v>
          </cell>
          <cell r="DN26">
            <v>0</v>
          </cell>
          <cell r="DO26">
            <v>0</v>
          </cell>
          <cell r="DP26">
            <v>0</v>
          </cell>
          <cell r="DT26">
            <v>193477.50000000003</v>
          </cell>
          <cell r="DU26">
            <v>65675.999999999985</v>
          </cell>
          <cell r="DV26">
            <v>9561.8600000000151</v>
          </cell>
          <cell r="DW26">
            <v>32590.210000000021</v>
          </cell>
          <cell r="DX26">
            <v>339053.95</v>
          </cell>
          <cell r="DY26">
            <v>316221.65000000002</v>
          </cell>
          <cell r="DZ26">
            <v>151540.39999999997</v>
          </cell>
          <cell r="EA26">
            <v>143188.79999999999</v>
          </cell>
          <cell r="EB26">
            <v>0</v>
          </cell>
          <cell r="EC26">
            <v>0</v>
          </cell>
          <cell r="ED26">
            <v>0</v>
          </cell>
          <cell r="EE26">
            <v>0</v>
          </cell>
          <cell r="EX26">
            <v>710468.67</v>
          </cell>
          <cell r="EY26">
            <v>676143.89</v>
          </cell>
          <cell r="EZ26">
            <v>1309685.3600000001</v>
          </cell>
          <cell r="FA26">
            <v>695927.2699999999</v>
          </cell>
          <cell r="FB26">
            <v>949621.47999999986</v>
          </cell>
          <cell r="FC26">
            <v>1228742.3299999998</v>
          </cell>
          <cell r="FD26">
            <v>331095.26</v>
          </cell>
          <cell r="FE26">
            <v>432072.97000000003</v>
          </cell>
          <cell r="FF26">
            <v>500621.48000000004</v>
          </cell>
          <cell r="FG26">
            <v>639331.02000000014</v>
          </cell>
          <cell r="FH26">
            <v>669699.82999999996</v>
          </cell>
          <cell r="FI26">
            <v>682457.58000000007</v>
          </cell>
          <cell r="FM26">
            <v>80188.700000000012</v>
          </cell>
          <cell r="FN26">
            <v>57713.26</v>
          </cell>
          <cell r="FO26">
            <v>121686.12</v>
          </cell>
          <cell r="FP26">
            <v>45564.43</v>
          </cell>
          <cell r="FQ26">
            <v>20576.03</v>
          </cell>
          <cell r="FR26">
            <v>12211.68</v>
          </cell>
          <cell r="FS26">
            <v>19856.13</v>
          </cell>
          <cell r="FT26">
            <v>47718.06</v>
          </cell>
          <cell r="FU26">
            <v>74067.95</v>
          </cell>
          <cell r="FV26">
            <v>76846.23</v>
          </cell>
          <cell r="FW26">
            <v>65524.770000000004</v>
          </cell>
          <cell r="FX26">
            <v>91961.919999999998</v>
          </cell>
          <cell r="GB26">
            <v>116867.41</v>
          </cell>
          <cell r="GC26">
            <v>166187.36000000002</v>
          </cell>
          <cell r="GD26">
            <v>254690.95</v>
          </cell>
          <cell r="GE26">
            <v>206267.16</v>
          </cell>
          <cell r="GF26">
            <v>255218.34</v>
          </cell>
          <cell r="GG26">
            <v>294105.40999999997</v>
          </cell>
          <cell r="GH26">
            <v>192007.88999999998</v>
          </cell>
          <cell r="GI26">
            <v>119243.98999999999</v>
          </cell>
          <cell r="GJ26">
            <v>82170.899999999994</v>
          </cell>
          <cell r="GK26">
            <v>84793.68</v>
          </cell>
          <cell r="GL26">
            <v>183133.61</v>
          </cell>
          <cell r="GM26">
            <v>161268.62999999998</v>
          </cell>
        </row>
        <row r="28">
          <cell r="A28" t="str">
            <v>Labor - Direct</v>
          </cell>
          <cell r="C28">
            <v>0</v>
          </cell>
          <cell r="D28">
            <v>0</v>
          </cell>
          <cell r="E28">
            <v>0</v>
          </cell>
          <cell r="F28" t="str">
            <v>n/a</v>
          </cell>
          <cell r="G28">
            <v>277.19621766221536</v>
          </cell>
          <cell r="H28">
            <v>252.71532999999999</v>
          </cell>
          <cell r="J28">
            <v>0</v>
          </cell>
          <cell r="K28">
            <v>0</v>
          </cell>
          <cell r="L28">
            <v>0</v>
          </cell>
          <cell r="M28" t="str">
            <v>n/a</v>
          </cell>
          <cell r="N28">
            <v>225.55257369119997</v>
          </cell>
          <cell r="O28">
            <v>207.68746999999999</v>
          </cell>
          <cell r="Q28">
            <v>0</v>
          </cell>
          <cell r="R28">
            <v>0</v>
          </cell>
          <cell r="S28">
            <v>0</v>
          </cell>
          <cell r="T28" t="str">
            <v>n/a</v>
          </cell>
          <cell r="U28">
            <v>25.600413591415386</v>
          </cell>
          <cell r="V28">
            <v>11.990310000000001</v>
          </cell>
          <cell r="X28">
            <v>0</v>
          </cell>
          <cell r="Y28">
            <v>0</v>
          </cell>
          <cell r="Z28">
            <v>0</v>
          </cell>
          <cell r="AA28" t="str">
            <v>n/a</v>
          </cell>
          <cell r="AB28">
            <v>26.043230379600001</v>
          </cell>
          <cell r="AC28">
            <v>33.037550000000003</v>
          </cell>
          <cell r="AD28">
            <v>3332.8038575398182</v>
          </cell>
          <cell r="AE28">
            <v>3267.4444009999997</v>
          </cell>
          <cell r="AH28">
            <v>212272.5</v>
          </cell>
          <cell r="AI28">
            <v>208092.22</v>
          </cell>
          <cell r="AJ28">
            <v>240544.58999999997</v>
          </cell>
          <cell r="AK28">
            <v>238376.41399999999</v>
          </cell>
          <cell r="AL28">
            <v>247264.22</v>
          </cell>
          <cell r="AM28">
            <v>217194.78400000004</v>
          </cell>
          <cell r="AN28">
            <v>192576.09050000008</v>
          </cell>
          <cell r="AO28">
            <v>209583.56600000002</v>
          </cell>
          <cell r="AW28">
            <v>31140.58</v>
          </cell>
          <cell r="AX28">
            <v>31738.829999999998</v>
          </cell>
          <cell r="AY28">
            <v>34425.94</v>
          </cell>
          <cell r="AZ28">
            <v>27493.108</v>
          </cell>
          <cell r="BA28">
            <v>39998.71</v>
          </cell>
          <cell r="BB28">
            <v>20761.118000000002</v>
          </cell>
          <cell r="BC28">
            <v>26550.806</v>
          </cell>
          <cell r="BD28">
            <v>28186.452000000001</v>
          </cell>
          <cell r="BL28">
            <v>30832.55</v>
          </cell>
          <cell r="BM28">
            <v>24286.86</v>
          </cell>
          <cell r="BN28">
            <v>29193.58</v>
          </cell>
          <cell r="BO28">
            <v>27523.318000000003</v>
          </cell>
          <cell r="BP28">
            <v>32723.149999999998</v>
          </cell>
          <cell r="BQ28">
            <v>30595.828000000001</v>
          </cell>
          <cell r="BR28">
            <v>31815.006000000001</v>
          </cell>
          <cell r="BS28">
            <v>25464.892</v>
          </cell>
          <cell r="CP28">
            <v>266340.6597448801</v>
          </cell>
          <cell r="CQ28">
            <v>220571.97494400002</v>
          </cell>
          <cell r="CR28">
            <v>259065.0396204</v>
          </cell>
          <cell r="CS28">
            <v>269659.90376997006</v>
          </cell>
          <cell r="CT28">
            <v>293789.75755080004</v>
          </cell>
          <cell r="CU28">
            <v>257868.82211159996</v>
          </cell>
          <cell r="CV28">
            <v>222409.84187839995</v>
          </cell>
          <cell r="CW28">
            <v>219144.86530140002</v>
          </cell>
          <cell r="DE28">
            <v>39148.77563012769</v>
          </cell>
          <cell r="DF28">
            <v>32421.346277538461</v>
          </cell>
          <cell r="DG28">
            <v>32663.304711476929</v>
          </cell>
          <cell r="DH28">
            <v>24987.690761540773</v>
          </cell>
          <cell r="DI28">
            <v>33018.920096092304</v>
          </cell>
          <cell r="DJ28">
            <v>30230.18149910769</v>
          </cell>
          <cell r="DK28">
            <v>27151.349542646156</v>
          </cell>
          <cell r="DL28">
            <v>27856.801322876927</v>
          </cell>
          <cell r="DT28">
            <v>29949.71493654</v>
          </cell>
          <cell r="DU28">
            <v>24803.076551999999</v>
          </cell>
          <cell r="DV28">
            <v>29145.011623199996</v>
          </cell>
          <cell r="DW28">
            <v>29738.968560000005</v>
          </cell>
          <cell r="DX28">
            <v>33679.175999999999</v>
          </cell>
          <cell r="DY28">
            <v>30750.552000000003</v>
          </cell>
          <cell r="DZ28">
            <v>30130.495999999999</v>
          </cell>
          <cell r="EA28">
            <v>22589.591799600003</v>
          </cell>
          <cell r="EX28">
            <v>190244.77</v>
          </cell>
          <cell r="EY28">
            <v>214537.45299999998</v>
          </cell>
          <cell r="EZ28">
            <v>269958.06799999997</v>
          </cell>
          <cell r="FA28">
            <v>215823.59999999998</v>
          </cell>
          <cell r="FB28">
            <v>210183.66</v>
          </cell>
          <cell r="FC28">
            <v>235428.73</v>
          </cell>
          <cell r="FD28">
            <v>239961.53</v>
          </cell>
          <cell r="FE28">
            <v>205954.13</v>
          </cell>
          <cell r="FF28">
            <v>207687.47</v>
          </cell>
          <cell r="FG28">
            <v>219208.31</v>
          </cell>
          <cell r="FH28">
            <v>229058.655</v>
          </cell>
          <cell r="FI28">
            <v>205719.58000000002</v>
          </cell>
          <cell r="FM28">
            <v>17083.2</v>
          </cell>
          <cell r="FN28">
            <v>15743.930000000002</v>
          </cell>
          <cell r="FO28">
            <v>24488.159999999996</v>
          </cell>
          <cell r="FP28">
            <v>25647.5</v>
          </cell>
          <cell r="FQ28">
            <v>18168.300000000003</v>
          </cell>
          <cell r="FR28">
            <v>22136.25</v>
          </cell>
          <cell r="FS28">
            <v>16299.99</v>
          </cell>
          <cell r="FT28">
            <v>15455.83</v>
          </cell>
          <cell r="FU28">
            <v>11990.310000000001</v>
          </cell>
          <cell r="FV28">
            <v>14868.25</v>
          </cell>
          <cell r="FW28">
            <v>19130.866999999998</v>
          </cell>
          <cell r="FX28">
            <v>27789.870000000003</v>
          </cell>
          <cell r="GB28">
            <v>29271.48</v>
          </cell>
          <cell r="GC28">
            <v>27414.799999999999</v>
          </cell>
          <cell r="GD28">
            <v>40080.910000000003</v>
          </cell>
          <cell r="GE28">
            <v>37790.049999999996</v>
          </cell>
          <cell r="GF28">
            <v>38182.22</v>
          </cell>
          <cell r="GG28">
            <v>32240.199999999997</v>
          </cell>
          <cell r="GH28">
            <v>24632.85</v>
          </cell>
          <cell r="GI28">
            <v>38815.859999999993</v>
          </cell>
          <cell r="GJ28">
            <v>33037.550000000003</v>
          </cell>
          <cell r="GK28">
            <v>35125.43</v>
          </cell>
          <cell r="GL28">
            <v>35554.048000000003</v>
          </cell>
          <cell r="GM28">
            <v>22730.59</v>
          </cell>
        </row>
        <row r="29">
          <cell r="A29" t="str">
            <v>Labor - Supervisory Direct</v>
          </cell>
          <cell r="C29">
            <v>0</v>
          </cell>
          <cell r="D29">
            <v>0</v>
          </cell>
          <cell r="E29">
            <v>0</v>
          </cell>
          <cell r="F29" t="str">
            <v>n/a</v>
          </cell>
          <cell r="G29">
            <v>72.101254629599993</v>
          </cell>
          <cell r="H29">
            <v>74.661709999999999</v>
          </cell>
          <cell r="J29">
            <v>0</v>
          </cell>
          <cell r="K29">
            <v>0</v>
          </cell>
          <cell r="L29">
            <v>0</v>
          </cell>
          <cell r="M29" t="str">
            <v>n/a</v>
          </cell>
          <cell r="N29">
            <v>48.966927836399996</v>
          </cell>
          <cell r="O29">
            <v>50.260390000000001</v>
          </cell>
          <cell r="Q29">
            <v>0</v>
          </cell>
          <cell r="R29">
            <v>0</v>
          </cell>
          <cell r="S29">
            <v>0</v>
          </cell>
          <cell r="T29" t="str">
            <v>n/a</v>
          </cell>
          <cell r="U29">
            <v>13.7994232068</v>
          </cell>
          <cell r="V29">
            <v>14.24953</v>
          </cell>
          <cell r="X29">
            <v>0</v>
          </cell>
          <cell r="Y29">
            <v>0</v>
          </cell>
          <cell r="Z29">
            <v>0</v>
          </cell>
          <cell r="AA29" t="str">
            <v>n/a</v>
          </cell>
          <cell r="AB29">
            <v>9.3349035863999994</v>
          </cell>
          <cell r="AC29">
            <v>10.15179</v>
          </cell>
          <cell r="AD29">
            <v>889.24860085216005</v>
          </cell>
          <cell r="AE29">
            <v>887.29453999999998</v>
          </cell>
          <cell r="AH29">
            <v>60614.49</v>
          </cell>
          <cell r="AI29">
            <v>48556.74</v>
          </cell>
          <cell r="AJ29">
            <v>59640.33</v>
          </cell>
          <cell r="AK29">
            <v>40724.449999999997</v>
          </cell>
          <cell r="AL29">
            <v>58844.92</v>
          </cell>
          <cell r="AM29">
            <v>45985.01</v>
          </cell>
          <cell r="AN29">
            <v>48299.89</v>
          </cell>
          <cell r="AO29">
            <v>46071.64</v>
          </cell>
          <cell r="AW29">
            <v>15469.6</v>
          </cell>
          <cell r="AX29">
            <v>13831.75</v>
          </cell>
          <cell r="AY29">
            <v>15352.28</v>
          </cell>
          <cell r="AZ29">
            <v>14485.83</v>
          </cell>
          <cell r="BA29">
            <v>15982.3</v>
          </cell>
          <cell r="BB29">
            <v>14485.83</v>
          </cell>
          <cell r="BC29">
            <v>13601.26</v>
          </cell>
          <cell r="BD29">
            <v>15982.3</v>
          </cell>
          <cell r="BL29">
            <v>9520.7800000000007</v>
          </cell>
          <cell r="BM29">
            <v>8081.31</v>
          </cell>
          <cell r="BN29">
            <v>10599.1</v>
          </cell>
          <cell r="BO29">
            <v>9714.4500000000007</v>
          </cell>
          <cell r="BP29">
            <v>10811.96</v>
          </cell>
          <cell r="BQ29">
            <v>9246.7000000000007</v>
          </cell>
          <cell r="BR29">
            <v>10241.92</v>
          </cell>
          <cell r="BS29">
            <v>10811.96</v>
          </cell>
          <cell r="CP29">
            <v>56311.967011860012</v>
          </cell>
          <cell r="CQ29">
            <v>46635.169367999995</v>
          </cell>
          <cell r="CR29">
            <v>53630.444773199997</v>
          </cell>
          <cell r="CS29">
            <v>53155.754487990002</v>
          </cell>
          <cell r="CT29">
            <v>54156.471903599995</v>
          </cell>
          <cell r="CU29">
            <v>49732.813090799995</v>
          </cell>
          <cell r="CV29">
            <v>48731.323132800011</v>
          </cell>
          <cell r="CW29">
            <v>50778.503501399995</v>
          </cell>
          <cell r="DE29">
            <v>15869.336687819998</v>
          </cell>
          <cell r="DF29">
            <v>13142.307816</v>
          </cell>
          <cell r="DG29">
            <v>18793.653988400001</v>
          </cell>
          <cell r="DH29">
            <v>14834.379947310001</v>
          </cell>
          <cell r="DI29">
            <v>15113.653988400001</v>
          </cell>
          <cell r="DJ29">
            <v>13799.423206799998</v>
          </cell>
          <cell r="DK29">
            <v>13521.5385888</v>
          </cell>
          <cell r="DL29">
            <v>13872.980899800001</v>
          </cell>
          <cell r="DT29">
            <v>10735.139124359999</v>
          </cell>
          <cell r="DU29">
            <v>8890.3843679999991</v>
          </cell>
          <cell r="DV29">
            <v>10223.942023199999</v>
          </cell>
          <cell r="DW29">
            <v>10035.02135538</v>
          </cell>
          <cell r="DX29">
            <v>10223.942023199999</v>
          </cell>
          <cell r="DY29">
            <v>9334.9035863999998</v>
          </cell>
          <cell r="DZ29">
            <v>9146.922822399998</v>
          </cell>
          <cell r="EA29">
            <v>9384.6632003999985</v>
          </cell>
          <cell r="EX29">
            <v>43520.23</v>
          </cell>
          <cell r="EY29">
            <v>47575.519999999997</v>
          </cell>
          <cell r="EZ29">
            <v>55377.67</v>
          </cell>
          <cell r="FA29">
            <v>45848.32</v>
          </cell>
          <cell r="FB29">
            <v>46309.56</v>
          </cell>
          <cell r="FC29">
            <v>52650.43</v>
          </cell>
          <cell r="FD29">
            <v>60091.65</v>
          </cell>
          <cell r="FE29">
            <v>48228.61</v>
          </cell>
          <cell r="FF29">
            <v>50260.39</v>
          </cell>
          <cell r="FG29">
            <v>48943.91</v>
          </cell>
          <cell r="FH29">
            <v>51107.63</v>
          </cell>
          <cell r="FI29">
            <v>47598.83</v>
          </cell>
          <cell r="FM29">
            <v>12713.2</v>
          </cell>
          <cell r="FN29">
            <v>11142.17</v>
          </cell>
          <cell r="FO29">
            <v>15376.77</v>
          </cell>
          <cell r="FP29">
            <v>14731.23</v>
          </cell>
          <cell r="FQ29">
            <v>12267.23</v>
          </cell>
          <cell r="FR29">
            <v>16713.689999999999</v>
          </cell>
          <cell r="FS29">
            <v>12988.99</v>
          </cell>
          <cell r="FT29">
            <v>17496.810000000001</v>
          </cell>
          <cell r="FU29">
            <v>14249.53</v>
          </cell>
          <cell r="FV29">
            <v>14830.77</v>
          </cell>
          <cell r="FW29">
            <v>14384.61</v>
          </cell>
          <cell r="FX29">
            <v>13413.88</v>
          </cell>
          <cell r="GB29">
            <v>13559.35</v>
          </cell>
          <cell r="GC29">
            <v>7256.71</v>
          </cell>
          <cell r="GD29">
            <v>10425.85</v>
          </cell>
          <cell r="GE29">
            <v>10677.36</v>
          </cell>
          <cell r="GF29">
            <v>8759.61</v>
          </cell>
          <cell r="GG29">
            <v>9718.14</v>
          </cell>
          <cell r="GH29">
            <v>7627.21</v>
          </cell>
          <cell r="GI29">
            <v>11948.87</v>
          </cell>
          <cell r="GJ29">
            <v>10151.790000000001</v>
          </cell>
          <cell r="GK29">
            <v>10543.14</v>
          </cell>
          <cell r="GL29">
            <v>9730.7800000000007</v>
          </cell>
          <cell r="GM29">
            <v>9074.1</v>
          </cell>
        </row>
        <row r="30">
          <cell r="A30" t="str">
            <v>Labor - Indirect</v>
          </cell>
          <cell r="C30">
            <v>0</v>
          </cell>
          <cell r="D30">
            <v>0</v>
          </cell>
          <cell r="E30">
            <v>0</v>
          </cell>
          <cell r="F30" t="str">
            <v>n/a</v>
          </cell>
          <cell r="G30">
            <v>97.999410376097359</v>
          </cell>
          <cell r="H30">
            <v>67.245269999999991</v>
          </cell>
          <cell r="J30">
            <v>0</v>
          </cell>
          <cell r="K30">
            <v>0</v>
          </cell>
          <cell r="L30">
            <v>0</v>
          </cell>
          <cell r="M30" t="str">
            <v>n/a</v>
          </cell>
          <cell r="N30">
            <v>50.749299799265579</v>
          </cell>
          <cell r="O30">
            <v>23.366869999999999</v>
          </cell>
          <cell r="Q30">
            <v>0</v>
          </cell>
          <cell r="R30">
            <v>0</v>
          </cell>
          <cell r="S30">
            <v>0</v>
          </cell>
          <cell r="T30" t="str">
            <v>n/a</v>
          </cell>
          <cell r="U30">
            <v>12.772176480037942</v>
          </cell>
          <cell r="V30">
            <v>7.6339899999999998</v>
          </cell>
          <cell r="X30">
            <v>0</v>
          </cell>
          <cell r="Y30">
            <v>0</v>
          </cell>
          <cell r="Z30">
            <v>0</v>
          </cell>
          <cell r="AA30" t="str">
            <v>n/a</v>
          </cell>
          <cell r="AB30">
            <v>34.477934096793838</v>
          </cell>
          <cell r="AC30">
            <v>36.244409999999995</v>
          </cell>
          <cell r="AD30">
            <v>1056.3430772880454</v>
          </cell>
          <cell r="AE30">
            <v>772.35941999999989</v>
          </cell>
          <cell r="AH30">
            <v>46514.11</v>
          </cell>
          <cell r="AI30">
            <v>36578.74</v>
          </cell>
          <cell r="AJ30">
            <v>46407.72</v>
          </cell>
          <cell r="AK30">
            <v>31829.020000000004</v>
          </cell>
          <cell r="AL30">
            <v>35791.25</v>
          </cell>
          <cell r="AM30">
            <v>47490.549999999988</v>
          </cell>
          <cell r="AN30">
            <v>52876.32</v>
          </cell>
          <cell r="AO30">
            <v>31101.06</v>
          </cell>
          <cell r="AW30">
            <v>8455.6899999999987</v>
          </cell>
          <cell r="AX30">
            <v>8184.47</v>
          </cell>
          <cell r="AY30">
            <v>12193.47</v>
          </cell>
          <cell r="AZ30">
            <v>19349.43</v>
          </cell>
          <cell r="BA30">
            <v>25757.03</v>
          </cell>
          <cell r="BB30">
            <v>13304.359999999999</v>
          </cell>
          <cell r="BC30">
            <v>11143.06</v>
          </cell>
          <cell r="BD30">
            <v>12148.93</v>
          </cell>
          <cell r="BL30">
            <v>33468.840000000004</v>
          </cell>
          <cell r="BM30">
            <v>34936.699999999997</v>
          </cell>
          <cell r="BN30">
            <v>39668.42</v>
          </cell>
          <cell r="BO30">
            <v>43207.39</v>
          </cell>
          <cell r="BP30">
            <v>43762.9</v>
          </cell>
          <cell r="BQ30">
            <v>37309.079999999994</v>
          </cell>
          <cell r="BR30">
            <v>31173.85</v>
          </cell>
          <cell r="BS30">
            <v>34114.94</v>
          </cell>
          <cell r="CP30">
            <v>46728.017329108596</v>
          </cell>
          <cell r="CQ30">
            <v>36243.073563856677</v>
          </cell>
          <cell r="CR30">
            <v>51406.771051674034</v>
          </cell>
          <cell r="CS30">
            <v>38999.81375752297</v>
          </cell>
          <cell r="CT30">
            <v>40313.470614505692</v>
          </cell>
          <cell r="CU30">
            <v>36807.951430635636</v>
          </cell>
          <cell r="CV30">
            <v>36183.744760545655</v>
          </cell>
          <cell r="CW30">
            <v>37383.517308403279</v>
          </cell>
          <cell r="DE30">
            <v>14375.502952043633</v>
          </cell>
          <cell r="DF30">
            <v>12373.067879051801</v>
          </cell>
          <cell r="DG30">
            <v>17746.680324819637</v>
          </cell>
          <cell r="DH30">
            <v>15587.395547139062</v>
          </cell>
          <cell r="DI30">
            <v>15934.008419424888</v>
          </cell>
          <cell r="DJ30">
            <v>14729.601890199536</v>
          </cell>
          <cell r="DK30">
            <v>14470.922943690846</v>
          </cell>
          <cell r="DL30">
            <v>14791.683946975383</v>
          </cell>
          <cell r="DT30">
            <v>39649.624211312919</v>
          </cell>
          <cell r="DU30">
            <v>32834.020095338186</v>
          </cell>
          <cell r="DV30">
            <v>41300.684301292262</v>
          </cell>
          <cell r="DW30">
            <v>40031.379887871313</v>
          </cell>
          <cell r="DX30">
            <v>40870.438787402745</v>
          </cell>
          <cell r="DY30">
            <v>37316.487588498159</v>
          </cell>
          <cell r="DZ30">
            <v>29127.63399149683</v>
          </cell>
          <cell r="EA30">
            <v>27232.345750754666</v>
          </cell>
          <cell r="EX30">
            <v>20932.48</v>
          </cell>
          <cell r="EY30">
            <v>24213.71</v>
          </cell>
          <cell r="EZ30">
            <v>26714.41</v>
          </cell>
          <cell r="FA30">
            <v>22595.07</v>
          </cell>
          <cell r="FB30">
            <v>23099.67</v>
          </cell>
          <cell r="FC30">
            <v>25057.129999999997</v>
          </cell>
          <cell r="FD30">
            <v>26725.39</v>
          </cell>
          <cell r="FE30">
            <v>25744.03</v>
          </cell>
          <cell r="FF30">
            <v>23366.87</v>
          </cell>
          <cell r="FG30">
            <v>23120.18</v>
          </cell>
          <cell r="FH30">
            <v>30324.07</v>
          </cell>
          <cell r="FI30">
            <v>34512.36</v>
          </cell>
          <cell r="FM30">
            <v>293.22000000000003</v>
          </cell>
          <cell r="FN30">
            <v>256.99</v>
          </cell>
          <cell r="FO30">
            <v>354.66</v>
          </cell>
          <cell r="FP30">
            <v>318.20999999999998</v>
          </cell>
          <cell r="FQ30">
            <v>303.5</v>
          </cell>
          <cell r="FR30">
            <v>366.57</v>
          </cell>
          <cell r="FS30">
            <v>275.17</v>
          </cell>
          <cell r="FT30">
            <v>588.72</v>
          </cell>
          <cell r="FU30">
            <v>7633.99</v>
          </cell>
          <cell r="FV30">
            <v>11216.859999999999</v>
          </cell>
          <cell r="FW30">
            <v>10879.44</v>
          </cell>
          <cell r="FX30">
            <v>10145.25</v>
          </cell>
          <cell r="GB30">
            <v>29533.279999999999</v>
          </cell>
          <cell r="GC30">
            <v>25515.440000000002</v>
          </cell>
          <cell r="GD30">
            <v>36758.269999999997</v>
          </cell>
          <cell r="GE30">
            <v>37644.980000000003</v>
          </cell>
          <cell r="GF30">
            <v>30883.589999999997</v>
          </cell>
          <cell r="GG30">
            <v>36621.64</v>
          </cell>
          <cell r="GH30">
            <v>22713.510000000002</v>
          </cell>
          <cell r="GI30">
            <v>43019.41</v>
          </cell>
          <cell r="GJ30">
            <v>36244.409999999996</v>
          </cell>
          <cell r="GK30">
            <v>46248.03</v>
          </cell>
          <cell r="GL30">
            <v>43162.11</v>
          </cell>
          <cell r="GM30">
            <v>34976.800000000003</v>
          </cell>
        </row>
        <row r="31">
          <cell r="A31" t="str">
            <v>Overtime</v>
          </cell>
          <cell r="C31">
            <v>0</v>
          </cell>
          <cell r="D31">
            <v>0</v>
          </cell>
          <cell r="E31">
            <v>0</v>
          </cell>
          <cell r="F31" t="str">
            <v>n/a</v>
          </cell>
          <cell r="G31">
            <v>20.36449329043019</v>
          </cell>
          <cell r="H31">
            <v>35.038119999999999</v>
          </cell>
          <cell r="J31">
            <v>0</v>
          </cell>
          <cell r="K31">
            <v>0</v>
          </cell>
          <cell r="L31">
            <v>0</v>
          </cell>
          <cell r="M31" t="str">
            <v>n/a</v>
          </cell>
          <cell r="N31">
            <v>20.427010290066708</v>
          </cell>
          <cell r="O31">
            <v>32.857410000000002</v>
          </cell>
          <cell r="Q31">
            <v>0</v>
          </cell>
          <cell r="R31">
            <v>0</v>
          </cell>
          <cell r="S31">
            <v>0</v>
          </cell>
          <cell r="T31" t="str">
            <v>n/a</v>
          </cell>
          <cell r="U31">
            <v>6.1994665797372644E-2</v>
          </cell>
          <cell r="V31">
            <v>1.65262</v>
          </cell>
          <cell r="X31">
            <v>0</v>
          </cell>
          <cell r="Y31">
            <v>0</v>
          </cell>
          <cell r="Z31">
            <v>0</v>
          </cell>
          <cell r="AA31" t="str">
            <v>n/a</v>
          </cell>
          <cell r="AB31">
            <v>-0.12451166543388777</v>
          </cell>
          <cell r="AC31">
            <v>0.52809000000000006</v>
          </cell>
          <cell r="AD31">
            <v>462.28888903322832</v>
          </cell>
          <cell r="AE31">
            <v>411.16758899999996</v>
          </cell>
          <cell r="AH31">
            <v>14632.41</v>
          </cell>
          <cell r="AI31">
            <v>35980.980000000003</v>
          </cell>
          <cell r="AJ31">
            <v>94921.88</v>
          </cell>
          <cell r="AK31">
            <v>73053.47600000001</v>
          </cell>
          <cell r="AL31">
            <v>101938.9</v>
          </cell>
          <cell r="AM31">
            <v>51975.245999999977</v>
          </cell>
          <cell r="AN31">
            <v>5345.1294999999282</v>
          </cell>
          <cell r="AO31">
            <v>21148.07399999999</v>
          </cell>
          <cell r="AW31">
            <v>207.51</v>
          </cell>
          <cell r="AX31">
            <v>1378.49</v>
          </cell>
          <cell r="AY31">
            <v>3343.86</v>
          </cell>
          <cell r="AZ31">
            <v>329.89199999999965</v>
          </cell>
          <cell r="BA31">
            <v>1469.26</v>
          </cell>
          <cell r="BB31">
            <v>369.10199999999969</v>
          </cell>
          <cell r="BC31">
            <v>-87.02600000000092</v>
          </cell>
          <cell r="BD31">
            <v>67.378000000000071</v>
          </cell>
          <cell r="BL31">
            <v>0</v>
          </cell>
          <cell r="BM31">
            <v>284.52</v>
          </cell>
          <cell r="BN31">
            <v>371.28</v>
          </cell>
          <cell r="BO31">
            <v>232.99200000000002</v>
          </cell>
          <cell r="BP31">
            <v>305.62</v>
          </cell>
          <cell r="BQ31">
            <v>223.92199999999991</v>
          </cell>
          <cell r="BR31">
            <v>107.6040000000001</v>
          </cell>
          <cell r="BS31">
            <v>128.71800000000007</v>
          </cell>
          <cell r="CP31">
            <v>22978.89824820037</v>
          </cell>
          <cell r="CQ31">
            <v>50099.488411714221</v>
          </cell>
          <cell r="CR31">
            <v>70443.002692671434</v>
          </cell>
          <cell r="CS31">
            <v>44700.093679730446</v>
          </cell>
          <cell r="CT31">
            <v>39794.06120777662</v>
          </cell>
          <cell r="CU31">
            <v>64607.487347421906</v>
          </cell>
          <cell r="CV31">
            <v>25282.381939799165</v>
          </cell>
          <cell r="CW31">
            <v>35422.440134649485</v>
          </cell>
          <cell r="DE31">
            <v>465.08420710336247</v>
          </cell>
          <cell r="DF31">
            <v>437.96198356421911</v>
          </cell>
          <cell r="DG31">
            <v>1146.6900934493792</v>
          </cell>
          <cell r="DH31">
            <v>436.14805021641206</v>
          </cell>
          <cell r="DI31">
            <v>614.71531493605335</v>
          </cell>
          <cell r="DJ31">
            <v>631.26919292480693</v>
          </cell>
          <cell r="DK31">
            <v>236.82963782386975</v>
          </cell>
          <cell r="DL31">
            <v>270.28271738627075</v>
          </cell>
          <cell r="DT31">
            <v>271.52627328947096</v>
          </cell>
          <cell r="DU31">
            <v>245.32318624608632</v>
          </cell>
          <cell r="DV31">
            <v>396.43035245276855</v>
          </cell>
          <cell r="DW31">
            <v>423.20100573978289</v>
          </cell>
          <cell r="DX31">
            <v>363.85836205865064</v>
          </cell>
          <cell r="DY31">
            <v>373.65682776197093</v>
          </cell>
          <cell r="DZ31">
            <v>229.7431629052696</v>
          </cell>
          <cell r="EA31">
            <v>262.86818814838375</v>
          </cell>
          <cell r="EX31">
            <v>28671.57</v>
          </cell>
          <cell r="EY31">
            <v>34415.887000000002</v>
          </cell>
          <cell r="EZ31">
            <v>74716.982000000004</v>
          </cell>
          <cell r="FA31">
            <v>49768.119999999995</v>
          </cell>
          <cell r="FB31">
            <v>37681.269999999997</v>
          </cell>
          <cell r="FC31">
            <v>12897.799999999997</v>
          </cell>
          <cell r="FD31">
            <v>18046.55</v>
          </cell>
          <cell r="FE31">
            <v>18641.900000000001</v>
          </cell>
          <cell r="FF31">
            <v>32857.410000000003</v>
          </cell>
          <cell r="FG31">
            <v>44791.990000000005</v>
          </cell>
          <cell r="FH31">
            <v>29768.615000000002</v>
          </cell>
          <cell r="FI31">
            <v>6492.0199999999995</v>
          </cell>
          <cell r="FM31">
            <v>1718.37</v>
          </cell>
          <cell r="FN31">
            <v>2081.4</v>
          </cell>
          <cell r="FO31">
            <v>4241.01</v>
          </cell>
          <cell r="FP31">
            <v>1181.44</v>
          </cell>
          <cell r="FQ31">
            <v>881.26</v>
          </cell>
          <cell r="FR31">
            <v>1178.2</v>
          </cell>
          <cell r="FS31">
            <v>498.72</v>
          </cell>
          <cell r="FT31">
            <v>804.17000000000007</v>
          </cell>
          <cell r="FU31">
            <v>1652.62</v>
          </cell>
          <cell r="FV31">
            <v>1538.25</v>
          </cell>
          <cell r="FW31">
            <v>970.77300000000002</v>
          </cell>
          <cell r="FX31">
            <v>206.03</v>
          </cell>
          <cell r="GB31">
            <v>850.23</v>
          </cell>
          <cell r="GC31">
            <v>317.12</v>
          </cell>
          <cell r="GD31">
            <v>361.06</v>
          </cell>
          <cell r="GE31">
            <v>329.3</v>
          </cell>
          <cell r="GF31">
            <v>288.83</v>
          </cell>
          <cell r="GG31">
            <v>502.58</v>
          </cell>
          <cell r="GH31">
            <v>170.07</v>
          </cell>
          <cell r="GI31">
            <v>795.41</v>
          </cell>
          <cell r="GJ31">
            <v>528.09</v>
          </cell>
          <cell r="GK31">
            <v>633.75</v>
          </cell>
          <cell r="GL31">
            <v>421.35200000000009</v>
          </cell>
          <cell r="GM31">
            <v>267.44</v>
          </cell>
        </row>
        <row r="32">
          <cell r="A32" t="str">
            <v>Payroll Taxes &amp; Employee Benefits</v>
          </cell>
          <cell r="C32">
            <v>0</v>
          </cell>
          <cell r="D32">
            <v>0</v>
          </cell>
          <cell r="E32">
            <v>0</v>
          </cell>
          <cell r="F32" t="str">
            <v>n/a</v>
          </cell>
          <cell r="G32">
            <v>68.303070193430926</v>
          </cell>
          <cell r="H32">
            <v>42.33044402575505</v>
          </cell>
          <cell r="J32">
            <v>0</v>
          </cell>
          <cell r="K32">
            <v>0</v>
          </cell>
          <cell r="L32">
            <v>0</v>
          </cell>
          <cell r="M32" t="str">
            <v>n/a</v>
          </cell>
          <cell r="N32">
            <v>51.746395150682773</v>
          </cell>
          <cell r="O32">
            <v>32.0165737908425</v>
          </cell>
          <cell r="Q32">
            <v>0</v>
          </cell>
          <cell r="R32">
            <v>0</v>
          </cell>
          <cell r="S32">
            <v>0</v>
          </cell>
          <cell r="T32" t="str">
            <v>n/a</v>
          </cell>
          <cell r="U32">
            <v>7.0356406921543275</v>
          </cell>
          <cell r="V32">
            <v>3.9554043068044185</v>
          </cell>
          <cell r="X32">
            <v>0</v>
          </cell>
          <cell r="Y32">
            <v>0</v>
          </cell>
          <cell r="Z32">
            <v>0</v>
          </cell>
          <cell r="AA32" t="str">
            <v>n/a</v>
          </cell>
          <cell r="AB32">
            <v>9.521034350593828</v>
          </cell>
          <cell r="AC32">
            <v>6.3584659281081333</v>
          </cell>
          <cell r="AD32">
            <v>755.35887703209721</v>
          </cell>
          <cell r="AE32">
            <v>656.79798806825681</v>
          </cell>
          <cell r="AH32">
            <v>59501.070000000007</v>
          </cell>
          <cell r="AI32">
            <v>45739.18</v>
          </cell>
          <cell r="AJ32">
            <v>52223.35</v>
          </cell>
          <cell r="AK32">
            <v>49072.5</v>
          </cell>
          <cell r="AL32">
            <v>51901.469999999994</v>
          </cell>
          <cell r="AM32">
            <v>44665.599999999999</v>
          </cell>
          <cell r="AN32">
            <v>38549.69</v>
          </cell>
          <cell r="AO32">
            <v>41016.9</v>
          </cell>
          <cell r="AW32">
            <v>6806.09</v>
          </cell>
          <cell r="AX32">
            <v>6572.15</v>
          </cell>
          <cell r="AY32">
            <v>7670.42</v>
          </cell>
          <cell r="AZ32">
            <v>5244.1100000000006</v>
          </cell>
          <cell r="BA32">
            <v>7225.82</v>
          </cell>
          <cell r="BB32">
            <v>5834.2300000000005</v>
          </cell>
          <cell r="BC32">
            <v>5365.01</v>
          </cell>
          <cell r="BD32">
            <v>5882.57</v>
          </cell>
          <cell r="BL32">
            <v>10730.49</v>
          </cell>
          <cell r="BM32">
            <v>8489.5400000000009</v>
          </cell>
          <cell r="BN32">
            <v>8907.6899999999987</v>
          </cell>
          <cell r="BO32">
            <v>7928.32</v>
          </cell>
          <cell r="BP32">
            <v>9476.369999999999</v>
          </cell>
          <cell r="BQ32">
            <v>8304.36</v>
          </cell>
          <cell r="BR32">
            <v>7679.3099999999995</v>
          </cell>
          <cell r="BS32">
            <v>8824.9500000000007</v>
          </cell>
          <cell r="CP32">
            <v>56704.884523641012</v>
          </cell>
          <cell r="CQ32">
            <v>52485.830211157721</v>
          </cell>
          <cell r="CR32">
            <v>60700.007625093043</v>
          </cell>
          <cell r="CS32">
            <v>57098.679872830588</v>
          </cell>
          <cell r="CT32">
            <v>60118.141457619204</v>
          </cell>
          <cell r="CU32">
            <v>57316.908786148895</v>
          </cell>
          <cell r="CV32">
            <v>52056.420170380792</v>
          </cell>
          <cell r="CW32">
            <v>52797.87859030145</v>
          </cell>
          <cell r="DE32">
            <v>9140.5098906585335</v>
          </cell>
          <cell r="DF32">
            <v>7966.6789269105211</v>
          </cell>
          <cell r="DG32">
            <v>9182.0705661944339</v>
          </cell>
          <cell r="DH32">
            <v>7068.2549505468323</v>
          </cell>
          <cell r="DI32">
            <v>8273.8977537860192</v>
          </cell>
          <cell r="DJ32">
            <v>7731.2469436170486</v>
          </cell>
          <cell r="DK32">
            <v>7726.726807772342</v>
          </cell>
          <cell r="DL32">
            <v>7993.7067177796034</v>
          </cell>
          <cell r="DT32">
            <v>10597.707022100672</v>
          </cell>
          <cell r="DU32">
            <v>9181.6538882809818</v>
          </cell>
          <cell r="DV32">
            <v>10640.099388398197</v>
          </cell>
          <cell r="DW32">
            <v>10335.011557595901</v>
          </cell>
          <cell r="DX32">
            <v>10990.413903878381</v>
          </cell>
          <cell r="DY32">
            <v>10235.744131734296</v>
          </cell>
          <cell r="DZ32">
            <v>9877.4508996143832</v>
          </cell>
          <cell r="EA32">
            <v>8662.3947077563025</v>
          </cell>
          <cell r="EX32">
            <v>45025.25331054502</v>
          </cell>
          <cell r="EY32">
            <v>44189.865187088755</v>
          </cell>
          <cell r="EZ32">
            <v>52248.772952719635</v>
          </cell>
          <cell r="FA32">
            <v>45648.552166841808</v>
          </cell>
          <cell r="FB32">
            <v>38872.245043748168</v>
          </cell>
          <cell r="FC32">
            <v>48013.031437858983</v>
          </cell>
          <cell r="FD32">
            <v>42347.44609928289</v>
          </cell>
          <cell r="FE32">
            <v>39209.076384593209</v>
          </cell>
          <cell r="FF32">
            <v>32016.5737908425</v>
          </cell>
          <cell r="FG32">
            <v>41605.194686866889</v>
          </cell>
          <cell r="FH32">
            <v>40255.357791289745</v>
          </cell>
          <cell r="FI32">
            <v>36156.397122511458</v>
          </cell>
          <cell r="FM32">
            <v>4355.4329825899758</v>
          </cell>
          <cell r="FN32">
            <v>4328.7398440797197</v>
          </cell>
          <cell r="FO32">
            <v>4927.744242708698</v>
          </cell>
          <cell r="FP32">
            <v>4048.6720185605245</v>
          </cell>
          <cell r="FQ32">
            <v>3429.1626926124409</v>
          </cell>
          <cell r="FR32">
            <v>5552.6949910761869</v>
          </cell>
          <cell r="FS32">
            <v>4272.5593139756093</v>
          </cell>
          <cell r="FT32">
            <v>3404.9861626261363</v>
          </cell>
          <cell r="FU32">
            <v>3955.4043068044184</v>
          </cell>
          <cell r="FV32">
            <v>4194.5075969011668</v>
          </cell>
          <cell r="FW32">
            <v>4375.4009964395518</v>
          </cell>
          <cell r="FX32">
            <v>5797.6872832145636</v>
          </cell>
          <cell r="GB32">
            <v>9130.3787057288155</v>
          </cell>
          <cell r="GC32">
            <v>8555.7112467038005</v>
          </cell>
          <cell r="GD32">
            <v>9626.3168412937739</v>
          </cell>
          <cell r="GE32">
            <v>7101.0005460775037</v>
          </cell>
          <cell r="GF32">
            <v>8078.0499153359378</v>
          </cell>
          <cell r="GG32">
            <v>11027.040012458867</v>
          </cell>
          <cell r="GH32">
            <v>9252.589009637144</v>
          </cell>
          <cell r="GI32">
            <v>7211.1459508343096</v>
          </cell>
          <cell r="GJ32">
            <v>6358.4659281081331</v>
          </cell>
          <cell r="GK32">
            <v>7326.3518905745595</v>
          </cell>
          <cell r="GL32">
            <v>8235.1931397510016</v>
          </cell>
          <cell r="GM32">
            <v>6664.9864759748743</v>
          </cell>
        </row>
        <row r="33">
          <cell r="A33" t="str">
            <v>Other Cost of Sales</v>
          </cell>
          <cell r="C33">
            <v>0</v>
          </cell>
          <cell r="D33">
            <v>0</v>
          </cell>
          <cell r="E33">
            <v>0</v>
          </cell>
          <cell r="F33" t="str">
            <v>n/a</v>
          </cell>
          <cell r="G33">
            <v>126.65130981562564</v>
          </cell>
          <cell r="H33">
            <v>108.04859999999999</v>
          </cell>
          <cell r="J33">
            <v>0</v>
          </cell>
          <cell r="K33">
            <v>0</v>
          </cell>
          <cell r="L33">
            <v>0</v>
          </cell>
          <cell r="M33" t="str">
            <v>n/a</v>
          </cell>
          <cell r="N33">
            <v>97.152636017445616</v>
          </cell>
          <cell r="O33">
            <v>84.605249999999998</v>
          </cell>
          <cell r="Q33">
            <v>0</v>
          </cell>
          <cell r="R33">
            <v>0</v>
          </cell>
          <cell r="S33">
            <v>0</v>
          </cell>
          <cell r="T33" t="str">
            <v>n/a</v>
          </cell>
          <cell r="U33">
            <v>16.049854785327842</v>
          </cell>
          <cell r="V33">
            <v>8.4641500000000001</v>
          </cell>
          <cell r="X33">
            <v>0</v>
          </cell>
          <cell r="Y33">
            <v>0</v>
          </cell>
          <cell r="Z33">
            <v>0</v>
          </cell>
          <cell r="AA33" t="str">
            <v>n/a</v>
          </cell>
          <cell r="AB33">
            <v>13.448819012852184</v>
          </cell>
          <cell r="AC33">
            <v>14.979199999999997</v>
          </cell>
          <cell r="AD33">
            <v>1318.5819820000002</v>
          </cell>
          <cell r="AE33">
            <v>1234.9669209999997</v>
          </cell>
          <cell r="AH33">
            <v>65114.654999999999</v>
          </cell>
          <cell r="AI33">
            <v>75510.78</v>
          </cell>
          <cell r="AJ33">
            <v>90736.511000000013</v>
          </cell>
          <cell r="AK33">
            <v>69234.511000000013</v>
          </cell>
          <cell r="AL33">
            <v>78966.005000000005</v>
          </cell>
          <cell r="AM33">
            <v>100326.545</v>
          </cell>
          <cell r="AN33">
            <v>115427.79199999999</v>
          </cell>
          <cell r="AO33">
            <v>69883.538</v>
          </cell>
          <cell r="AW33">
            <v>12834.455</v>
          </cell>
          <cell r="AX33">
            <v>12454.59</v>
          </cell>
          <cell r="AY33">
            <v>8180.9790000000012</v>
          </cell>
          <cell r="AZ33">
            <v>14787.329</v>
          </cell>
          <cell r="BA33">
            <v>12694.615</v>
          </cell>
          <cell r="BB33">
            <v>16153.224999999999</v>
          </cell>
          <cell r="BC33">
            <v>15690.418000000001</v>
          </cell>
          <cell r="BD33">
            <v>12506.372000000001</v>
          </cell>
          <cell r="BL33">
            <v>10009.16</v>
          </cell>
          <cell r="BM33">
            <v>9079.56</v>
          </cell>
          <cell r="BN33">
            <v>14758.869999999999</v>
          </cell>
          <cell r="BO33">
            <v>9962.31</v>
          </cell>
          <cell r="BP33">
            <v>7801.64</v>
          </cell>
          <cell r="BQ33">
            <v>11921.480000000001</v>
          </cell>
          <cell r="BR33">
            <v>11708.089999999998</v>
          </cell>
          <cell r="BS33">
            <v>10107.359999999997</v>
          </cell>
          <cell r="CP33">
            <v>93108.58770435481</v>
          </cell>
          <cell r="CQ33">
            <v>92965.452313862217</v>
          </cell>
          <cell r="CR33">
            <v>100264.07300561902</v>
          </cell>
          <cell r="CS33">
            <v>94564.458937808507</v>
          </cell>
          <cell r="CT33">
            <v>94009.086029565296</v>
          </cell>
          <cell r="CU33">
            <v>93449.982688349352</v>
          </cell>
          <cell r="CV33">
            <v>89844.546776077812</v>
          </cell>
          <cell r="CW33">
            <v>93455.304776077814</v>
          </cell>
          <cell r="DE33">
            <v>15461.397413361301</v>
          </cell>
          <cell r="DF33">
            <v>16708.855425097794</v>
          </cell>
          <cell r="DG33">
            <v>17173.336016499379</v>
          </cell>
          <cell r="DH33">
            <v>16707.323446628587</v>
          </cell>
          <cell r="DI33">
            <v>16771.804038030172</v>
          </cell>
          <cell r="DJ33">
            <v>16544.206995038105</v>
          </cell>
          <cell r="DK33">
            <v>15595.99609171812</v>
          </cell>
          <cell r="DL33">
            <v>15745.99609171812</v>
          </cell>
          <cell r="DT33">
            <v>12516.91792228389</v>
          </cell>
          <cell r="DU33">
            <v>12475.664527706675</v>
          </cell>
          <cell r="DV33">
            <v>12492.563511214948</v>
          </cell>
          <cell r="DW33">
            <v>12040.57761556293</v>
          </cell>
          <cell r="DX33">
            <v>12107.476599071204</v>
          </cell>
          <cell r="DY33">
            <v>11641.971516612568</v>
          </cell>
          <cell r="DZ33">
            <v>10682.817132204087</v>
          </cell>
          <cell r="EA33">
            <v>10832.817132204087</v>
          </cell>
          <cell r="EX33">
            <v>81077.152999999991</v>
          </cell>
          <cell r="EY33">
            <v>58243.320999999996</v>
          </cell>
          <cell r="EZ33">
            <v>90576.197999999989</v>
          </cell>
          <cell r="FA33">
            <v>72767.016999999993</v>
          </cell>
          <cell r="FB33">
            <v>88281.475999999995</v>
          </cell>
          <cell r="FC33">
            <v>126708.35600000003</v>
          </cell>
          <cell r="FD33">
            <v>60447.929999999993</v>
          </cell>
          <cell r="FE33">
            <v>71662.220000000016</v>
          </cell>
          <cell r="FF33">
            <v>84605.25</v>
          </cell>
          <cell r="FG33">
            <v>79901.040999999983</v>
          </cell>
          <cell r="FH33">
            <v>88078.69</v>
          </cell>
          <cell r="FI33">
            <v>90985.189999999988</v>
          </cell>
          <cell r="FM33">
            <v>7993.2599999999993</v>
          </cell>
          <cell r="FN33">
            <v>-19773.68</v>
          </cell>
          <cell r="FO33">
            <v>4334.29</v>
          </cell>
          <cell r="FP33">
            <v>2577.1599999999994</v>
          </cell>
          <cell r="FQ33">
            <v>1934.7900000000002</v>
          </cell>
          <cell r="FR33">
            <v>2147.85</v>
          </cell>
          <cell r="FS33">
            <v>4089.16</v>
          </cell>
          <cell r="FT33">
            <v>4786.37</v>
          </cell>
          <cell r="FU33">
            <v>8464.15</v>
          </cell>
          <cell r="FV33">
            <v>10966.779</v>
          </cell>
          <cell r="FW33">
            <v>11731.65</v>
          </cell>
          <cell r="FX33">
            <v>18996.96</v>
          </cell>
          <cell r="GB33">
            <v>16652.089999999997</v>
          </cell>
          <cell r="GC33">
            <v>19349.280000000002</v>
          </cell>
          <cell r="GD33">
            <v>13601.59</v>
          </cell>
          <cell r="GE33">
            <v>17949.32</v>
          </cell>
          <cell r="GF33">
            <v>18005</v>
          </cell>
          <cell r="GG33">
            <v>27337.549999999996</v>
          </cell>
          <cell r="GH33">
            <v>7756.87</v>
          </cell>
          <cell r="GI33">
            <v>10843.08</v>
          </cell>
          <cell r="GJ33">
            <v>14979.199999999997</v>
          </cell>
          <cell r="GK33">
            <v>6978.0599999999995</v>
          </cell>
          <cell r="GL33">
            <v>11926.96</v>
          </cell>
          <cell r="GM33">
            <v>18005.340000000004</v>
          </cell>
        </row>
        <row r="34">
          <cell r="A34" t="str">
            <v>Cost of Sales</v>
          </cell>
          <cell r="C34">
            <v>0</v>
          </cell>
          <cell r="D34">
            <v>0</v>
          </cell>
          <cell r="E34">
            <v>0</v>
          </cell>
          <cell r="F34" t="str">
            <v>n/a</v>
          </cell>
          <cell r="G34">
            <v>662.61575596739931</v>
          </cell>
          <cell r="H34">
            <v>580.039474025755</v>
          </cell>
          <cell r="J34">
            <v>0</v>
          </cell>
          <cell r="K34">
            <v>0</v>
          </cell>
          <cell r="L34">
            <v>0</v>
          </cell>
          <cell r="M34" t="str">
            <v>n/a</v>
          </cell>
          <cell r="N34">
            <v>494.59484278506068</v>
          </cell>
          <cell r="O34">
            <v>430.7939637908425</v>
          </cell>
          <cell r="Q34">
            <v>0</v>
          </cell>
          <cell r="R34">
            <v>0</v>
          </cell>
          <cell r="S34">
            <v>0</v>
          </cell>
          <cell r="T34" t="str">
            <v>n/a</v>
          </cell>
          <cell r="U34">
            <v>75.319503421532872</v>
          </cell>
          <cell r="V34">
            <v>47.946004306804411</v>
          </cell>
          <cell r="X34">
            <v>0</v>
          </cell>
          <cell r="Y34">
            <v>0</v>
          </cell>
          <cell r="Z34">
            <v>0</v>
          </cell>
          <cell r="AA34" t="str">
            <v>n/a</v>
          </cell>
          <cell r="AB34">
            <v>92.701409760805959</v>
          </cell>
          <cell r="AC34">
            <v>101.29950592810813</v>
          </cell>
          <cell r="AD34">
            <v>7814.6252837453503</v>
          </cell>
          <cell r="AE34">
            <v>7230.0308590682562</v>
          </cell>
          <cell r="AH34">
            <v>458649.23499999999</v>
          </cell>
          <cell r="AI34">
            <v>450458.64</v>
          </cell>
          <cell r="AJ34">
            <v>584474.38100000005</v>
          </cell>
          <cell r="AK34">
            <v>502290.37100000004</v>
          </cell>
          <cell r="AL34">
            <v>574706.76500000001</v>
          </cell>
          <cell r="AM34">
            <v>507637.73499999999</v>
          </cell>
          <cell r="AN34">
            <v>453074.91200000001</v>
          </cell>
          <cell r="AO34">
            <v>418804.77799999999</v>
          </cell>
          <cell r="AP34">
            <v>0</v>
          </cell>
          <cell r="AQ34">
            <v>0</v>
          </cell>
          <cell r="AR34">
            <v>0</v>
          </cell>
          <cell r="AS34">
            <v>0</v>
          </cell>
          <cell r="AW34">
            <v>74913.925000000003</v>
          </cell>
          <cell r="AX34">
            <v>74160.28</v>
          </cell>
          <cell r="AY34">
            <v>81166.949000000008</v>
          </cell>
          <cell r="AZ34">
            <v>81689.698999999993</v>
          </cell>
          <cell r="BA34">
            <v>103127.735</v>
          </cell>
          <cell r="BB34">
            <v>70907.865000000005</v>
          </cell>
          <cell r="BC34">
            <v>72263.528000000006</v>
          </cell>
          <cell r="BD34">
            <v>74774.001999999993</v>
          </cell>
          <cell r="BE34">
            <v>0</v>
          </cell>
          <cell r="BF34">
            <v>0</v>
          </cell>
          <cell r="BG34">
            <v>0</v>
          </cell>
          <cell r="BH34">
            <v>0</v>
          </cell>
          <cell r="BL34">
            <v>94561.820000000022</v>
          </cell>
          <cell r="BM34">
            <v>85158.489999999991</v>
          </cell>
          <cell r="BN34">
            <v>103498.94</v>
          </cell>
          <cell r="BO34">
            <v>98568.78</v>
          </cell>
          <cell r="BP34">
            <v>104881.64</v>
          </cell>
          <cell r="BQ34">
            <v>97601.37000000001</v>
          </cell>
          <cell r="BR34">
            <v>92725.78</v>
          </cell>
          <cell r="BS34">
            <v>89452.819999999992</v>
          </cell>
          <cell r="BT34">
            <v>0</v>
          </cell>
          <cell r="BU34">
            <v>0</v>
          </cell>
          <cell r="BV34">
            <v>0</v>
          </cell>
          <cell r="BW34">
            <v>0</v>
          </cell>
          <cell r="CP34">
            <v>542173.01456204487</v>
          </cell>
          <cell r="CQ34">
            <v>499000.98881259083</v>
          </cell>
          <cell r="CR34">
            <v>595509.33876865753</v>
          </cell>
          <cell r="CS34">
            <v>558178.70450585254</v>
          </cell>
          <cell r="CT34">
            <v>582180.98876386683</v>
          </cell>
          <cell r="CU34">
            <v>559783.9654549557</v>
          </cell>
          <cell r="CV34">
            <v>474508.25865800341</v>
          </cell>
          <cell r="CW34">
            <v>488982.50961223198</v>
          </cell>
          <cell r="CX34">
            <v>0</v>
          </cell>
          <cell r="CY34">
            <v>0</v>
          </cell>
          <cell r="CZ34">
            <v>0</v>
          </cell>
          <cell r="DA34">
            <v>0</v>
          </cell>
          <cell r="DE34">
            <v>94460.606781114533</v>
          </cell>
          <cell r="DF34">
            <v>83050.218308162803</v>
          </cell>
          <cell r="DG34">
            <v>96705.735700839767</v>
          </cell>
          <cell r="DH34">
            <v>79621.192703381676</v>
          </cell>
          <cell r="DI34">
            <v>89726.999610669431</v>
          </cell>
          <cell r="DJ34">
            <v>83665.92972768718</v>
          </cell>
          <cell r="DK34">
            <v>78703.363612451329</v>
          </cell>
          <cell r="DL34">
            <v>80531.4516965363</v>
          </cell>
          <cell r="DM34">
            <v>0</v>
          </cell>
          <cell r="DN34">
            <v>0</v>
          </cell>
          <cell r="DO34">
            <v>0</v>
          </cell>
          <cell r="DP34">
            <v>0</v>
          </cell>
          <cell r="DT34">
            <v>103720.62948988695</v>
          </cell>
          <cell r="DU34">
            <v>88430.12261757192</v>
          </cell>
          <cell r="DV34">
            <v>104198.73119975817</v>
          </cell>
          <cell r="DW34">
            <v>102604.15998214994</v>
          </cell>
          <cell r="DX34">
            <v>108235.30567561099</v>
          </cell>
          <cell r="DY34">
            <v>99653.315651006997</v>
          </cell>
          <cell r="DZ34">
            <v>89195.064008620568</v>
          </cell>
          <cell r="EA34">
            <v>78964.680778863447</v>
          </cell>
          <cell r="EB34">
            <v>0</v>
          </cell>
          <cell r="EC34">
            <v>0</v>
          </cell>
          <cell r="ED34">
            <v>0</v>
          </cell>
          <cell r="EE34">
            <v>0</v>
          </cell>
          <cell r="EX34">
            <v>409471.45631054498</v>
          </cell>
          <cell r="EY34">
            <v>423175.75618708867</v>
          </cell>
          <cell r="EZ34">
            <v>569592.10095271957</v>
          </cell>
          <cell r="FA34">
            <v>452450.67916684179</v>
          </cell>
          <cell r="FB34">
            <v>444427.88104374823</v>
          </cell>
          <cell r="FC34">
            <v>500755.47743785905</v>
          </cell>
          <cell r="FD34">
            <v>447620.49609928287</v>
          </cell>
          <cell r="FE34">
            <v>409439.96638459328</v>
          </cell>
          <cell r="FF34">
            <v>430793.96379084251</v>
          </cell>
          <cell r="FG34">
            <v>457570.62568686681</v>
          </cell>
          <cell r="FH34">
            <v>468593.01779128972</v>
          </cell>
          <cell r="FI34">
            <v>421464.37712251151</v>
          </cell>
          <cell r="FM34">
            <v>44156.682982589977</v>
          </cell>
          <cell r="FN34">
            <v>13779.549844079724</v>
          </cell>
          <cell r="FO34">
            <v>53722.6342427087</v>
          </cell>
          <cell r="FP34">
            <v>48504.212018560516</v>
          </cell>
          <cell r="FQ34">
            <v>36984.242692612439</v>
          </cell>
          <cell r="FR34">
            <v>48095.254991076181</v>
          </cell>
          <cell r="FS34">
            <v>38424.589313975608</v>
          </cell>
          <cell r="FT34">
            <v>42536.886162626135</v>
          </cell>
          <cell r="FU34">
            <v>47946.004306804425</v>
          </cell>
          <cell r="FV34">
            <v>57615.416596901166</v>
          </cell>
          <cell r="FW34">
            <v>61472.740996439556</v>
          </cell>
          <cell r="FX34">
            <v>76349.677283214551</v>
          </cell>
          <cell r="GB34">
            <v>98996.808705728807</v>
          </cell>
          <cell r="GC34">
            <v>88409.061246703801</v>
          </cell>
          <cell r="GD34">
            <v>110853.99684129376</v>
          </cell>
          <cell r="GE34">
            <v>111492.01054607751</v>
          </cell>
          <cell r="GF34">
            <v>104197.29991533594</v>
          </cell>
          <cell r="GG34">
            <v>117447.15001245885</v>
          </cell>
          <cell r="GH34">
            <v>72153.099009637139</v>
          </cell>
          <cell r="GI34">
            <v>112633.77595083432</v>
          </cell>
          <cell r="GJ34">
            <v>101299.50592810813</v>
          </cell>
          <cell r="GK34">
            <v>106854.76189057456</v>
          </cell>
          <cell r="GL34">
            <v>109030.44313975101</v>
          </cell>
          <cell r="GM34">
            <v>91719.256475974893</v>
          </cell>
        </row>
        <row r="36">
          <cell r="A36" t="str">
            <v>Labor - Sales &amp; Marketing</v>
          </cell>
          <cell r="C36">
            <v>0</v>
          </cell>
          <cell r="D36">
            <v>0</v>
          </cell>
          <cell r="E36">
            <v>0</v>
          </cell>
          <cell r="F36" t="str">
            <v>n/a</v>
          </cell>
          <cell r="G36">
            <v>68.507956411563413</v>
          </cell>
          <cell r="H36">
            <v>50.71069</v>
          </cell>
          <cell r="J36">
            <v>0</v>
          </cell>
          <cell r="K36">
            <v>0</v>
          </cell>
          <cell r="L36">
            <v>0</v>
          </cell>
          <cell r="M36" t="str">
            <v>n/a</v>
          </cell>
          <cell r="N36">
            <v>59.943563304333473</v>
          </cell>
          <cell r="O36">
            <v>41.972160000000002</v>
          </cell>
          <cell r="Q36">
            <v>0</v>
          </cell>
          <cell r="R36">
            <v>0</v>
          </cell>
          <cell r="S36">
            <v>0</v>
          </cell>
          <cell r="T36" t="str">
            <v>n/a</v>
          </cell>
          <cell r="U36">
            <v>4.0620582887111087</v>
          </cell>
          <cell r="V36">
            <v>1.67642</v>
          </cell>
          <cell r="X36">
            <v>0</v>
          </cell>
          <cell r="Y36">
            <v>0</v>
          </cell>
          <cell r="Z36">
            <v>0</v>
          </cell>
          <cell r="AA36" t="str">
            <v>n/a</v>
          </cell>
          <cell r="AB36">
            <v>4.5023348185188317</v>
          </cell>
          <cell r="AC36">
            <v>7.0621099999999997</v>
          </cell>
          <cell r="AD36">
            <v>893.48853541513574</v>
          </cell>
          <cell r="AE36">
            <v>767.36950000000002</v>
          </cell>
          <cell r="AH36">
            <v>55409.639999999992</v>
          </cell>
          <cell r="AI36">
            <v>58397.13</v>
          </cell>
          <cell r="AJ36">
            <v>79452.17</v>
          </cell>
          <cell r="AK36">
            <v>50383.17</v>
          </cell>
          <cell r="AL36">
            <v>70930.58</v>
          </cell>
          <cell r="AM36">
            <v>62316.15</v>
          </cell>
          <cell r="AN36">
            <v>65045.43</v>
          </cell>
          <cell r="AO36">
            <v>47165.479999999996</v>
          </cell>
          <cell r="AW36">
            <v>6746.74</v>
          </cell>
          <cell r="AX36">
            <v>6539.63</v>
          </cell>
          <cell r="AY36">
            <v>5899.37</v>
          </cell>
          <cell r="AZ36">
            <v>6282.5100000000011</v>
          </cell>
          <cell r="BA36">
            <v>6155.18</v>
          </cell>
          <cell r="BB36">
            <v>5140.79</v>
          </cell>
          <cell r="BC36">
            <v>7678.4</v>
          </cell>
          <cell r="BD36">
            <v>4707.93</v>
          </cell>
          <cell r="BL36">
            <v>8681.9699999999993</v>
          </cell>
          <cell r="BM36">
            <v>7837.01</v>
          </cell>
          <cell r="BN36">
            <v>18209.11</v>
          </cell>
          <cell r="BO36">
            <v>17726.95</v>
          </cell>
          <cell r="BP36">
            <v>17173.509999999998</v>
          </cell>
          <cell r="BQ36">
            <v>23973.8</v>
          </cell>
          <cell r="BR36">
            <v>18409.760000000002</v>
          </cell>
          <cell r="BS36">
            <v>9231.2999999999993</v>
          </cell>
          <cell r="CP36">
            <v>62540.966929095746</v>
          </cell>
          <cell r="CQ36">
            <v>52431.233839182285</v>
          </cell>
          <cell r="CR36">
            <v>63601.294113770375</v>
          </cell>
          <cell r="CS36">
            <v>59421.156632303115</v>
          </cell>
          <cell r="CT36">
            <v>58623.962972085967</v>
          </cell>
          <cell r="CU36">
            <v>61412.459824593221</v>
          </cell>
          <cell r="CV36">
            <v>50780.535040852781</v>
          </cell>
          <cell r="CW36">
            <v>45562.829172504833</v>
          </cell>
          <cell r="DE36">
            <v>4231.7546611823636</v>
          </cell>
          <cell r="DF36">
            <v>4038.5159952766439</v>
          </cell>
          <cell r="DG36">
            <v>5545.1861741235061</v>
          </cell>
          <cell r="DH36">
            <v>4914.8895625159048</v>
          </cell>
          <cell r="DI36">
            <v>5007.4179374469904</v>
          </cell>
          <cell r="DJ36">
            <v>5303.9854556714572</v>
          </cell>
          <cell r="DK36">
            <v>4479.3380558018343</v>
          </cell>
          <cell r="DL36">
            <v>4595.586052424399</v>
          </cell>
          <cell r="DT36">
            <v>4690.424164375092</v>
          </cell>
          <cell r="DU36">
            <v>3734.2253088763628</v>
          </cell>
          <cell r="DV36">
            <v>18351.538844481904</v>
          </cell>
          <cell r="DW36">
            <v>17846.500622032643</v>
          </cell>
          <cell r="DX36">
            <v>18111.883247253631</v>
          </cell>
          <cell r="DY36">
            <v>17539.865247027734</v>
          </cell>
          <cell r="DZ36">
            <v>17428.744415078709</v>
          </cell>
          <cell r="EA36">
            <v>4249.3217226707702</v>
          </cell>
          <cell r="EX36">
            <v>59897.17</v>
          </cell>
          <cell r="EY36">
            <v>67937.89</v>
          </cell>
          <cell r="EZ36">
            <v>33378.51</v>
          </cell>
          <cell r="FA36">
            <v>32250.74</v>
          </cell>
          <cell r="FB36">
            <v>41038.36</v>
          </cell>
          <cell r="FC36">
            <v>40420.400000000001</v>
          </cell>
          <cell r="FD36">
            <v>41120.050000000003</v>
          </cell>
          <cell r="FE36">
            <v>52588.06</v>
          </cell>
          <cell r="FF36">
            <v>41972.160000000003</v>
          </cell>
          <cell r="FG36">
            <v>46497.93</v>
          </cell>
          <cell r="FH36">
            <v>65122.44</v>
          </cell>
          <cell r="FI36">
            <v>53365.23</v>
          </cell>
          <cell r="FM36">
            <v>3223.41</v>
          </cell>
          <cell r="FN36">
            <v>2498</v>
          </cell>
          <cell r="FO36">
            <v>868.04</v>
          </cell>
          <cell r="FP36">
            <v>1384.66</v>
          </cell>
          <cell r="FQ36">
            <v>742.83</v>
          </cell>
          <cell r="FR36">
            <v>1896.95</v>
          </cell>
          <cell r="FS36">
            <v>1322.95</v>
          </cell>
          <cell r="FT36">
            <v>2058.4499999999998</v>
          </cell>
          <cell r="FU36">
            <v>1676.42</v>
          </cell>
          <cell r="FV36">
            <v>1744.79</v>
          </cell>
          <cell r="FW36">
            <v>1988.66</v>
          </cell>
          <cell r="FX36">
            <v>1689.99</v>
          </cell>
          <cell r="GB36">
            <v>23856.89</v>
          </cell>
          <cell r="GC36">
            <v>18835.86</v>
          </cell>
          <cell r="GD36">
            <v>17279.689999999999</v>
          </cell>
          <cell r="GE36">
            <v>38806.17</v>
          </cell>
          <cell r="GF36">
            <v>9303.27</v>
          </cell>
          <cell r="GG36">
            <v>20620.48</v>
          </cell>
          <cell r="GH36">
            <v>4559.7299999999996</v>
          </cell>
          <cell r="GI36">
            <v>8312.25</v>
          </cell>
          <cell r="GJ36">
            <v>7062.11</v>
          </cell>
          <cell r="GK36">
            <v>7334.35</v>
          </cell>
          <cell r="GL36">
            <v>7954.66</v>
          </cell>
          <cell r="GM36">
            <v>6759.95</v>
          </cell>
        </row>
        <row r="37">
          <cell r="A37" t="str">
            <v>Payroll Taxes &amp; Employee Benefits</v>
          </cell>
          <cell r="C37">
            <v>0</v>
          </cell>
          <cell r="D37">
            <v>0</v>
          </cell>
          <cell r="E37">
            <v>0</v>
          </cell>
          <cell r="F37" t="str">
            <v>n/a</v>
          </cell>
          <cell r="G37">
            <v>8.0719045707362831</v>
          </cell>
          <cell r="H37">
            <v>5.0255056802351525</v>
          </cell>
          <cell r="J37">
            <v>0</v>
          </cell>
          <cell r="K37">
            <v>0</v>
          </cell>
          <cell r="L37">
            <v>0</v>
          </cell>
          <cell r="M37" t="str">
            <v>n/a</v>
          </cell>
          <cell r="N37">
            <v>7.0918664978903863</v>
          </cell>
          <cell r="O37">
            <v>4.2772881064535131</v>
          </cell>
          <cell r="Q37">
            <v>0</v>
          </cell>
          <cell r="R37">
            <v>0</v>
          </cell>
          <cell r="S37">
            <v>0</v>
          </cell>
          <cell r="T37" t="str">
            <v>n/a</v>
          </cell>
          <cell r="U37">
            <v>0.46482824027489533</v>
          </cell>
          <cell r="V37">
            <v>0.18664738210581305</v>
          </cell>
          <cell r="X37">
            <v>0</v>
          </cell>
          <cell r="Y37">
            <v>0</v>
          </cell>
          <cell r="Z37">
            <v>0</v>
          </cell>
          <cell r="AA37" t="str">
            <v>n/a</v>
          </cell>
          <cell r="AB37">
            <v>0.5152098325710015</v>
          </cell>
          <cell r="AC37">
            <v>0.56157019167582589</v>
          </cell>
          <cell r="AD37">
            <v>85.137447887913424</v>
          </cell>
          <cell r="AE37">
            <v>94.116948055821581</v>
          </cell>
          <cell r="AH37">
            <v>8112.7900000000009</v>
          </cell>
          <cell r="AI37">
            <v>5332.16</v>
          </cell>
          <cell r="AJ37">
            <v>6911.7199999999993</v>
          </cell>
          <cell r="AK37">
            <v>5660.5300000000007</v>
          </cell>
          <cell r="AL37">
            <v>6857.37</v>
          </cell>
          <cell r="AM37">
            <v>3621.08</v>
          </cell>
          <cell r="AN37">
            <v>3208.37</v>
          </cell>
          <cell r="AO37">
            <v>5884.88</v>
          </cell>
          <cell r="AW37">
            <v>879.3</v>
          </cell>
          <cell r="AX37">
            <v>489.23</v>
          </cell>
          <cell r="AY37">
            <v>579.39</v>
          </cell>
          <cell r="AZ37">
            <v>698.07999999999993</v>
          </cell>
          <cell r="BA37">
            <v>305.23</v>
          </cell>
          <cell r="BB37">
            <v>217.7</v>
          </cell>
          <cell r="BC37">
            <v>211.57999999999998</v>
          </cell>
          <cell r="BD37">
            <v>245.82</v>
          </cell>
          <cell r="BL37">
            <v>997.7</v>
          </cell>
          <cell r="BM37">
            <v>551.95000000000005</v>
          </cell>
          <cell r="BN37">
            <v>1666.63</v>
          </cell>
          <cell r="BO37">
            <v>1462.38</v>
          </cell>
          <cell r="BP37">
            <v>1151.78</v>
          </cell>
          <cell r="BQ37">
            <v>1461.99</v>
          </cell>
          <cell r="BR37">
            <v>882.04</v>
          </cell>
          <cell r="BS37">
            <v>764.81000000000006</v>
          </cell>
          <cell r="CP37">
            <v>7414.1615019740238</v>
          </cell>
          <cell r="CQ37">
            <v>6364.3778772132791</v>
          </cell>
          <cell r="CR37">
            <v>7459.5541991404061</v>
          </cell>
          <cell r="CS37">
            <v>6958.2239192983025</v>
          </cell>
          <cell r="CT37">
            <v>6890.6919066807468</v>
          </cell>
          <cell r="CU37">
            <v>7103.0941198787004</v>
          </cell>
          <cell r="CV37">
            <v>6330.3279417513759</v>
          </cell>
          <cell r="CW37">
            <v>5685.282606806506</v>
          </cell>
          <cell r="DE37">
            <v>486.22935486447619</v>
          </cell>
          <cell r="DF37">
            <v>477.82981128068195</v>
          </cell>
          <cell r="DG37">
            <v>623.84833455271462</v>
          </cell>
          <cell r="DH37">
            <v>558.52352166424998</v>
          </cell>
          <cell r="DI37">
            <v>568.00481295214536</v>
          </cell>
          <cell r="DJ37">
            <v>591.09652435604983</v>
          </cell>
          <cell r="DK37">
            <v>551.79585198273594</v>
          </cell>
          <cell r="DL37">
            <v>574.10477266013686</v>
          </cell>
          <cell r="DT37">
            <v>538.93056145358833</v>
          </cell>
          <cell r="DU37">
            <v>441.82669493121819</v>
          </cell>
          <cell r="DV37">
            <v>2081.745221384972</v>
          </cell>
          <cell r="DW37">
            <v>1992.3885988962256</v>
          </cell>
          <cell r="DX37">
            <v>2019.5876668698666</v>
          </cell>
          <cell r="DY37">
            <v>1954.1998835397972</v>
          </cell>
          <cell r="DZ37">
            <v>2054.9802049778873</v>
          </cell>
          <cell r="EA37">
            <v>530.8476119746897</v>
          </cell>
          <cell r="EX37">
            <v>9517.2188064814327</v>
          </cell>
          <cell r="EY37">
            <v>9360.0490891971895</v>
          </cell>
          <cell r="EZ37">
            <v>4086.5054215634705</v>
          </cell>
          <cell r="FA37">
            <v>4407.3198991245317</v>
          </cell>
          <cell r="FB37">
            <v>5027.9959329607973</v>
          </cell>
          <cell r="FC37">
            <v>5952.4632406716582</v>
          </cell>
          <cell r="FD37">
            <v>5049.8905096438957</v>
          </cell>
          <cell r="FE37">
            <v>6906.0469789330891</v>
          </cell>
          <cell r="FF37">
            <v>4277.2881064535131</v>
          </cell>
          <cell r="FG37">
            <v>5756.5022887021996</v>
          </cell>
          <cell r="FH37">
            <v>6992.1482438958392</v>
          </cell>
          <cell r="FI37">
            <v>5755.5237273651728</v>
          </cell>
          <cell r="FM37">
            <v>441.37797548384395</v>
          </cell>
          <cell r="FN37">
            <v>370.00447674231918</v>
          </cell>
          <cell r="FO37">
            <v>96.208308309848675</v>
          </cell>
          <cell r="FP37">
            <v>133.86463844160198</v>
          </cell>
          <cell r="FQ37">
            <v>80.558556640476723</v>
          </cell>
          <cell r="FR37">
            <v>260.75653874782051</v>
          </cell>
          <cell r="FS37">
            <v>188.01872024939843</v>
          </cell>
          <cell r="FT37">
            <v>204.07295407751079</v>
          </cell>
          <cell r="FU37">
            <v>186.64738210581305</v>
          </cell>
          <cell r="FV37">
            <v>172.38687755460273</v>
          </cell>
          <cell r="FW37">
            <v>191.80100524381925</v>
          </cell>
          <cell r="FX37">
            <v>190.05000155677882</v>
          </cell>
          <cell r="GB37">
            <v>2975.1335659232154</v>
          </cell>
          <cell r="GC37">
            <v>2663.5262593630191</v>
          </cell>
          <cell r="GD37">
            <v>1898.2904618856735</v>
          </cell>
          <cell r="GE37">
            <v>3187.844133556116</v>
          </cell>
          <cell r="GF37">
            <v>962.08155920139257</v>
          </cell>
          <cell r="GG37">
            <v>2875.259197933246</v>
          </cell>
          <cell r="GH37">
            <v>765.08021024569268</v>
          </cell>
          <cell r="GI37">
            <v>633.76118759100132</v>
          </cell>
          <cell r="GJ37">
            <v>561.57019167582587</v>
          </cell>
          <cell r="GK37">
            <v>580.5923909378572</v>
          </cell>
          <cell r="GL37">
            <v>737.13763887041932</v>
          </cell>
          <cell r="GM37">
            <v>671.97157849150392</v>
          </cell>
        </row>
        <row r="38">
          <cell r="A38" t="str">
            <v>Other Sales &amp; Marketing Expense</v>
          </cell>
          <cell r="C38">
            <v>0</v>
          </cell>
          <cell r="D38">
            <v>0</v>
          </cell>
          <cell r="E38">
            <v>0</v>
          </cell>
          <cell r="F38" t="str">
            <v>n/a</v>
          </cell>
          <cell r="G38">
            <v>29.500000000000004</v>
          </cell>
          <cell r="H38">
            <v>22.777090000000001</v>
          </cell>
          <cell r="J38">
            <v>0</v>
          </cell>
          <cell r="K38">
            <v>0</v>
          </cell>
          <cell r="L38">
            <v>0</v>
          </cell>
          <cell r="M38" t="str">
            <v>n/a</v>
          </cell>
          <cell r="N38">
            <v>26.441072074734116</v>
          </cell>
          <cell r="O38">
            <v>18.126249999999999</v>
          </cell>
          <cell r="Q38">
            <v>0</v>
          </cell>
          <cell r="R38">
            <v>0</v>
          </cell>
          <cell r="S38">
            <v>0</v>
          </cell>
          <cell r="T38" t="str">
            <v>n/a</v>
          </cell>
          <cell r="U38">
            <v>1.1121650251128394</v>
          </cell>
          <cell r="V38">
            <v>1.4460900000000001</v>
          </cell>
          <cell r="X38">
            <v>0</v>
          </cell>
          <cell r="Y38">
            <v>0</v>
          </cell>
          <cell r="Z38">
            <v>0</v>
          </cell>
          <cell r="AA38" t="str">
            <v>n/a</v>
          </cell>
          <cell r="AB38">
            <v>1.9467629001530482</v>
          </cell>
          <cell r="AC38">
            <v>3.2047499999999998</v>
          </cell>
          <cell r="AD38">
            <v>313.99666999999999</v>
          </cell>
          <cell r="AE38">
            <v>263.61545399999994</v>
          </cell>
          <cell r="AH38">
            <v>-2152.5270000000005</v>
          </cell>
          <cell r="AI38">
            <v>35441.451000000001</v>
          </cell>
          <cell r="AJ38">
            <v>16800.653999999999</v>
          </cell>
          <cell r="AK38">
            <v>14576.239000000001</v>
          </cell>
          <cell r="AL38">
            <v>13508.694</v>
          </cell>
          <cell r="AM38">
            <v>20799.580999999998</v>
          </cell>
          <cell r="AN38">
            <v>18891.147000000001</v>
          </cell>
          <cell r="AO38">
            <v>19978.995999999999</v>
          </cell>
          <cell r="AW38">
            <v>2182.7230000000009</v>
          </cell>
          <cell r="AX38">
            <v>9176.4860000000008</v>
          </cell>
          <cell r="AY38">
            <v>9322.0090000000018</v>
          </cell>
          <cell r="AZ38">
            <v>1602.5840000000001</v>
          </cell>
          <cell r="BA38">
            <v>4868.0450000000001</v>
          </cell>
          <cell r="BB38">
            <v>2719.549</v>
          </cell>
          <cell r="BC38">
            <v>2776.529</v>
          </cell>
          <cell r="BD38">
            <v>4498.7030000000004</v>
          </cell>
          <cell r="BL38">
            <v>-2167.942</v>
          </cell>
          <cell r="BM38">
            <v>5226.7489999999998</v>
          </cell>
          <cell r="BN38">
            <v>2690.1510000000003</v>
          </cell>
          <cell r="BO38">
            <v>8807.25</v>
          </cell>
          <cell r="BP38">
            <v>9196.0159999999996</v>
          </cell>
          <cell r="BQ38">
            <v>1291.587</v>
          </cell>
          <cell r="BR38">
            <v>5114.7060000000001</v>
          </cell>
          <cell r="BS38">
            <v>1072.0060000000001</v>
          </cell>
          <cell r="CP38">
            <v>23239.107810558584</v>
          </cell>
          <cell r="CQ38">
            <v>31049.648373114469</v>
          </cell>
          <cell r="CR38">
            <v>20568.307160134264</v>
          </cell>
          <cell r="CS38">
            <v>21267.063240999611</v>
          </cell>
          <cell r="CT38">
            <v>21267.063240999611</v>
          </cell>
          <cell r="CU38">
            <v>17982.909660932481</v>
          </cell>
          <cell r="CV38">
            <v>17982.909660932481</v>
          </cell>
          <cell r="CW38">
            <v>19799.675471182381</v>
          </cell>
          <cell r="DE38">
            <v>1149.2371926166009</v>
          </cell>
          <cell r="DF38">
            <v>3391.9337299076651</v>
          </cell>
          <cell r="DG38">
            <v>1306.7285680791824</v>
          </cell>
          <cell r="DH38">
            <v>1445.7422455344145</v>
          </cell>
          <cell r="DI38">
            <v>1445.7422455344145</v>
          </cell>
          <cell r="DJ38">
            <v>792.37796149482347</v>
          </cell>
          <cell r="DK38">
            <v>792.37796149482347</v>
          </cell>
          <cell r="DL38">
            <v>1153.8135228784272</v>
          </cell>
          <cell r="DT38">
            <v>2011.6549968248162</v>
          </cell>
          <cell r="DU38">
            <v>3958.4178969778645</v>
          </cell>
          <cell r="DV38">
            <v>1524.9642717865543</v>
          </cell>
          <cell r="DW38">
            <v>1687.1945134659748</v>
          </cell>
          <cell r="DX38">
            <v>1687.1945134659748</v>
          </cell>
          <cell r="DY38">
            <v>924.71237757269796</v>
          </cell>
          <cell r="DZ38">
            <v>924.71237757269796</v>
          </cell>
          <cell r="EA38">
            <v>1346.5110059391916</v>
          </cell>
          <cell r="EX38">
            <v>10824.996999999999</v>
          </cell>
          <cell r="EY38">
            <v>27572.294000000002</v>
          </cell>
          <cell r="EZ38">
            <v>26685.596999999994</v>
          </cell>
          <cell r="FA38">
            <v>26967.842999999997</v>
          </cell>
          <cell r="FB38">
            <v>362.64900000000034</v>
          </cell>
          <cell r="FC38">
            <v>14786.924000000001</v>
          </cell>
          <cell r="FD38">
            <v>12317.039999999999</v>
          </cell>
          <cell r="FE38">
            <v>13564.32</v>
          </cell>
          <cell r="FF38">
            <v>18126.25</v>
          </cell>
          <cell r="FG38">
            <v>21659.890000000003</v>
          </cell>
          <cell r="FH38">
            <v>17809.989999999998</v>
          </cell>
          <cell r="FI38">
            <v>17074.409999999996</v>
          </cell>
          <cell r="FM38">
            <v>1701.5969999999998</v>
          </cell>
          <cell r="FN38">
            <v>3288.0839999999998</v>
          </cell>
          <cell r="FO38">
            <v>2260.5329999999999</v>
          </cell>
          <cell r="FP38">
            <v>2465.4790000000003</v>
          </cell>
          <cell r="FQ38">
            <v>-210.239</v>
          </cell>
          <cell r="FR38">
            <v>2003.5119999999999</v>
          </cell>
          <cell r="FS38">
            <v>1465.1400000000003</v>
          </cell>
          <cell r="FT38">
            <v>2480.38</v>
          </cell>
          <cell r="FU38">
            <v>1446.0900000000001</v>
          </cell>
          <cell r="FV38">
            <v>3444.39</v>
          </cell>
          <cell r="FW38">
            <v>4250.54</v>
          </cell>
          <cell r="FX38">
            <v>1545.15</v>
          </cell>
          <cell r="GB38">
            <v>2348.3179999999998</v>
          </cell>
          <cell r="GC38">
            <v>6598.0959999999995</v>
          </cell>
          <cell r="GD38">
            <v>5105.652</v>
          </cell>
          <cell r="GE38">
            <v>5319.5460000000012</v>
          </cell>
          <cell r="GF38">
            <v>-1108.7359999999999</v>
          </cell>
          <cell r="GG38">
            <v>608.85800000000017</v>
          </cell>
          <cell r="GH38">
            <v>3144.75</v>
          </cell>
          <cell r="GI38">
            <v>-821.07999999999993</v>
          </cell>
          <cell r="GJ38">
            <v>3204.7499999999995</v>
          </cell>
          <cell r="GK38">
            <v>645.08000000000004</v>
          </cell>
          <cell r="GL38">
            <v>1862.5099999999998</v>
          </cell>
          <cell r="GM38">
            <v>2814.85</v>
          </cell>
        </row>
        <row r="39">
          <cell r="A39" t="str">
            <v>Sales &amp; Marketing Expense</v>
          </cell>
          <cell r="C39">
            <v>0</v>
          </cell>
          <cell r="D39">
            <v>0</v>
          </cell>
          <cell r="E39">
            <v>0</v>
          </cell>
          <cell r="F39" t="str">
            <v>n/a</v>
          </cell>
          <cell r="G39">
            <v>106.07986098229969</v>
          </cell>
          <cell r="H39">
            <v>78.513285680235157</v>
          </cell>
          <cell r="J39">
            <v>0</v>
          </cell>
          <cell r="K39">
            <v>0</v>
          </cell>
          <cell r="L39">
            <v>0</v>
          </cell>
          <cell r="M39" t="str">
            <v>n/a</v>
          </cell>
          <cell r="N39">
            <v>93.476501876957968</v>
          </cell>
          <cell r="O39">
            <v>64.375698106453513</v>
          </cell>
          <cell r="Q39">
            <v>0</v>
          </cell>
          <cell r="R39">
            <v>0</v>
          </cell>
          <cell r="S39">
            <v>0</v>
          </cell>
          <cell r="T39" t="str">
            <v>n/a</v>
          </cell>
          <cell r="U39">
            <v>5.6390515540988435</v>
          </cell>
          <cell r="V39">
            <v>3.3091573821058131</v>
          </cell>
          <cell r="X39">
            <v>0</v>
          </cell>
          <cell r="Y39">
            <v>0</v>
          </cell>
          <cell r="Z39">
            <v>0</v>
          </cell>
          <cell r="AA39" t="str">
            <v>n/a</v>
          </cell>
          <cell r="AB39">
            <v>6.9643075512428823</v>
          </cell>
          <cell r="AC39">
            <v>10.828430191675825</v>
          </cell>
          <cell r="AD39">
            <v>1292.6226533030492</v>
          </cell>
          <cell r="AE39">
            <v>1125.1019020558215</v>
          </cell>
          <cell r="AH39">
            <v>61369.902999999991</v>
          </cell>
          <cell r="AI39">
            <v>99170.740999999995</v>
          </cell>
          <cell r="AJ39">
            <v>103164.54399999999</v>
          </cell>
          <cell r="AK39">
            <v>70619.938999999998</v>
          </cell>
          <cell r="AL39">
            <v>91296.644</v>
          </cell>
          <cell r="AM39">
            <v>86736.810999999987</v>
          </cell>
          <cell r="AN39">
            <v>87144.947</v>
          </cell>
          <cell r="AO39">
            <v>73029.356</v>
          </cell>
          <cell r="AP39">
            <v>0</v>
          </cell>
          <cell r="AQ39">
            <v>0</v>
          </cell>
          <cell r="AR39">
            <v>0</v>
          </cell>
          <cell r="AS39">
            <v>0</v>
          </cell>
          <cell r="AW39">
            <v>9808.7630000000008</v>
          </cell>
          <cell r="AX39">
            <v>16205.346000000001</v>
          </cell>
          <cell r="AY39">
            <v>15800.769000000002</v>
          </cell>
          <cell r="AZ39">
            <v>8583.1740000000009</v>
          </cell>
          <cell r="BA39">
            <v>11328.455</v>
          </cell>
          <cell r="BB39">
            <v>8078.0389999999998</v>
          </cell>
          <cell r="BC39">
            <v>10666.509</v>
          </cell>
          <cell r="BD39">
            <v>9452.4530000000013</v>
          </cell>
          <cell r="BE39">
            <v>0</v>
          </cell>
          <cell r="BF39">
            <v>0</v>
          </cell>
          <cell r="BG39">
            <v>0</v>
          </cell>
          <cell r="BH39">
            <v>0</v>
          </cell>
          <cell r="BL39">
            <v>7511.7280000000001</v>
          </cell>
          <cell r="BM39">
            <v>13615.709000000001</v>
          </cell>
          <cell r="BN39">
            <v>22565.891000000003</v>
          </cell>
          <cell r="BO39">
            <v>27996.58</v>
          </cell>
          <cell r="BP39">
            <v>27521.305999999997</v>
          </cell>
          <cell r="BQ39">
            <v>26727.377</v>
          </cell>
          <cell r="BR39">
            <v>24406.506000000001</v>
          </cell>
          <cell r="BS39">
            <v>11068.115999999998</v>
          </cell>
          <cell r="BT39">
            <v>0</v>
          </cell>
          <cell r="BU39">
            <v>0</v>
          </cell>
          <cell r="BV39">
            <v>0</v>
          </cell>
          <cell r="BW39">
            <v>0</v>
          </cell>
          <cell r="CP39">
            <v>93194.236241628358</v>
          </cell>
          <cell r="CQ39">
            <v>89845.260089510033</v>
          </cell>
          <cell r="CR39">
            <v>91629.155473045044</v>
          </cell>
          <cell r="CS39">
            <v>87646.443792601029</v>
          </cell>
          <cell r="CT39">
            <v>86781.71811976633</v>
          </cell>
          <cell r="CU39">
            <v>86498.463605404395</v>
          </cell>
          <cell r="CV39">
            <v>75093.772643536635</v>
          </cell>
          <cell r="CW39">
            <v>71047.787250493711</v>
          </cell>
          <cell r="CX39">
            <v>0</v>
          </cell>
          <cell r="CY39">
            <v>0</v>
          </cell>
          <cell r="CZ39">
            <v>0</v>
          </cell>
          <cell r="DA39">
            <v>0</v>
          </cell>
          <cell r="DE39">
            <v>5867.2212086634408</v>
          </cell>
          <cell r="DF39">
            <v>7908.279536464991</v>
          </cell>
          <cell r="DG39">
            <v>7475.7630767554037</v>
          </cell>
          <cell r="DH39">
            <v>6919.1553297145692</v>
          </cell>
          <cell r="DI39">
            <v>7021.16499593355</v>
          </cell>
          <cell r="DJ39">
            <v>6687.4599415223302</v>
          </cell>
          <cell r="DK39">
            <v>5823.511869279394</v>
          </cell>
          <cell r="DL39">
            <v>6323.5043479629621</v>
          </cell>
          <cell r="DM39">
            <v>0</v>
          </cell>
          <cell r="DN39">
            <v>0</v>
          </cell>
          <cell r="DO39">
            <v>0</v>
          </cell>
          <cell r="DP39">
            <v>0</v>
          </cell>
          <cell r="DT39">
            <v>7241.0097226534963</v>
          </cell>
          <cell r="DU39">
            <v>8134.4699007854451</v>
          </cell>
          <cell r="DV39">
            <v>21958.248337653429</v>
          </cell>
          <cell r="DW39">
            <v>21526.083734394844</v>
          </cell>
          <cell r="DX39">
            <v>21818.665427589473</v>
          </cell>
          <cell r="DY39">
            <v>20418.777508140229</v>
          </cell>
          <cell r="DZ39">
            <v>20408.436997629295</v>
          </cell>
          <cell r="EA39">
            <v>6126.6803405846513</v>
          </cell>
          <cell r="EB39">
            <v>0</v>
          </cell>
          <cell r="EC39">
            <v>0</v>
          </cell>
          <cell r="ED39">
            <v>0</v>
          </cell>
          <cell r="EE39">
            <v>0</v>
          </cell>
          <cell r="EX39">
            <v>80239.385806481441</v>
          </cell>
          <cell r="EY39">
            <v>104870.23308919719</v>
          </cell>
          <cell r="EZ39">
            <v>64150.61242156347</v>
          </cell>
          <cell r="FA39">
            <v>63625.902899124529</v>
          </cell>
          <cell r="FB39">
            <v>46429.004932960794</v>
          </cell>
          <cell r="FC39">
            <v>61159.787240671656</v>
          </cell>
          <cell r="FD39">
            <v>58486.980509643901</v>
          </cell>
          <cell r="FE39">
            <v>73058.426978933087</v>
          </cell>
          <cell r="FF39">
            <v>64375.698106453514</v>
          </cell>
          <cell r="FG39">
            <v>73914.322288702198</v>
          </cell>
          <cell r="FH39">
            <v>89924.578243895841</v>
          </cell>
          <cell r="FI39">
            <v>76195.163727365172</v>
          </cell>
          <cell r="FM39">
            <v>5366.3849754838429</v>
          </cell>
          <cell r="FN39">
            <v>6156.0884767423195</v>
          </cell>
          <cell r="FO39">
            <v>3224.7813083098486</v>
          </cell>
          <cell r="FP39">
            <v>3984.0036384416026</v>
          </cell>
          <cell r="FQ39">
            <v>613.1495566404767</v>
          </cell>
          <cell r="FR39">
            <v>4161.2185387478203</v>
          </cell>
          <cell r="FS39">
            <v>2976.1087202493991</v>
          </cell>
          <cell r="FT39">
            <v>4742.9029540775109</v>
          </cell>
          <cell r="FU39">
            <v>3309.1573821058132</v>
          </cell>
          <cell r="FV39">
            <v>5361.5668775546028</v>
          </cell>
          <cell r="FW39">
            <v>6431.0010052438192</v>
          </cell>
          <cell r="FX39">
            <v>3425.190001556779</v>
          </cell>
          <cell r="GB39">
            <v>29180.341565923212</v>
          </cell>
          <cell r="GC39">
            <v>28097.482259363016</v>
          </cell>
          <cell r="GD39">
            <v>24283.632461885674</v>
          </cell>
          <cell r="GE39">
            <v>47313.560133556115</v>
          </cell>
          <cell r="GF39">
            <v>9156.6155592013929</v>
          </cell>
          <cell r="GG39">
            <v>24104.597197933246</v>
          </cell>
          <cell r="GH39">
            <v>8469.5602102456924</v>
          </cell>
          <cell r="GI39">
            <v>8124.9311875910007</v>
          </cell>
          <cell r="GJ39">
            <v>10828.430191675825</v>
          </cell>
          <cell r="GK39">
            <v>8560.0223909378583</v>
          </cell>
          <cell r="GL39">
            <v>10554.307638870419</v>
          </cell>
          <cell r="GM39">
            <v>10246.771578491504</v>
          </cell>
        </row>
        <row r="41">
          <cell r="A41" t="str">
            <v>Labor - General &amp; Administrative</v>
          </cell>
          <cell r="C41">
            <v>0</v>
          </cell>
          <cell r="D41">
            <v>0</v>
          </cell>
          <cell r="E41">
            <v>0</v>
          </cell>
          <cell r="F41" t="str">
            <v>n/a</v>
          </cell>
          <cell r="G41">
            <v>71.453792162084369</v>
          </cell>
          <cell r="H41">
            <v>94.858750000000001</v>
          </cell>
          <cell r="J41">
            <v>0</v>
          </cell>
          <cell r="K41">
            <v>0</v>
          </cell>
          <cell r="L41">
            <v>0</v>
          </cell>
          <cell r="M41" t="str">
            <v>n/a</v>
          </cell>
          <cell r="N41">
            <v>56.06922666555046</v>
          </cell>
          <cell r="O41">
            <v>72.656580000000005</v>
          </cell>
          <cell r="Q41">
            <v>0</v>
          </cell>
          <cell r="R41">
            <v>0</v>
          </cell>
          <cell r="S41">
            <v>0</v>
          </cell>
          <cell r="T41" t="str">
            <v>n/a</v>
          </cell>
          <cell r="U41">
            <v>7.2968394854106799</v>
          </cell>
          <cell r="V41">
            <v>4.2593100000000002</v>
          </cell>
          <cell r="X41">
            <v>0</v>
          </cell>
          <cell r="Y41">
            <v>0</v>
          </cell>
          <cell r="Z41">
            <v>0</v>
          </cell>
          <cell r="AA41" t="str">
            <v>n/a</v>
          </cell>
          <cell r="AB41">
            <v>8.0877260111232285</v>
          </cell>
          <cell r="AC41">
            <v>17.94286</v>
          </cell>
          <cell r="AD41">
            <v>892.16716866304535</v>
          </cell>
          <cell r="AE41">
            <v>1097.9114999999999</v>
          </cell>
          <cell r="AH41">
            <v>55471.498</v>
          </cell>
          <cell r="AI41">
            <v>61949.36</v>
          </cell>
          <cell r="AJ41">
            <v>71353.41</v>
          </cell>
          <cell r="AK41">
            <v>52599.849999999991</v>
          </cell>
          <cell r="AL41">
            <v>78061</v>
          </cell>
          <cell r="AM41">
            <v>79133.260000000009</v>
          </cell>
          <cell r="AN41">
            <v>56220.2</v>
          </cell>
          <cell r="AO41">
            <v>55942.59</v>
          </cell>
          <cell r="AW41">
            <v>6028.701</v>
          </cell>
          <cell r="AX41">
            <v>6821.45</v>
          </cell>
          <cell r="AY41">
            <v>7202.77</v>
          </cell>
          <cell r="AZ41">
            <v>11310.289999999999</v>
          </cell>
          <cell r="BA41">
            <v>9119.619999999999</v>
          </cell>
          <cell r="BB41">
            <v>10455.11</v>
          </cell>
          <cell r="BC41">
            <v>7134.85</v>
          </cell>
          <cell r="BD41">
            <v>6344.96</v>
          </cell>
          <cell r="BL41">
            <v>6028.701</v>
          </cell>
          <cell r="BM41">
            <v>6821.45</v>
          </cell>
          <cell r="BN41">
            <v>7202.77</v>
          </cell>
          <cell r="BO41">
            <v>13536.069999999998</v>
          </cell>
          <cell r="BP41">
            <v>9389.619999999999</v>
          </cell>
          <cell r="BQ41">
            <v>10995.11</v>
          </cell>
          <cell r="BR41">
            <v>7434.85</v>
          </cell>
          <cell r="BS41">
            <v>6344.96</v>
          </cell>
          <cell r="CP41">
            <v>58812.356577489882</v>
          </cell>
          <cell r="CQ41">
            <v>46935.880382535834</v>
          </cell>
          <cell r="CR41">
            <v>61650.966481031173</v>
          </cell>
          <cell r="CS41">
            <v>57895.416551411756</v>
          </cell>
          <cell r="CT41">
            <v>57843.767166981408</v>
          </cell>
          <cell r="CU41">
            <v>55871.999071472208</v>
          </cell>
          <cell r="CV41">
            <v>47261.063047758835</v>
          </cell>
          <cell r="CW41">
            <v>49772.169607788666</v>
          </cell>
          <cell r="DE41">
            <v>7653.8299389164149</v>
          </cell>
          <cell r="DF41">
            <v>7483.2530105591359</v>
          </cell>
          <cell r="DG41">
            <v>9829.3624571004857</v>
          </cell>
          <cell r="DH41">
            <v>9230.5938798823918</v>
          </cell>
          <cell r="DI41">
            <v>9222.3591262486716</v>
          </cell>
          <cell r="DJ41">
            <v>8907.9889809230517</v>
          </cell>
          <cell r="DK41">
            <v>7535.0987230221563</v>
          </cell>
          <cell r="DL41">
            <v>7935.4586517595317</v>
          </cell>
          <cell r="DT41">
            <v>8483.4097838461676</v>
          </cell>
          <cell r="DU41">
            <v>6919.4111939727381</v>
          </cell>
          <cell r="DV41">
            <v>9088.7479708767241</v>
          </cell>
          <cell r="DW41">
            <v>8535.0949018229421</v>
          </cell>
          <cell r="DX41">
            <v>8527.480613438951</v>
          </cell>
          <cell r="DY41">
            <v>8236.7973638484909</v>
          </cell>
          <cell r="DZ41">
            <v>6967.3504795574854</v>
          </cell>
          <cell r="EA41">
            <v>7337.5444271113893</v>
          </cell>
          <cell r="EX41">
            <v>78259.69</v>
          </cell>
          <cell r="EY41">
            <v>88964.75</v>
          </cell>
          <cell r="EZ41">
            <v>67719.95</v>
          </cell>
          <cell r="FA41">
            <v>54161.27</v>
          </cell>
          <cell r="FB41">
            <v>58730.03</v>
          </cell>
          <cell r="FC41">
            <v>79660.19</v>
          </cell>
          <cell r="FD41">
            <v>80855.28</v>
          </cell>
          <cell r="FE41">
            <v>73679.64</v>
          </cell>
          <cell r="FF41">
            <v>72656.58</v>
          </cell>
          <cell r="FG41">
            <v>71127.33</v>
          </cell>
          <cell r="FH41">
            <v>69070.3</v>
          </cell>
          <cell r="FI41">
            <v>54879.65</v>
          </cell>
          <cell r="FM41">
            <v>5159.24</v>
          </cell>
          <cell r="FN41">
            <v>4714.72</v>
          </cell>
          <cell r="FO41">
            <v>4058.3</v>
          </cell>
          <cell r="FP41">
            <v>3612.79</v>
          </cell>
          <cell r="FQ41">
            <v>3593.41</v>
          </cell>
          <cell r="FR41">
            <v>5361.73</v>
          </cell>
          <cell r="FS41">
            <v>3844.56</v>
          </cell>
          <cell r="FT41">
            <v>5384.26</v>
          </cell>
          <cell r="FU41">
            <v>4259.3100000000004</v>
          </cell>
          <cell r="FV41">
            <v>4509.7299999999996</v>
          </cell>
          <cell r="FW41">
            <v>4012.79</v>
          </cell>
          <cell r="FX41">
            <v>3140.64</v>
          </cell>
          <cell r="GB41">
            <v>18953.45</v>
          </cell>
          <cell r="GC41">
            <v>16554.62</v>
          </cell>
          <cell r="GD41">
            <v>14834.89</v>
          </cell>
          <cell r="GE41">
            <v>15073.98</v>
          </cell>
          <cell r="GF41">
            <v>12896.59</v>
          </cell>
          <cell r="GG41">
            <v>17675.22</v>
          </cell>
          <cell r="GH41">
            <v>13250.8</v>
          </cell>
          <cell r="GI41">
            <v>21742.27</v>
          </cell>
          <cell r="GJ41">
            <v>17942.86</v>
          </cell>
          <cell r="GK41">
            <v>18956.95</v>
          </cell>
          <cell r="GL41">
            <v>16051.16</v>
          </cell>
          <cell r="GM41">
            <v>12562.57</v>
          </cell>
        </row>
        <row r="42">
          <cell r="A42" t="str">
            <v>Payroll Taxes &amp; Employee Benefits</v>
          </cell>
          <cell r="C42">
            <v>0</v>
          </cell>
          <cell r="D42">
            <v>0</v>
          </cell>
          <cell r="E42">
            <v>0</v>
          </cell>
          <cell r="F42" t="str">
            <v>n/a</v>
          </cell>
          <cell r="G42">
            <v>9.4621467478829473</v>
          </cell>
          <cell r="H42">
            <v>9.3052802940097976</v>
          </cell>
          <cell r="J42">
            <v>0</v>
          </cell>
          <cell r="K42">
            <v>0</v>
          </cell>
          <cell r="L42">
            <v>0</v>
          </cell>
          <cell r="M42" t="str">
            <v>n/a</v>
          </cell>
          <cell r="N42">
            <v>7.4248718604926456</v>
          </cell>
          <cell r="O42">
            <v>7.4042681027039867</v>
          </cell>
          <cell r="Q42">
            <v>0</v>
          </cell>
          <cell r="R42">
            <v>0</v>
          </cell>
          <cell r="S42">
            <v>0</v>
          </cell>
          <cell r="T42" t="str">
            <v>n/a</v>
          </cell>
          <cell r="U42">
            <v>0.9662715430146106</v>
          </cell>
          <cell r="V42">
            <v>0.47421831108976914</v>
          </cell>
          <cell r="X42">
            <v>0</v>
          </cell>
          <cell r="Y42">
            <v>0</v>
          </cell>
          <cell r="Z42">
            <v>0</v>
          </cell>
          <cell r="AA42" t="str">
            <v>n/a</v>
          </cell>
          <cell r="AB42">
            <v>1.0710033443756926</v>
          </cell>
          <cell r="AC42">
            <v>1.4267938802160416</v>
          </cell>
          <cell r="AD42">
            <v>112.64805834345427</v>
          </cell>
          <cell r="AE42">
            <v>137.0261438759216</v>
          </cell>
          <cell r="AH42">
            <v>12399.779999999999</v>
          </cell>
          <cell r="AI42">
            <v>7582.93</v>
          </cell>
          <cell r="AJ42">
            <v>8996.06</v>
          </cell>
          <cell r="AK42">
            <v>8593.52</v>
          </cell>
          <cell r="AL42">
            <v>7807.42</v>
          </cell>
          <cell r="AM42">
            <v>6425.49</v>
          </cell>
          <cell r="AN42">
            <v>6361.4</v>
          </cell>
          <cell r="AO42">
            <v>7049</v>
          </cell>
          <cell r="AW42">
            <v>1371.17</v>
          </cell>
          <cell r="AX42">
            <v>722.52</v>
          </cell>
          <cell r="AY42">
            <v>944.62000000000012</v>
          </cell>
          <cell r="AZ42">
            <v>914</v>
          </cell>
          <cell r="BA42">
            <v>800.42</v>
          </cell>
          <cell r="BB42">
            <v>648.16000000000008</v>
          </cell>
          <cell r="BC42">
            <v>644.31999999999994</v>
          </cell>
          <cell r="BD42">
            <v>767.15</v>
          </cell>
          <cell r="BL42">
            <v>1371.17</v>
          </cell>
          <cell r="BM42">
            <v>722.52</v>
          </cell>
          <cell r="BN42">
            <v>944.62000000000012</v>
          </cell>
          <cell r="BO42">
            <v>914</v>
          </cell>
          <cell r="BP42">
            <v>800.42</v>
          </cell>
          <cell r="BQ42">
            <v>648.16000000000008</v>
          </cell>
          <cell r="BR42">
            <v>644.31999999999994</v>
          </cell>
          <cell r="BS42">
            <v>767.15</v>
          </cell>
          <cell r="CP42">
            <v>7765.5454690208126</v>
          </cell>
          <cell r="CQ42">
            <v>6509.5972364575509</v>
          </cell>
          <cell r="CR42">
            <v>7979.718996424459</v>
          </cell>
          <cell r="CS42">
            <v>7457.0940159554893</v>
          </cell>
          <cell r="CT42">
            <v>7453.2290919049137</v>
          </cell>
          <cell r="CU42">
            <v>7227.3107411822739</v>
          </cell>
          <cell r="CV42">
            <v>6889.1276891601719</v>
          </cell>
          <cell r="CW42">
            <v>7093.16168809997</v>
          </cell>
          <cell r="DE42">
            <v>1010.6067476567855</v>
          </cell>
          <cell r="DF42">
            <v>1037.8619239743459</v>
          </cell>
          <cell r="DG42">
            <v>1272.2517553037756</v>
          </cell>
          <cell r="DH42">
            <v>1188.926697232786</v>
          </cell>
          <cell r="DI42">
            <v>1188.3104905205366</v>
          </cell>
          <cell r="DJ42">
            <v>1152.2910494360822</v>
          </cell>
          <cell r="DK42">
            <v>1098.3726117389783</v>
          </cell>
          <cell r="DL42">
            <v>1130.9029067793326</v>
          </cell>
          <cell r="DT42">
            <v>1120.1439330524636</v>
          </cell>
          <cell r="DU42">
            <v>959.66198181632649</v>
          </cell>
          <cell r="DV42">
            <v>1176.3912064417354</v>
          </cell>
          <cell r="DW42">
            <v>1099.3444543485898</v>
          </cell>
          <cell r="DX42">
            <v>1098.7746770583494</v>
          </cell>
          <cell r="DY42">
            <v>1065.4691983462521</v>
          </cell>
          <cell r="DZ42">
            <v>1015.6133614747168</v>
          </cell>
          <cell r="EA42">
            <v>1045.692591366831</v>
          </cell>
          <cell r="EX42">
            <v>12434.887882973551</v>
          </cell>
          <cell r="EY42">
            <v>12256.99572371405</v>
          </cell>
          <cell r="EZ42">
            <v>8290.9016257168805</v>
          </cell>
          <cell r="FA42">
            <v>7401.5679340336537</v>
          </cell>
          <cell r="FB42">
            <v>7195.5690232910274</v>
          </cell>
          <cell r="FC42">
            <v>11731.065321469358</v>
          </cell>
          <cell r="FD42">
            <v>9929.7133910732082</v>
          </cell>
          <cell r="FE42">
            <v>9675.8666364737073</v>
          </cell>
          <cell r="FF42">
            <v>7404.2681027039871</v>
          </cell>
          <cell r="FG42">
            <v>8805.6530244309088</v>
          </cell>
          <cell r="FH42">
            <v>8171.568964814418</v>
          </cell>
          <cell r="FI42">
            <v>6741.749150123358</v>
          </cell>
          <cell r="FM42">
            <v>706.44904192617992</v>
          </cell>
          <cell r="FN42">
            <v>698.3456791779613</v>
          </cell>
          <cell r="FO42">
            <v>449.79744898145123</v>
          </cell>
          <cell r="FP42">
            <v>349.27334299787327</v>
          </cell>
          <cell r="FQ42">
            <v>389.69875074708267</v>
          </cell>
          <cell r="FR42">
            <v>737.0284701759939</v>
          </cell>
          <cell r="FS42">
            <v>546.3919657749932</v>
          </cell>
          <cell r="FT42">
            <v>533.79088329635329</v>
          </cell>
          <cell r="FU42">
            <v>474.21831108976914</v>
          </cell>
          <cell r="FV42">
            <v>445.56552554423087</v>
          </cell>
          <cell r="FW42">
            <v>387.02299831662799</v>
          </cell>
          <cell r="FX42">
            <v>353.18471522865923</v>
          </cell>
          <cell r="GB42">
            <v>2363.6377283479687</v>
          </cell>
          <cell r="GC42">
            <v>2340.9424939331798</v>
          </cell>
          <cell r="GD42">
            <v>1629.7126968205539</v>
          </cell>
          <cell r="GE42">
            <v>1238.2953203663806</v>
          </cell>
          <cell r="GF42">
            <v>1333.6785254626693</v>
          </cell>
          <cell r="GG42">
            <v>2464.5807896078886</v>
          </cell>
          <cell r="GH42">
            <v>2223.3607801171611</v>
          </cell>
          <cell r="GI42">
            <v>1657.7228615746881</v>
          </cell>
          <cell r="GJ42">
            <v>1426.7938802160415</v>
          </cell>
          <cell r="GK42">
            <v>1500.6457184875842</v>
          </cell>
          <cell r="GL42">
            <v>1487.419221378578</v>
          </cell>
          <cell r="GM42">
            <v>1248.7799455336226</v>
          </cell>
        </row>
        <row r="43">
          <cell r="A43" t="str">
            <v>Other General &amp; Administrative Expense</v>
          </cell>
          <cell r="C43">
            <v>0</v>
          </cell>
          <cell r="D43">
            <v>0</v>
          </cell>
          <cell r="E43">
            <v>0</v>
          </cell>
          <cell r="F43" t="str">
            <v>n/a</v>
          </cell>
          <cell r="G43">
            <v>30.2</v>
          </cell>
          <cell r="H43">
            <v>33.280019999999979</v>
          </cell>
          <cell r="J43">
            <v>0</v>
          </cell>
          <cell r="K43">
            <v>0</v>
          </cell>
          <cell r="L43">
            <v>0</v>
          </cell>
          <cell r="M43" t="str">
            <v>n/a</v>
          </cell>
          <cell r="N43">
            <v>23.630384761495357</v>
          </cell>
          <cell r="O43">
            <v>20.289539999999985</v>
          </cell>
          <cell r="Q43">
            <v>0</v>
          </cell>
          <cell r="R43">
            <v>0</v>
          </cell>
          <cell r="S43">
            <v>0</v>
          </cell>
          <cell r="T43" t="str">
            <v>n/a</v>
          </cell>
          <cell r="U43">
            <v>2.4186452848575497</v>
          </cell>
          <cell r="V43">
            <v>1.7830499999999987</v>
          </cell>
          <cell r="X43">
            <v>0</v>
          </cell>
          <cell r="Y43">
            <v>0</v>
          </cell>
          <cell r="Z43">
            <v>0</v>
          </cell>
          <cell r="AA43" t="str">
            <v>n/a</v>
          </cell>
          <cell r="AB43">
            <v>4.150969953647091</v>
          </cell>
          <cell r="AC43">
            <v>11.207429999999997</v>
          </cell>
          <cell r="AD43">
            <v>342.07297000000023</v>
          </cell>
          <cell r="AE43">
            <v>534.94555500000001</v>
          </cell>
          <cell r="AH43">
            <v>5465.0170000000144</v>
          </cell>
          <cell r="AI43">
            <v>17186.208999999995</v>
          </cell>
          <cell r="AJ43">
            <v>13342.415999999979</v>
          </cell>
          <cell r="AK43">
            <v>11713.041000000003</v>
          </cell>
          <cell r="AL43">
            <v>20205.665999999997</v>
          </cell>
          <cell r="AM43">
            <v>12749.138999999986</v>
          </cell>
          <cell r="AN43">
            <v>11773.522999999996</v>
          </cell>
          <cell r="AO43">
            <v>14729.664000000002</v>
          </cell>
          <cell r="AW43">
            <v>14352.026999999996</v>
          </cell>
          <cell r="AX43">
            <v>3521.9139999999984</v>
          </cell>
          <cell r="AY43">
            <v>3469.4910000000027</v>
          </cell>
          <cell r="AZ43">
            <v>13505.235999999999</v>
          </cell>
          <cell r="BA43">
            <v>16535.075000000004</v>
          </cell>
          <cell r="BB43">
            <v>1673.4509999999991</v>
          </cell>
          <cell r="BC43">
            <v>4962.9209999999994</v>
          </cell>
          <cell r="BD43">
            <v>1821.5769999999982</v>
          </cell>
          <cell r="BL43">
            <v>9018.4419999999973</v>
          </cell>
          <cell r="BM43">
            <v>10429.621000000001</v>
          </cell>
          <cell r="BN43">
            <v>8901.0889999999981</v>
          </cell>
          <cell r="BO43">
            <v>-2293.34</v>
          </cell>
          <cell r="BP43">
            <v>3097.2440000000006</v>
          </cell>
          <cell r="BQ43">
            <v>1692.7829999999994</v>
          </cell>
          <cell r="BR43">
            <v>1947.8740000000016</v>
          </cell>
          <cell r="BS43">
            <v>3794.9740000000011</v>
          </cell>
          <cell r="CP43">
            <v>25076.015943320228</v>
          </cell>
          <cell r="CQ43">
            <v>23293.772441889341</v>
          </cell>
          <cell r="CR43">
            <v>23293.772441889345</v>
          </cell>
          <cell r="CS43">
            <v>27693.772441889341</v>
          </cell>
          <cell r="CT43">
            <v>26493.772441889338</v>
          </cell>
          <cell r="CU43">
            <v>23093.772441889345</v>
          </cell>
          <cell r="CV43">
            <v>27373.772441889341</v>
          </cell>
          <cell r="CW43">
            <v>25373.772441889349</v>
          </cell>
          <cell r="DE43">
            <v>2372.6140841106285</v>
          </cell>
          <cell r="DF43">
            <v>2825.8479527901777</v>
          </cell>
          <cell r="DG43">
            <v>2825.84795279018</v>
          </cell>
          <cell r="DH43">
            <v>3375.84795279018</v>
          </cell>
          <cell r="DI43">
            <v>3225.8479527901818</v>
          </cell>
          <cell r="DJ43">
            <v>2925.84795279018</v>
          </cell>
          <cell r="DK43">
            <v>3585.8479527901777</v>
          </cell>
          <cell r="DL43">
            <v>3335.8479527901795</v>
          </cell>
          <cell r="DT43">
            <v>4151.3699725691376</v>
          </cell>
          <cell r="DU43">
            <v>3980.379605320491</v>
          </cell>
          <cell r="DV43">
            <v>3980.379605320491</v>
          </cell>
          <cell r="DW43">
            <v>4530.3796053204915</v>
          </cell>
          <cell r="DX43">
            <v>4380.3796053204887</v>
          </cell>
          <cell r="DY43">
            <v>4080.3796053204906</v>
          </cell>
          <cell r="DZ43">
            <v>4740.3796053204896</v>
          </cell>
          <cell r="EA43">
            <v>4490.3796053204906</v>
          </cell>
          <cell r="EX43">
            <v>21147.814999999999</v>
          </cell>
          <cell r="EY43">
            <v>35314.095000000016</v>
          </cell>
          <cell r="EZ43">
            <v>21085.210000000039</v>
          </cell>
          <cell r="FA43">
            <v>22362.99500000001</v>
          </cell>
          <cell r="FB43">
            <v>17446.729999999996</v>
          </cell>
          <cell r="FC43">
            <v>30243.360000000004</v>
          </cell>
          <cell r="FD43">
            <v>23813.740000000005</v>
          </cell>
          <cell r="FE43">
            <v>30213.579999999994</v>
          </cell>
          <cell r="FF43">
            <v>20289.539999999986</v>
          </cell>
          <cell r="FG43">
            <v>30421.250000000018</v>
          </cell>
          <cell r="FH43">
            <v>22271.270000000004</v>
          </cell>
          <cell r="FI43">
            <v>24380.93</v>
          </cell>
          <cell r="FM43">
            <v>2061.2399999999989</v>
          </cell>
          <cell r="FN43">
            <v>3671.8299999999986</v>
          </cell>
          <cell r="FO43">
            <v>1907.3000000000006</v>
          </cell>
          <cell r="FP43">
            <v>1935.9699999999993</v>
          </cell>
          <cell r="FQ43">
            <v>1893.3400000000008</v>
          </cell>
          <cell r="FR43">
            <v>1861.3899999999994</v>
          </cell>
          <cell r="FS43">
            <v>9355.42</v>
          </cell>
          <cell r="FT43">
            <v>2641.3000000000011</v>
          </cell>
          <cell r="FU43">
            <v>1783.0499999999986</v>
          </cell>
          <cell r="FV43">
            <v>10343.259999999998</v>
          </cell>
          <cell r="FW43">
            <v>10976.850000000002</v>
          </cell>
          <cell r="FX43">
            <v>5240.9000000000015</v>
          </cell>
          <cell r="GB43">
            <v>4623.7499999999982</v>
          </cell>
          <cell r="GC43">
            <v>24580.899999999998</v>
          </cell>
          <cell r="GD43">
            <v>19457.589999999997</v>
          </cell>
          <cell r="GE43">
            <v>22223.779999999992</v>
          </cell>
          <cell r="GF43">
            <v>9609.9300000000021</v>
          </cell>
          <cell r="GG43">
            <v>15094.520000000008</v>
          </cell>
          <cell r="GH43">
            <v>20075.2</v>
          </cell>
          <cell r="GI43">
            <v>13656.639999999994</v>
          </cell>
          <cell r="GJ43">
            <v>11207.429999999997</v>
          </cell>
          <cell r="GK43">
            <v>19355.64</v>
          </cell>
          <cell r="GL43">
            <v>12262.149999999996</v>
          </cell>
          <cell r="GM43">
            <v>10135.659999999998</v>
          </cell>
        </row>
        <row r="44">
          <cell r="A44" t="str">
            <v>General &amp; Administrative Expense</v>
          </cell>
          <cell r="C44">
            <v>0</v>
          </cell>
          <cell r="D44">
            <v>0</v>
          </cell>
          <cell r="E44">
            <v>0</v>
          </cell>
          <cell r="F44" t="str">
            <v>n/a</v>
          </cell>
          <cell r="G44">
            <v>111.11593890996731</v>
          </cell>
          <cell r="H44">
            <v>137.44405029400977</v>
          </cell>
          <cell r="J44">
            <v>0</v>
          </cell>
          <cell r="K44">
            <v>0</v>
          </cell>
          <cell r="L44">
            <v>0</v>
          </cell>
          <cell r="M44" t="str">
            <v>n/a</v>
          </cell>
          <cell r="N44">
            <v>87.124483287538453</v>
          </cell>
          <cell r="O44">
            <v>100.35038810270397</v>
          </cell>
          <cell r="Q44">
            <v>0</v>
          </cell>
          <cell r="R44">
            <v>0</v>
          </cell>
          <cell r="S44">
            <v>0</v>
          </cell>
          <cell r="T44" t="str">
            <v>n/a</v>
          </cell>
          <cell r="U44">
            <v>10.68175631328284</v>
          </cell>
          <cell r="V44">
            <v>6.5165783110897681</v>
          </cell>
          <cell r="X44">
            <v>0</v>
          </cell>
          <cell r="Y44">
            <v>0</v>
          </cell>
          <cell r="Z44">
            <v>0</v>
          </cell>
          <cell r="AA44" t="str">
            <v>n/a</v>
          </cell>
          <cell r="AB44">
            <v>13.309699309146012</v>
          </cell>
          <cell r="AC44">
            <v>30.577083880216037</v>
          </cell>
          <cell r="AD44">
            <v>1346.8881970064999</v>
          </cell>
          <cell r="AE44">
            <v>1769.8831988759216</v>
          </cell>
          <cell r="AH44">
            <v>73336.295000000013</v>
          </cell>
          <cell r="AI44">
            <v>86718.499000000011</v>
          </cell>
          <cell r="AJ44">
            <v>93691.885999999984</v>
          </cell>
          <cell r="AK44">
            <v>72906.410999999993</v>
          </cell>
          <cell r="AL44">
            <v>106074.086</v>
          </cell>
          <cell r="AM44">
            <v>98307.888999999996</v>
          </cell>
          <cell r="AN44">
            <v>74355.122999999992</v>
          </cell>
          <cell r="AO44">
            <v>77721.254000000001</v>
          </cell>
          <cell r="AP44">
            <v>0</v>
          </cell>
          <cell r="AQ44">
            <v>0</v>
          </cell>
          <cell r="AR44">
            <v>0</v>
          </cell>
          <cell r="AS44">
            <v>0</v>
          </cell>
          <cell r="AW44">
            <v>21751.897999999997</v>
          </cell>
          <cell r="AX44">
            <v>11065.883999999998</v>
          </cell>
          <cell r="AY44">
            <v>11616.881000000003</v>
          </cell>
          <cell r="AZ44">
            <v>25729.525999999998</v>
          </cell>
          <cell r="BA44">
            <v>26455.115000000005</v>
          </cell>
          <cell r="BB44">
            <v>12776.721</v>
          </cell>
          <cell r="BC44">
            <v>12742.091</v>
          </cell>
          <cell r="BD44">
            <v>8933.6869999999981</v>
          </cell>
          <cell r="BE44">
            <v>0</v>
          </cell>
          <cell r="BF44">
            <v>0</v>
          </cell>
          <cell r="BG44">
            <v>0</v>
          </cell>
          <cell r="BH44">
            <v>0</v>
          </cell>
          <cell r="BL44">
            <v>16418.312999999998</v>
          </cell>
          <cell r="BM44">
            <v>17973.591</v>
          </cell>
          <cell r="BN44">
            <v>17048.478999999999</v>
          </cell>
          <cell r="BO44">
            <v>12156.729999999998</v>
          </cell>
          <cell r="BP44">
            <v>13287.284</v>
          </cell>
          <cell r="BQ44">
            <v>13336.053</v>
          </cell>
          <cell r="BR44">
            <v>10027.044000000002</v>
          </cell>
          <cell r="BS44">
            <v>10907.084000000001</v>
          </cell>
          <cell r="BT44">
            <v>0</v>
          </cell>
          <cell r="BU44">
            <v>0</v>
          </cell>
          <cell r="BV44">
            <v>0</v>
          </cell>
          <cell r="BW44">
            <v>0</v>
          </cell>
          <cell r="CP44">
            <v>91653.917989830923</v>
          </cell>
          <cell r="CQ44">
            <v>76739.250060882725</v>
          </cell>
          <cell r="CR44">
            <v>92924.457919344975</v>
          </cell>
          <cell r="CS44">
            <v>93046.283009256586</v>
          </cell>
          <cell r="CT44">
            <v>91790.768700775661</v>
          </cell>
          <cell r="CU44">
            <v>86193.082254543828</v>
          </cell>
          <cell r="CV44">
            <v>81523.96317880835</v>
          </cell>
          <cell r="CW44">
            <v>82239.103737777987</v>
          </cell>
          <cell r="CX44">
            <v>0</v>
          </cell>
          <cell r="CY44">
            <v>0</v>
          </cell>
          <cell r="CZ44">
            <v>0</v>
          </cell>
          <cell r="DA44">
            <v>0</v>
          </cell>
          <cell r="DE44">
            <v>11037.050770683829</v>
          </cell>
          <cell r="DF44">
            <v>11346.96288732366</v>
          </cell>
          <cell r="DG44">
            <v>13927.462165194442</v>
          </cell>
          <cell r="DH44">
            <v>13795.368529905358</v>
          </cell>
          <cell r="DI44">
            <v>13636.51756955939</v>
          </cell>
          <cell r="DJ44">
            <v>12986.127983149314</v>
          </cell>
          <cell r="DK44">
            <v>12219.319287551312</v>
          </cell>
          <cell r="DL44">
            <v>12402.209511329045</v>
          </cell>
          <cell r="DM44">
            <v>0</v>
          </cell>
          <cell r="DN44">
            <v>0</v>
          </cell>
          <cell r="DO44">
            <v>0</v>
          </cell>
          <cell r="DP44">
            <v>0</v>
          </cell>
          <cell r="DT44">
            <v>13754.923689467767</v>
          </cell>
          <cell r="DU44">
            <v>11859.452781109556</v>
          </cell>
          <cell r="DV44">
            <v>14245.51878263895</v>
          </cell>
          <cell r="DW44">
            <v>14164.818961492023</v>
          </cell>
          <cell r="DX44">
            <v>14006.634895817788</v>
          </cell>
          <cell r="DY44">
            <v>13382.646167515235</v>
          </cell>
          <cell r="DZ44">
            <v>12723.343446352692</v>
          </cell>
          <cell r="EA44">
            <v>12873.616623798709</v>
          </cell>
          <cell r="EB44">
            <v>0</v>
          </cell>
          <cell r="EC44">
            <v>0</v>
          </cell>
          <cell r="ED44">
            <v>0</v>
          </cell>
          <cell r="EE44">
            <v>0</v>
          </cell>
          <cell r="EX44">
            <v>111842.39288297355</v>
          </cell>
          <cell r="EY44">
            <v>136535.84072371406</v>
          </cell>
          <cell r="EZ44">
            <v>97096.061625716917</v>
          </cell>
          <cell r="FA44">
            <v>83925.832934033664</v>
          </cell>
          <cell r="FB44">
            <v>83372.329023291022</v>
          </cell>
          <cell r="FC44">
            <v>121634.61532146936</v>
          </cell>
          <cell r="FD44">
            <v>114598.73339107321</v>
          </cell>
          <cell r="FE44">
            <v>113569.08663647369</v>
          </cell>
          <cell r="FF44">
            <v>100350.38810270396</v>
          </cell>
          <cell r="FG44">
            <v>110354.23302443093</v>
          </cell>
          <cell r="FH44">
            <v>99513.138964814425</v>
          </cell>
          <cell r="FI44">
            <v>86002.329150123362</v>
          </cell>
          <cell r="FM44">
            <v>7926.9290419261788</v>
          </cell>
          <cell r="FN44">
            <v>9084.8956791779601</v>
          </cell>
          <cell r="FO44">
            <v>6415.3974489814518</v>
          </cell>
          <cell r="FP44">
            <v>5898.0333429978728</v>
          </cell>
          <cell r="FQ44">
            <v>5876.4487507470831</v>
          </cell>
          <cell r="FR44">
            <v>7960.1484701759928</v>
          </cell>
          <cell r="FS44">
            <v>13746.371965774993</v>
          </cell>
          <cell r="FT44">
            <v>8559.3508832963544</v>
          </cell>
          <cell r="FU44">
            <v>6516.5783110897682</v>
          </cell>
          <cell r="FV44">
            <v>15298.555525544229</v>
          </cell>
          <cell r="FW44">
            <v>15376.662998316631</v>
          </cell>
          <cell r="FX44">
            <v>8734.72471522866</v>
          </cell>
          <cell r="GB44">
            <v>25940.837728347971</v>
          </cell>
          <cell r="GC44">
            <v>43476.462493933177</v>
          </cell>
          <cell r="GD44">
            <v>35922.192696820552</v>
          </cell>
          <cell r="GE44">
            <v>38536.055320366373</v>
          </cell>
          <cell r="GF44">
            <v>23840.198525462671</v>
          </cell>
          <cell r="GG44">
            <v>35234.320789607897</v>
          </cell>
          <cell r="GH44">
            <v>35549.36078011716</v>
          </cell>
          <cell r="GI44">
            <v>37056.632861574682</v>
          </cell>
          <cell r="GJ44">
            <v>30577.08388021604</v>
          </cell>
          <cell r="GK44">
            <v>39813.235718487587</v>
          </cell>
          <cell r="GL44">
            <v>29800.729221378577</v>
          </cell>
          <cell r="GM44">
            <v>23947.00994553362</v>
          </cell>
        </row>
        <row r="47">
          <cell r="A47" t="str">
            <v>Operating Income/(Loss)</v>
          </cell>
          <cell r="C47">
            <v>0</v>
          </cell>
          <cell r="D47">
            <v>0</v>
          </cell>
          <cell r="E47">
            <v>0</v>
          </cell>
          <cell r="F47" t="str">
            <v>n/a</v>
          </cell>
          <cell r="G47">
            <v>207.33838598932982</v>
          </cell>
          <cell r="H47">
            <v>-139.13647999999995</v>
          </cell>
          <cell r="J47">
            <v>0</v>
          </cell>
          <cell r="K47">
            <v>0</v>
          </cell>
          <cell r="L47">
            <v>0</v>
          </cell>
          <cell r="M47" t="str">
            <v>n/a</v>
          </cell>
          <cell r="N47">
            <v>88.627515639880301</v>
          </cell>
          <cell r="O47">
            <v>-94.898569999999964</v>
          </cell>
          <cell r="Q47">
            <v>0</v>
          </cell>
          <cell r="R47">
            <v>0</v>
          </cell>
          <cell r="S47">
            <v>0</v>
          </cell>
          <cell r="T47" t="str">
            <v>n/a</v>
          </cell>
          <cell r="U47">
            <v>111.16640299404062</v>
          </cell>
          <cell r="V47">
            <v>16.296210000000002</v>
          </cell>
          <cell r="X47">
            <v>0</v>
          </cell>
          <cell r="Y47">
            <v>0</v>
          </cell>
          <cell r="Z47">
            <v>0</v>
          </cell>
          <cell r="AA47" t="str">
            <v>n/a</v>
          </cell>
          <cell r="AB47">
            <v>7.5444673554084858</v>
          </cell>
          <cell r="AC47">
            <v>-60.534120000000001</v>
          </cell>
          <cell r="AD47">
            <v>2171.3859188022411</v>
          </cell>
          <cell r="AE47">
            <v>1530.721790000001</v>
          </cell>
          <cell r="AH47">
            <v>988.82700000013574</v>
          </cell>
          <cell r="AI47">
            <v>66762.259999999893</v>
          </cell>
          <cell r="AJ47">
            <v>597133.02899999986</v>
          </cell>
          <cell r="AK47">
            <v>302101.73900000006</v>
          </cell>
          <cell r="AL47">
            <v>262077.69499999995</v>
          </cell>
          <cell r="AM47">
            <v>723541.51499999978</v>
          </cell>
          <cell r="AN47">
            <v>186601.90800000002</v>
          </cell>
          <cell r="AO47">
            <v>151807.00200000004</v>
          </cell>
          <cell r="AP47">
            <v>0</v>
          </cell>
          <cell r="AQ47">
            <v>0</v>
          </cell>
          <cell r="AR47">
            <v>0</v>
          </cell>
          <cell r="AS47">
            <v>0</v>
          </cell>
          <cell r="AW47">
            <v>59092.423999999999</v>
          </cell>
          <cell r="AX47">
            <v>-11381.679999999997</v>
          </cell>
          <cell r="AY47">
            <v>102410.42099999997</v>
          </cell>
          <cell r="AZ47">
            <v>114473.52099999999</v>
          </cell>
          <cell r="BA47">
            <v>35984.745000000039</v>
          </cell>
          <cell r="BB47">
            <v>-44594.695000000014</v>
          </cell>
          <cell r="BC47">
            <v>-26901.017999999989</v>
          </cell>
          <cell r="BD47">
            <v>12269.568000000014</v>
          </cell>
          <cell r="BE47">
            <v>0</v>
          </cell>
          <cell r="BF47">
            <v>0</v>
          </cell>
          <cell r="BG47">
            <v>0</v>
          </cell>
          <cell r="BH47">
            <v>0</v>
          </cell>
          <cell r="BL47">
            <v>82605.058999999965</v>
          </cell>
          <cell r="BM47">
            <v>-24952.189999999973</v>
          </cell>
          <cell r="BN47">
            <v>-130070.25999999998</v>
          </cell>
          <cell r="BO47">
            <v>-138850.48000000001</v>
          </cell>
          <cell r="BP47">
            <v>44568.150000000009</v>
          </cell>
          <cell r="BQ47">
            <v>230919.67999999999</v>
          </cell>
          <cell r="BR47">
            <v>-23581.37000000001</v>
          </cell>
          <cell r="BS47">
            <v>26628.99000000002</v>
          </cell>
          <cell r="BT47">
            <v>0</v>
          </cell>
          <cell r="BU47">
            <v>0</v>
          </cell>
          <cell r="BV47">
            <v>0</v>
          </cell>
          <cell r="BW47">
            <v>0</v>
          </cell>
          <cell r="CP47">
            <v>75126.303910495801</v>
          </cell>
          <cell r="CQ47">
            <v>163497.76759701641</v>
          </cell>
          <cell r="CR47">
            <v>449544.56518752384</v>
          </cell>
          <cell r="CS47">
            <v>264764.71154943272</v>
          </cell>
          <cell r="CT47">
            <v>27962.238701305498</v>
          </cell>
          <cell r="CU47">
            <v>126834.92354223893</v>
          </cell>
          <cell r="CV47">
            <v>-31749.423051776917</v>
          </cell>
          <cell r="CW47">
            <v>20933.318447115351</v>
          </cell>
          <cell r="CX47">
            <v>0</v>
          </cell>
          <cell r="CY47">
            <v>0</v>
          </cell>
          <cell r="CZ47">
            <v>0</v>
          </cell>
          <cell r="DA47">
            <v>0</v>
          </cell>
          <cell r="DE47">
            <v>6748.5212395382223</v>
          </cell>
          <cell r="DF47">
            <v>134948.53926804854</v>
          </cell>
          <cell r="DG47">
            <v>132347.03905721038</v>
          </cell>
          <cell r="DH47">
            <v>142812.2834369984</v>
          </cell>
          <cell r="DI47">
            <v>54671.317823837628</v>
          </cell>
          <cell r="DJ47">
            <v>47200.482347641147</v>
          </cell>
          <cell r="DK47">
            <v>19353.805230717964</v>
          </cell>
          <cell r="DL47">
            <v>53442.834444171691</v>
          </cell>
          <cell r="DM47">
            <v>0</v>
          </cell>
          <cell r="DN47">
            <v>0</v>
          </cell>
          <cell r="DO47">
            <v>0</v>
          </cell>
          <cell r="DP47">
            <v>0</v>
          </cell>
          <cell r="DT47">
            <v>68760.937097991817</v>
          </cell>
          <cell r="DU47">
            <v>-42748.045299466932</v>
          </cell>
          <cell r="DV47">
            <v>-130840.63832005052</v>
          </cell>
          <cell r="DW47">
            <v>-105704.8526780368</v>
          </cell>
          <cell r="DX47">
            <v>194993.34400098177</v>
          </cell>
          <cell r="DY47">
            <v>182766.91067333758</v>
          </cell>
          <cell r="DZ47">
            <v>29213.555547397409</v>
          </cell>
          <cell r="EA47">
            <v>45223.822256753177</v>
          </cell>
          <cell r="EB47">
            <v>0</v>
          </cell>
          <cell r="EC47">
            <v>0</v>
          </cell>
          <cell r="ED47">
            <v>0</v>
          </cell>
          <cell r="EE47">
            <v>0</v>
          </cell>
          <cell r="EX47">
            <v>108915.43500000007</v>
          </cell>
          <cell r="EY47">
            <v>11562.060000000085</v>
          </cell>
          <cell r="EZ47">
            <v>578846.5850000002</v>
          </cell>
          <cell r="FA47">
            <v>95924.854999999909</v>
          </cell>
          <cell r="FB47">
            <v>375392.26499999984</v>
          </cell>
          <cell r="FC47">
            <v>545192.44999999972</v>
          </cell>
          <cell r="FD47">
            <v>-289610.94999999995</v>
          </cell>
          <cell r="FE47">
            <v>-163994.51</v>
          </cell>
          <cell r="FF47">
            <v>-94898.569999999949</v>
          </cell>
          <cell r="FG47">
            <v>-2508.1609999998036</v>
          </cell>
          <cell r="FH47">
            <v>11669.094999999972</v>
          </cell>
          <cell r="FI47">
            <v>98795.710000000036</v>
          </cell>
          <cell r="FM47">
            <v>22738.703000000012</v>
          </cell>
          <cell r="FN47">
            <v>28692.725999999999</v>
          </cell>
          <cell r="FO47">
            <v>58323.306999999986</v>
          </cell>
          <cell r="FP47">
            <v>-12821.818999999992</v>
          </cell>
          <cell r="FQ47">
            <v>-22897.811000000002</v>
          </cell>
          <cell r="FR47">
            <v>-48004.941999999995</v>
          </cell>
          <cell r="FS47">
            <v>-35290.94</v>
          </cell>
          <cell r="FT47">
            <v>-8121.0800000000027</v>
          </cell>
          <cell r="FU47">
            <v>16296.209999999992</v>
          </cell>
          <cell r="FV47">
            <v>-1429.3090000000029</v>
          </cell>
          <cell r="FW47">
            <v>-17755.635000000002</v>
          </cell>
          <cell r="FX47">
            <v>3452.3280000000086</v>
          </cell>
          <cell r="GB47">
            <v>-37250.577999999987</v>
          </cell>
          <cell r="GC47">
            <v>6204.3540000000212</v>
          </cell>
          <cell r="GD47">
            <v>83631.128000000026</v>
          </cell>
          <cell r="GE47">
            <v>8925.5340000000069</v>
          </cell>
          <cell r="GF47">
            <v>118024.226</v>
          </cell>
          <cell r="GG47">
            <v>117319.34199999999</v>
          </cell>
          <cell r="GH47">
            <v>75835.87</v>
          </cell>
          <cell r="GI47">
            <v>-38571.350000000006</v>
          </cell>
          <cell r="GJ47">
            <v>-60534.12000000001</v>
          </cell>
          <cell r="GK47">
            <v>-70434.340000000011</v>
          </cell>
          <cell r="GL47">
            <v>33748.129999999983</v>
          </cell>
          <cell r="GM47">
            <v>35355.591999999961</v>
          </cell>
        </row>
        <row r="49">
          <cell r="A49" t="str">
            <v>Other Income/(Expense)</v>
          </cell>
          <cell r="C49">
            <v>0</v>
          </cell>
          <cell r="D49">
            <v>0</v>
          </cell>
          <cell r="E49">
            <v>0</v>
          </cell>
          <cell r="F49" t="str">
            <v>n/a</v>
          </cell>
          <cell r="G49">
            <v>-16.834849999999999</v>
          </cell>
          <cell r="H49">
            <v>22.369749999999996</v>
          </cell>
          <cell r="J49">
            <v>0</v>
          </cell>
          <cell r="K49">
            <v>0</v>
          </cell>
          <cell r="L49">
            <v>0</v>
          </cell>
          <cell r="M49" t="str">
            <v>n/a</v>
          </cell>
          <cell r="N49">
            <v>17.752301266162743</v>
          </cell>
          <cell r="O49">
            <v>16.583909999999999</v>
          </cell>
          <cell r="Q49">
            <v>0</v>
          </cell>
          <cell r="R49">
            <v>0</v>
          </cell>
          <cell r="S49">
            <v>0</v>
          </cell>
          <cell r="T49" t="str">
            <v>n/a</v>
          </cell>
          <cell r="U49">
            <v>-32.520875904283407</v>
          </cell>
          <cell r="V49">
            <v>1.0055800000000001</v>
          </cell>
          <cell r="X49">
            <v>0</v>
          </cell>
          <cell r="Y49">
            <v>0</v>
          </cell>
          <cell r="Z49">
            <v>0</v>
          </cell>
          <cell r="AA49" t="str">
            <v>n/a</v>
          </cell>
          <cell r="AB49">
            <v>-2.0662753618793337</v>
          </cell>
          <cell r="AC49">
            <v>4.7802600000000002</v>
          </cell>
          <cell r="AD49">
            <v>-180.20557000000002</v>
          </cell>
          <cell r="AE49">
            <v>-102.80721</v>
          </cell>
          <cell r="AH49">
            <v>0</v>
          </cell>
          <cell r="AI49">
            <v>-5.88</v>
          </cell>
          <cell r="AJ49">
            <v>-33831.699999999997</v>
          </cell>
          <cell r="AK49">
            <v>-7.0000000000000007E-2</v>
          </cell>
          <cell r="AL49">
            <v>33365.910000000003</v>
          </cell>
          <cell r="AM49">
            <v>-30459.090000000004</v>
          </cell>
          <cell r="AN49">
            <v>-9100</v>
          </cell>
          <cell r="AO49">
            <v>-8456.35</v>
          </cell>
          <cell r="AW49">
            <v>0</v>
          </cell>
          <cell r="AX49">
            <v>0</v>
          </cell>
          <cell r="AY49">
            <v>-6766.34</v>
          </cell>
          <cell r="AZ49">
            <v>-35000.01</v>
          </cell>
          <cell r="BA49">
            <v>-33365.910000000003</v>
          </cell>
          <cell r="BB49">
            <v>33947.279999999999</v>
          </cell>
          <cell r="BC49">
            <v>-1820</v>
          </cell>
          <cell r="BD49">
            <v>-37029.269999999997</v>
          </cell>
          <cell r="BL49">
            <v>0</v>
          </cell>
          <cell r="BM49">
            <v>0</v>
          </cell>
          <cell r="BN49">
            <v>-7732.96</v>
          </cell>
          <cell r="BO49">
            <v>-0.02</v>
          </cell>
          <cell r="BP49">
            <v>0</v>
          </cell>
          <cell r="BQ49">
            <v>664.42</v>
          </cell>
          <cell r="BR49">
            <v>-2080</v>
          </cell>
          <cell r="BS49">
            <v>-1932.88</v>
          </cell>
          <cell r="CP49">
            <v>-11360.830720048163</v>
          </cell>
          <cell r="CQ49">
            <v>17855.94058086483</v>
          </cell>
          <cell r="CR49">
            <v>21905.07634476891</v>
          </cell>
          <cell r="CS49">
            <v>31410.886460375492</v>
          </cell>
          <cell r="CT49">
            <v>31365.911745811361</v>
          </cell>
          <cell r="CU49">
            <v>1989.1619625508683</v>
          </cell>
          <cell r="CV49">
            <v>-8258</v>
          </cell>
          <cell r="CW49">
            <v>-9934.6500000000015</v>
          </cell>
          <cell r="DE49">
            <v>-1650.1656676700784</v>
          </cell>
          <cell r="DF49">
            <v>-32836.320580864834</v>
          </cell>
          <cell r="DG49">
            <v>-42297.25634476891</v>
          </cell>
          <cell r="DH49">
            <v>-33660.886460375492</v>
          </cell>
          <cell r="DI49">
            <v>-33615.911745811361</v>
          </cell>
          <cell r="DJ49">
            <v>-10397.450962550865</v>
          </cell>
          <cell r="DK49">
            <v>-2090</v>
          </cell>
          <cell r="DL49">
            <v>-2530</v>
          </cell>
          <cell r="DT49">
            <v>-2933.7036122817581</v>
          </cell>
          <cell r="DU49">
            <v>-2114.6999999999998</v>
          </cell>
          <cell r="DV49">
            <v>-2023.8700000000001</v>
          </cell>
          <cell r="DW49">
            <v>-250</v>
          </cell>
          <cell r="DX49">
            <v>-250</v>
          </cell>
          <cell r="DY49">
            <v>-8169.1095999999998</v>
          </cell>
          <cell r="DZ49">
            <v>-2388.3199999999997</v>
          </cell>
          <cell r="EA49">
            <v>-2394.3200000000002</v>
          </cell>
          <cell r="EX49">
            <v>-6670.5899999999992</v>
          </cell>
          <cell r="EY49">
            <v>-124.5</v>
          </cell>
          <cell r="EZ49">
            <v>-2293.25</v>
          </cell>
          <cell r="FA49">
            <v>-5602.9</v>
          </cell>
          <cell r="FB49">
            <v>-2130.85</v>
          </cell>
          <cell r="FC49">
            <v>-9930.86</v>
          </cell>
          <cell r="FD49">
            <v>42</v>
          </cell>
          <cell r="FE49">
            <v>-762.16</v>
          </cell>
          <cell r="FF49">
            <v>16583.91</v>
          </cell>
          <cell r="FG49">
            <v>-27229.769999999997</v>
          </cell>
          <cell r="FH49">
            <v>-7317.95</v>
          </cell>
          <cell r="FI49">
            <v>-9784.07</v>
          </cell>
          <cell r="FM49">
            <v>0</v>
          </cell>
          <cell r="FN49">
            <v>0</v>
          </cell>
          <cell r="FO49">
            <v>0</v>
          </cell>
          <cell r="FP49">
            <v>0</v>
          </cell>
          <cell r="FQ49">
            <v>0</v>
          </cell>
          <cell r="FR49">
            <v>0</v>
          </cell>
          <cell r="FS49">
            <v>0</v>
          </cell>
          <cell r="FT49">
            <v>0</v>
          </cell>
          <cell r="FU49">
            <v>1005.58</v>
          </cell>
          <cell r="FV49">
            <v>-2330.6999999999998</v>
          </cell>
          <cell r="FW49">
            <v>-466.14</v>
          </cell>
          <cell r="FX49">
            <v>-347.41</v>
          </cell>
          <cell r="GB49">
            <v>0</v>
          </cell>
          <cell r="GC49">
            <v>-6000</v>
          </cell>
          <cell r="GD49">
            <v>0</v>
          </cell>
          <cell r="GE49">
            <v>-6000</v>
          </cell>
          <cell r="GF49">
            <v>0</v>
          </cell>
          <cell r="GG49">
            <v>-23280.85</v>
          </cell>
          <cell r="GH49">
            <v>0</v>
          </cell>
          <cell r="GI49">
            <v>0</v>
          </cell>
          <cell r="GJ49">
            <v>4780.26</v>
          </cell>
          <cell r="GK49">
            <v>-11079.53</v>
          </cell>
          <cell r="GL49">
            <v>-2215.91</v>
          </cell>
          <cell r="GM49">
            <v>-1651.52</v>
          </cell>
        </row>
        <row r="51">
          <cell r="A51" t="str">
            <v>EBITDA</v>
          </cell>
          <cell r="C51">
            <v>0</v>
          </cell>
          <cell r="D51">
            <v>0</v>
          </cell>
          <cell r="E51">
            <v>0</v>
          </cell>
          <cell r="F51" t="str">
            <v>n/a</v>
          </cell>
          <cell r="G51">
            <v>190.50353598932983</v>
          </cell>
          <cell r="H51">
            <v>-116.76672999999995</v>
          </cell>
          <cell r="J51">
            <v>0</v>
          </cell>
          <cell r="K51">
            <v>0</v>
          </cell>
          <cell r="L51">
            <v>0</v>
          </cell>
          <cell r="M51" t="str">
            <v>n/a</v>
          </cell>
          <cell r="N51">
            <v>106.37981690604305</v>
          </cell>
          <cell r="O51">
            <v>-78.314659999999961</v>
          </cell>
          <cell r="Q51">
            <v>0</v>
          </cell>
          <cell r="R51">
            <v>0</v>
          </cell>
          <cell r="S51">
            <v>0</v>
          </cell>
          <cell r="T51" t="str">
            <v>n/a</v>
          </cell>
          <cell r="U51">
            <v>78.645527089757223</v>
          </cell>
          <cell r="V51">
            <v>17.301790000000004</v>
          </cell>
          <cell r="X51">
            <v>0</v>
          </cell>
          <cell r="Y51">
            <v>0</v>
          </cell>
          <cell r="Z51">
            <v>0</v>
          </cell>
          <cell r="AA51" t="str">
            <v>n/a</v>
          </cell>
          <cell r="AB51">
            <v>5.4781919935291521</v>
          </cell>
          <cell r="AC51">
            <v>-55.753860000000003</v>
          </cell>
          <cell r="AD51">
            <v>1991.180348802241</v>
          </cell>
          <cell r="AE51">
            <v>1427.914580000001</v>
          </cell>
          <cell r="AH51">
            <v>988.82700000013574</v>
          </cell>
          <cell r="AI51">
            <v>66756.379999999888</v>
          </cell>
          <cell r="AJ51">
            <v>563301.32899999991</v>
          </cell>
          <cell r="AK51">
            <v>302101.66900000005</v>
          </cell>
          <cell r="AL51">
            <v>295443.60499999998</v>
          </cell>
          <cell r="AM51">
            <v>693082.42499999981</v>
          </cell>
          <cell r="AN51">
            <v>177501.90800000002</v>
          </cell>
          <cell r="AO51">
            <v>143350.65200000003</v>
          </cell>
          <cell r="AP51">
            <v>0</v>
          </cell>
          <cell r="AQ51">
            <v>0</v>
          </cell>
          <cell r="AR51">
            <v>0</v>
          </cell>
          <cell r="AS51">
            <v>0</v>
          </cell>
          <cell r="AW51">
            <v>59092.423999999999</v>
          </cell>
          <cell r="AX51">
            <v>-11381.679999999997</v>
          </cell>
          <cell r="AY51">
            <v>95644.080999999976</v>
          </cell>
          <cell r="AZ51">
            <v>79473.510999999999</v>
          </cell>
          <cell r="BA51">
            <v>2618.8350000000355</v>
          </cell>
          <cell r="BB51">
            <v>-10647.415000000015</v>
          </cell>
          <cell r="BC51">
            <v>-28721.017999999989</v>
          </cell>
          <cell r="BD51">
            <v>-24759.701999999983</v>
          </cell>
          <cell r="BE51">
            <v>0</v>
          </cell>
          <cell r="BF51">
            <v>0</v>
          </cell>
          <cell r="BG51">
            <v>0</v>
          </cell>
          <cell r="BH51">
            <v>0</v>
          </cell>
          <cell r="BL51">
            <v>82605.058999999965</v>
          </cell>
          <cell r="BM51">
            <v>-24952.189999999973</v>
          </cell>
          <cell r="BN51">
            <v>-137803.21999999997</v>
          </cell>
          <cell r="BO51">
            <v>-138850.5</v>
          </cell>
          <cell r="BP51">
            <v>44568.150000000009</v>
          </cell>
          <cell r="BQ51">
            <v>231584.1</v>
          </cell>
          <cell r="BR51">
            <v>-25661.37000000001</v>
          </cell>
          <cell r="BS51">
            <v>24696.110000000019</v>
          </cell>
          <cell r="BT51">
            <v>0</v>
          </cell>
          <cell r="BU51">
            <v>0</v>
          </cell>
          <cell r="BV51">
            <v>0</v>
          </cell>
          <cell r="BW51">
            <v>0</v>
          </cell>
          <cell r="CP51">
            <v>63765.473190447636</v>
          </cell>
          <cell r="CQ51">
            <v>181353.70817788126</v>
          </cell>
          <cell r="CR51">
            <v>471449.64153229276</v>
          </cell>
          <cell r="CS51">
            <v>296175.59800980822</v>
          </cell>
          <cell r="CT51">
            <v>59328.150447116859</v>
          </cell>
          <cell r="CU51">
            <v>128824.08550478981</v>
          </cell>
          <cell r="CV51">
            <v>-40007.423051776917</v>
          </cell>
          <cell r="CW51">
            <v>10998.668447115349</v>
          </cell>
          <cell r="CX51">
            <v>0</v>
          </cell>
          <cell r="CY51">
            <v>0</v>
          </cell>
          <cell r="CZ51">
            <v>0</v>
          </cell>
          <cell r="DA51">
            <v>0</v>
          </cell>
          <cell r="DE51">
            <v>5098.3555718681437</v>
          </cell>
          <cell r="DF51">
            <v>102112.2186871837</v>
          </cell>
          <cell r="DG51">
            <v>90049.782712441462</v>
          </cell>
          <cell r="DH51">
            <v>109151.39697662291</v>
          </cell>
          <cell r="DI51">
            <v>21055.406078026266</v>
          </cell>
          <cell r="DJ51">
            <v>36803.031385090282</v>
          </cell>
          <cell r="DK51">
            <v>17263.805230717964</v>
          </cell>
          <cell r="DL51">
            <v>50912.834444171691</v>
          </cell>
          <cell r="DM51">
            <v>0</v>
          </cell>
          <cell r="DN51">
            <v>0</v>
          </cell>
          <cell r="DO51">
            <v>0</v>
          </cell>
          <cell r="DP51">
            <v>0</v>
          </cell>
          <cell r="DT51">
            <v>65827.233485710065</v>
          </cell>
          <cell r="DU51">
            <v>-44862.745299466929</v>
          </cell>
          <cell r="DV51">
            <v>-132864.50832005052</v>
          </cell>
          <cell r="DW51">
            <v>-105954.8526780368</v>
          </cell>
          <cell r="DX51">
            <v>194743.34400098177</v>
          </cell>
          <cell r="DY51">
            <v>174597.80107333758</v>
          </cell>
          <cell r="DZ51">
            <v>26825.235547397409</v>
          </cell>
          <cell r="EA51">
            <v>42829.502256753178</v>
          </cell>
          <cell r="EB51">
            <v>0</v>
          </cell>
          <cell r="EC51">
            <v>0</v>
          </cell>
          <cell r="ED51">
            <v>0</v>
          </cell>
          <cell r="EE51">
            <v>0</v>
          </cell>
          <cell r="EX51">
            <v>102244.84500000007</v>
          </cell>
          <cell r="EY51">
            <v>11437.560000000085</v>
          </cell>
          <cell r="EZ51">
            <v>576553.3350000002</v>
          </cell>
          <cell r="FA51">
            <v>90321.954999999914</v>
          </cell>
          <cell r="FB51">
            <v>373261.41499999986</v>
          </cell>
          <cell r="FC51">
            <v>535261.58999999973</v>
          </cell>
          <cell r="FD51">
            <v>-289568.94999999995</v>
          </cell>
          <cell r="FE51">
            <v>-164756.67000000001</v>
          </cell>
          <cell r="FF51">
            <v>-78314.659999999945</v>
          </cell>
          <cell r="FG51">
            <v>-29737.9309999998</v>
          </cell>
          <cell r="FH51">
            <v>4351.1449999999722</v>
          </cell>
          <cell r="FI51">
            <v>89011.640000000043</v>
          </cell>
          <cell r="FM51">
            <v>22738.703000000012</v>
          </cell>
          <cell r="FN51">
            <v>28692.725999999999</v>
          </cell>
          <cell r="FO51">
            <v>58323.306999999986</v>
          </cell>
          <cell r="FP51">
            <v>-12821.818999999992</v>
          </cell>
          <cell r="FQ51">
            <v>-22897.811000000002</v>
          </cell>
          <cell r="FR51">
            <v>-48004.941999999995</v>
          </cell>
          <cell r="FS51">
            <v>-35290.94</v>
          </cell>
          <cell r="FT51">
            <v>-8121.0800000000027</v>
          </cell>
          <cell r="FU51">
            <v>17301.789999999994</v>
          </cell>
          <cell r="FV51">
            <v>-3760.0090000000027</v>
          </cell>
          <cell r="FW51">
            <v>-18221.775000000001</v>
          </cell>
          <cell r="FX51">
            <v>3104.9180000000088</v>
          </cell>
          <cell r="GB51">
            <v>-37250.577999999987</v>
          </cell>
          <cell r="GC51">
            <v>204.35400000002119</v>
          </cell>
          <cell r="GD51">
            <v>83631.128000000026</v>
          </cell>
          <cell r="GE51">
            <v>2925.5340000000069</v>
          </cell>
          <cell r="GF51">
            <v>118024.226</v>
          </cell>
          <cell r="GG51">
            <v>94038.491999999998</v>
          </cell>
          <cell r="GH51">
            <v>75835.87</v>
          </cell>
          <cell r="GI51">
            <v>-38571.350000000006</v>
          </cell>
          <cell r="GJ51">
            <v>-55753.860000000008</v>
          </cell>
          <cell r="GK51">
            <v>-81513.87000000001</v>
          </cell>
          <cell r="GL51">
            <v>31532.219999999983</v>
          </cell>
          <cell r="GM51">
            <v>33704.071999999964</v>
          </cell>
        </row>
        <row r="53">
          <cell r="A53" t="str">
            <v>Interest Expense (Net)</v>
          </cell>
          <cell r="C53">
            <v>0</v>
          </cell>
          <cell r="D53">
            <v>0</v>
          </cell>
          <cell r="E53">
            <v>0</v>
          </cell>
          <cell r="F53" t="str">
            <v>n/a</v>
          </cell>
          <cell r="G53">
            <v>0</v>
          </cell>
          <cell r="H53">
            <v>22.229410000000001</v>
          </cell>
          <cell r="J53">
            <v>0</v>
          </cell>
          <cell r="K53">
            <v>0</v>
          </cell>
          <cell r="L53">
            <v>0</v>
          </cell>
          <cell r="M53" t="str">
            <v>n/a</v>
          </cell>
          <cell r="N53">
            <v>0</v>
          </cell>
          <cell r="O53">
            <v>19.356670000000001</v>
          </cell>
          <cell r="Q53">
            <v>0</v>
          </cell>
          <cell r="R53">
            <v>0</v>
          </cell>
          <cell r="S53">
            <v>0</v>
          </cell>
          <cell r="T53" t="str">
            <v>n/a</v>
          </cell>
          <cell r="U53">
            <v>0</v>
          </cell>
          <cell r="V53">
            <v>1.00458</v>
          </cell>
          <cell r="X53">
            <v>0</v>
          </cell>
          <cell r="Y53">
            <v>0</v>
          </cell>
          <cell r="Z53">
            <v>0</v>
          </cell>
          <cell r="AA53" t="str">
            <v>n/a</v>
          </cell>
          <cell r="AB53">
            <v>0</v>
          </cell>
          <cell r="AC53">
            <v>1.8681600000000003</v>
          </cell>
          <cell r="AD53">
            <v>-27.282979999999995</v>
          </cell>
          <cell r="AE53">
            <v>249.63954999999999</v>
          </cell>
          <cell r="AH53">
            <v>44.660000000000004</v>
          </cell>
          <cell r="AI53">
            <v>-21175.920000000002</v>
          </cell>
          <cell r="AJ53">
            <v>435.62000000000012</v>
          </cell>
          <cell r="AK53">
            <v>540.11999999999989</v>
          </cell>
          <cell r="AL53">
            <v>142.54000000000002</v>
          </cell>
          <cell r="AM53">
            <v>52.22</v>
          </cell>
          <cell r="AN53">
            <v>2.4699999999999998</v>
          </cell>
          <cell r="AO53">
            <v>-5.32</v>
          </cell>
          <cell r="AW53">
            <v>4.87</v>
          </cell>
          <cell r="AX53">
            <v>-3048.5499999999997</v>
          </cell>
          <cell r="AY53">
            <v>-208.46</v>
          </cell>
          <cell r="AZ53">
            <v>-252.05</v>
          </cell>
          <cell r="BA53">
            <v>-66.52</v>
          </cell>
          <cell r="BB53">
            <v>-24.37</v>
          </cell>
          <cell r="BC53">
            <v>-1.1599999999999999</v>
          </cell>
          <cell r="BD53">
            <v>-1.06</v>
          </cell>
          <cell r="BL53">
            <v>4.5999999999999996</v>
          </cell>
          <cell r="BM53">
            <v>-3093.96</v>
          </cell>
          <cell r="BN53">
            <v>-238.24</v>
          </cell>
          <cell r="BO53">
            <v>-288.06</v>
          </cell>
          <cell r="BP53">
            <v>-76.02</v>
          </cell>
          <cell r="BQ53">
            <v>-27.85</v>
          </cell>
          <cell r="BR53">
            <v>-1.32</v>
          </cell>
          <cell r="BS53">
            <v>-1.22</v>
          </cell>
          <cell r="CP53">
            <v>0</v>
          </cell>
          <cell r="CQ53">
            <v>0</v>
          </cell>
          <cell r="CR53">
            <v>0</v>
          </cell>
          <cell r="CS53">
            <v>0</v>
          </cell>
          <cell r="CT53">
            <v>0</v>
          </cell>
          <cell r="CU53">
            <v>0</v>
          </cell>
          <cell r="CV53">
            <v>0</v>
          </cell>
          <cell r="CW53">
            <v>0</v>
          </cell>
          <cell r="DE53">
            <v>0</v>
          </cell>
          <cell r="DF53">
            <v>0</v>
          </cell>
          <cell r="DG53">
            <v>0</v>
          </cell>
          <cell r="DH53">
            <v>0</v>
          </cell>
          <cell r="DI53">
            <v>0</v>
          </cell>
          <cell r="DJ53">
            <v>0</v>
          </cell>
          <cell r="DK53">
            <v>0</v>
          </cell>
          <cell r="DL53">
            <v>0</v>
          </cell>
          <cell r="DT53">
            <v>0</v>
          </cell>
          <cell r="DU53">
            <v>0</v>
          </cell>
          <cell r="DV53">
            <v>0</v>
          </cell>
          <cell r="DW53">
            <v>0</v>
          </cell>
          <cell r="DX53">
            <v>0</v>
          </cell>
          <cell r="DY53">
            <v>0</v>
          </cell>
          <cell r="DZ53">
            <v>0</v>
          </cell>
          <cell r="EA53">
            <v>0</v>
          </cell>
          <cell r="EX53">
            <v>10383.01</v>
          </cell>
          <cell r="EY53">
            <v>9403.0999999999985</v>
          </cell>
          <cell r="EZ53">
            <v>15131.699999999999</v>
          </cell>
          <cell r="FA53">
            <v>9029.5600000000013</v>
          </cell>
          <cell r="FB53">
            <v>10412.73</v>
          </cell>
          <cell r="FC53">
            <v>7248.44</v>
          </cell>
          <cell r="FD53">
            <v>28393.510000000002</v>
          </cell>
          <cell r="FE53">
            <v>21797.98</v>
          </cell>
          <cell r="FF53">
            <v>19356.670000000002</v>
          </cell>
          <cell r="FG53">
            <v>27972.34</v>
          </cell>
          <cell r="FH53">
            <v>21233.88</v>
          </cell>
          <cell r="FI53">
            <v>23445.41</v>
          </cell>
          <cell r="FM53">
            <v>1204.8599999999999</v>
          </cell>
          <cell r="FN53">
            <v>2119.96</v>
          </cell>
          <cell r="FO53">
            <v>1352.32</v>
          </cell>
          <cell r="FP53">
            <v>639.29</v>
          </cell>
          <cell r="FQ53">
            <v>269.13</v>
          </cell>
          <cell r="FR53">
            <v>88.69</v>
          </cell>
          <cell r="FS53">
            <v>1597.35</v>
          </cell>
          <cell r="FT53">
            <v>1201.17</v>
          </cell>
          <cell r="FU53">
            <v>1004.58</v>
          </cell>
          <cell r="FV53">
            <v>1379.48</v>
          </cell>
          <cell r="FW53">
            <v>1440.47</v>
          </cell>
          <cell r="FX53">
            <v>1541.55</v>
          </cell>
          <cell r="GB53">
            <v>1737.06</v>
          </cell>
          <cell r="GC53">
            <v>2311.12</v>
          </cell>
          <cell r="GD53">
            <v>3546.06</v>
          </cell>
          <cell r="GE53">
            <v>2679.93</v>
          </cell>
          <cell r="GF53">
            <v>2916.5699999999997</v>
          </cell>
          <cell r="GG53">
            <v>1960.84</v>
          </cell>
          <cell r="GH53">
            <v>2976.62</v>
          </cell>
          <cell r="GI53">
            <v>2489.8700000000003</v>
          </cell>
          <cell r="GJ53">
            <v>1868.1600000000003</v>
          </cell>
          <cell r="GK53">
            <v>2795.71</v>
          </cell>
          <cell r="GL53">
            <v>3188.2400000000002</v>
          </cell>
          <cell r="GM53">
            <v>3522.19</v>
          </cell>
        </row>
        <row r="54">
          <cell r="A54" t="str">
            <v>Taxes on Income</v>
          </cell>
          <cell r="C54">
            <v>0</v>
          </cell>
          <cell r="D54">
            <v>0</v>
          </cell>
          <cell r="E54">
            <v>0</v>
          </cell>
          <cell r="F54" t="str">
            <v>n/a</v>
          </cell>
          <cell r="G54">
            <v>56.13386642229181</v>
          </cell>
          <cell r="H54">
            <v>-86.209711900000045</v>
          </cell>
          <cell r="J54">
            <v>0</v>
          </cell>
          <cell r="K54">
            <v>0</v>
          </cell>
          <cell r="L54">
            <v>0</v>
          </cell>
          <cell r="M54" t="str">
            <v>n/a</v>
          </cell>
          <cell r="N54">
            <v>42.190354067480293</v>
          </cell>
          <cell r="O54">
            <v>-61.027470900000047</v>
          </cell>
          <cell r="Q54">
            <v>0</v>
          </cell>
          <cell r="R54">
            <v>0</v>
          </cell>
          <cell r="S54">
            <v>0</v>
          </cell>
          <cell r="T54" t="str">
            <v>n/a</v>
          </cell>
          <cell r="U54">
            <v>13.894268911853539</v>
          </cell>
          <cell r="V54">
            <v>5.0687193000000006</v>
          </cell>
          <cell r="X54">
            <v>0</v>
          </cell>
          <cell r="Y54">
            <v>0</v>
          </cell>
          <cell r="Z54">
            <v>0</v>
          </cell>
          <cell r="AA54" t="str">
            <v>n/a</v>
          </cell>
          <cell r="AB54">
            <v>4.9243442957980735E-2</v>
          </cell>
          <cell r="AC54">
            <v>-30.250960299999996</v>
          </cell>
          <cell r="AD54">
            <v>590.43350197558641</v>
          </cell>
          <cell r="AE54">
            <v>-204.90903596500002</v>
          </cell>
          <cell r="AH54">
            <v>-12520.051510000028</v>
          </cell>
          <cell r="AI54">
            <v>23145.083019999991</v>
          </cell>
          <cell r="AJ54">
            <v>217867.7807099999</v>
          </cell>
          <cell r="AK54">
            <v>110733.07511000006</v>
          </cell>
          <cell r="AL54">
            <v>108166.2766699998</v>
          </cell>
          <cell r="AM54">
            <v>271235.22406999982</v>
          </cell>
          <cell r="AN54">
            <v>59867.609599999989</v>
          </cell>
          <cell r="AO54">
            <v>44944.766619999988</v>
          </cell>
          <cell r="AW54">
            <v>23197.390819999993</v>
          </cell>
          <cell r="AX54">
            <v>-4445.089619999997</v>
          </cell>
          <cell r="AY54">
            <v>38271.035490000009</v>
          </cell>
          <cell r="AZ54">
            <v>31658.973690000003</v>
          </cell>
          <cell r="BA54">
            <v>72.489230000016178</v>
          </cell>
          <cell r="BB54">
            <v>-5383.9547700000003</v>
          </cell>
          <cell r="BC54">
            <v>-12803.648099999991</v>
          </cell>
          <cell r="BD54">
            <v>-11252.329870000001</v>
          </cell>
          <cell r="BL54">
            <v>29718.26738999999</v>
          </cell>
          <cell r="BM54">
            <v>-13109.795099999972</v>
          </cell>
          <cell r="BN54">
            <v>-60549.56259999999</v>
          </cell>
          <cell r="BO54">
            <v>-60958.521200000003</v>
          </cell>
          <cell r="BP54">
            <v>14156.188899999992</v>
          </cell>
          <cell r="BQ54">
            <v>90812.978699999978</v>
          </cell>
          <cell r="BR54">
            <v>-14668.541300000006</v>
          </cell>
          <cell r="BS54">
            <v>5677.3540499999963</v>
          </cell>
          <cell r="CP54">
            <v>10425.495101001121</v>
          </cell>
          <cell r="CQ54">
            <v>58615.843236227258</v>
          </cell>
          <cell r="CR54">
            <v>177441.32317519007</v>
          </cell>
          <cell r="CS54">
            <v>105492.44592795891</v>
          </cell>
          <cell r="CT54">
            <v>8298.4730242429941</v>
          </cell>
          <cell r="CU54">
            <v>36718.953661543062</v>
          </cell>
          <cell r="CV54">
            <v>-32602.150916328465</v>
          </cell>
          <cell r="CW54">
            <v>-11776.172804795136</v>
          </cell>
          <cell r="DE54">
            <v>373.3046567790243</v>
          </cell>
          <cell r="DF54">
            <v>39872.730153745993</v>
          </cell>
          <cell r="DG54">
            <v>34912.587976294468</v>
          </cell>
          <cell r="DH54">
            <v>42733.123063468294</v>
          </cell>
          <cell r="DI54">
            <v>6602.6400339031115</v>
          </cell>
          <cell r="DJ54">
            <v>13049.747981992125</v>
          </cell>
          <cell r="DK54">
            <v>5025.8301642256038</v>
          </cell>
          <cell r="DL54">
            <v>18810.805380601079</v>
          </cell>
          <cell r="DT54">
            <v>25053.174652799389</v>
          </cell>
          <cell r="DU54">
            <v>-20338.991170300247</v>
          </cell>
          <cell r="DV54">
            <v>-56433.678955697571</v>
          </cell>
          <cell r="DW54">
            <v>-45411.268422763344</v>
          </cell>
          <cell r="DX54">
            <v>77864.443935342875</v>
          </cell>
          <cell r="DY54">
            <v>69595.931388050696</v>
          </cell>
          <cell r="DZ54">
            <v>8996.9229087905114</v>
          </cell>
          <cell r="EA54">
            <v>15548.123979334981</v>
          </cell>
          <cell r="EX54">
            <v>30004.994740000024</v>
          </cell>
          <cell r="EY54">
            <v>-7306.194054999989</v>
          </cell>
          <cell r="EZ54">
            <v>222535.18463000015</v>
          </cell>
          <cell r="FA54">
            <v>22752.64086</v>
          </cell>
          <cell r="FB54">
            <v>141895.56544999988</v>
          </cell>
          <cell r="FC54">
            <v>202562.7714</v>
          </cell>
          <cell r="FD54">
            <v>-138522.83984999999</v>
          </cell>
          <cell r="FE54">
            <v>-84645.631600000008</v>
          </cell>
          <cell r="FF54">
            <v>-61027.470900000044</v>
          </cell>
          <cell r="FG54">
            <v>-36691.062360000004</v>
          </cell>
          <cell r="FH54">
            <v>-331790.52257000003</v>
          </cell>
          <cell r="FI54">
            <v>-52126.474425000015</v>
          </cell>
          <cell r="FM54">
            <v>8216.6777750000001</v>
          </cell>
          <cell r="FN54">
            <v>10248.210760000002</v>
          </cell>
          <cell r="FO54">
            <v>22751.838694999988</v>
          </cell>
          <cell r="FP54">
            <v>-6327.5576750000018</v>
          </cell>
          <cell r="FQ54">
            <v>-10047.497309999999</v>
          </cell>
          <cell r="FR54">
            <v>-20770.256420000002</v>
          </cell>
          <cell r="FS54">
            <v>-15734.704889999997</v>
          </cell>
          <cell r="FT54">
            <v>-4432.6248000000005</v>
          </cell>
          <cell r="FU54">
            <v>5068.7193000000007</v>
          </cell>
          <cell r="FV54">
            <v>-3094.5432650000016</v>
          </cell>
          <cell r="FW54">
            <v>-50387.726334999992</v>
          </cell>
          <cell r="FX54">
            <v>-8872.0668750000132</v>
          </cell>
          <cell r="GB54">
            <v>-18493.351555000019</v>
          </cell>
          <cell r="GC54">
            <v>-3518.7454599999987</v>
          </cell>
          <cell r="GD54">
            <v>30340.467604999998</v>
          </cell>
          <cell r="GE54">
            <v>-3066.7911849999814</v>
          </cell>
          <cell r="GF54">
            <v>44994.726760000005</v>
          </cell>
          <cell r="GG54">
            <v>33064.151519999999</v>
          </cell>
          <cell r="GH54">
            <v>27186.031539999996</v>
          </cell>
          <cell r="GI54">
            <v>-19521.354599999995</v>
          </cell>
          <cell r="GJ54">
            <v>-30250.960299999995</v>
          </cell>
          <cell r="GK54">
            <v>-38779.611174999991</v>
          </cell>
          <cell r="GL54">
            <v>-55428.04329500001</v>
          </cell>
          <cell r="GM54">
            <v>-5694.9861000000064</v>
          </cell>
        </row>
        <row r="55">
          <cell r="A55" t="str">
            <v>Depreciation Expense</v>
          </cell>
          <cell r="C55">
            <v>0</v>
          </cell>
          <cell r="D55">
            <v>0</v>
          </cell>
          <cell r="E55">
            <v>0</v>
          </cell>
          <cell r="F55" t="str">
            <v>n/a</v>
          </cell>
          <cell r="G55">
            <v>53.591666666666654</v>
          </cell>
          <cell r="H55">
            <v>71.271439999999984</v>
          </cell>
          <cell r="J55">
            <v>0</v>
          </cell>
          <cell r="K55">
            <v>0</v>
          </cell>
          <cell r="L55">
            <v>0</v>
          </cell>
          <cell r="M55" t="str">
            <v>n/a</v>
          </cell>
          <cell r="N55">
            <v>43.486740977379412</v>
          </cell>
          <cell r="O55">
            <v>51.176149999999993</v>
          </cell>
          <cell r="Q55">
            <v>0</v>
          </cell>
          <cell r="R55">
            <v>0</v>
          </cell>
          <cell r="S55">
            <v>0</v>
          </cell>
          <cell r="T55" t="str">
            <v>n/a</v>
          </cell>
          <cell r="U55">
            <v>4.7468396541921996</v>
          </cell>
          <cell r="V55">
            <v>3.9344699999999997</v>
          </cell>
          <cell r="X55">
            <v>0</v>
          </cell>
          <cell r="Y55">
            <v>0</v>
          </cell>
          <cell r="Z55">
            <v>0</v>
          </cell>
          <cell r="AA55" t="str">
            <v>n/a</v>
          </cell>
          <cell r="AB55">
            <v>5.3580860350950417</v>
          </cell>
          <cell r="AC55">
            <v>16.160820000000001</v>
          </cell>
          <cell r="AD55">
            <v>578.38161666666656</v>
          </cell>
          <cell r="AE55">
            <v>478.05513999999999</v>
          </cell>
          <cell r="AH55">
            <v>31480.877999999997</v>
          </cell>
          <cell r="AI55">
            <v>31480.877999999997</v>
          </cell>
          <cell r="AJ55">
            <v>31480.877999999997</v>
          </cell>
          <cell r="AK55">
            <v>31480.877999999997</v>
          </cell>
          <cell r="AL55">
            <v>31480.877999999997</v>
          </cell>
          <cell r="AM55">
            <v>31480.877999999997</v>
          </cell>
          <cell r="AN55">
            <v>31480.877999999997</v>
          </cell>
          <cell r="AO55">
            <v>33734.589999999997</v>
          </cell>
          <cell r="AW55">
            <v>2508.5520000000001</v>
          </cell>
          <cell r="AX55">
            <v>2508.5520000000001</v>
          </cell>
          <cell r="AY55">
            <v>2508.5520000000001</v>
          </cell>
          <cell r="AZ55">
            <v>2508.5520000000001</v>
          </cell>
          <cell r="BA55">
            <v>2508.5520000000001</v>
          </cell>
          <cell r="BB55">
            <v>2508.5520000000001</v>
          </cell>
          <cell r="BC55">
            <v>2508.5520000000001</v>
          </cell>
          <cell r="BD55">
            <v>2686.0650000000001</v>
          </cell>
          <cell r="BL55">
            <v>10116.879999999999</v>
          </cell>
          <cell r="BM55">
            <v>10116.879999999999</v>
          </cell>
          <cell r="BN55">
            <v>10116.879999999999</v>
          </cell>
          <cell r="BO55">
            <v>10116.879999999999</v>
          </cell>
          <cell r="BP55">
            <v>10116.879999999999</v>
          </cell>
          <cell r="BQ55">
            <v>10116.879999999999</v>
          </cell>
          <cell r="BR55">
            <v>10116.879999999999</v>
          </cell>
          <cell r="BS55">
            <v>10850.125</v>
          </cell>
          <cell r="CP55">
            <v>38337.436358737701</v>
          </cell>
          <cell r="CQ55">
            <v>38388.236870009991</v>
          </cell>
          <cell r="CR55">
            <v>38665.926470853483</v>
          </cell>
          <cell r="CS55">
            <v>38876.949405030304</v>
          </cell>
          <cell r="CT55">
            <v>39087.972339207132</v>
          </cell>
          <cell r="CU55">
            <v>39265.661940050632</v>
          </cell>
          <cell r="CV55">
            <v>39510.018207560788</v>
          </cell>
          <cell r="CW55">
            <v>39721.041141737624</v>
          </cell>
          <cell r="DE55">
            <v>4187.8564089924812</v>
          </cell>
          <cell r="DF55">
            <v>4861.6573365837139</v>
          </cell>
          <cell r="DG55">
            <v>4897.1291117232768</v>
          </cell>
          <cell r="DH55">
            <v>4924.2675535295057</v>
          </cell>
          <cell r="DI55">
            <v>4951.4059953357355</v>
          </cell>
          <cell r="DJ55">
            <v>4974.3777704752983</v>
          </cell>
          <cell r="DK55">
            <v>5005.6828789481942</v>
          </cell>
          <cell r="DL55">
            <v>5032.821320754425</v>
          </cell>
          <cell r="DT55">
            <v>4721.9294544920394</v>
          </cell>
          <cell r="DU55">
            <v>4744.5502378507454</v>
          </cell>
          <cell r="DV55">
            <v>4778.6110840899109</v>
          </cell>
          <cell r="DW55">
            <v>4804.3385969957426</v>
          </cell>
          <cell r="DX55">
            <v>4830.0661099015742</v>
          </cell>
          <cell r="DY55">
            <v>4851.6269561407407</v>
          </cell>
          <cell r="DZ55">
            <v>4881.5211357132384</v>
          </cell>
          <cell r="EA55">
            <v>4907.2486486190719</v>
          </cell>
          <cell r="EX55">
            <v>18678.936999999998</v>
          </cell>
          <cell r="EY55">
            <v>19854.440000000002</v>
          </cell>
          <cell r="EZ55">
            <v>18652.884999999998</v>
          </cell>
          <cell r="FA55">
            <v>25798.159</v>
          </cell>
          <cell r="FB55">
            <v>16761.93</v>
          </cell>
          <cell r="FC55">
            <v>33957.599999999999</v>
          </cell>
          <cell r="FD55">
            <v>19898.120000000003</v>
          </cell>
          <cell r="FE55">
            <v>19898.120000000003</v>
          </cell>
          <cell r="FF55">
            <v>51176.149999999994</v>
          </cell>
          <cell r="FG55">
            <v>31780.125</v>
          </cell>
          <cell r="FH55">
            <v>42364.447</v>
          </cell>
          <cell r="FI55">
            <v>42703.97</v>
          </cell>
          <cell r="FM55">
            <v>1493.1655000000001</v>
          </cell>
          <cell r="FN55">
            <v>1577.13</v>
          </cell>
          <cell r="FO55">
            <v>1478.6975000000002</v>
          </cell>
          <cell r="FP55">
            <v>1971.9485</v>
          </cell>
          <cell r="FQ55">
            <v>1339.1499999999999</v>
          </cell>
          <cell r="FR55">
            <v>2565.52</v>
          </cell>
          <cell r="FS55">
            <v>1489.04</v>
          </cell>
          <cell r="FT55">
            <v>1489.04</v>
          </cell>
          <cell r="FU55">
            <v>3934.47</v>
          </cell>
          <cell r="FV55">
            <v>2408.1775000000002</v>
          </cell>
          <cell r="FW55">
            <v>3234.6455000000001</v>
          </cell>
          <cell r="FX55">
            <v>3202.54</v>
          </cell>
          <cell r="GB55">
            <v>6118.1075000000001</v>
          </cell>
          <cell r="GC55">
            <v>6475.53</v>
          </cell>
          <cell r="GD55">
            <v>6083.9274999999998</v>
          </cell>
          <cell r="GE55">
            <v>7725.5824999999995</v>
          </cell>
          <cell r="GF55">
            <v>5364.42</v>
          </cell>
          <cell r="GG55">
            <v>11433.38</v>
          </cell>
          <cell r="GH55">
            <v>6551.85</v>
          </cell>
          <cell r="GI55">
            <v>6551.85</v>
          </cell>
          <cell r="GJ55">
            <v>16160.82</v>
          </cell>
          <cell r="GK55">
            <v>10274.837500000001</v>
          </cell>
          <cell r="GL55">
            <v>13534.3375</v>
          </cell>
          <cell r="GM55">
            <v>14072.09</v>
          </cell>
        </row>
        <row r="56">
          <cell r="A56" t="str">
            <v>Amortization Expense</v>
          </cell>
          <cell r="C56">
            <v>0</v>
          </cell>
          <cell r="D56">
            <v>0</v>
          </cell>
          <cell r="E56">
            <v>0</v>
          </cell>
          <cell r="F56" t="str">
            <v>n/a</v>
          </cell>
          <cell r="G56">
            <v>0</v>
          </cell>
          <cell r="H56">
            <v>0</v>
          </cell>
          <cell r="J56">
            <v>0</v>
          </cell>
          <cell r="K56">
            <v>0</v>
          </cell>
          <cell r="L56">
            <v>0</v>
          </cell>
          <cell r="M56" t="str">
            <v>n/a</v>
          </cell>
          <cell r="N56">
            <v>0</v>
          </cell>
          <cell r="O56">
            <v>0</v>
          </cell>
          <cell r="Q56">
            <v>0</v>
          </cell>
          <cell r="R56">
            <v>0</v>
          </cell>
          <cell r="S56">
            <v>0</v>
          </cell>
          <cell r="T56" t="str">
            <v>n/a</v>
          </cell>
          <cell r="U56">
            <v>0</v>
          </cell>
          <cell r="V56">
            <v>0</v>
          </cell>
          <cell r="X56">
            <v>0</v>
          </cell>
          <cell r="Y56">
            <v>0</v>
          </cell>
          <cell r="Z56">
            <v>0</v>
          </cell>
          <cell r="AA56" t="str">
            <v>n/a</v>
          </cell>
          <cell r="AB56">
            <v>0</v>
          </cell>
          <cell r="AC56">
            <v>0</v>
          </cell>
          <cell r="AD56">
            <v>0</v>
          </cell>
          <cell r="AE56">
            <v>1200</v>
          </cell>
          <cell r="AH56">
            <v>0</v>
          </cell>
          <cell r="AI56">
            <v>0</v>
          </cell>
          <cell r="AJ56">
            <v>0</v>
          </cell>
          <cell r="AK56">
            <v>0</v>
          </cell>
          <cell r="AL56">
            <v>0</v>
          </cell>
          <cell r="AM56">
            <v>0</v>
          </cell>
          <cell r="AN56">
            <v>0</v>
          </cell>
          <cell r="AO56">
            <v>0</v>
          </cell>
          <cell r="AW56">
            <v>0</v>
          </cell>
          <cell r="AX56">
            <v>0</v>
          </cell>
          <cell r="AY56">
            <v>0</v>
          </cell>
          <cell r="AZ56">
            <v>0</v>
          </cell>
          <cell r="BA56">
            <v>0</v>
          </cell>
          <cell r="BB56">
            <v>0</v>
          </cell>
          <cell r="BC56">
            <v>0</v>
          </cell>
          <cell r="BD56">
            <v>0</v>
          </cell>
          <cell r="BL56">
            <v>0</v>
          </cell>
          <cell r="BM56">
            <v>0</v>
          </cell>
          <cell r="BN56">
            <v>0</v>
          </cell>
          <cell r="BO56">
            <v>0</v>
          </cell>
          <cell r="BP56">
            <v>0</v>
          </cell>
          <cell r="BQ56">
            <v>0</v>
          </cell>
          <cell r="BR56">
            <v>0</v>
          </cell>
          <cell r="BS56">
            <v>0</v>
          </cell>
          <cell r="CP56">
            <v>0</v>
          </cell>
          <cell r="CQ56">
            <v>0</v>
          </cell>
          <cell r="CR56">
            <v>0</v>
          </cell>
          <cell r="CS56">
            <v>0</v>
          </cell>
          <cell r="CT56">
            <v>0</v>
          </cell>
          <cell r="CU56">
            <v>0</v>
          </cell>
          <cell r="CV56">
            <v>0</v>
          </cell>
          <cell r="CW56">
            <v>0</v>
          </cell>
          <cell r="DE56">
            <v>0</v>
          </cell>
          <cell r="DF56">
            <v>0</v>
          </cell>
          <cell r="DG56">
            <v>0</v>
          </cell>
          <cell r="DH56">
            <v>0</v>
          </cell>
          <cell r="DI56">
            <v>0</v>
          </cell>
          <cell r="DJ56">
            <v>0</v>
          </cell>
          <cell r="DK56">
            <v>0</v>
          </cell>
          <cell r="DL56">
            <v>0</v>
          </cell>
          <cell r="DT56">
            <v>0</v>
          </cell>
          <cell r="DU56">
            <v>0</v>
          </cell>
          <cell r="DV56">
            <v>0</v>
          </cell>
          <cell r="DW56">
            <v>0</v>
          </cell>
          <cell r="DX56">
            <v>0</v>
          </cell>
          <cell r="DY56">
            <v>0</v>
          </cell>
          <cell r="DZ56">
            <v>0</v>
          </cell>
          <cell r="EA56">
            <v>0</v>
          </cell>
          <cell r="EX56">
            <v>0</v>
          </cell>
          <cell r="EY56">
            <v>0</v>
          </cell>
          <cell r="EZ56">
            <v>0</v>
          </cell>
          <cell r="FA56">
            <v>0</v>
          </cell>
          <cell r="FB56">
            <v>0</v>
          </cell>
          <cell r="FC56">
            <v>0</v>
          </cell>
          <cell r="FD56">
            <v>0</v>
          </cell>
          <cell r="FE56">
            <v>0</v>
          </cell>
          <cell r="FF56">
            <v>0</v>
          </cell>
          <cell r="FG56">
            <v>0</v>
          </cell>
          <cell r="FH56">
            <v>750000</v>
          </cell>
          <cell r="FI56">
            <v>150000</v>
          </cell>
          <cell r="FM56">
            <v>0</v>
          </cell>
          <cell r="FN56">
            <v>0</v>
          </cell>
          <cell r="FO56">
            <v>0</v>
          </cell>
          <cell r="FP56">
            <v>0</v>
          </cell>
          <cell r="FQ56">
            <v>0</v>
          </cell>
          <cell r="FR56">
            <v>0</v>
          </cell>
          <cell r="FS56">
            <v>0</v>
          </cell>
          <cell r="FT56">
            <v>0</v>
          </cell>
          <cell r="FU56">
            <v>0</v>
          </cell>
          <cell r="FV56">
            <v>0</v>
          </cell>
          <cell r="FW56">
            <v>100000</v>
          </cell>
          <cell r="FX56">
            <v>20000</v>
          </cell>
          <cell r="GB56">
            <v>0</v>
          </cell>
          <cell r="GC56">
            <v>0</v>
          </cell>
          <cell r="GD56">
            <v>0</v>
          </cell>
          <cell r="GE56">
            <v>0</v>
          </cell>
          <cell r="GF56">
            <v>0</v>
          </cell>
          <cell r="GG56">
            <v>0</v>
          </cell>
          <cell r="GH56">
            <v>0</v>
          </cell>
          <cell r="GI56">
            <v>0</v>
          </cell>
          <cell r="GJ56">
            <v>0</v>
          </cell>
          <cell r="GK56">
            <v>0</v>
          </cell>
          <cell r="GL56">
            <v>150000</v>
          </cell>
          <cell r="GM56">
            <v>30000</v>
          </cell>
        </row>
        <row r="57">
          <cell r="A57" t="str">
            <v>EBITDA Items</v>
          </cell>
          <cell r="C57">
            <v>0</v>
          </cell>
          <cell r="D57">
            <v>0</v>
          </cell>
          <cell r="E57">
            <v>0</v>
          </cell>
          <cell r="F57" t="str">
            <v>n/a</v>
          </cell>
          <cell r="G57">
            <v>109.72553308895846</v>
          </cell>
          <cell r="H57">
            <v>7.2911380999999409</v>
          </cell>
          <cell r="J57">
            <v>0</v>
          </cell>
          <cell r="K57">
            <v>0</v>
          </cell>
          <cell r="L57">
            <v>0</v>
          </cell>
          <cell r="M57" t="str">
            <v>n/a</v>
          </cell>
          <cell r="N57">
            <v>85.677095044859698</v>
          </cell>
          <cell r="O57">
            <v>9.5053490999999468</v>
          </cell>
          <cell r="Q57">
            <v>0</v>
          </cell>
          <cell r="R57">
            <v>0</v>
          </cell>
          <cell r="S57">
            <v>0</v>
          </cell>
          <cell r="T57" t="str">
            <v>n/a</v>
          </cell>
          <cell r="U57">
            <v>18.641108566045737</v>
          </cell>
          <cell r="V57">
            <v>10.0077693</v>
          </cell>
          <cell r="X57">
            <v>0</v>
          </cell>
          <cell r="Y57">
            <v>0</v>
          </cell>
          <cell r="Z57">
            <v>0</v>
          </cell>
          <cell r="AA57" t="str">
            <v>n/a</v>
          </cell>
          <cell r="AB57">
            <v>5.4073294780530228</v>
          </cell>
          <cell r="AC57">
            <v>-12.221980299999995</v>
          </cell>
          <cell r="AD57">
            <v>1141.5321386422529</v>
          </cell>
          <cell r="AE57">
            <v>1722.7856540349999</v>
          </cell>
          <cell r="AH57">
            <v>19005.486489999967</v>
          </cell>
          <cell r="AI57">
            <v>33450.04101999999</v>
          </cell>
          <cell r="AJ57">
            <v>249784.2787099999</v>
          </cell>
          <cell r="AK57">
            <v>142754.07311000006</v>
          </cell>
          <cell r="AL57">
            <v>139789.69466999979</v>
          </cell>
          <cell r="AM57">
            <v>302768.32206999976</v>
          </cell>
          <cell r="AN57">
            <v>91350.957599999994</v>
          </cell>
          <cell r="AO57">
            <v>78674.036619999984</v>
          </cell>
          <cell r="AP57">
            <v>0</v>
          </cell>
          <cell r="AQ57">
            <v>0</v>
          </cell>
          <cell r="AR57">
            <v>0</v>
          </cell>
          <cell r="AS57">
            <v>0</v>
          </cell>
          <cell r="AW57">
            <v>25710.812819999992</v>
          </cell>
          <cell r="AX57">
            <v>-4985.0876199999966</v>
          </cell>
          <cell r="AY57">
            <v>40571.127490000013</v>
          </cell>
          <cell r="AZ57">
            <v>33915.475690000007</v>
          </cell>
          <cell r="BA57">
            <v>2514.5212300000162</v>
          </cell>
          <cell r="BB57">
            <v>-2899.77277</v>
          </cell>
          <cell r="BC57">
            <v>-10296.256099999991</v>
          </cell>
          <cell r="BD57">
            <v>-8567.3248700000004</v>
          </cell>
          <cell r="BE57">
            <v>0</v>
          </cell>
          <cell r="BF57">
            <v>0</v>
          </cell>
          <cell r="BG57">
            <v>0</v>
          </cell>
          <cell r="BH57">
            <v>0</v>
          </cell>
          <cell r="BL57">
            <v>39839.74738999999</v>
          </cell>
          <cell r="BM57">
            <v>-6086.8750999999738</v>
          </cell>
          <cell r="BN57">
            <v>-50670.922599999991</v>
          </cell>
          <cell r="BO57">
            <v>-51129.701200000003</v>
          </cell>
          <cell r="BP57">
            <v>24197.048899999991</v>
          </cell>
          <cell r="BQ57">
            <v>100902.00869999998</v>
          </cell>
          <cell r="BR57">
            <v>-4552.9813000000067</v>
          </cell>
          <cell r="BS57">
            <v>16526.259049999997</v>
          </cell>
          <cell r="BT57">
            <v>0</v>
          </cell>
          <cell r="BU57">
            <v>0</v>
          </cell>
          <cell r="BV57">
            <v>0</v>
          </cell>
          <cell r="BW57">
            <v>0</v>
          </cell>
          <cell r="CP57">
            <v>48762.931459738822</v>
          </cell>
          <cell r="CQ57">
            <v>97004.080106237248</v>
          </cell>
          <cell r="CR57">
            <v>216107.24964604355</v>
          </cell>
          <cell r="CS57">
            <v>144369.39533298922</v>
          </cell>
          <cell r="CT57">
            <v>47386.445363450126</v>
          </cell>
          <cell r="CU57">
            <v>75984.615601593687</v>
          </cell>
          <cell r="CV57">
            <v>6907.8672912323236</v>
          </cell>
          <cell r="CW57">
            <v>27944.868336942487</v>
          </cell>
          <cell r="CX57">
            <v>0</v>
          </cell>
          <cell r="CY57">
            <v>0</v>
          </cell>
          <cell r="CZ57">
            <v>0</v>
          </cell>
          <cell r="DA57">
            <v>0</v>
          </cell>
          <cell r="DE57">
            <v>4561.1610657715055</v>
          </cell>
          <cell r="DF57">
            <v>44734.387490329711</v>
          </cell>
          <cell r="DG57">
            <v>39809.717088017744</v>
          </cell>
          <cell r="DH57">
            <v>47657.3906169978</v>
          </cell>
          <cell r="DI57">
            <v>11554.046029238847</v>
          </cell>
          <cell r="DJ57">
            <v>18024.125752467422</v>
          </cell>
          <cell r="DK57">
            <v>10031.513043173798</v>
          </cell>
          <cell r="DL57">
            <v>23843.626701355504</v>
          </cell>
          <cell r="DM57">
            <v>0</v>
          </cell>
          <cell r="DN57">
            <v>0</v>
          </cell>
          <cell r="DO57">
            <v>0</v>
          </cell>
          <cell r="DP57">
            <v>0</v>
          </cell>
          <cell r="DT57">
            <v>29775.10410729143</v>
          </cell>
          <cell r="DU57">
            <v>-15594.440932449503</v>
          </cell>
          <cell r="DV57">
            <v>-51655.067871607658</v>
          </cell>
          <cell r="DW57">
            <v>-40606.929825767598</v>
          </cell>
          <cell r="DX57">
            <v>82694.510045244446</v>
          </cell>
          <cell r="DY57">
            <v>74447.558344191435</v>
          </cell>
          <cell r="DZ57">
            <v>13878.444044503751</v>
          </cell>
          <cell r="EA57">
            <v>20455.372627954053</v>
          </cell>
          <cell r="EB57">
            <v>0</v>
          </cell>
          <cell r="EC57">
            <v>0</v>
          </cell>
          <cell r="ED57">
            <v>0</v>
          </cell>
          <cell r="EE57">
            <v>0</v>
          </cell>
          <cell r="EX57">
            <v>59066.941740000024</v>
          </cell>
          <cell r="EY57">
            <v>21951.345945000012</v>
          </cell>
          <cell r="EZ57">
            <v>256319.76963000017</v>
          </cell>
          <cell r="FA57">
            <v>57580.359859999997</v>
          </cell>
          <cell r="FB57">
            <v>169070.22544999988</v>
          </cell>
          <cell r="FC57">
            <v>243768.81140000001</v>
          </cell>
          <cell r="FD57">
            <v>-90231.209849999985</v>
          </cell>
          <cell r="FE57">
            <v>-42949.531600000009</v>
          </cell>
          <cell r="FF57">
            <v>9505.3490999999485</v>
          </cell>
          <cell r="FG57">
            <v>23061.402639999997</v>
          </cell>
          <cell r="FH57">
            <v>481807.80442999996</v>
          </cell>
          <cell r="FI57">
            <v>164022.90557499998</v>
          </cell>
          <cell r="FM57">
            <v>10914.703275</v>
          </cell>
          <cell r="FN57">
            <v>13945.300760000002</v>
          </cell>
          <cell r="FO57">
            <v>25582.856194999986</v>
          </cell>
          <cell r="FP57">
            <v>-3716.3191750000019</v>
          </cell>
          <cell r="FQ57">
            <v>-8439.21731</v>
          </cell>
          <cell r="FR57">
            <v>-18116.046420000002</v>
          </cell>
          <cell r="FS57">
            <v>-12648.314889999998</v>
          </cell>
          <cell r="FT57">
            <v>-1742.4148000000005</v>
          </cell>
          <cell r="FU57">
            <v>10007.7693</v>
          </cell>
          <cell r="FV57">
            <v>693.11423499999864</v>
          </cell>
          <cell r="FW57">
            <v>54287.389165000008</v>
          </cell>
          <cell r="FX57">
            <v>15872.023124999987</v>
          </cell>
          <cell r="GB57">
            <v>-10638.184055000018</v>
          </cell>
          <cell r="GC57">
            <v>5267.9045400000014</v>
          </cell>
          <cell r="GD57">
            <v>39970.455104999994</v>
          </cell>
          <cell r="GE57">
            <v>7338.721315000018</v>
          </cell>
          <cell r="GF57">
            <v>53275.716760000003</v>
          </cell>
          <cell r="GG57">
            <v>46458.371519999993</v>
          </cell>
          <cell r="GH57">
            <v>36714.501539999997</v>
          </cell>
          <cell r="GI57">
            <v>-10479.634599999996</v>
          </cell>
          <cell r="GJ57">
            <v>-12221.980299999996</v>
          </cell>
          <cell r="GK57">
            <v>-25709.06367499999</v>
          </cell>
          <cell r="GL57">
            <v>111294.53420499999</v>
          </cell>
          <cell r="GM57">
            <v>41899.29389999999</v>
          </cell>
        </row>
        <row r="59">
          <cell r="A59" t="str">
            <v>Net Income After Tax</v>
          </cell>
          <cell r="C59">
            <v>0</v>
          </cell>
          <cell r="D59">
            <v>0</v>
          </cell>
          <cell r="E59">
            <v>0</v>
          </cell>
          <cell r="F59" t="str">
            <v>n/a</v>
          </cell>
          <cell r="G59">
            <v>80.778002900371376</v>
          </cell>
          <cell r="H59">
            <v>-124.05786809999989</v>
          </cell>
          <cell r="J59">
            <v>0</v>
          </cell>
          <cell r="K59">
            <v>0</v>
          </cell>
          <cell r="L59">
            <v>0</v>
          </cell>
          <cell r="M59" t="str">
            <v>n/a</v>
          </cell>
          <cell r="N59">
            <v>20.702721861183349</v>
          </cell>
          <cell r="O59">
            <v>-87.820009099999908</v>
          </cell>
          <cell r="Q59">
            <v>0</v>
          </cell>
          <cell r="R59">
            <v>0</v>
          </cell>
          <cell r="S59">
            <v>0</v>
          </cell>
          <cell r="T59" t="str">
            <v>n/a</v>
          </cell>
          <cell r="U59">
            <v>60.004418523711486</v>
          </cell>
          <cell r="V59">
            <v>7.2940207000000044</v>
          </cell>
          <cell r="X59">
            <v>0</v>
          </cell>
          <cell r="Y59">
            <v>0</v>
          </cell>
          <cell r="Z59">
            <v>0</v>
          </cell>
          <cell r="AA59" t="str">
            <v>n/a</v>
          </cell>
          <cell r="AB59">
            <v>7.0862515476129317E-2</v>
          </cell>
          <cell r="AC59">
            <v>-43.531879700000005</v>
          </cell>
          <cell r="AD59">
            <v>849.64821015998814</v>
          </cell>
          <cell r="AE59">
            <v>-294.87107403499886</v>
          </cell>
          <cell r="AH59">
            <v>-18016.659489999831</v>
          </cell>
          <cell r="AI59">
            <v>33306.338979999899</v>
          </cell>
          <cell r="AJ59">
            <v>313517.05029000004</v>
          </cell>
          <cell r="AK59">
            <v>159347.59589</v>
          </cell>
          <cell r="AL59">
            <v>155653.91033000019</v>
          </cell>
          <cell r="AM59">
            <v>390314.10293000005</v>
          </cell>
          <cell r="AN59">
            <v>86150.950400000031</v>
          </cell>
          <cell r="AO59">
            <v>64676.615380000047</v>
          </cell>
          <cell r="AP59">
            <v>0</v>
          </cell>
          <cell r="AQ59">
            <v>0</v>
          </cell>
          <cell r="AR59">
            <v>0</v>
          </cell>
          <cell r="AS59">
            <v>0</v>
          </cell>
          <cell r="AW59">
            <v>33381.611180000007</v>
          </cell>
          <cell r="AX59">
            <v>-6396.59238</v>
          </cell>
          <cell r="AY59">
            <v>55072.953509999963</v>
          </cell>
          <cell r="AZ59">
            <v>45558.035309999992</v>
          </cell>
          <cell r="BA59">
            <v>104.3137700000193</v>
          </cell>
          <cell r="BB59">
            <v>-7747.6422300000158</v>
          </cell>
          <cell r="BC59">
            <v>-18424.761899999998</v>
          </cell>
          <cell r="BD59">
            <v>-16192.377129999983</v>
          </cell>
          <cell r="BE59">
            <v>0</v>
          </cell>
          <cell r="BF59">
            <v>0</v>
          </cell>
          <cell r="BG59">
            <v>0</v>
          </cell>
          <cell r="BH59">
            <v>0</v>
          </cell>
          <cell r="BL59">
            <v>42765.311609999975</v>
          </cell>
          <cell r="BM59">
            <v>-18865.314899999998</v>
          </cell>
          <cell r="BN59">
            <v>-87132.297399999981</v>
          </cell>
          <cell r="BO59">
            <v>-87720.79879999999</v>
          </cell>
          <cell r="BP59">
            <v>20371.101100000018</v>
          </cell>
          <cell r="BQ59">
            <v>130682.09130000003</v>
          </cell>
          <cell r="BR59">
            <v>-21108.388700000003</v>
          </cell>
          <cell r="BS59">
            <v>8169.8509500000218</v>
          </cell>
          <cell r="BT59">
            <v>0</v>
          </cell>
          <cell r="BU59">
            <v>0</v>
          </cell>
          <cell r="BV59">
            <v>0</v>
          </cell>
          <cell r="BW59">
            <v>0</v>
          </cell>
          <cell r="CP59">
            <v>15002.541730708814</v>
          </cell>
          <cell r="CQ59">
            <v>84349.628071644009</v>
          </cell>
          <cell r="CR59">
            <v>255342.39188624921</v>
          </cell>
          <cell r="CS59">
            <v>151806.202676819</v>
          </cell>
          <cell r="CT59">
            <v>11941.705083666733</v>
          </cell>
          <cell r="CU59">
            <v>52839.469903196121</v>
          </cell>
          <cell r="CV59">
            <v>-46915.290343009241</v>
          </cell>
          <cell r="CW59">
            <v>-16946.199889827138</v>
          </cell>
          <cell r="CX59">
            <v>0</v>
          </cell>
          <cell r="CY59">
            <v>0</v>
          </cell>
          <cell r="CZ59">
            <v>0</v>
          </cell>
          <cell r="DA59">
            <v>0</v>
          </cell>
          <cell r="DE59">
            <v>537.19450609663818</v>
          </cell>
          <cell r="DF59">
            <v>57377.831196853993</v>
          </cell>
          <cell r="DG59">
            <v>50240.065624423718</v>
          </cell>
          <cell r="DH59">
            <v>61494.006359625113</v>
          </cell>
          <cell r="DI59">
            <v>9501.3600487874191</v>
          </cell>
          <cell r="DJ59">
            <v>18778.90563262286</v>
          </cell>
          <cell r="DK59">
            <v>7232.2921875441662</v>
          </cell>
          <cell r="DL59">
            <v>27069.207742816187</v>
          </cell>
          <cell r="DM59">
            <v>0</v>
          </cell>
          <cell r="DN59">
            <v>0</v>
          </cell>
          <cell r="DO59">
            <v>0</v>
          </cell>
          <cell r="DP59">
            <v>0</v>
          </cell>
          <cell r="DT59">
            <v>36052.129378418635</v>
          </cell>
          <cell r="DU59">
            <v>-29268.304367017427</v>
          </cell>
          <cell r="DV59">
            <v>-81209.440448442852</v>
          </cell>
          <cell r="DW59">
            <v>-65347.922852269199</v>
          </cell>
          <cell r="DX59">
            <v>112048.83395573733</v>
          </cell>
          <cell r="DY59">
            <v>100150.24272914615</v>
          </cell>
          <cell r="DZ59">
            <v>12946.791502893659</v>
          </cell>
          <cell r="EA59">
            <v>22374.129628799124</v>
          </cell>
          <cell r="EB59">
            <v>0</v>
          </cell>
          <cell r="EC59">
            <v>0</v>
          </cell>
          <cell r="ED59">
            <v>0</v>
          </cell>
          <cell r="EE59">
            <v>0</v>
          </cell>
          <cell r="EX59">
            <v>43177.90326000005</v>
          </cell>
          <cell r="EY59">
            <v>-10513.785944999927</v>
          </cell>
          <cell r="EZ59">
            <v>320233.56537000003</v>
          </cell>
          <cell r="FA59">
            <v>32741.595139999918</v>
          </cell>
          <cell r="FB59">
            <v>204191.18954999998</v>
          </cell>
          <cell r="FC59">
            <v>291492.77859999973</v>
          </cell>
          <cell r="FD59">
            <v>-199337.74014999997</v>
          </cell>
          <cell r="FE59">
            <v>-121807.1384</v>
          </cell>
          <cell r="FF59">
            <v>-87820.009099999894</v>
          </cell>
          <cell r="FG59">
            <v>-52799.333639999793</v>
          </cell>
          <cell r="FH59">
            <v>-477456.65943</v>
          </cell>
          <cell r="FI59">
            <v>-75011.265574999939</v>
          </cell>
          <cell r="FM59">
            <v>11823.999725000012</v>
          </cell>
          <cell r="FN59">
            <v>14747.425239999997</v>
          </cell>
          <cell r="FO59">
            <v>32740.450805</v>
          </cell>
          <cell r="FP59">
            <v>-9105.4998249999899</v>
          </cell>
          <cell r="FQ59">
            <v>-14458.593690000002</v>
          </cell>
          <cell r="FR59">
            <v>-29888.895579999993</v>
          </cell>
          <cell r="FS59">
            <v>-22642.625110000004</v>
          </cell>
          <cell r="FT59">
            <v>-6378.6652000000022</v>
          </cell>
          <cell r="FU59">
            <v>7294.0206999999937</v>
          </cell>
          <cell r="FV59">
            <v>-4453.1232350000009</v>
          </cell>
          <cell r="FW59">
            <v>-72509.164165000009</v>
          </cell>
          <cell r="FX59">
            <v>-12767.105124999978</v>
          </cell>
          <cell r="GB59">
            <v>-26612.393944999967</v>
          </cell>
          <cell r="GC59">
            <v>-5063.5505399999802</v>
          </cell>
          <cell r="GD59">
            <v>43660.672895000032</v>
          </cell>
          <cell r="GE59">
            <v>-4413.187315000011</v>
          </cell>
          <cell r="GF59">
            <v>64748.509239999992</v>
          </cell>
          <cell r="GG59">
            <v>47580.120480000005</v>
          </cell>
          <cell r="GH59">
            <v>39121.368459999998</v>
          </cell>
          <cell r="GI59">
            <v>-28091.715400000008</v>
          </cell>
          <cell r="GJ59">
            <v>-43531.879700000012</v>
          </cell>
          <cell r="GK59">
            <v>-55804.80632500002</v>
          </cell>
          <cell r="GL59">
            <v>-79762.314205000002</v>
          </cell>
          <cell r="GM59">
            <v>-8195.2219000000259</v>
          </cell>
        </row>
        <row r="61">
          <cell r="A61" t="str">
            <v>Current Month FTE Staffing</v>
          </cell>
          <cell r="C61">
            <v>63.270019273207183</v>
          </cell>
          <cell r="J61">
            <v>43.13221875</v>
          </cell>
          <cell r="Q61">
            <v>4.6236369930190966</v>
          </cell>
          <cell r="X61">
            <v>5.8856562500000003</v>
          </cell>
          <cell r="AH61">
            <v>94.616536142762371</v>
          </cell>
          <cell r="AI61">
            <v>98.222077583222742</v>
          </cell>
          <cell r="AJ61">
            <v>103.74253269053251</v>
          </cell>
          <cell r="AK61">
            <v>114.22919563996423</v>
          </cell>
          <cell r="AL61">
            <v>116.41780523401893</v>
          </cell>
          <cell r="AM61">
            <v>105.10592475876939</v>
          </cell>
          <cell r="AN61">
            <v>94.235230902757735</v>
          </cell>
          <cell r="AO61">
            <v>88.146290610035763</v>
          </cell>
          <cell r="AP61">
            <v>43.13221875</v>
          </cell>
          <cell r="AQ61">
            <v>0</v>
          </cell>
          <cell r="AR61">
            <v>0</v>
          </cell>
          <cell r="AS61">
            <v>0</v>
          </cell>
          <cell r="AW61">
            <v>10.5</v>
          </cell>
          <cell r="AX61">
            <v>12.157978617377259</v>
          </cell>
          <cell r="AY61">
            <v>14.550086947585532</v>
          </cell>
          <cell r="AZ61">
            <v>15.816762491345989</v>
          </cell>
          <cell r="BA61">
            <v>14.678705998673051</v>
          </cell>
          <cell r="BB61">
            <v>12.140251572145619</v>
          </cell>
          <cell r="BC61">
            <v>10.546673974499509</v>
          </cell>
          <cell r="BD61">
            <v>9.7841112329083249</v>
          </cell>
          <cell r="BE61">
            <v>4.6236369930190966</v>
          </cell>
          <cell r="BF61">
            <v>0</v>
          </cell>
          <cell r="BG61">
            <v>0</v>
          </cell>
          <cell r="BH61">
            <v>0</v>
          </cell>
          <cell r="BL61">
            <v>13.4883875</v>
          </cell>
          <cell r="BM61">
            <v>13.816881602290428</v>
          </cell>
          <cell r="BN61">
            <v>14.903487469710957</v>
          </cell>
          <cell r="BO61">
            <v>16.342085968239772</v>
          </cell>
          <cell r="BP61">
            <v>16.736971765923382</v>
          </cell>
          <cell r="BQ61">
            <v>16.046828019529222</v>
          </cell>
          <cell r="BR61">
            <v>14.569970339453644</v>
          </cell>
          <cell r="BS61">
            <v>12.702852735028559</v>
          </cell>
          <cell r="BT61">
            <v>5.8856562500000003</v>
          </cell>
          <cell r="BU61">
            <v>0</v>
          </cell>
          <cell r="BV61">
            <v>0</v>
          </cell>
          <cell r="BW61">
            <v>0</v>
          </cell>
        </row>
        <row r="62">
          <cell r="A62" t="str">
            <v>YTD Average Staffing</v>
          </cell>
          <cell r="C62">
            <v>138.60206876113003</v>
          </cell>
          <cell r="J62">
            <v>95.316423590229292</v>
          </cell>
          <cell r="Q62">
            <v>11.644245314172709</v>
          </cell>
          <cell r="X62">
            <v>13.832569072241773</v>
          </cell>
          <cell r="AH62">
            <v>94.616536142762371</v>
          </cell>
          <cell r="AI62">
            <v>96.419306862992556</v>
          </cell>
          <cell r="AJ62">
            <v>98.860382138839213</v>
          </cell>
          <cell r="AK62">
            <v>102.70258551412047</v>
          </cell>
          <cell r="AL62">
            <v>105.44562945810017</v>
          </cell>
          <cell r="AM62">
            <v>105.38901200821169</v>
          </cell>
          <cell r="AN62">
            <v>103.79561470743256</v>
          </cell>
          <cell r="AO62">
            <v>101.83944919525796</v>
          </cell>
          <cell r="AP62">
            <v>95.316423590229292</v>
          </cell>
          <cell r="AQ62">
            <v>85.784781231206367</v>
          </cell>
          <cell r="AR62">
            <v>77.98616475564215</v>
          </cell>
          <cell r="AS62">
            <v>71.487317692671965</v>
          </cell>
          <cell r="AW62">
            <v>10.5</v>
          </cell>
          <cell r="AX62">
            <v>11.32898930868863</v>
          </cell>
          <cell r="AY62">
            <v>12.402688521654264</v>
          </cell>
          <cell r="AZ62">
            <v>13.256207014077196</v>
          </cell>
          <cell r="BA62">
            <v>13.540706810996365</v>
          </cell>
          <cell r="BB62">
            <v>13.30729760452124</v>
          </cell>
          <cell r="BC62">
            <v>12.912922800232423</v>
          </cell>
          <cell r="BD62">
            <v>12.521821354316911</v>
          </cell>
          <cell r="BE62">
            <v>11.644245314172709</v>
          </cell>
          <cell r="BF62">
            <v>10.479820782755437</v>
          </cell>
          <cell r="BG62">
            <v>9.5271098025049437</v>
          </cell>
          <cell r="BH62">
            <v>8.7331839856295321</v>
          </cell>
          <cell r="BL62">
            <v>13.4883875</v>
          </cell>
          <cell r="BM62">
            <v>13.652634551145214</v>
          </cell>
          <cell r="BN62">
            <v>14.069585524000461</v>
          </cell>
          <cell r="BO62">
            <v>14.637710635060289</v>
          </cell>
          <cell r="BP62">
            <v>15.057562861232906</v>
          </cell>
          <cell r="BQ62">
            <v>15.222440387615626</v>
          </cell>
          <cell r="BR62">
            <v>15.129230380735342</v>
          </cell>
          <cell r="BS62">
            <v>14.825933175021994</v>
          </cell>
          <cell r="BT62">
            <v>13.832569072241773</v>
          </cell>
          <cell r="BU62">
            <v>12.449312165017595</v>
          </cell>
          <cell r="BV62">
            <v>11.317556513652359</v>
          </cell>
          <cell r="BW62">
            <v>10.374426804181329</v>
          </cell>
          <cell r="CP62" t="e">
            <v>#DIV/0!</v>
          </cell>
          <cell r="CQ62" t="e">
            <v>#DIV/0!</v>
          </cell>
          <cell r="CR62" t="e">
            <v>#DIV/0!</v>
          </cell>
          <cell r="CS62" t="e">
            <v>#DIV/0!</v>
          </cell>
          <cell r="CT62" t="e">
            <v>#DIV/0!</v>
          </cell>
          <cell r="CU62" t="e">
            <v>#DIV/0!</v>
          </cell>
          <cell r="CV62" t="e">
            <v>#DIV/0!</v>
          </cell>
          <cell r="CW62" t="e">
            <v>#DIV/0!</v>
          </cell>
          <cell r="CX62" t="e">
            <v>#DIV/0!</v>
          </cell>
          <cell r="CY62" t="e">
            <v>#DIV/0!</v>
          </cell>
          <cell r="CZ62" t="e">
            <v>#DIV/0!</v>
          </cell>
          <cell r="DA62" t="e">
            <v>#DIV/0!</v>
          </cell>
          <cell r="DE62" t="e">
            <v>#DIV/0!</v>
          </cell>
          <cell r="DF62" t="e">
            <v>#DIV/0!</v>
          </cell>
          <cell r="DG62" t="e">
            <v>#DIV/0!</v>
          </cell>
          <cell r="DH62" t="e">
            <v>#DIV/0!</v>
          </cell>
          <cell r="DI62" t="e">
            <v>#DIV/0!</v>
          </cell>
          <cell r="DJ62" t="e">
            <v>#DIV/0!</v>
          </cell>
          <cell r="DK62" t="e">
            <v>#DIV/0!</v>
          </cell>
          <cell r="DL62" t="e">
            <v>#DIV/0!</v>
          </cell>
          <cell r="DM62" t="e">
            <v>#DIV/0!</v>
          </cell>
          <cell r="DN62" t="e">
            <v>#DIV/0!</v>
          </cell>
          <cell r="DO62" t="e">
            <v>#DIV/0!</v>
          </cell>
          <cell r="DP62" t="e">
            <v>#DIV/0!</v>
          </cell>
          <cell r="DT62" t="e">
            <v>#DIV/0!</v>
          </cell>
          <cell r="DU62" t="e">
            <v>#DIV/0!</v>
          </cell>
          <cell r="DV62" t="e">
            <v>#DIV/0!</v>
          </cell>
          <cell r="DW62" t="e">
            <v>#DIV/0!</v>
          </cell>
          <cell r="DX62" t="e">
            <v>#DIV/0!</v>
          </cell>
          <cell r="DY62" t="e">
            <v>#DIV/0!</v>
          </cell>
          <cell r="DZ62" t="e">
            <v>#DIV/0!</v>
          </cell>
          <cell r="EA62" t="e">
            <v>#DIV/0!</v>
          </cell>
          <cell r="EB62" t="e">
            <v>#DIV/0!</v>
          </cell>
          <cell r="EC62" t="e">
            <v>#DIV/0!</v>
          </cell>
          <cell r="ED62" t="e">
            <v>#DIV/0!</v>
          </cell>
          <cell r="EE62" t="e">
            <v>#DIV/0!</v>
          </cell>
          <cell r="EX62" t="e">
            <v>#DIV/0!</v>
          </cell>
          <cell r="EY62" t="e">
            <v>#DIV/0!</v>
          </cell>
          <cell r="EZ62" t="e">
            <v>#DIV/0!</v>
          </cell>
          <cell r="FA62" t="e">
            <v>#DIV/0!</v>
          </cell>
          <cell r="FB62" t="e">
            <v>#DIV/0!</v>
          </cell>
          <cell r="FC62" t="e">
            <v>#DIV/0!</v>
          </cell>
          <cell r="FD62" t="e">
            <v>#DIV/0!</v>
          </cell>
          <cell r="FE62" t="e">
            <v>#DIV/0!</v>
          </cell>
          <cell r="FF62" t="e">
            <v>#DIV/0!</v>
          </cell>
          <cell r="FG62" t="e">
            <v>#DIV/0!</v>
          </cell>
          <cell r="FH62" t="e">
            <v>#DIV/0!</v>
          </cell>
          <cell r="FI62" t="e">
            <v>#DIV/0!</v>
          </cell>
          <cell r="FM62" t="e">
            <v>#DIV/0!</v>
          </cell>
          <cell r="FN62" t="e">
            <v>#DIV/0!</v>
          </cell>
          <cell r="FO62" t="e">
            <v>#DIV/0!</v>
          </cell>
          <cell r="FP62" t="e">
            <v>#DIV/0!</v>
          </cell>
          <cell r="FQ62" t="e">
            <v>#DIV/0!</v>
          </cell>
          <cell r="FR62" t="e">
            <v>#DIV/0!</v>
          </cell>
          <cell r="FS62" t="e">
            <v>#DIV/0!</v>
          </cell>
          <cell r="FT62" t="e">
            <v>#DIV/0!</v>
          </cell>
          <cell r="FU62" t="e">
            <v>#DIV/0!</v>
          </cell>
          <cell r="FV62" t="e">
            <v>#DIV/0!</v>
          </cell>
          <cell r="FW62" t="e">
            <v>#DIV/0!</v>
          </cell>
          <cell r="FX62" t="e">
            <v>#DIV/0!</v>
          </cell>
          <cell r="GB62" t="e">
            <v>#DIV/0!</v>
          </cell>
          <cell r="GC62" t="e">
            <v>#DIV/0!</v>
          </cell>
          <cell r="GD62" t="e">
            <v>#DIV/0!</v>
          </cell>
          <cell r="GE62" t="e">
            <v>#DIV/0!</v>
          </cell>
          <cell r="GF62" t="e">
            <v>#DIV/0!</v>
          </cell>
          <cell r="GG62" t="e">
            <v>#DIV/0!</v>
          </cell>
          <cell r="GH62" t="e">
            <v>#DIV/0!</v>
          </cell>
          <cell r="GI62" t="e">
            <v>#DIV/0!</v>
          </cell>
          <cell r="GJ62" t="e">
            <v>#DIV/0!</v>
          </cell>
          <cell r="GK62" t="e">
            <v>#DIV/0!</v>
          </cell>
          <cell r="GL62" t="e">
            <v>#DIV/0!</v>
          </cell>
          <cell r="GM62" t="e">
            <v>#DIV/0!</v>
          </cell>
        </row>
        <row r="64">
          <cell r="A64" t="str">
            <v>Note:  Corporate staffing is not allocated to divisions but is included in GTS Total column.</v>
          </cell>
        </row>
        <row r="67">
          <cell r="A67" t="str">
            <v>The GTS Companies</v>
          </cell>
        </row>
        <row r="68">
          <cell r="A68" t="str">
            <v>YTD Income Statement by Business Unit</v>
          </cell>
        </row>
        <row r="69">
          <cell r="A69" t="str">
            <v>For the Eight Months Ended August 31, 2001</v>
          </cell>
        </row>
        <row r="70">
          <cell r="A70" t="str">
            <v>($ in '000's)</v>
          </cell>
        </row>
        <row r="72">
          <cell r="C72" t="str">
            <v>TOTAL</v>
          </cell>
          <cell r="J72" t="str">
            <v>GRAPHICS</v>
          </cell>
          <cell r="Q72" t="str">
            <v>PUBLISHING SERVICES</v>
          </cell>
          <cell r="X72" t="str">
            <v>INNOVA</v>
          </cell>
          <cell r="AD72" t="str">
            <v>Full Year</v>
          </cell>
          <cell r="AE72" t="str">
            <v>Full Year</v>
          </cell>
        </row>
        <row r="73">
          <cell r="C73" t="str">
            <v>YTD</v>
          </cell>
          <cell r="D73" t="str">
            <v>YTD</v>
          </cell>
          <cell r="G73" t="str">
            <v>YTD</v>
          </cell>
          <cell r="H73" t="str">
            <v>YTD</v>
          </cell>
          <cell r="J73" t="str">
            <v>YTD</v>
          </cell>
          <cell r="K73" t="str">
            <v>YTD</v>
          </cell>
          <cell r="N73" t="str">
            <v>YTD</v>
          </cell>
          <cell r="O73" t="str">
            <v>YTD</v>
          </cell>
          <cell r="Q73" t="str">
            <v>YTD</v>
          </cell>
          <cell r="R73" t="str">
            <v>YTD</v>
          </cell>
          <cell r="U73" t="str">
            <v>YTD</v>
          </cell>
          <cell r="V73" t="str">
            <v>YTD</v>
          </cell>
          <cell r="X73" t="str">
            <v>YTD</v>
          </cell>
          <cell r="Y73" t="str">
            <v>YTD</v>
          </cell>
          <cell r="AB73" t="str">
            <v>YTD</v>
          </cell>
          <cell r="AC73" t="str">
            <v>YTD</v>
          </cell>
        </row>
        <row r="74">
          <cell r="C74">
            <v>37104</v>
          </cell>
          <cell r="D74">
            <v>37104</v>
          </cell>
          <cell r="G74">
            <v>37104</v>
          </cell>
          <cell r="H74">
            <v>36739</v>
          </cell>
          <cell r="J74">
            <v>37104</v>
          </cell>
          <cell r="K74">
            <v>37104</v>
          </cell>
          <cell r="N74">
            <v>37104</v>
          </cell>
          <cell r="O74">
            <v>36739</v>
          </cell>
          <cell r="Q74">
            <v>37104</v>
          </cell>
          <cell r="R74">
            <v>37104</v>
          </cell>
          <cell r="U74">
            <v>37104</v>
          </cell>
          <cell r="V74">
            <v>36739</v>
          </cell>
          <cell r="X74">
            <v>37104</v>
          </cell>
          <cell r="Y74">
            <v>37104</v>
          </cell>
          <cell r="AB74">
            <v>37104</v>
          </cell>
          <cell r="AC74">
            <v>36739</v>
          </cell>
          <cell r="AD74">
            <v>2001</v>
          </cell>
          <cell r="AE74">
            <v>2000</v>
          </cell>
        </row>
        <row r="75">
          <cell r="C75" t="str">
            <v>Actual</v>
          </cell>
          <cell r="D75" t="str">
            <v>Forecast</v>
          </cell>
          <cell r="E75" t="str">
            <v>$ Var</v>
          </cell>
          <cell r="F75" t="str">
            <v>% Var</v>
          </cell>
          <cell r="G75" t="str">
            <v>Budget</v>
          </cell>
          <cell r="H75" t="str">
            <v>Actual</v>
          </cell>
          <cell r="J75" t="str">
            <v>Actual</v>
          </cell>
          <cell r="K75" t="str">
            <v>Forecast</v>
          </cell>
          <cell r="L75" t="str">
            <v>$ Var</v>
          </cell>
          <cell r="M75" t="str">
            <v>% Var</v>
          </cell>
          <cell r="N75" t="str">
            <v>Budget</v>
          </cell>
          <cell r="O75" t="str">
            <v>Actual</v>
          </cell>
          <cell r="Q75" t="str">
            <v>Actual</v>
          </cell>
          <cell r="R75" t="str">
            <v>Forecast</v>
          </cell>
          <cell r="S75" t="str">
            <v>$ Var</v>
          </cell>
          <cell r="T75" t="str">
            <v>% Var</v>
          </cell>
          <cell r="U75" t="str">
            <v>Budget</v>
          </cell>
          <cell r="V75" t="str">
            <v>Actual</v>
          </cell>
          <cell r="X75" t="str">
            <v>Actual</v>
          </cell>
          <cell r="Y75" t="str">
            <v>Forecast</v>
          </cell>
          <cell r="Z75" t="str">
            <v>$ Var</v>
          </cell>
          <cell r="AA75" t="str">
            <v>% Var</v>
          </cell>
          <cell r="AB75" t="str">
            <v>Budget</v>
          </cell>
          <cell r="AC75" t="str">
            <v>Actual</v>
          </cell>
          <cell r="AD75" t="str">
            <v>Forecast</v>
          </cell>
          <cell r="AE75" t="str">
            <v>Actual</v>
          </cell>
        </row>
        <row r="77">
          <cell r="AH77">
            <v>1</v>
          </cell>
          <cell r="AI77">
            <v>2</v>
          </cell>
          <cell r="AJ77">
            <v>3</v>
          </cell>
          <cell r="AK77">
            <v>4</v>
          </cell>
          <cell r="AL77">
            <v>5</v>
          </cell>
          <cell r="AM77">
            <v>6</v>
          </cell>
          <cell r="AN77">
            <v>7</v>
          </cell>
          <cell r="AO77">
            <v>8</v>
          </cell>
          <cell r="AP77">
            <v>9</v>
          </cell>
          <cell r="AQ77">
            <v>10</v>
          </cell>
          <cell r="AR77">
            <v>11</v>
          </cell>
          <cell r="AS77">
            <v>12</v>
          </cell>
          <cell r="AW77">
            <v>1</v>
          </cell>
          <cell r="AX77">
            <v>2</v>
          </cell>
          <cell r="AY77">
            <v>3</v>
          </cell>
          <cell r="AZ77">
            <v>4</v>
          </cell>
          <cell r="BA77">
            <v>5</v>
          </cell>
          <cell r="BB77">
            <v>6</v>
          </cell>
          <cell r="BC77">
            <v>7</v>
          </cell>
          <cell r="BD77">
            <v>8</v>
          </cell>
          <cell r="BE77">
            <v>9</v>
          </cell>
          <cell r="BF77">
            <v>10</v>
          </cell>
          <cell r="BG77">
            <v>11</v>
          </cell>
          <cell r="BH77">
            <v>12</v>
          </cell>
          <cell r="BL77">
            <v>1</v>
          </cell>
          <cell r="BM77">
            <v>2</v>
          </cell>
          <cell r="BN77">
            <v>3</v>
          </cell>
          <cell r="BO77">
            <v>4</v>
          </cell>
          <cell r="BP77">
            <v>5</v>
          </cell>
          <cell r="BQ77">
            <v>6</v>
          </cell>
          <cell r="BR77">
            <v>7</v>
          </cell>
          <cell r="BS77">
            <v>8</v>
          </cell>
          <cell r="BT77">
            <v>9</v>
          </cell>
          <cell r="BU77">
            <v>10</v>
          </cell>
          <cell r="BV77">
            <v>11</v>
          </cell>
          <cell r="BW77">
            <v>12</v>
          </cell>
          <cell r="CP77">
            <v>1</v>
          </cell>
          <cell r="CQ77">
            <v>2</v>
          </cell>
          <cell r="CR77">
            <v>3</v>
          </cell>
          <cell r="CS77">
            <v>4</v>
          </cell>
          <cell r="CT77">
            <v>5</v>
          </cell>
          <cell r="CU77">
            <v>6</v>
          </cell>
          <cell r="CV77">
            <v>7</v>
          </cell>
          <cell r="CW77">
            <v>8</v>
          </cell>
          <cell r="CX77">
            <v>9</v>
          </cell>
          <cell r="CY77">
            <v>10</v>
          </cell>
          <cell r="CZ77">
            <v>11</v>
          </cell>
          <cell r="DA77">
            <v>12</v>
          </cell>
          <cell r="DE77">
            <v>1</v>
          </cell>
          <cell r="DF77">
            <v>2</v>
          </cell>
          <cell r="DG77">
            <v>3</v>
          </cell>
          <cell r="DH77">
            <v>4</v>
          </cell>
          <cell r="DI77">
            <v>5</v>
          </cell>
          <cell r="DJ77">
            <v>6</v>
          </cell>
          <cell r="DK77">
            <v>7</v>
          </cell>
          <cell r="DL77">
            <v>8</v>
          </cell>
          <cell r="DM77">
            <v>9</v>
          </cell>
          <cell r="DN77">
            <v>10</v>
          </cell>
          <cell r="DO77">
            <v>11</v>
          </cell>
          <cell r="DP77">
            <v>12</v>
          </cell>
          <cell r="DT77">
            <v>1</v>
          </cell>
          <cell r="DU77">
            <v>2</v>
          </cell>
          <cell r="DV77">
            <v>3</v>
          </cell>
          <cell r="DW77">
            <v>4</v>
          </cell>
          <cell r="DX77">
            <v>5</v>
          </cell>
          <cell r="DY77">
            <v>6</v>
          </cell>
          <cell r="DZ77">
            <v>7</v>
          </cell>
          <cell r="EA77">
            <v>8</v>
          </cell>
          <cell r="EB77">
            <v>9</v>
          </cell>
          <cell r="EC77">
            <v>10</v>
          </cell>
          <cell r="ED77">
            <v>11</v>
          </cell>
          <cell r="EE77">
            <v>12</v>
          </cell>
          <cell r="EX77">
            <v>1</v>
          </cell>
          <cell r="EY77">
            <v>2</v>
          </cell>
          <cell r="EZ77">
            <v>3</v>
          </cell>
          <cell r="FA77">
            <v>4</v>
          </cell>
          <cell r="FB77">
            <v>5</v>
          </cell>
          <cell r="FC77">
            <v>6</v>
          </cell>
          <cell r="FD77">
            <v>7</v>
          </cell>
          <cell r="FE77">
            <v>8</v>
          </cell>
          <cell r="FF77">
            <v>9</v>
          </cell>
          <cell r="FG77">
            <v>10</v>
          </cell>
          <cell r="FH77">
            <v>11</v>
          </cell>
          <cell r="FI77">
            <v>12</v>
          </cell>
          <cell r="FM77">
            <v>1</v>
          </cell>
          <cell r="FN77">
            <v>2</v>
          </cell>
          <cell r="FO77">
            <v>3</v>
          </cell>
          <cell r="FP77">
            <v>4</v>
          </cell>
          <cell r="FQ77">
            <v>5</v>
          </cell>
          <cell r="FR77">
            <v>6</v>
          </cell>
          <cell r="FS77">
            <v>7</v>
          </cell>
          <cell r="FT77">
            <v>8</v>
          </cell>
          <cell r="FU77">
            <v>9</v>
          </cell>
          <cell r="FV77">
            <v>10</v>
          </cell>
          <cell r="FW77">
            <v>11</v>
          </cell>
          <cell r="FX77">
            <v>12</v>
          </cell>
          <cell r="GB77">
            <v>1</v>
          </cell>
          <cell r="GC77">
            <v>2</v>
          </cell>
          <cell r="GD77">
            <v>3</v>
          </cell>
          <cell r="GE77">
            <v>4</v>
          </cell>
          <cell r="GF77">
            <v>5</v>
          </cell>
          <cell r="GG77">
            <v>6</v>
          </cell>
          <cell r="GH77">
            <v>7</v>
          </cell>
          <cell r="GI77">
            <v>8</v>
          </cell>
          <cell r="GJ77">
            <v>9</v>
          </cell>
          <cell r="GK77">
            <v>10</v>
          </cell>
          <cell r="GL77">
            <v>11</v>
          </cell>
          <cell r="GM77">
            <v>12</v>
          </cell>
        </row>
        <row r="78">
          <cell r="A78" t="str">
            <v>College Revenue</v>
          </cell>
          <cell r="C78">
            <v>3662.7506730877903</v>
          </cell>
          <cell r="D78">
            <v>0</v>
          </cell>
          <cell r="E78">
            <v>3662.7506730877903</v>
          </cell>
          <cell r="F78" t="str">
            <v>n/a</v>
          </cell>
          <cell r="G78">
            <v>3040.4882865546574</v>
          </cell>
          <cell r="H78">
            <v>2806.4084133932429</v>
          </cell>
          <cell r="J78">
            <v>3174.3072430877905</v>
          </cell>
          <cell r="K78">
            <v>0</v>
          </cell>
          <cell r="L78">
            <v>3174.3072430877905</v>
          </cell>
          <cell r="M78" t="str">
            <v>n/a</v>
          </cell>
          <cell r="N78">
            <v>2814.2382865546574</v>
          </cell>
          <cell r="O78">
            <v>2804.498413393243</v>
          </cell>
          <cell r="Q78">
            <v>488.44342999999992</v>
          </cell>
          <cell r="R78">
            <v>0</v>
          </cell>
          <cell r="S78">
            <v>488.44342999999992</v>
          </cell>
          <cell r="T78" t="str">
            <v>n/a</v>
          </cell>
          <cell r="U78">
            <v>226.25</v>
          </cell>
          <cell r="V78">
            <v>1.91</v>
          </cell>
          <cell r="X78">
            <v>0</v>
          </cell>
          <cell r="Y78">
            <v>0</v>
          </cell>
          <cell r="Z78">
            <v>0</v>
          </cell>
          <cell r="AA78" t="str">
            <v>n/a</v>
          </cell>
          <cell r="AB78">
            <v>0</v>
          </cell>
          <cell r="AC78">
            <v>0</v>
          </cell>
          <cell r="AD78">
            <v>4636.7506730877903</v>
          </cell>
          <cell r="AE78">
            <v>3407.378008070029</v>
          </cell>
          <cell r="AH78">
            <v>205214.26643880818</v>
          </cell>
          <cell r="AI78">
            <v>543168.16489477898</v>
          </cell>
          <cell r="AJ78">
            <v>979174.57833124092</v>
          </cell>
          <cell r="AK78">
            <v>1484596.6979760733</v>
          </cell>
          <cell r="AL78">
            <v>1870751.8119367692</v>
          </cell>
          <cell r="AM78">
            <v>2714711.9837826164</v>
          </cell>
          <cell r="AN78">
            <v>2914325.5009713727</v>
          </cell>
          <cell r="AO78">
            <v>3174307.2430877904</v>
          </cell>
          <cell r="AP78">
            <v>3174307.2430877904</v>
          </cell>
          <cell r="AQ78">
            <v>3174307.2430877904</v>
          </cell>
          <cell r="AR78">
            <v>3174307.2430877904</v>
          </cell>
          <cell r="AS78">
            <v>3174307.2430877904</v>
          </cell>
          <cell r="AW78">
            <v>71222</v>
          </cell>
          <cell r="AX78">
            <v>163733.44</v>
          </cell>
          <cell r="AY78">
            <v>238633.26</v>
          </cell>
          <cell r="AZ78">
            <v>281264.34999999998</v>
          </cell>
          <cell r="BA78">
            <v>310767.84999999998</v>
          </cell>
          <cell r="BB78">
            <v>415924.63999999996</v>
          </cell>
          <cell r="BC78">
            <v>449838.57999999996</v>
          </cell>
          <cell r="BD78">
            <v>488443.42999999993</v>
          </cell>
          <cell r="BE78">
            <v>488443.42999999993</v>
          </cell>
          <cell r="BF78">
            <v>488443.42999999993</v>
          </cell>
          <cell r="BG78">
            <v>488443.42999999993</v>
          </cell>
          <cell r="BH78">
            <v>488443.42999999993</v>
          </cell>
          <cell r="BL78">
            <v>0</v>
          </cell>
          <cell r="BM78">
            <v>0</v>
          </cell>
          <cell r="BN78">
            <v>0</v>
          </cell>
          <cell r="BO78">
            <v>0</v>
          </cell>
          <cell r="BP78">
            <v>0</v>
          </cell>
          <cell r="BQ78">
            <v>0</v>
          </cell>
          <cell r="BR78">
            <v>0</v>
          </cell>
          <cell r="BS78">
            <v>0</v>
          </cell>
          <cell r="BT78">
            <v>0</v>
          </cell>
          <cell r="BU78">
            <v>0</v>
          </cell>
          <cell r="BV78">
            <v>0</v>
          </cell>
          <cell r="BW78">
            <v>0</v>
          </cell>
          <cell r="CP78">
            <v>228500</v>
          </cell>
          <cell r="CQ78">
            <v>573514.26643880818</v>
          </cell>
          <cell r="CR78">
            <v>907568.16489477898</v>
          </cell>
          <cell r="CS78">
            <v>1375174.5783312409</v>
          </cell>
          <cell r="CT78">
            <v>1874596.6979760733</v>
          </cell>
          <cell r="CU78">
            <v>2445751.8119367692</v>
          </cell>
          <cell r="CV78">
            <v>2879711.9837826164</v>
          </cell>
          <cell r="CW78">
            <v>3147150.5009713727</v>
          </cell>
          <cell r="DE78">
            <v>53000</v>
          </cell>
          <cell r="DF78">
            <v>123722</v>
          </cell>
          <cell r="DG78">
            <v>223733.44</v>
          </cell>
          <cell r="DH78">
            <v>290633.26</v>
          </cell>
          <cell r="DI78">
            <v>340264.35</v>
          </cell>
          <cell r="DJ78">
            <v>384767.85</v>
          </cell>
          <cell r="DK78">
            <v>429924.63999999996</v>
          </cell>
          <cell r="DL78">
            <v>462838.57999999996</v>
          </cell>
          <cell r="DT78">
            <v>0</v>
          </cell>
          <cell r="DU78">
            <v>0</v>
          </cell>
          <cell r="DV78">
            <v>0</v>
          </cell>
          <cell r="DW78">
            <v>0</v>
          </cell>
          <cell r="DX78">
            <v>0</v>
          </cell>
          <cell r="DY78">
            <v>0</v>
          </cell>
          <cell r="DZ78">
            <v>0</v>
          </cell>
          <cell r="EA78">
            <v>0</v>
          </cell>
          <cell r="EX78">
            <v>150989.05909262641</v>
          </cell>
          <cell r="EY78">
            <v>425902.16009849065</v>
          </cell>
          <cell r="EZ78">
            <v>693756.10418134939</v>
          </cell>
          <cell r="FA78">
            <v>934285.51984985103</v>
          </cell>
          <cell r="FB78">
            <v>1647317.5689004227</v>
          </cell>
          <cell r="FC78">
            <v>2371712.6650171271</v>
          </cell>
          <cell r="FD78">
            <v>2452758.8906134614</v>
          </cell>
          <cell r="FE78">
            <v>2635410.3190303543</v>
          </cell>
          <cell r="FF78">
            <v>2804498.4133932432</v>
          </cell>
          <cell r="FG78">
            <v>2970408.390027883</v>
          </cell>
          <cell r="FH78">
            <v>3235949.8046118817</v>
          </cell>
          <cell r="FI78">
            <v>3374393.208070029</v>
          </cell>
          <cell r="FM78">
            <v>0</v>
          </cell>
          <cell r="FN78">
            <v>0</v>
          </cell>
          <cell r="FO78">
            <v>0</v>
          </cell>
          <cell r="FP78">
            <v>0</v>
          </cell>
          <cell r="FQ78">
            <v>0</v>
          </cell>
          <cell r="FR78">
            <v>1910</v>
          </cell>
          <cell r="FS78">
            <v>1910</v>
          </cell>
          <cell r="FT78">
            <v>1910</v>
          </cell>
          <cell r="FU78">
            <v>1910</v>
          </cell>
          <cell r="FV78">
            <v>1910</v>
          </cell>
          <cell r="FW78">
            <v>1910</v>
          </cell>
          <cell r="FX78">
            <v>32984.800000000003</v>
          </cell>
          <cell r="GB78">
            <v>0</v>
          </cell>
          <cell r="GC78">
            <v>0</v>
          </cell>
          <cell r="GD78">
            <v>0</v>
          </cell>
          <cell r="GE78">
            <v>0</v>
          </cell>
          <cell r="GF78">
            <v>0</v>
          </cell>
          <cell r="GG78">
            <v>0</v>
          </cell>
          <cell r="GH78">
            <v>0</v>
          </cell>
          <cell r="GI78">
            <v>0</v>
          </cell>
          <cell r="GJ78">
            <v>0</v>
          </cell>
          <cell r="GK78">
            <v>0</v>
          </cell>
          <cell r="GL78">
            <v>0</v>
          </cell>
          <cell r="GM78">
            <v>0</v>
          </cell>
        </row>
        <row r="79">
          <cell r="A79" t="str">
            <v>El-Hi Revenue</v>
          </cell>
          <cell r="C79">
            <v>6579.441066912208</v>
          </cell>
          <cell r="D79">
            <v>0</v>
          </cell>
          <cell r="E79">
            <v>6579.441066912208</v>
          </cell>
          <cell r="F79" t="str">
            <v>n/a</v>
          </cell>
          <cell r="G79">
            <v>7296.1121388075244</v>
          </cell>
          <cell r="H79">
            <v>5240.6720966067569</v>
          </cell>
          <cell r="J79">
            <v>5208.7730669122084</v>
          </cell>
          <cell r="K79">
            <v>0</v>
          </cell>
          <cell r="L79">
            <v>5208.7730669122084</v>
          </cell>
          <cell r="M79" t="str">
            <v>n/a</v>
          </cell>
          <cell r="N79">
            <v>5928.0932029132891</v>
          </cell>
          <cell r="O79">
            <v>4702.0064666067574</v>
          </cell>
          <cell r="Q79">
            <v>1370.6679999999999</v>
          </cell>
          <cell r="R79">
            <v>0</v>
          </cell>
          <cell r="S79">
            <v>1370.6679999999999</v>
          </cell>
          <cell r="T79" t="str">
            <v>n/a</v>
          </cell>
          <cell r="U79">
            <v>1368.018935894235</v>
          </cell>
          <cell r="V79">
            <v>538.66562999999996</v>
          </cell>
          <cell r="X79">
            <v>0</v>
          </cell>
          <cell r="Y79">
            <v>0</v>
          </cell>
          <cell r="Z79">
            <v>0</v>
          </cell>
          <cell r="AA79" t="str">
            <v>n/a</v>
          </cell>
          <cell r="AB79">
            <v>0</v>
          </cell>
          <cell r="AC79">
            <v>0</v>
          </cell>
          <cell r="AD79">
            <v>8226.9610669122085</v>
          </cell>
          <cell r="AE79">
            <v>7079.8208519299724</v>
          </cell>
          <cell r="AH79">
            <v>312054.89356119186</v>
          </cell>
          <cell r="AI79">
            <v>753399.4251052211</v>
          </cell>
          <cell r="AJ79">
            <v>2046907.6716687591</v>
          </cell>
          <cell r="AK79">
            <v>2178706.4820239265</v>
          </cell>
          <cell r="AL79">
            <v>3289752.3380632303</v>
          </cell>
          <cell r="AM79">
            <v>4096968.2762173829</v>
          </cell>
          <cell r="AN79">
            <v>4700375.0990286265</v>
          </cell>
          <cell r="AO79">
            <v>5208773.0669122087</v>
          </cell>
          <cell r="AP79">
            <v>5208773.0669122087</v>
          </cell>
          <cell r="AQ79">
            <v>5208773.0669122087</v>
          </cell>
          <cell r="AR79">
            <v>5208773.0669122087</v>
          </cell>
          <cell r="AS79">
            <v>5208773.0669122087</v>
          </cell>
          <cell r="AW79">
            <v>50000</v>
          </cell>
          <cell r="AX79">
            <v>191886</v>
          </cell>
          <cell r="AY79">
            <v>478012.32</v>
          </cell>
          <cell r="AZ79">
            <v>634155.35</v>
          </cell>
          <cell r="BA79">
            <v>970307.23</v>
          </cell>
          <cell r="BB79">
            <v>1123759</v>
          </cell>
          <cell r="BC79">
            <v>1247763</v>
          </cell>
          <cell r="BD79">
            <v>1370668</v>
          </cell>
          <cell r="BE79">
            <v>1370668</v>
          </cell>
          <cell r="BF79">
            <v>1370668</v>
          </cell>
          <cell r="BG79">
            <v>1370668</v>
          </cell>
          <cell r="BH79">
            <v>1370668</v>
          </cell>
          <cell r="BL79">
            <v>0</v>
          </cell>
          <cell r="BM79">
            <v>0</v>
          </cell>
          <cell r="BN79">
            <v>0</v>
          </cell>
          <cell r="BO79">
            <v>0</v>
          </cell>
          <cell r="BP79">
            <v>0</v>
          </cell>
          <cell r="BQ79">
            <v>0</v>
          </cell>
          <cell r="BR79">
            <v>0</v>
          </cell>
          <cell r="BS79">
            <v>0</v>
          </cell>
          <cell r="BT79">
            <v>0</v>
          </cell>
          <cell r="BU79">
            <v>0</v>
          </cell>
          <cell r="BV79">
            <v>0</v>
          </cell>
          <cell r="BW79">
            <v>0</v>
          </cell>
          <cell r="CP79">
            <v>551000</v>
          </cell>
          <cell r="CQ79">
            <v>950054.89356119186</v>
          </cell>
          <cell r="CR79">
            <v>1804217.4251052211</v>
          </cell>
          <cell r="CS79">
            <v>2776907.6716687591</v>
          </cell>
          <cell r="CT79">
            <v>2677706.4820239265</v>
          </cell>
          <cell r="CU79">
            <v>3894536.3380632303</v>
          </cell>
          <cell r="CV79">
            <v>4508768.2762173824</v>
          </cell>
          <cell r="CW79">
            <v>5200015.0990286265</v>
          </cell>
          <cell r="DE79">
            <v>149000</v>
          </cell>
          <cell r="DF79">
            <v>304000</v>
          </cell>
          <cell r="DG79">
            <v>435886</v>
          </cell>
          <cell r="DH79">
            <v>702012.32000000007</v>
          </cell>
          <cell r="DI79">
            <v>766155.35</v>
          </cell>
          <cell r="DJ79">
            <v>1254307.23</v>
          </cell>
          <cell r="DK79">
            <v>1295759</v>
          </cell>
          <cell r="DL79">
            <v>1455763</v>
          </cell>
          <cell r="DT79">
            <v>0</v>
          </cell>
          <cell r="DU79">
            <v>0</v>
          </cell>
          <cell r="DV79">
            <v>0</v>
          </cell>
          <cell r="DW79">
            <v>0</v>
          </cell>
          <cell r="DX79">
            <v>0</v>
          </cell>
          <cell r="DY79">
            <v>0</v>
          </cell>
          <cell r="DZ79">
            <v>0</v>
          </cell>
          <cell r="EA79">
            <v>0</v>
          </cell>
          <cell r="EX79">
            <v>627310.59090737358</v>
          </cell>
          <cell r="EY79">
            <v>1167497.4699015094</v>
          </cell>
          <cell r="EZ79">
            <v>2321485.2358186506</v>
          </cell>
          <cell r="FA79">
            <v>2824720.6301501491</v>
          </cell>
          <cell r="FB79">
            <v>3180111.4210995776</v>
          </cell>
          <cell r="FC79">
            <v>3784619.5249828734</v>
          </cell>
          <cell r="FD79">
            <v>4003886.2293865392</v>
          </cell>
          <cell r="FE79">
            <v>4234837.7909696465</v>
          </cell>
          <cell r="FF79">
            <v>4702006.4666067576</v>
          </cell>
          <cell r="FG79">
            <v>5189177.7299721185</v>
          </cell>
          <cell r="FH79">
            <v>5661723.7953881193</v>
          </cell>
          <cell r="FI79">
            <v>6268413.5619299719</v>
          </cell>
          <cell r="FM79">
            <v>86378.5</v>
          </cell>
          <cell r="FN79">
            <v>153085.5</v>
          </cell>
          <cell r="FO79">
            <v>279852.93</v>
          </cell>
          <cell r="FP79">
            <v>334611.43</v>
          </cell>
          <cell r="FQ79">
            <v>362261.43</v>
          </cell>
          <cell r="FR79">
            <v>375987.93</v>
          </cell>
          <cell r="FS79">
            <v>397112.33</v>
          </cell>
          <cell r="FT79">
            <v>451774.33</v>
          </cell>
          <cell r="FU79">
            <v>538665.63</v>
          </cell>
          <cell r="FV79">
            <v>643339.53</v>
          </cell>
          <cell r="FW79">
            <v>731986.03</v>
          </cell>
          <cell r="FX79">
            <v>811407.29</v>
          </cell>
          <cell r="GB79">
            <v>0</v>
          </cell>
          <cell r="GC79">
            <v>0</v>
          </cell>
          <cell r="GD79">
            <v>0</v>
          </cell>
          <cell r="GE79">
            <v>0</v>
          </cell>
          <cell r="GF79">
            <v>0</v>
          </cell>
          <cell r="GG79">
            <v>0</v>
          </cell>
          <cell r="GH79">
            <v>0</v>
          </cell>
          <cell r="GI79">
            <v>0</v>
          </cell>
          <cell r="GJ79">
            <v>0</v>
          </cell>
          <cell r="GK79">
            <v>0</v>
          </cell>
          <cell r="GL79">
            <v>0</v>
          </cell>
          <cell r="GM79">
            <v>0</v>
          </cell>
        </row>
        <row r="80">
          <cell r="A80" t="str">
            <v>Innova Revenue</v>
          </cell>
          <cell r="C80">
            <v>1920.6767199999999</v>
          </cell>
          <cell r="D80">
            <v>0</v>
          </cell>
          <cell r="E80">
            <v>1920.6767199999999</v>
          </cell>
          <cell r="F80" t="str">
            <v>n/a</v>
          </cell>
          <cell r="G80">
            <v>1529.5845746378182</v>
          </cell>
          <cell r="H80">
            <v>2080.0311999999999</v>
          </cell>
          <cell r="J80">
            <v>0</v>
          </cell>
          <cell r="K80">
            <v>0</v>
          </cell>
          <cell r="L80">
            <v>0</v>
          </cell>
          <cell r="M80" t="str">
            <v>n/a</v>
          </cell>
          <cell r="N80">
            <v>0</v>
          </cell>
          <cell r="O80">
            <v>0</v>
          </cell>
          <cell r="Q80">
            <v>0</v>
          </cell>
          <cell r="R80">
            <v>0</v>
          </cell>
          <cell r="S80">
            <v>0</v>
          </cell>
          <cell r="T80" t="str">
            <v>n/a</v>
          </cell>
          <cell r="U80">
            <v>0</v>
          </cell>
          <cell r="V80">
            <v>0</v>
          </cell>
          <cell r="X80">
            <v>1920.6767199999999</v>
          </cell>
          <cell r="Y80">
            <v>0</v>
          </cell>
          <cell r="Z80">
            <v>1920.6767199999999</v>
          </cell>
          <cell r="AA80" t="str">
            <v>n/a</v>
          </cell>
          <cell r="AB80">
            <v>1529.5845746378182</v>
          </cell>
          <cell r="AC80">
            <v>2080.0311999999999</v>
          </cell>
          <cell r="AD80">
            <v>2475.4547199999997</v>
          </cell>
          <cell r="AE80">
            <v>2672.2191999999995</v>
          </cell>
          <cell r="AH80">
            <v>0</v>
          </cell>
          <cell r="AI80">
            <v>0</v>
          </cell>
          <cell r="AJ80">
            <v>0</v>
          </cell>
          <cell r="AK80">
            <v>0</v>
          </cell>
          <cell r="AL80">
            <v>0</v>
          </cell>
          <cell r="AM80">
            <v>0</v>
          </cell>
          <cell r="AN80">
            <v>0</v>
          </cell>
          <cell r="AO80">
            <v>0</v>
          </cell>
          <cell r="AP80">
            <v>0</v>
          </cell>
          <cell r="AQ80">
            <v>0</v>
          </cell>
          <cell r="AR80">
            <v>0</v>
          </cell>
          <cell r="AS80">
            <v>0</v>
          </cell>
          <cell r="AW80">
            <v>0</v>
          </cell>
          <cell r="AX80">
            <v>0</v>
          </cell>
          <cell r="AY80">
            <v>0</v>
          </cell>
          <cell r="AZ80">
            <v>0</v>
          </cell>
          <cell r="BA80">
            <v>0</v>
          </cell>
          <cell r="BB80">
            <v>0</v>
          </cell>
          <cell r="BC80">
            <v>0</v>
          </cell>
          <cell r="BD80">
            <v>0</v>
          </cell>
          <cell r="BE80">
            <v>0</v>
          </cell>
          <cell r="BF80">
            <v>0</v>
          </cell>
          <cell r="BG80">
            <v>0</v>
          </cell>
          <cell r="BH80">
            <v>0</v>
          </cell>
          <cell r="BL80">
            <v>261898.78</v>
          </cell>
          <cell r="BM80">
            <v>424248.2</v>
          </cell>
          <cell r="BN80">
            <v>611812.12</v>
          </cell>
          <cell r="BO80">
            <v>675787.89</v>
          </cell>
          <cell r="BP80">
            <v>1020105.0800000001</v>
          </cell>
          <cell r="BQ80">
            <v>1560804.65</v>
          </cell>
          <cell r="BR80">
            <v>1731746.96</v>
          </cell>
          <cell r="BS80">
            <v>1920676.72</v>
          </cell>
          <cell r="BT80">
            <v>1920676.72</v>
          </cell>
          <cell r="BU80">
            <v>1920676.72</v>
          </cell>
          <cell r="BV80">
            <v>1920676.72</v>
          </cell>
          <cell r="BW80">
            <v>1920676.72</v>
          </cell>
          <cell r="CP80">
            <v>0</v>
          </cell>
          <cell r="CQ80">
            <v>0</v>
          </cell>
          <cell r="CR80">
            <v>0</v>
          </cell>
          <cell r="CS80">
            <v>0</v>
          </cell>
          <cell r="CT80">
            <v>0</v>
          </cell>
          <cell r="CU80">
            <v>0</v>
          </cell>
          <cell r="CV80">
            <v>0</v>
          </cell>
          <cell r="CW80">
            <v>0</v>
          </cell>
          <cell r="DE80">
            <v>0</v>
          </cell>
          <cell r="DF80">
            <v>0</v>
          </cell>
          <cell r="DG80">
            <v>0</v>
          </cell>
          <cell r="DH80">
            <v>0</v>
          </cell>
          <cell r="DI80">
            <v>0</v>
          </cell>
          <cell r="DJ80">
            <v>0</v>
          </cell>
          <cell r="DK80">
            <v>0</v>
          </cell>
          <cell r="DL80">
            <v>0</v>
          </cell>
          <cell r="DT80">
            <v>257970.00000000003</v>
          </cell>
          <cell r="DU80">
            <v>438368.78</v>
          </cell>
          <cell r="DV80">
            <v>591635.19999999995</v>
          </cell>
          <cell r="DW80">
            <v>856499.12</v>
          </cell>
          <cell r="DX80">
            <v>1124674.8900000001</v>
          </cell>
          <cell r="DY80">
            <v>1418723.08</v>
          </cell>
          <cell r="DZ80">
            <v>1756636.65</v>
          </cell>
          <cell r="EA80">
            <v>1939178.96</v>
          </cell>
          <cell r="EX80">
            <v>0</v>
          </cell>
          <cell r="EY80">
            <v>0</v>
          </cell>
          <cell r="EZ80">
            <v>0</v>
          </cell>
          <cell r="FA80">
            <v>0</v>
          </cell>
          <cell r="FB80">
            <v>0</v>
          </cell>
          <cell r="FC80">
            <v>0</v>
          </cell>
          <cell r="FD80">
            <v>0</v>
          </cell>
          <cell r="FE80">
            <v>0</v>
          </cell>
          <cell r="FF80">
            <v>0</v>
          </cell>
          <cell r="FG80">
            <v>0</v>
          </cell>
          <cell r="FH80">
            <v>0</v>
          </cell>
          <cell r="FI80">
            <v>0</v>
          </cell>
          <cell r="FM80">
            <v>0</v>
          </cell>
          <cell r="FN80">
            <v>0</v>
          </cell>
          <cell r="FO80">
            <v>0</v>
          </cell>
          <cell r="FP80">
            <v>0</v>
          </cell>
          <cell r="FQ80">
            <v>0</v>
          </cell>
          <cell r="FR80">
            <v>0</v>
          </cell>
          <cell r="FS80">
            <v>0</v>
          </cell>
          <cell r="FT80">
            <v>0</v>
          </cell>
          <cell r="FU80">
            <v>0</v>
          </cell>
          <cell r="FV80">
            <v>0</v>
          </cell>
          <cell r="FW80">
            <v>0</v>
          </cell>
          <cell r="FX80">
            <v>0</v>
          </cell>
          <cell r="GB80">
            <v>124532.41</v>
          </cell>
          <cell r="GC80">
            <v>304497.32</v>
          </cell>
          <cell r="GD80">
            <v>636907.13</v>
          </cell>
          <cell r="GE80">
            <v>872457.54</v>
          </cell>
          <cell r="GF80">
            <v>1170355.3600000001</v>
          </cell>
          <cell r="GG80">
            <v>1539578.46</v>
          </cell>
          <cell r="GH80">
            <v>1726757.6099999999</v>
          </cell>
          <cell r="GI80">
            <v>1967862.69</v>
          </cell>
          <cell r="GJ80">
            <v>2080031.2</v>
          </cell>
          <cell r="GK80">
            <v>2265250.56</v>
          </cell>
          <cell r="GL80">
            <v>2407074.34</v>
          </cell>
          <cell r="GM80">
            <v>2672219.1999999997</v>
          </cell>
        </row>
        <row r="81">
          <cell r="A81" t="str">
            <v>Commercial Revenue</v>
          </cell>
          <cell r="C81">
            <v>41.895000000000003</v>
          </cell>
          <cell r="D81">
            <v>0</v>
          </cell>
          <cell r="E81">
            <v>41.895000000000003</v>
          </cell>
          <cell r="F81" t="str">
            <v>n/a</v>
          </cell>
          <cell r="G81">
            <v>45</v>
          </cell>
          <cell r="H81">
            <v>55.444000000000003</v>
          </cell>
          <cell r="J81">
            <v>41.895000000000003</v>
          </cell>
          <cell r="K81">
            <v>0</v>
          </cell>
          <cell r="L81">
            <v>41.895000000000003</v>
          </cell>
          <cell r="M81" t="str">
            <v>n/a</v>
          </cell>
          <cell r="N81">
            <v>45</v>
          </cell>
          <cell r="O81">
            <v>55.444000000000003</v>
          </cell>
          <cell r="Q81">
            <v>0</v>
          </cell>
          <cell r="R81">
            <v>0</v>
          </cell>
          <cell r="S81">
            <v>0</v>
          </cell>
          <cell r="T81" t="str">
            <v>n/a</v>
          </cell>
          <cell r="U81">
            <v>0</v>
          </cell>
          <cell r="V81">
            <v>0</v>
          </cell>
          <cell r="X81">
            <v>0</v>
          </cell>
          <cell r="Y81">
            <v>0</v>
          </cell>
          <cell r="Z81">
            <v>0</v>
          </cell>
          <cell r="AA81" t="str">
            <v>n/a</v>
          </cell>
          <cell r="AB81">
            <v>0</v>
          </cell>
          <cell r="AC81">
            <v>0</v>
          </cell>
          <cell r="AD81">
            <v>61.895000000000003</v>
          </cell>
          <cell r="AE81">
            <v>74.724000000000004</v>
          </cell>
          <cell r="AH81">
            <v>5060</v>
          </cell>
          <cell r="AI81">
            <v>12937</v>
          </cell>
          <cell r="AJ81">
            <v>21685.5</v>
          </cell>
          <cell r="AK81">
            <v>23905.5</v>
          </cell>
          <cell r="AL81">
            <v>30879</v>
          </cell>
          <cell r="AM81">
            <v>33805</v>
          </cell>
          <cell r="AN81">
            <v>39152.5</v>
          </cell>
          <cell r="AO81">
            <v>41895</v>
          </cell>
          <cell r="AP81">
            <v>41895</v>
          </cell>
          <cell r="AQ81">
            <v>41895</v>
          </cell>
          <cell r="AR81">
            <v>41895</v>
          </cell>
          <cell r="AS81">
            <v>41895</v>
          </cell>
          <cell r="AW81">
            <v>0</v>
          </cell>
          <cell r="AX81">
            <v>0</v>
          </cell>
          <cell r="AY81">
            <v>0</v>
          </cell>
          <cell r="AZ81">
            <v>0</v>
          </cell>
          <cell r="BA81">
            <v>0</v>
          </cell>
          <cell r="BB81">
            <v>0</v>
          </cell>
          <cell r="BC81">
            <v>0</v>
          </cell>
          <cell r="BD81">
            <v>0</v>
          </cell>
          <cell r="BE81">
            <v>0</v>
          </cell>
          <cell r="BF81">
            <v>0</v>
          </cell>
          <cell r="BG81">
            <v>0</v>
          </cell>
          <cell r="BH81">
            <v>0</v>
          </cell>
          <cell r="BL81">
            <v>0</v>
          </cell>
          <cell r="BM81">
            <v>0</v>
          </cell>
          <cell r="BN81">
            <v>0</v>
          </cell>
          <cell r="BO81">
            <v>0</v>
          </cell>
          <cell r="BP81">
            <v>0</v>
          </cell>
          <cell r="BQ81">
            <v>0</v>
          </cell>
          <cell r="BR81">
            <v>0</v>
          </cell>
          <cell r="BS81">
            <v>0</v>
          </cell>
          <cell r="BT81">
            <v>0</v>
          </cell>
          <cell r="BU81">
            <v>0</v>
          </cell>
          <cell r="BV81">
            <v>0</v>
          </cell>
          <cell r="BW81">
            <v>0</v>
          </cell>
          <cell r="CP81">
            <v>5000</v>
          </cell>
          <cell r="CQ81">
            <v>10060</v>
          </cell>
          <cell r="CR81">
            <v>17937</v>
          </cell>
          <cell r="CS81">
            <v>26685.5</v>
          </cell>
          <cell r="CT81">
            <v>28905.5</v>
          </cell>
          <cell r="CU81">
            <v>35879</v>
          </cell>
          <cell r="CV81">
            <v>38805</v>
          </cell>
          <cell r="CW81">
            <v>44152.5</v>
          </cell>
          <cell r="DE81">
            <v>0</v>
          </cell>
          <cell r="DF81">
            <v>0</v>
          </cell>
          <cell r="DG81">
            <v>0</v>
          </cell>
          <cell r="DH81">
            <v>0</v>
          </cell>
          <cell r="DI81">
            <v>0</v>
          </cell>
          <cell r="DJ81">
            <v>0</v>
          </cell>
          <cell r="DK81">
            <v>0</v>
          </cell>
          <cell r="DL81">
            <v>0</v>
          </cell>
          <cell r="DT81">
            <v>0</v>
          </cell>
          <cell r="DU81">
            <v>0</v>
          </cell>
          <cell r="DV81">
            <v>0</v>
          </cell>
          <cell r="DW81">
            <v>0</v>
          </cell>
          <cell r="DX81">
            <v>0</v>
          </cell>
          <cell r="DY81">
            <v>0</v>
          </cell>
          <cell r="DZ81">
            <v>0</v>
          </cell>
          <cell r="EA81">
            <v>0</v>
          </cell>
          <cell r="EX81">
            <v>6256</v>
          </cell>
          <cell r="EY81">
            <v>14208.5</v>
          </cell>
          <cell r="EZ81">
            <v>23573.5</v>
          </cell>
          <cell r="FA81">
            <v>29162.5</v>
          </cell>
          <cell r="FB81">
            <v>35225</v>
          </cell>
          <cell r="FC81">
            <v>44470</v>
          </cell>
          <cell r="FD81">
            <v>49117</v>
          </cell>
          <cell r="FE81">
            <v>52729</v>
          </cell>
          <cell r="FF81">
            <v>55444</v>
          </cell>
          <cell r="FG81">
            <v>63622.5</v>
          </cell>
          <cell r="FH81">
            <v>68301.5</v>
          </cell>
          <cell r="FI81">
            <v>74724</v>
          </cell>
          <cell r="FM81">
            <v>0</v>
          </cell>
          <cell r="FN81">
            <v>0</v>
          </cell>
          <cell r="FO81">
            <v>0</v>
          </cell>
          <cell r="FP81">
            <v>0</v>
          </cell>
          <cell r="FQ81">
            <v>0</v>
          </cell>
          <cell r="FR81">
            <v>0</v>
          </cell>
          <cell r="FS81">
            <v>0</v>
          </cell>
          <cell r="FT81">
            <v>0</v>
          </cell>
          <cell r="FU81">
            <v>0</v>
          </cell>
          <cell r="FV81">
            <v>0</v>
          </cell>
          <cell r="FW81">
            <v>0</v>
          </cell>
          <cell r="FX81">
            <v>0</v>
          </cell>
          <cell r="GB81">
            <v>0</v>
          </cell>
          <cell r="GC81">
            <v>0</v>
          </cell>
          <cell r="GD81">
            <v>0</v>
          </cell>
          <cell r="GE81">
            <v>0</v>
          </cell>
          <cell r="GF81">
            <v>0</v>
          </cell>
          <cell r="GG81">
            <v>0</v>
          </cell>
          <cell r="GH81">
            <v>0</v>
          </cell>
          <cell r="GI81">
            <v>0</v>
          </cell>
          <cell r="GJ81">
            <v>0</v>
          </cell>
          <cell r="GK81">
            <v>0</v>
          </cell>
          <cell r="GL81">
            <v>0</v>
          </cell>
          <cell r="GM81">
            <v>0</v>
          </cell>
        </row>
        <row r="82">
          <cell r="A82" t="str">
            <v>Accrued Revenue</v>
          </cell>
          <cell r="C82">
            <v>0</v>
          </cell>
          <cell r="D82">
            <v>0</v>
          </cell>
          <cell r="E82">
            <v>0</v>
          </cell>
          <cell r="F82" t="str">
            <v>n/a</v>
          </cell>
          <cell r="G82">
            <v>-443.99999999999994</v>
          </cell>
          <cell r="H82">
            <v>0</v>
          </cell>
          <cell r="J82">
            <v>0</v>
          </cell>
          <cell r="K82">
            <v>0</v>
          </cell>
          <cell r="L82">
            <v>0</v>
          </cell>
          <cell r="M82" t="str">
            <v>n/a</v>
          </cell>
          <cell r="N82">
            <v>-330.81966676516214</v>
          </cell>
          <cell r="O82">
            <v>0</v>
          </cell>
          <cell r="Q82">
            <v>0</v>
          </cell>
          <cell r="R82">
            <v>0</v>
          </cell>
          <cell r="S82">
            <v>0</v>
          </cell>
          <cell r="T82" t="str">
            <v>n/a</v>
          </cell>
          <cell r="U82">
            <v>-41.150105929175055</v>
          </cell>
          <cell r="V82">
            <v>0</v>
          </cell>
          <cell r="X82">
            <v>0</v>
          </cell>
          <cell r="Y82">
            <v>0</v>
          </cell>
          <cell r="Z82">
            <v>0</v>
          </cell>
          <cell r="AA82" t="str">
            <v>n/a</v>
          </cell>
          <cell r="AB82">
            <v>-72.030227305662791</v>
          </cell>
          <cell r="AC82">
            <v>0</v>
          </cell>
          <cell r="AD82">
            <v>0</v>
          </cell>
          <cell r="AE82">
            <v>0</v>
          </cell>
          <cell r="AH82">
            <v>142876</v>
          </cell>
          <cell r="AI82">
            <v>193812</v>
          </cell>
          <cell r="AJ82">
            <v>0</v>
          </cell>
          <cell r="AK82">
            <v>502128.13</v>
          </cell>
          <cell r="AL82">
            <v>180303</v>
          </cell>
          <cell r="AM82">
            <v>0</v>
          </cell>
          <cell r="AN82">
            <v>0</v>
          </cell>
          <cell r="AO82">
            <v>0</v>
          </cell>
          <cell r="AP82">
            <v>0</v>
          </cell>
          <cell r="AQ82">
            <v>0</v>
          </cell>
          <cell r="AR82">
            <v>0</v>
          </cell>
          <cell r="AS82">
            <v>0</v>
          </cell>
          <cell r="AW82">
            <v>91886</v>
          </cell>
          <cell r="AX82">
            <v>58056</v>
          </cell>
          <cell r="AY82">
            <v>0</v>
          </cell>
          <cell r="AZ82">
            <v>117900.97</v>
          </cell>
          <cell r="BA82">
            <v>35887</v>
          </cell>
          <cell r="BB82">
            <v>0</v>
          </cell>
          <cell r="BC82">
            <v>0</v>
          </cell>
          <cell r="BD82">
            <v>0</v>
          </cell>
          <cell r="BE82">
            <v>0</v>
          </cell>
          <cell r="BF82">
            <v>0</v>
          </cell>
          <cell r="BG82">
            <v>0</v>
          </cell>
          <cell r="BH82">
            <v>0</v>
          </cell>
          <cell r="BL82">
            <v>0</v>
          </cell>
          <cell r="BM82">
            <v>0</v>
          </cell>
          <cell r="BN82">
            <v>0</v>
          </cell>
          <cell r="BO82">
            <v>41625</v>
          </cell>
          <cell r="BP82">
            <v>0</v>
          </cell>
          <cell r="BQ82">
            <v>0</v>
          </cell>
          <cell r="BR82">
            <v>0</v>
          </cell>
          <cell r="BS82">
            <v>0</v>
          </cell>
          <cell r="BT82">
            <v>0</v>
          </cell>
          <cell r="BU82">
            <v>0</v>
          </cell>
          <cell r="BV82">
            <v>0</v>
          </cell>
          <cell r="BW82">
            <v>0</v>
          </cell>
          <cell r="CP82">
            <v>67326.599999999991</v>
          </cell>
          <cell r="CQ82">
            <v>50000</v>
          </cell>
          <cell r="CR82">
            <v>193812</v>
          </cell>
          <cell r="CS82">
            <v>0</v>
          </cell>
          <cell r="CT82">
            <v>502128.13</v>
          </cell>
          <cell r="CU82">
            <v>-35887</v>
          </cell>
          <cell r="CV82">
            <v>60000</v>
          </cell>
          <cell r="CW82">
            <v>0</v>
          </cell>
          <cell r="DE82">
            <v>-67326.599999999991</v>
          </cell>
          <cell r="DF82">
            <v>50000</v>
          </cell>
          <cell r="DG82">
            <v>58056</v>
          </cell>
          <cell r="DH82">
            <v>0</v>
          </cell>
          <cell r="DI82">
            <v>117900.97</v>
          </cell>
          <cell r="DJ82">
            <v>35887</v>
          </cell>
          <cell r="DK82">
            <v>0</v>
          </cell>
          <cell r="DL82">
            <v>0</v>
          </cell>
          <cell r="DT82">
            <v>0</v>
          </cell>
          <cell r="DU82">
            <v>0</v>
          </cell>
          <cell r="DV82">
            <v>0</v>
          </cell>
          <cell r="DW82">
            <v>0</v>
          </cell>
          <cell r="DX82">
            <v>41625</v>
          </cell>
          <cell r="DY82">
            <v>0</v>
          </cell>
          <cell r="DZ82">
            <v>20000</v>
          </cell>
          <cell r="EA82">
            <v>0</v>
          </cell>
          <cell r="EX82">
            <v>0</v>
          </cell>
          <cell r="EY82">
            <v>0</v>
          </cell>
          <cell r="EZ82">
            <v>0</v>
          </cell>
          <cell r="FA82">
            <v>0</v>
          </cell>
          <cell r="FB82">
            <v>0</v>
          </cell>
          <cell r="FC82">
            <v>0</v>
          </cell>
          <cell r="FD82">
            <v>33000</v>
          </cell>
          <cell r="FE82">
            <v>105000</v>
          </cell>
          <cell r="FF82">
            <v>0</v>
          </cell>
          <cell r="FG82">
            <v>52294.5</v>
          </cell>
          <cell r="FH82">
            <v>27000</v>
          </cell>
          <cell r="FI82">
            <v>0</v>
          </cell>
          <cell r="FM82">
            <v>0</v>
          </cell>
          <cell r="FN82">
            <v>0</v>
          </cell>
          <cell r="FO82">
            <v>0</v>
          </cell>
          <cell r="FP82">
            <v>0</v>
          </cell>
          <cell r="FQ82">
            <v>0</v>
          </cell>
          <cell r="FR82">
            <v>0</v>
          </cell>
          <cell r="FS82">
            <v>0</v>
          </cell>
          <cell r="FT82">
            <v>0</v>
          </cell>
          <cell r="FU82">
            <v>0</v>
          </cell>
          <cell r="FV82">
            <v>0</v>
          </cell>
          <cell r="FW82">
            <v>0</v>
          </cell>
          <cell r="FX82">
            <v>0</v>
          </cell>
          <cell r="GB82">
            <v>0</v>
          </cell>
          <cell r="GC82">
            <v>0</v>
          </cell>
          <cell r="GD82">
            <v>0</v>
          </cell>
          <cell r="GE82">
            <v>0</v>
          </cell>
          <cell r="GF82">
            <v>0</v>
          </cell>
          <cell r="GG82">
            <v>0</v>
          </cell>
          <cell r="GH82">
            <v>55000</v>
          </cell>
          <cell r="GI82">
            <v>0</v>
          </cell>
          <cell r="GJ82">
            <v>0</v>
          </cell>
          <cell r="GK82">
            <v>0</v>
          </cell>
          <cell r="GL82">
            <v>70000</v>
          </cell>
          <cell r="GM82">
            <v>0</v>
          </cell>
        </row>
        <row r="83">
          <cell r="A83" t="str">
            <v>WIP Change</v>
          </cell>
          <cell r="C83">
            <v>0</v>
          </cell>
          <cell r="D83">
            <v>0</v>
          </cell>
          <cell r="E83">
            <v>0</v>
          </cell>
          <cell r="F83" t="str">
            <v>n/a</v>
          </cell>
          <cell r="G83">
            <v>0</v>
          </cell>
          <cell r="H83">
            <v>0</v>
          </cell>
          <cell r="J83">
            <v>0</v>
          </cell>
          <cell r="K83">
            <v>0</v>
          </cell>
          <cell r="L83">
            <v>0</v>
          </cell>
          <cell r="M83" t="str">
            <v>n/a</v>
          </cell>
          <cell r="N83">
            <v>0</v>
          </cell>
          <cell r="O83">
            <v>0</v>
          </cell>
          <cell r="Q83">
            <v>0</v>
          </cell>
          <cell r="R83">
            <v>0</v>
          </cell>
          <cell r="S83">
            <v>0</v>
          </cell>
          <cell r="T83" t="str">
            <v>n/a</v>
          </cell>
          <cell r="U83">
            <v>0</v>
          </cell>
          <cell r="V83">
            <v>0</v>
          </cell>
          <cell r="X83">
            <v>0</v>
          </cell>
          <cell r="Y83">
            <v>0</v>
          </cell>
          <cell r="Z83">
            <v>0</v>
          </cell>
          <cell r="AA83" t="str">
            <v>n/a</v>
          </cell>
          <cell r="AB83">
            <v>0</v>
          </cell>
          <cell r="AC83">
            <v>0</v>
          </cell>
          <cell r="AD83">
            <v>0</v>
          </cell>
          <cell r="AE83">
            <v>0</v>
          </cell>
          <cell r="AH83">
            <v>0</v>
          </cell>
          <cell r="AI83">
            <v>0</v>
          </cell>
          <cell r="AJ83">
            <v>0</v>
          </cell>
          <cell r="AK83">
            <v>0</v>
          </cell>
          <cell r="AL83">
            <v>0</v>
          </cell>
          <cell r="AM83">
            <v>0</v>
          </cell>
          <cell r="AN83">
            <v>0</v>
          </cell>
          <cell r="AO83">
            <v>0</v>
          </cell>
          <cell r="AP83">
            <v>0</v>
          </cell>
          <cell r="AQ83">
            <v>0</v>
          </cell>
          <cell r="AR83">
            <v>0</v>
          </cell>
          <cell r="AS83">
            <v>0</v>
          </cell>
          <cell r="AW83">
            <v>0</v>
          </cell>
          <cell r="AX83">
            <v>0</v>
          </cell>
          <cell r="AY83">
            <v>0</v>
          </cell>
          <cell r="AZ83">
            <v>0</v>
          </cell>
          <cell r="BA83">
            <v>0</v>
          </cell>
          <cell r="BB83">
            <v>0</v>
          </cell>
          <cell r="BC83">
            <v>0</v>
          </cell>
          <cell r="BD83">
            <v>0</v>
          </cell>
          <cell r="BE83">
            <v>0</v>
          </cell>
          <cell r="BF83">
            <v>0</v>
          </cell>
          <cell r="BG83">
            <v>0</v>
          </cell>
          <cell r="BH83">
            <v>0</v>
          </cell>
          <cell r="BL83">
            <v>0</v>
          </cell>
          <cell r="BM83">
            <v>0</v>
          </cell>
          <cell r="BN83">
            <v>0</v>
          </cell>
          <cell r="BO83">
            <v>0</v>
          </cell>
          <cell r="BP83">
            <v>0</v>
          </cell>
          <cell r="BQ83">
            <v>0</v>
          </cell>
          <cell r="BR83">
            <v>0</v>
          </cell>
          <cell r="BS83">
            <v>0</v>
          </cell>
          <cell r="BT83">
            <v>0</v>
          </cell>
          <cell r="BU83">
            <v>0</v>
          </cell>
          <cell r="BV83">
            <v>0</v>
          </cell>
          <cell r="BW83">
            <v>0</v>
          </cell>
          <cell r="CP83">
            <v>0</v>
          </cell>
          <cell r="DE83">
            <v>0</v>
          </cell>
          <cell r="DT83">
            <v>0</v>
          </cell>
          <cell r="EX83">
            <v>0</v>
          </cell>
          <cell r="EY83">
            <v>0</v>
          </cell>
          <cell r="EZ83">
            <v>0</v>
          </cell>
          <cell r="FA83">
            <v>0</v>
          </cell>
          <cell r="FB83">
            <v>0</v>
          </cell>
          <cell r="FC83">
            <v>0</v>
          </cell>
          <cell r="FD83">
            <v>0</v>
          </cell>
          <cell r="FE83">
            <v>0</v>
          </cell>
          <cell r="FF83">
            <v>0</v>
          </cell>
          <cell r="FG83">
            <v>0</v>
          </cell>
          <cell r="FH83">
            <v>0</v>
          </cell>
          <cell r="FI83">
            <v>0</v>
          </cell>
          <cell r="FM83">
            <v>0</v>
          </cell>
          <cell r="FN83">
            <v>0</v>
          </cell>
          <cell r="FO83">
            <v>0</v>
          </cell>
          <cell r="FP83">
            <v>0</v>
          </cell>
          <cell r="FQ83">
            <v>0</v>
          </cell>
          <cell r="FR83">
            <v>0</v>
          </cell>
          <cell r="FS83">
            <v>0</v>
          </cell>
          <cell r="FT83">
            <v>0</v>
          </cell>
          <cell r="FU83">
            <v>0</v>
          </cell>
          <cell r="FV83">
            <v>0</v>
          </cell>
          <cell r="FW83">
            <v>0</v>
          </cell>
          <cell r="FX83">
            <v>0</v>
          </cell>
          <cell r="GB83">
            <v>0</v>
          </cell>
          <cell r="GC83">
            <v>0</v>
          </cell>
          <cell r="GD83">
            <v>0</v>
          </cell>
          <cell r="GE83">
            <v>0</v>
          </cell>
          <cell r="GF83">
            <v>0</v>
          </cell>
          <cell r="GG83">
            <v>0</v>
          </cell>
          <cell r="GH83">
            <v>0</v>
          </cell>
          <cell r="GI83">
            <v>0</v>
          </cell>
          <cell r="GJ83">
            <v>0</v>
          </cell>
          <cell r="GK83">
            <v>0</v>
          </cell>
          <cell r="GL83">
            <v>0</v>
          </cell>
          <cell r="GM83">
            <v>0</v>
          </cell>
        </row>
        <row r="84">
          <cell r="A84" t="str">
            <v>Intercompany Revenue</v>
          </cell>
          <cell r="C84">
            <v>0</v>
          </cell>
          <cell r="D84">
            <v>0</v>
          </cell>
          <cell r="E84">
            <v>0</v>
          </cell>
          <cell r="F84" t="str">
            <v>n/a</v>
          </cell>
          <cell r="G84">
            <v>0</v>
          </cell>
          <cell r="H84">
            <v>0</v>
          </cell>
          <cell r="J84">
            <v>0</v>
          </cell>
          <cell r="K84">
            <v>0</v>
          </cell>
          <cell r="L84">
            <v>0</v>
          </cell>
          <cell r="M84" t="str">
            <v>n/a</v>
          </cell>
          <cell r="N84">
            <v>0</v>
          </cell>
          <cell r="O84">
            <v>0</v>
          </cell>
          <cell r="Q84">
            <v>0</v>
          </cell>
          <cell r="R84">
            <v>0</v>
          </cell>
          <cell r="S84">
            <v>0</v>
          </cell>
          <cell r="T84" t="str">
            <v>n/a</v>
          </cell>
          <cell r="U84">
            <v>0</v>
          </cell>
          <cell r="V84">
            <v>0</v>
          </cell>
          <cell r="X84">
            <v>0</v>
          </cell>
          <cell r="Y84">
            <v>0</v>
          </cell>
          <cell r="Z84">
            <v>0</v>
          </cell>
          <cell r="AA84" t="str">
            <v>n/a</v>
          </cell>
          <cell r="AB84">
            <v>0</v>
          </cell>
          <cell r="AC84">
            <v>0</v>
          </cell>
          <cell r="AD84">
            <v>0</v>
          </cell>
          <cell r="AE84">
            <v>0</v>
          </cell>
          <cell r="AH84">
            <v>0</v>
          </cell>
          <cell r="AI84">
            <v>0</v>
          </cell>
          <cell r="AJ84">
            <v>0</v>
          </cell>
          <cell r="AK84">
            <v>0</v>
          </cell>
          <cell r="AL84">
            <v>0</v>
          </cell>
          <cell r="AM84">
            <v>0</v>
          </cell>
          <cell r="AN84">
            <v>0</v>
          </cell>
          <cell r="AO84">
            <v>0</v>
          </cell>
          <cell r="AP84">
            <v>0</v>
          </cell>
          <cell r="AQ84">
            <v>0</v>
          </cell>
          <cell r="AR84">
            <v>0</v>
          </cell>
          <cell r="AS84">
            <v>0</v>
          </cell>
          <cell r="AW84">
            <v>0</v>
          </cell>
          <cell r="AX84">
            <v>0</v>
          </cell>
          <cell r="AY84">
            <v>0</v>
          </cell>
          <cell r="AZ84">
            <v>0</v>
          </cell>
          <cell r="BA84">
            <v>0</v>
          </cell>
          <cell r="BB84">
            <v>0</v>
          </cell>
          <cell r="BC84">
            <v>0</v>
          </cell>
          <cell r="BD84">
            <v>0</v>
          </cell>
          <cell r="BE84">
            <v>0</v>
          </cell>
          <cell r="BF84">
            <v>0</v>
          </cell>
          <cell r="BG84">
            <v>0</v>
          </cell>
          <cell r="BH84">
            <v>0</v>
          </cell>
          <cell r="BL84">
            <v>0</v>
          </cell>
          <cell r="BM84">
            <v>0</v>
          </cell>
          <cell r="BN84">
            <v>0</v>
          </cell>
          <cell r="BO84">
            <v>0</v>
          </cell>
          <cell r="BP84">
            <v>0</v>
          </cell>
          <cell r="BQ84">
            <v>0</v>
          </cell>
          <cell r="BR84">
            <v>0</v>
          </cell>
          <cell r="BS84">
            <v>0</v>
          </cell>
          <cell r="BT84">
            <v>0</v>
          </cell>
          <cell r="BU84">
            <v>0</v>
          </cell>
          <cell r="BV84">
            <v>0</v>
          </cell>
          <cell r="BW84">
            <v>0</v>
          </cell>
          <cell r="CP84">
            <v>0</v>
          </cell>
          <cell r="DE84">
            <v>0</v>
          </cell>
          <cell r="DT84">
            <v>0</v>
          </cell>
          <cell r="EX84">
            <v>0</v>
          </cell>
          <cell r="EY84">
            <v>0</v>
          </cell>
          <cell r="EZ84">
            <v>0</v>
          </cell>
          <cell r="FA84">
            <v>0</v>
          </cell>
          <cell r="FB84">
            <v>0</v>
          </cell>
          <cell r="FC84">
            <v>0</v>
          </cell>
          <cell r="FD84">
            <v>0</v>
          </cell>
          <cell r="FE84">
            <v>0</v>
          </cell>
          <cell r="FF84">
            <v>0</v>
          </cell>
          <cell r="FG84">
            <v>0</v>
          </cell>
          <cell r="FH84">
            <v>0</v>
          </cell>
          <cell r="FI84">
            <v>0</v>
          </cell>
          <cell r="FM84">
            <v>0</v>
          </cell>
          <cell r="FN84">
            <v>0</v>
          </cell>
          <cell r="FO84">
            <v>0</v>
          </cell>
          <cell r="FP84">
            <v>0</v>
          </cell>
          <cell r="FQ84">
            <v>0</v>
          </cell>
          <cell r="FR84">
            <v>0</v>
          </cell>
          <cell r="FS84">
            <v>0</v>
          </cell>
          <cell r="FT84">
            <v>0</v>
          </cell>
          <cell r="FU84">
            <v>0</v>
          </cell>
          <cell r="FV84">
            <v>0</v>
          </cell>
          <cell r="FW84">
            <v>0</v>
          </cell>
          <cell r="FX84">
            <v>0</v>
          </cell>
          <cell r="GB84">
            <v>0</v>
          </cell>
          <cell r="GC84">
            <v>0</v>
          </cell>
          <cell r="GD84">
            <v>0</v>
          </cell>
          <cell r="GE84">
            <v>0</v>
          </cell>
          <cell r="GF84">
            <v>0</v>
          </cell>
          <cell r="GG84">
            <v>0</v>
          </cell>
          <cell r="GH84">
            <v>0</v>
          </cell>
          <cell r="GI84">
            <v>0</v>
          </cell>
          <cell r="GJ84">
            <v>0</v>
          </cell>
          <cell r="GK84">
            <v>0</v>
          </cell>
          <cell r="GL84">
            <v>0</v>
          </cell>
          <cell r="GM84">
            <v>0</v>
          </cell>
        </row>
        <row r="85">
          <cell r="A85" t="str">
            <v>Revenue</v>
          </cell>
          <cell r="C85">
            <v>12204.763459999998</v>
          </cell>
          <cell r="D85">
            <v>0</v>
          </cell>
          <cell r="E85">
            <v>12204.763459999998</v>
          </cell>
          <cell r="F85" t="str">
            <v>n/a</v>
          </cell>
          <cell r="G85">
            <v>11467.184999999999</v>
          </cell>
          <cell r="H85">
            <v>10182.555709999999</v>
          </cell>
          <cell r="J85">
            <v>8424.9753099999998</v>
          </cell>
          <cell r="K85">
            <v>0</v>
          </cell>
          <cell r="L85">
            <v>8424.9753099999998</v>
          </cell>
          <cell r="M85" t="str">
            <v>n/a</v>
          </cell>
          <cell r="N85">
            <v>8456.5118227027833</v>
          </cell>
          <cell r="O85">
            <v>7561.9488800000008</v>
          </cell>
          <cell r="Q85">
            <v>1859.1114299999999</v>
          </cell>
          <cell r="R85">
            <v>0</v>
          </cell>
          <cell r="S85">
            <v>1859.1114299999999</v>
          </cell>
          <cell r="T85" t="str">
            <v>n/a</v>
          </cell>
          <cell r="U85">
            <v>1553.1188299650601</v>
          </cell>
          <cell r="V85">
            <v>540.57562999999993</v>
          </cell>
          <cell r="X85">
            <v>1920.6767199999999</v>
          </cell>
          <cell r="Y85">
            <v>0</v>
          </cell>
          <cell r="Z85">
            <v>1920.6767199999999</v>
          </cell>
          <cell r="AA85" t="str">
            <v>n/a</v>
          </cell>
          <cell r="AB85">
            <v>1457.5543473321554</v>
          </cell>
          <cell r="AC85">
            <v>2080.0311999999999</v>
          </cell>
          <cell r="AD85">
            <v>15401.061459999999</v>
          </cell>
          <cell r="AE85">
            <v>13234.14206</v>
          </cell>
          <cell r="AH85">
            <v>665205.16</v>
          </cell>
          <cell r="AI85">
            <v>1503316.59</v>
          </cell>
          <cell r="AJ85">
            <v>3047767.75</v>
          </cell>
          <cell r="AK85">
            <v>4189336.8099999996</v>
          </cell>
          <cell r="AL85">
            <v>5371686.1499999994</v>
          </cell>
          <cell r="AM85">
            <v>6845485.2599999998</v>
          </cell>
          <cell r="AN85">
            <v>7653853.0999999996</v>
          </cell>
          <cell r="AO85">
            <v>8424975.3099999987</v>
          </cell>
          <cell r="AP85">
            <v>8424975.3099999987</v>
          </cell>
          <cell r="AQ85">
            <v>8424975.3099999987</v>
          </cell>
          <cell r="AR85">
            <v>8424975.3099999987</v>
          </cell>
          <cell r="AS85">
            <v>8424975.3099999987</v>
          </cell>
          <cell r="AW85">
            <v>213108</v>
          </cell>
          <cell r="AX85">
            <v>413675.44</v>
          </cell>
          <cell r="AY85">
            <v>716645.58000000007</v>
          </cell>
          <cell r="AZ85">
            <v>1033320.6699999999</v>
          </cell>
          <cell r="BA85">
            <v>1316962.08</v>
          </cell>
          <cell r="BB85">
            <v>1539683.64</v>
          </cell>
          <cell r="BC85">
            <v>1697601.58</v>
          </cell>
          <cell r="BD85">
            <v>1859111.43</v>
          </cell>
          <cell r="BE85">
            <v>1859111.43</v>
          </cell>
          <cell r="BF85">
            <v>1859111.43</v>
          </cell>
          <cell r="BG85">
            <v>1859111.43</v>
          </cell>
          <cell r="BH85">
            <v>1859111.43</v>
          </cell>
          <cell r="BL85">
            <v>261898.78</v>
          </cell>
          <cell r="BM85">
            <v>424248.2</v>
          </cell>
          <cell r="BN85">
            <v>611812.12</v>
          </cell>
          <cell r="BO85">
            <v>717412.89</v>
          </cell>
          <cell r="BP85">
            <v>1020105.0800000001</v>
          </cell>
          <cell r="BQ85">
            <v>1560804.65</v>
          </cell>
          <cell r="BR85">
            <v>1731746.96</v>
          </cell>
          <cell r="BS85">
            <v>1920676.72</v>
          </cell>
          <cell r="BT85">
            <v>1920676.72</v>
          </cell>
          <cell r="BU85">
            <v>1920676.72</v>
          </cell>
          <cell r="BV85">
            <v>1920676.72</v>
          </cell>
          <cell r="BW85">
            <v>1920676.72</v>
          </cell>
          <cell r="CP85">
            <v>851826.6</v>
          </cell>
          <cell r="CQ85">
            <v>1583629.1600000001</v>
          </cell>
          <cell r="CR85">
            <v>2923534.59</v>
          </cell>
          <cell r="CS85">
            <v>4178767.75</v>
          </cell>
          <cell r="CT85">
            <v>5083336.8099999996</v>
          </cell>
          <cell r="CU85">
            <v>6340280.1499999994</v>
          </cell>
          <cell r="CV85">
            <v>7487285.2599999988</v>
          </cell>
          <cell r="CW85">
            <v>8391318.0999999996</v>
          </cell>
          <cell r="DE85">
            <v>134673.40000000002</v>
          </cell>
          <cell r="DF85">
            <v>477722</v>
          </cell>
          <cell r="DG85">
            <v>717675.44</v>
          </cell>
          <cell r="DH85">
            <v>992645.58000000007</v>
          </cell>
          <cell r="DI85">
            <v>1224320.67</v>
          </cell>
          <cell r="DJ85">
            <v>1674962.08</v>
          </cell>
          <cell r="DK85">
            <v>1725683.64</v>
          </cell>
          <cell r="DL85">
            <v>1918601.58</v>
          </cell>
          <cell r="DT85">
            <v>257970.00000000003</v>
          </cell>
          <cell r="DU85">
            <v>438368.78</v>
          </cell>
          <cell r="DV85">
            <v>591635.19999999995</v>
          </cell>
          <cell r="DW85">
            <v>856499.12</v>
          </cell>
          <cell r="DX85">
            <v>1166299.8900000001</v>
          </cell>
          <cell r="DY85">
            <v>1418723.08</v>
          </cell>
          <cell r="DZ85">
            <v>1776636.65</v>
          </cell>
          <cell r="EA85">
            <v>1939178.96</v>
          </cell>
          <cell r="EX85">
            <v>784555.65</v>
          </cell>
          <cell r="EY85">
            <v>1607608.13</v>
          </cell>
          <cell r="EZ85">
            <v>3038814.84</v>
          </cell>
          <cell r="FA85">
            <v>3788168.6500000004</v>
          </cell>
          <cell r="FB85">
            <v>4862653.99</v>
          </cell>
          <cell r="FC85">
            <v>6200802.1900000004</v>
          </cell>
          <cell r="FD85">
            <v>6538762.120000001</v>
          </cell>
          <cell r="FE85">
            <v>7027977.1100000013</v>
          </cell>
          <cell r="FF85">
            <v>7561948.8800000008</v>
          </cell>
          <cell r="FG85">
            <v>8275503.120000001</v>
          </cell>
          <cell r="FH85">
            <v>8992975.1000000015</v>
          </cell>
          <cell r="FI85">
            <v>9717530.7700000014</v>
          </cell>
          <cell r="FM85">
            <v>86378.5</v>
          </cell>
          <cell r="FN85">
            <v>153085.5</v>
          </cell>
          <cell r="FO85">
            <v>279852.93</v>
          </cell>
          <cell r="FP85">
            <v>334611.43</v>
          </cell>
          <cell r="FQ85">
            <v>362261.43</v>
          </cell>
          <cell r="FR85">
            <v>377897.93</v>
          </cell>
          <cell r="FS85">
            <v>399022.33</v>
          </cell>
          <cell r="FT85">
            <v>453684.33</v>
          </cell>
          <cell r="FU85">
            <v>540575.63</v>
          </cell>
          <cell r="FV85">
            <v>645249.53</v>
          </cell>
          <cell r="FW85">
            <v>733896.03</v>
          </cell>
          <cell r="FX85">
            <v>844392.09000000008</v>
          </cell>
          <cell r="GB85">
            <v>124532.41</v>
          </cell>
          <cell r="GC85">
            <v>304497.32</v>
          </cell>
          <cell r="GD85">
            <v>636907.13</v>
          </cell>
          <cell r="GE85">
            <v>872457.54</v>
          </cell>
          <cell r="GF85">
            <v>1170355.3600000001</v>
          </cell>
          <cell r="GG85">
            <v>1539578.46</v>
          </cell>
          <cell r="GH85">
            <v>1781757.6099999999</v>
          </cell>
          <cell r="GI85">
            <v>1967862.69</v>
          </cell>
          <cell r="GJ85">
            <v>2080031.2</v>
          </cell>
          <cell r="GK85">
            <v>2265250.56</v>
          </cell>
          <cell r="GL85">
            <v>2477074.34</v>
          </cell>
          <cell r="GM85">
            <v>2672219.1999999997</v>
          </cell>
        </row>
        <row r="87">
          <cell r="A87" t="str">
            <v>Materials</v>
          </cell>
          <cell r="C87">
            <v>293.28599000000003</v>
          </cell>
          <cell r="D87">
            <v>0</v>
          </cell>
          <cell r="E87">
            <v>293.28599000000003</v>
          </cell>
          <cell r="F87" t="str">
            <v>n/a</v>
          </cell>
          <cell r="G87">
            <v>313.05615441751382</v>
          </cell>
          <cell r="H87">
            <v>399.13887000000005</v>
          </cell>
          <cell r="J87">
            <v>291.76112000000001</v>
          </cell>
          <cell r="K87">
            <v>0</v>
          </cell>
          <cell r="L87">
            <v>291.76112000000001</v>
          </cell>
          <cell r="M87" t="str">
            <v>n/a</v>
          </cell>
          <cell r="N87">
            <v>314.99392546197737</v>
          </cell>
          <cell r="O87">
            <v>399.05761000000007</v>
          </cell>
          <cell r="Q87">
            <v>1.48428</v>
          </cell>
          <cell r="R87">
            <v>0</v>
          </cell>
          <cell r="S87">
            <v>1.48428</v>
          </cell>
          <cell r="T87" t="str">
            <v>n/a</v>
          </cell>
          <cell r="U87">
            <v>-0.91907725792534667</v>
          </cell>
          <cell r="V87">
            <v>8.1259999999999985E-2</v>
          </cell>
          <cell r="X87">
            <v>4.0590000000000001E-2</v>
          </cell>
          <cell r="Y87">
            <v>0</v>
          </cell>
          <cell r="Z87">
            <v>4.0590000000000001E-2</v>
          </cell>
          <cell r="AA87" t="str">
            <v>n/a</v>
          </cell>
          <cell r="AB87">
            <v>-1.0186937865382248</v>
          </cell>
          <cell r="AC87">
            <v>0</v>
          </cell>
          <cell r="AD87">
            <v>385.30838999999992</v>
          </cell>
          <cell r="AE87">
            <v>449.01467000000002</v>
          </cell>
          <cell r="AH87">
            <v>31811.33</v>
          </cell>
          <cell r="AI87">
            <v>65051.14</v>
          </cell>
          <cell r="AJ87">
            <v>93411.72</v>
          </cell>
          <cell r="AK87">
            <v>152172.91</v>
          </cell>
          <cell r="AL87">
            <v>208970.35</v>
          </cell>
          <cell r="AM87">
            <v>237920.68</v>
          </cell>
          <cell r="AN87">
            <v>257356.13999999998</v>
          </cell>
          <cell r="AO87">
            <v>291761.12</v>
          </cell>
          <cell r="AP87">
            <v>291761.12</v>
          </cell>
          <cell r="AQ87">
            <v>291761.12</v>
          </cell>
          <cell r="AR87">
            <v>291761.12</v>
          </cell>
          <cell r="AS87">
            <v>291761.12</v>
          </cell>
          <cell r="AW87">
            <v>0</v>
          </cell>
          <cell r="AX87">
            <v>0</v>
          </cell>
          <cell r="AY87">
            <v>1366.08</v>
          </cell>
          <cell r="AZ87">
            <v>1366.08</v>
          </cell>
          <cell r="BA87">
            <v>1366.08</v>
          </cell>
          <cell r="BB87">
            <v>1384.51</v>
          </cell>
          <cell r="BC87">
            <v>1484.28</v>
          </cell>
          <cell r="BD87">
            <v>1484.28</v>
          </cell>
          <cell r="BE87">
            <v>1484.28</v>
          </cell>
          <cell r="BF87">
            <v>1484.28</v>
          </cell>
          <cell r="BG87">
            <v>1484.28</v>
          </cell>
          <cell r="BH87">
            <v>1484.28</v>
          </cell>
          <cell r="BL87">
            <v>0</v>
          </cell>
          <cell r="BM87">
            <v>0</v>
          </cell>
          <cell r="BN87">
            <v>0</v>
          </cell>
          <cell r="BO87">
            <v>0</v>
          </cell>
          <cell r="BP87">
            <v>949.67</v>
          </cell>
          <cell r="BQ87">
            <v>0</v>
          </cell>
          <cell r="BR87">
            <v>40.590000000000003</v>
          </cell>
          <cell r="BS87">
            <v>40.590000000000003</v>
          </cell>
          <cell r="BT87">
            <v>40.590000000000003</v>
          </cell>
          <cell r="BU87">
            <v>40.590000000000003</v>
          </cell>
          <cell r="BV87">
            <v>40.590000000000003</v>
          </cell>
          <cell r="BW87">
            <v>40.590000000000003</v>
          </cell>
          <cell r="CP87">
            <v>29439.127295999999</v>
          </cell>
          <cell r="CQ87">
            <v>63552.063439999998</v>
          </cell>
          <cell r="CR87">
            <v>114133.87407999998</v>
          </cell>
          <cell r="CS87">
            <v>146568.72</v>
          </cell>
          <cell r="CT87">
            <v>194190.91</v>
          </cell>
          <cell r="CU87">
            <v>209275.05800000002</v>
          </cell>
          <cell r="CV87">
            <v>263592.68</v>
          </cell>
          <cell r="CW87">
            <v>286854.74</v>
          </cell>
          <cell r="DE87">
            <v>0</v>
          </cell>
          <cell r="DF87">
            <v>0</v>
          </cell>
          <cell r="DG87">
            <v>0</v>
          </cell>
          <cell r="DH87">
            <v>1366.08</v>
          </cell>
          <cell r="DI87">
            <v>1366.08</v>
          </cell>
          <cell r="DJ87">
            <v>1366.08</v>
          </cell>
          <cell r="DK87">
            <v>1384.51</v>
          </cell>
          <cell r="DL87">
            <v>1484.28</v>
          </cell>
          <cell r="DT87">
            <v>0</v>
          </cell>
          <cell r="DU87">
            <v>0</v>
          </cell>
          <cell r="DV87">
            <v>0</v>
          </cell>
          <cell r="DW87">
            <v>0</v>
          </cell>
          <cell r="DX87">
            <v>0</v>
          </cell>
          <cell r="DY87">
            <v>949.67</v>
          </cell>
          <cell r="DZ87">
            <v>0</v>
          </cell>
          <cell r="EA87">
            <v>40.590000000000003</v>
          </cell>
          <cell r="EX87">
            <v>38691.22</v>
          </cell>
          <cell r="EY87">
            <v>145924.58000000002</v>
          </cell>
          <cell r="EZ87">
            <v>186939.14</v>
          </cell>
          <cell r="FA87">
            <v>168815.15000000002</v>
          </cell>
          <cell r="FB87">
            <v>256461.61000000004</v>
          </cell>
          <cell r="FC87">
            <v>361106.62000000005</v>
          </cell>
          <cell r="FD87">
            <v>352743.69000000006</v>
          </cell>
          <cell r="FE87">
            <v>386413.51000000007</v>
          </cell>
          <cell r="FF87">
            <v>399057.61000000004</v>
          </cell>
          <cell r="FG87">
            <v>419560.98000000004</v>
          </cell>
          <cell r="FH87">
            <v>444070.91000000003</v>
          </cell>
          <cell r="FI87">
            <v>448933.41000000003</v>
          </cell>
          <cell r="FM87">
            <v>57.26</v>
          </cell>
          <cell r="FN87">
            <v>57.26</v>
          </cell>
          <cell r="FO87">
            <v>57.26</v>
          </cell>
          <cell r="FP87">
            <v>57.26</v>
          </cell>
          <cell r="FQ87">
            <v>57.26</v>
          </cell>
          <cell r="FR87">
            <v>81.259999999999991</v>
          </cell>
          <cell r="FS87">
            <v>81.259999999999991</v>
          </cell>
          <cell r="FT87">
            <v>81.259999999999991</v>
          </cell>
          <cell r="FU87">
            <v>81.259999999999991</v>
          </cell>
          <cell r="FV87">
            <v>81.259999999999991</v>
          </cell>
          <cell r="FW87">
            <v>81.259999999999991</v>
          </cell>
          <cell r="FX87">
            <v>81.259999999999991</v>
          </cell>
          <cell r="GB87">
            <v>0</v>
          </cell>
          <cell r="GC87">
            <v>0</v>
          </cell>
          <cell r="GD87">
            <v>0</v>
          </cell>
          <cell r="GE87">
            <v>0</v>
          </cell>
          <cell r="GF87">
            <v>0</v>
          </cell>
          <cell r="GG87">
            <v>0</v>
          </cell>
          <cell r="GH87">
            <v>0</v>
          </cell>
          <cell r="GI87">
            <v>0</v>
          </cell>
          <cell r="GJ87">
            <v>0</v>
          </cell>
          <cell r="GK87">
            <v>0</v>
          </cell>
          <cell r="GL87">
            <v>0</v>
          </cell>
          <cell r="GM87">
            <v>0</v>
          </cell>
        </row>
        <row r="89">
          <cell r="A89" t="str">
            <v>Subcontract - Delhi</v>
          </cell>
          <cell r="C89">
            <v>136.89426</v>
          </cell>
          <cell r="D89">
            <v>0</v>
          </cell>
          <cell r="E89">
            <v>136.89426</v>
          </cell>
          <cell r="F89" t="str">
            <v>n/a</v>
          </cell>
          <cell r="G89">
            <v>408.79775865917446</v>
          </cell>
          <cell r="H89">
            <v>0.91500000000000004</v>
          </cell>
          <cell r="J89">
            <v>136.89426</v>
          </cell>
          <cell r="K89">
            <v>0</v>
          </cell>
          <cell r="L89">
            <v>136.89426</v>
          </cell>
          <cell r="M89" t="str">
            <v>n/a</v>
          </cell>
          <cell r="N89">
            <v>369.49318332667434</v>
          </cell>
          <cell r="O89">
            <v>0</v>
          </cell>
          <cell r="Q89">
            <v>0</v>
          </cell>
          <cell r="R89">
            <v>0</v>
          </cell>
          <cell r="S89">
            <v>0</v>
          </cell>
          <cell r="T89" t="str">
            <v>n/a</v>
          </cell>
          <cell r="U89">
            <v>-1.5317954298755776</v>
          </cell>
          <cell r="V89">
            <v>0.91500000000000004</v>
          </cell>
          <cell r="X89">
            <v>0</v>
          </cell>
          <cell r="Y89">
            <v>0</v>
          </cell>
          <cell r="Z89">
            <v>0</v>
          </cell>
          <cell r="AA89" t="str">
            <v>n/a</v>
          </cell>
          <cell r="AB89">
            <v>40.83637076237568</v>
          </cell>
          <cell r="AC89">
            <v>0</v>
          </cell>
          <cell r="AD89">
            <v>196.32271714285716</v>
          </cell>
          <cell r="AE89">
            <v>21.397860000000001</v>
          </cell>
          <cell r="AH89">
            <v>10580</v>
          </cell>
          <cell r="AI89">
            <v>36859.910000000003</v>
          </cell>
          <cell r="AJ89">
            <v>71065.06</v>
          </cell>
          <cell r="AK89">
            <v>107315.56</v>
          </cell>
          <cell r="AL89">
            <v>115781.04</v>
          </cell>
          <cell r="AM89">
            <v>123275.76</v>
          </cell>
          <cell r="AN89">
            <v>130526.26</v>
          </cell>
          <cell r="AO89">
            <v>136894.26</v>
          </cell>
          <cell r="AP89">
            <v>136894.26</v>
          </cell>
          <cell r="AQ89">
            <v>136894.26</v>
          </cell>
          <cell r="AR89">
            <v>136894.26</v>
          </cell>
          <cell r="AS89">
            <v>136894.26</v>
          </cell>
          <cell r="AW89">
            <v>0</v>
          </cell>
          <cell r="AX89">
            <v>0</v>
          </cell>
          <cell r="AY89">
            <v>0</v>
          </cell>
          <cell r="AZ89">
            <v>0</v>
          </cell>
          <cell r="BA89">
            <v>0</v>
          </cell>
          <cell r="BB89">
            <v>0</v>
          </cell>
          <cell r="BC89">
            <v>0</v>
          </cell>
          <cell r="BD89">
            <v>0</v>
          </cell>
          <cell r="BE89">
            <v>0</v>
          </cell>
          <cell r="BF89">
            <v>0</v>
          </cell>
          <cell r="BG89">
            <v>0</v>
          </cell>
          <cell r="BH89">
            <v>0</v>
          </cell>
          <cell r="BL89">
            <v>0</v>
          </cell>
          <cell r="BM89">
            <v>0</v>
          </cell>
          <cell r="BN89">
            <v>0</v>
          </cell>
          <cell r="BO89">
            <v>0</v>
          </cell>
          <cell r="BP89">
            <v>0</v>
          </cell>
          <cell r="BQ89">
            <v>0</v>
          </cell>
          <cell r="BR89">
            <v>0</v>
          </cell>
          <cell r="BS89">
            <v>0</v>
          </cell>
          <cell r="BT89">
            <v>0</v>
          </cell>
          <cell r="BU89">
            <v>0</v>
          </cell>
          <cell r="BV89">
            <v>0</v>
          </cell>
          <cell r="BW89">
            <v>0</v>
          </cell>
          <cell r="CP89">
            <v>0</v>
          </cell>
          <cell r="CQ89">
            <v>10580</v>
          </cell>
          <cell r="CR89">
            <v>69275.658571428561</v>
          </cell>
          <cell r="CS89">
            <v>101583.91714285713</v>
          </cell>
          <cell r="CT89">
            <v>124029.84571428571</v>
          </cell>
          <cell r="CU89">
            <v>140423.89714285714</v>
          </cell>
          <cell r="CV89">
            <v>130347.18857142856</v>
          </cell>
          <cell r="CW89">
            <v>142169.94095238094</v>
          </cell>
          <cell r="DE89">
            <v>0</v>
          </cell>
          <cell r="DF89">
            <v>0</v>
          </cell>
          <cell r="DG89">
            <v>0</v>
          </cell>
          <cell r="DH89">
            <v>0</v>
          </cell>
          <cell r="DI89">
            <v>0</v>
          </cell>
          <cell r="DJ89">
            <v>0</v>
          </cell>
          <cell r="DK89">
            <v>0</v>
          </cell>
          <cell r="DL89">
            <v>0</v>
          </cell>
          <cell r="DT89">
            <v>0</v>
          </cell>
          <cell r="DU89">
            <v>0</v>
          </cell>
          <cell r="DV89">
            <v>3347.7400000000002</v>
          </cell>
          <cell r="DW89">
            <v>4893.74</v>
          </cell>
          <cell r="DX89">
            <v>0</v>
          </cell>
          <cell r="DY89">
            <v>0</v>
          </cell>
          <cell r="DZ89">
            <v>0</v>
          </cell>
          <cell r="EA89">
            <v>0</v>
          </cell>
          <cell r="EX89">
            <v>0</v>
          </cell>
          <cell r="EY89">
            <v>0</v>
          </cell>
          <cell r="EZ89">
            <v>0</v>
          </cell>
          <cell r="FA89">
            <v>0</v>
          </cell>
          <cell r="FB89">
            <v>0</v>
          </cell>
          <cell r="FC89">
            <v>0</v>
          </cell>
          <cell r="FD89">
            <v>0</v>
          </cell>
          <cell r="FE89">
            <v>0</v>
          </cell>
          <cell r="FF89">
            <v>0</v>
          </cell>
          <cell r="FG89">
            <v>5568</v>
          </cell>
          <cell r="FH89">
            <v>7980</v>
          </cell>
          <cell r="FI89">
            <v>20482.86</v>
          </cell>
          <cell r="FM89">
            <v>0</v>
          </cell>
          <cell r="FN89">
            <v>0</v>
          </cell>
          <cell r="FO89">
            <v>0</v>
          </cell>
          <cell r="FP89">
            <v>0</v>
          </cell>
          <cell r="FQ89">
            <v>0</v>
          </cell>
          <cell r="FR89">
            <v>0</v>
          </cell>
          <cell r="FS89">
            <v>0</v>
          </cell>
          <cell r="FT89">
            <v>0</v>
          </cell>
          <cell r="FU89">
            <v>915</v>
          </cell>
          <cell r="FV89">
            <v>915</v>
          </cell>
          <cell r="FW89">
            <v>915</v>
          </cell>
          <cell r="FX89">
            <v>915</v>
          </cell>
          <cell r="GB89">
            <v>0</v>
          </cell>
          <cell r="GC89">
            <v>0</v>
          </cell>
          <cell r="GD89">
            <v>0</v>
          </cell>
          <cell r="GE89">
            <v>0</v>
          </cell>
          <cell r="GF89">
            <v>0</v>
          </cell>
          <cell r="GG89">
            <v>0</v>
          </cell>
          <cell r="GH89">
            <v>0</v>
          </cell>
          <cell r="GI89">
            <v>0</v>
          </cell>
          <cell r="GJ89">
            <v>0</v>
          </cell>
          <cell r="GK89">
            <v>0</v>
          </cell>
          <cell r="GL89">
            <v>0</v>
          </cell>
          <cell r="GM89">
            <v>0</v>
          </cell>
        </row>
        <row r="90">
          <cell r="A90" t="str">
            <v>Subcontract - Other</v>
          </cell>
          <cell r="C90">
            <v>1976.1904999999999</v>
          </cell>
          <cell r="D90">
            <v>0</v>
          </cell>
          <cell r="E90">
            <v>1976.1904999999999</v>
          </cell>
          <cell r="F90" t="str">
            <v>n/a</v>
          </cell>
          <cell r="G90">
            <v>698.41435030321327</v>
          </cell>
          <cell r="H90">
            <v>781.78135999999995</v>
          </cell>
          <cell r="J90">
            <v>399.56481000000002</v>
          </cell>
          <cell r="K90">
            <v>0</v>
          </cell>
          <cell r="L90">
            <v>399.56481000000002</v>
          </cell>
          <cell r="M90" t="str">
            <v>n/a</v>
          </cell>
          <cell r="N90">
            <v>355.73777104446356</v>
          </cell>
          <cell r="O90">
            <v>328.51255999999995</v>
          </cell>
          <cell r="Q90">
            <v>762.27456999999993</v>
          </cell>
          <cell r="R90">
            <v>0</v>
          </cell>
          <cell r="S90">
            <v>762.27456999999993</v>
          </cell>
          <cell r="T90" t="str">
            <v>n/a</v>
          </cell>
          <cell r="U90">
            <v>77.560922742074666</v>
          </cell>
          <cell r="V90">
            <v>59.997009999999996</v>
          </cell>
          <cell r="X90">
            <v>814.35112000000004</v>
          </cell>
          <cell r="Y90">
            <v>0</v>
          </cell>
          <cell r="Z90">
            <v>814.35112000000004</v>
          </cell>
          <cell r="AA90" t="str">
            <v>n/a</v>
          </cell>
          <cell r="AB90">
            <v>265.11565651667502</v>
          </cell>
          <cell r="AC90">
            <v>393.27179000000001</v>
          </cell>
          <cell r="AD90">
            <v>2193.9083000000001</v>
          </cell>
          <cell r="AE90">
            <v>1107.9917799999998</v>
          </cell>
          <cell r="AH90">
            <v>28469.57</v>
          </cell>
          <cell r="AI90">
            <v>103951.14000000001</v>
          </cell>
          <cell r="AJ90">
            <v>207372.73</v>
          </cell>
          <cell r="AK90">
            <v>306011.64</v>
          </cell>
          <cell r="AL90">
            <v>388942.87</v>
          </cell>
          <cell r="AM90">
            <v>410072.98</v>
          </cell>
          <cell r="AN90">
            <v>390577.97</v>
          </cell>
          <cell r="AO90">
            <v>399564.81</v>
          </cell>
          <cell r="AP90">
            <v>399564.81</v>
          </cell>
          <cell r="AQ90">
            <v>399564.81</v>
          </cell>
          <cell r="AR90">
            <v>399564.81</v>
          </cell>
          <cell r="AS90">
            <v>399564.81</v>
          </cell>
          <cell r="AW90">
            <v>47540.990000000005</v>
          </cell>
          <cell r="AX90">
            <v>158058.6</v>
          </cell>
          <cell r="AY90">
            <v>248667.64</v>
          </cell>
          <cell r="AZ90">
            <v>334866.81</v>
          </cell>
          <cell r="BA90">
            <v>441612.17</v>
          </cell>
          <cell r="BB90">
            <v>617147.37</v>
          </cell>
          <cell r="BC90">
            <v>706194.42999999993</v>
          </cell>
          <cell r="BD90">
            <v>762274.57</v>
          </cell>
          <cell r="BE90">
            <v>762274.57</v>
          </cell>
          <cell r="BF90">
            <v>762274.57</v>
          </cell>
          <cell r="BG90">
            <v>762274.57</v>
          </cell>
          <cell r="BH90">
            <v>762274.57</v>
          </cell>
          <cell r="BL90">
            <v>60801.86</v>
          </cell>
          <cell r="BM90">
            <v>131355.68</v>
          </cell>
          <cell r="BN90">
            <v>305876.55</v>
          </cell>
          <cell r="BO90">
            <v>411605.70999999996</v>
          </cell>
          <cell r="BP90">
            <v>523089.85</v>
          </cell>
          <cell r="BQ90">
            <v>696154.61</v>
          </cell>
          <cell r="BR90">
            <v>763478.37</v>
          </cell>
          <cell r="BS90">
            <v>814351.12</v>
          </cell>
          <cell r="BT90">
            <v>814351.12</v>
          </cell>
          <cell r="BU90">
            <v>814351.12</v>
          </cell>
          <cell r="BV90">
            <v>814351.12</v>
          </cell>
          <cell r="BW90">
            <v>814351.12</v>
          </cell>
          <cell r="CP90">
            <v>20240</v>
          </cell>
          <cell r="CQ90">
            <v>86069.57</v>
          </cell>
          <cell r="CR90">
            <v>213063.14</v>
          </cell>
          <cell r="CS90">
            <v>251060.73</v>
          </cell>
          <cell r="CT90">
            <v>352563.64</v>
          </cell>
          <cell r="CU90">
            <v>473278.87</v>
          </cell>
          <cell r="CV90">
            <v>419752.98</v>
          </cell>
          <cell r="CW90">
            <v>423697.97</v>
          </cell>
          <cell r="DE90">
            <v>16560</v>
          </cell>
          <cell r="DF90">
            <v>74900.990000000005</v>
          </cell>
          <cell r="DG90">
            <v>211602.6</v>
          </cell>
          <cell r="DH90">
            <v>281519.64</v>
          </cell>
          <cell r="DI90">
            <v>360810.81</v>
          </cell>
          <cell r="DJ90">
            <v>649072.17000000004</v>
          </cell>
          <cell r="DK90">
            <v>687047.37</v>
          </cell>
          <cell r="DL90">
            <v>774494.42999999993</v>
          </cell>
          <cell r="DT90">
            <v>64492.500000000007</v>
          </cell>
          <cell r="DU90">
            <v>171595.86000000002</v>
          </cell>
          <cell r="DV90">
            <v>285833.07999999996</v>
          </cell>
          <cell r="DW90">
            <v>513079.6</v>
          </cell>
          <cell r="DX90">
            <v>521438.75999999995</v>
          </cell>
          <cell r="DY90">
            <v>605486.19999999995</v>
          </cell>
          <cell r="DZ90">
            <v>760446.21</v>
          </cell>
          <cell r="EA90">
            <v>827721.57</v>
          </cell>
          <cell r="EX90">
            <v>35395.760000000002</v>
          </cell>
          <cell r="EY90">
            <v>75070.989999999991</v>
          </cell>
          <cell r="EZ90">
            <v>155577.78</v>
          </cell>
          <cell r="FA90">
            <v>227128.31</v>
          </cell>
          <cell r="FB90">
            <v>264345.70999999996</v>
          </cell>
          <cell r="FC90">
            <v>269106.56999999995</v>
          </cell>
          <cell r="FD90">
            <v>284334.16999999993</v>
          </cell>
          <cell r="FE90">
            <v>307806.36999999994</v>
          </cell>
          <cell r="FF90">
            <v>328512.55999999994</v>
          </cell>
          <cell r="FG90">
            <v>376664.40999999992</v>
          </cell>
          <cell r="FH90">
            <v>397514.62999999989</v>
          </cell>
          <cell r="FI90">
            <v>422247.35999999987</v>
          </cell>
          <cell r="FM90">
            <v>6132.54</v>
          </cell>
          <cell r="FN90">
            <v>15126.279999999999</v>
          </cell>
          <cell r="FO90">
            <v>20207.589999999997</v>
          </cell>
          <cell r="FP90">
            <v>29401.659999999996</v>
          </cell>
          <cell r="FQ90">
            <v>36475.629999999997</v>
          </cell>
          <cell r="FR90">
            <v>39876.449999999997</v>
          </cell>
          <cell r="FS90">
            <v>41144.719999999994</v>
          </cell>
          <cell r="FT90">
            <v>48088.659999999996</v>
          </cell>
          <cell r="FU90">
            <v>59997.009999999995</v>
          </cell>
          <cell r="FV90">
            <v>87824.68</v>
          </cell>
          <cell r="FW90">
            <v>110946.40999999999</v>
          </cell>
          <cell r="FX90">
            <v>129480.54999999999</v>
          </cell>
          <cell r="GB90">
            <v>7665</v>
          </cell>
          <cell r="GC90">
            <v>21442.55</v>
          </cell>
          <cell r="GD90">
            <v>99161.41</v>
          </cell>
          <cell r="GE90">
            <v>128444.66</v>
          </cell>
          <cell r="GF90">
            <v>171124.14</v>
          </cell>
          <cell r="GG90">
            <v>246241.83000000002</v>
          </cell>
          <cell r="GH90">
            <v>296413.09000000003</v>
          </cell>
          <cell r="GI90">
            <v>363274.18000000005</v>
          </cell>
          <cell r="GJ90">
            <v>393271.79000000004</v>
          </cell>
          <cell r="GK90">
            <v>493697.47000000003</v>
          </cell>
          <cell r="GL90">
            <v>522387.64</v>
          </cell>
          <cell r="GM90">
            <v>556263.87</v>
          </cell>
        </row>
        <row r="91">
          <cell r="A91" t="str">
            <v>Subcontract</v>
          </cell>
          <cell r="C91">
            <v>2113.0847599999997</v>
          </cell>
          <cell r="D91">
            <v>0</v>
          </cell>
          <cell r="E91">
            <v>2113.0847599999997</v>
          </cell>
          <cell r="F91" t="str">
            <v>n/a</v>
          </cell>
          <cell r="G91">
            <v>1107.2121089623877</v>
          </cell>
          <cell r="H91">
            <v>782.69635999999991</v>
          </cell>
          <cell r="J91">
            <v>536.45907</v>
          </cell>
          <cell r="K91">
            <v>0</v>
          </cell>
          <cell r="L91">
            <v>536.45907</v>
          </cell>
          <cell r="M91" t="str">
            <v>n/a</v>
          </cell>
          <cell r="N91">
            <v>725.23095437113784</v>
          </cell>
          <cell r="O91">
            <v>328.51255999999995</v>
          </cell>
          <cell r="Q91">
            <v>762.27456999999993</v>
          </cell>
          <cell r="R91">
            <v>0</v>
          </cell>
          <cell r="S91">
            <v>762.27456999999993</v>
          </cell>
          <cell r="T91" t="str">
            <v>n/a</v>
          </cell>
          <cell r="U91">
            <v>76.029127312199094</v>
          </cell>
          <cell r="V91">
            <v>60.912009999999995</v>
          </cell>
          <cell r="X91">
            <v>814.35112000000004</v>
          </cell>
          <cell r="Y91">
            <v>0</v>
          </cell>
          <cell r="Z91">
            <v>814.35112000000004</v>
          </cell>
          <cell r="AA91" t="str">
            <v>n/a</v>
          </cell>
          <cell r="AB91">
            <v>305.9520272790507</v>
          </cell>
          <cell r="AC91">
            <v>393.27179000000001</v>
          </cell>
          <cell r="AD91">
            <v>2390.2310171428571</v>
          </cell>
          <cell r="AE91">
            <v>1129.3896399999999</v>
          </cell>
          <cell r="AH91">
            <v>39049.57</v>
          </cell>
          <cell r="AI91">
            <v>140811.05000000002</v>
          </cell>
          <cell r="AJ91">
            <v>278437.79000000004</v>
          </cell>
          <cell r="AK91">
            <v>413327.2</v>
          </cell>
          <cell r="AL91">
            <v>504723.91</v>
          </cell>
          <cell r="AM91">
            <v>533348.74</v>
          </cell>
          <cell r="AN91">
            <v>521104.23</v>
          </cell>
          <cell r="AO91">
            <v>536459.07000000007</v>
          </cell>
          <cell r="AP91">
            <v>536459.07000000007</v>
          </cell>
          <cell r="AQ91">
            <v>536459.07000000007</v>
          </cell>
          <cell r="AR91">
            <v>536459.07000000007</v>
          </cell>
          <cell r="AS91">
            <v>536459.07000000007</v>
          </cell>
          <cell r="AW91">
            <v>47540.990000000005</v>
          </cell>
          <cell r="AX91">
            <v>158058.6</v>
          </cell>
          <cell r="AY91">
            <v>248667.64</v>
          </cell>
          <cell r="AZ91">
            <v>334866.81</v>
          </cell>
          <cell r="BA91">
            <v>441612.17</v>
          </cell>
          <cell r="BB91">
            <v>617147.37</v>
          </cell>
          <cell r="BC91">
            <v>706194.42999999993</v>
          </cell>
          <cell r="BD91">
            <v>762274.57</v>
          </cell>
          <cell r="BE91">
            <v>762274.57</v>
          </cell>
          <cell r="BF91">
            <v>762274.57</v>
          </cell>
          <cell r="BG91">
            <v>762274.57</v>
          </cell>
          <cell r="BH91">
            <v>762274.57</v>
          </cell>
          <cell r="BL91">
            <v>60801.86</v>
          </cell>
          <cell r="BM91">
            <v>131355.68</v>
          </cell>
          <cell r="BN91">
            <v>305876.55</v>
          </cell>
          <cell r="BO91">
            <v>411605.70999999996</v>
          </cell>
          <cell r="BP91">
            <v>523089.85</v>
          </cell>
          <cell r="BQ91">
            <v>696154.61</v>
          </cell>
          <cell r="BR91">
            <v>763478.37</v>
          </cell>
          <cell r="BS91">
            <v>814351.12</v>
          </cell>
          <cell r="BT91">
            <v>814351.12</v>
          </cell>
          <cell r="BU91">
            <v>814351.12</v>
          </cell>
          <cell r="BV91">
            <v>814351.12</v>
          </cell>
          <cell r="BW91">
            <v>814351.12</v>
          </cell>
          <cell r="CP91">
            <v>20240</v>
          </cell>
          <cell r="CQ91">
            <v>96649.57</v>
          </cell>
          <cell r="CR91">
            <v>282338.79857142858</v>
          </cell>
          <cell r="CS91">
            <v>352644.64714285714</v>
          </cell>
          <cell r="CT91">
            <v>476593.48571428575</v>
          </cell>
          <cell r="CU91">
            <v>613702.76714285719</v>
          </cell>
          <cell r="CV91">
            <v>550100.16857142851</v>
          </cell>
          <cell r="CW91">
            <v>565867.91095238086</v>
          </cell>
          <cell r="DE91">
            <v>16560</v>
          </cell>
          <cell r="DF91">
            <v>74900.990000000005</v>
          </cell>
          <cell r="DG91">
            <v>211602.6</v>
          </cell>
          <cell r="DH91">
            <v>281519.64</v>
          </cell>
          <cell r="DI91">
            <v>360810.81</v>
          </cell>
          <cell r="DJ91">
            <v>649072.17000000004</v>
          </cell>
          <cell r="DK91">
            <v>687047.37</v>
          </cell>
          <cell r="DL91">
            <v>774494.42999999993</v>
          </cell>
          <cell r="DT91">
            <v>64492.500000000007</v>
          </cell>
          <cell r="DU91">
            <v>171595.86000000002</v>
          </cell>
          <cell r="DV91">
            <v>289180.81999999995</v>
          </cell>
          <cell r="DW91">
            <v>517973.33999999997</v>
          </cell>
          <cell r="DX91">
            <v>521438.75999999995</v>
          </cell>
          <cell r="DY91">
            <v>605486.19999999995</v>
          </cell>
          <cell r="DZ91">
            <v>760446.21</v>
          </cell>
          <cell r="EA91">
            <v>827721.57</v>
          </cell>
          <cell r="EX91">
            <v>35395.760000000002</v>
          </cell>
          <cell r="EY91">
            <v>75070.989999999991</v>
          </cell>
          <cell r="EZ91">
            <v>155577.78</v>
          </cell>
          <cell r="FA91">
            <v>227128.31</v>
          </cell>
          <cell r="FB91">
            <v>264345.70999999996</v>
          </cell>
          <cell r="FC91">
            <v>269106.56999999995</v>
          </cell>
          <cell r="FD91">
            <v>284334.16999999993</v>
          </cell>
          <cell r="FE91">
            <v>307806.36999999994</v>
          </cell>
          <cell r="FF91">
            <v>328512.55999999994</v>
          </cell>
          <cell r="FG91">
            <v>382232.40999999992</v>
          </cell>
          <cell r="FH91">
            <v>405494.62999999989</v>
          </cell>
          <cell r="FI91">
            <v>442730.21999999986</v>
          </cell>
          <cell r="FM91">
            <v>6132.54</v>
          </cell>
          <cell r="FN91">
            <v>15126.279999999999</v>
          </cell>
          <cell r="FO91">
            <v>20207.589999999997</v>
          </cell>
          <cell r="FP91">
            <v>29401.659999999996</v>
          </cell>
          <cell r="FQ91">
            <v>36475.629999999997</v>
          </cell>
          <cell r="FR91">
            <v>39876.449999999997</v>
          </cell>
          <cell r="FS91">
            <v>41144.719999999994</v>
          </cell>
          <cell r="FT91">
            <v>48088.659999999996</v>
          </cell>
          <cell r="FU91">
            <v>60912.009999999995</v>
          </cell>
          <cell r="FV91">
            <v>88739.68</v>
          </cell>
          <cell r="FW91">
            <v>111861.40999999999</v>
          </cell>
          <cell r="FX91">
            <v>130395.54999999999</v>
          </cell>
          <cell r="GB91">
            <v>7665</v>
          </cell>
          <cell r="GC91">
            <v>21442.55</v>
          </cell>
          <cell r="GD91">
            <v>99161.41</v>
          </cell>
          <cell r="GE91">
            <v>128444.66</v>
          </cell>
          <cell r="GF91">
            <v>171124.14</v>
          </cell>
          <cell r="GG91">
            <v>246241.83000000002</v>
          </cell>
          <cell r="GH91">
            <v>296413.09000000003</v>
          </cell>
          <cell r="GI91">
            <v>363274.18000000005</v>
          </cell>
          <cell r="GJ91">
            <v>393271.79000000004</v>
          </cell>
          <cell r="GK91">
            <v>493697.47000000003</v>
          </cell>
          <cell r="GL91">
            <v>522387.64</v>
          </cell>
          <cell r="GM91">
            <v>556263.87</v>
          </cell>
        </row>
        <row r="93">
          <cell r="A93" t="str">
            <v>Value-Added</v>
          </cell>
          <cell r="C93">
            <v>9798.3927099999983</v>
          </cell>
          <cell r="D93">
            <v>0</v>
          </cell>
          <cell r="E93">
            <v>9798.3927099999983</v>
          </cell>
          <cell r="F93" t="str">
            <v>n/a</v>
          </cell>
          <cell r="G93">
            <v>10046.916736620098</v>
          </cell>
          <cell r="H93">
            <v>9000.7204799999981</v>
          </cell>
          <cell r="J93">
            <v>7596.7551199999998</v>
          </cell>
          <cell r="K93">
            <v>0</v>
          </cell>
          <cell r="L93">
            <v>7596.7551199999998</v>
          </cell>
          <cell r="M93" t="str">
            <v>n/a</v>
          </cell>
          <cell r="N93">
            <v>7416.2869428696677</v>
          </cell>
          <cell r="O93">
            <v>6834.3787100000009</v>
          </cell>
          <cell r="Q93">
            <v>1095.3525800000002</v>
          </cell>
          <cell r="R93">
            <v>0</v>
          </cell>
          <cell r="S93">
            <v>1095.3525800000002</v>
          </cell>
          <cell r="T93" t="str">
            <v>n/a</v>
          </cell>
          <cell r="U93">
            <v>1478.0087799107864</v>
          </cell>
          <cell r="V93">
            <v>479.58235999999988</v>
          </cell>
          <cell r="X93">
            <v>1106.2850099999998</v>
          </cell>
          <cell r="Y93">
            <v>0</v>
          </cell>
          <cell r="Z93">
            <v>1106.2850099999998</v>
          </cell>
          <cell r="AA93" t="str">
            <v>n/a</v>
          </cell>
          <cell r="AB93">
            <v>1152.621013839643</v>
          </cell>
          <cell r="AC93">
            <v>1686.7594099999999</v>
          </cell>
          <cell r="AD93">
            <v>12625.522052857141</v>
          </cell>
          <cell r="AE93">
            <v>11655.73775</v>
          </cell>
          <cell r="AH93">
            <v>594344.26000000013</v>
          </cell>
          <cell r="AI93">
            <v>1297454.4000000001</v>
          </cell>
          <cell r="AJ93">
            <v>2675918.2399999998</v>
          </cell>
          <cell r="AK93">
            <v>3623836.6999999993</v>
          </cell>
          <cell r="AL93">
            <v>4657991.8899999997</v>
          </cell>
          <cell r="AM93">
            <v>6074215.8399999999</v>
          </cell>
          <cell r="AN93">
            <v>6875392.7300000004</v>
          </cell>
          <cell r="AO93">
            <v>7596755.1199999982</v>
          </cell>
          <cell r="AP93">
            <v>7596755.1199999982</v>
          </cell>
          <cell r="AQ93">
            <v>7596755.1199999982</v>
          </cell>
          <cell r="AR93">
            <v>7596755.1199999982</v>
          </cell>
          <cell r="AS93">
            <v>7596755.1199999982</v>
          </cell>
          <cell r="AW93">
            <v>165567.01</v>
          </cell>
          <cell r="AX93">
            <v>255616.84</v>
          </cell>
          <cell r="AY93">
            <v>466611.8600000001</v>
          </cell>
          <cell r="AZ93">
            <v>697087.78</v>
          </cell>
          <cell r="BA93">
            <v>873983.83000000007</v>
          </cell>
          <cell r="BB93">
            <v>921151.75999999989</v>
          </cell>
          <cell r="BC93">
            <v>989922.87000000011</v>
          </cell>
          <cell r="BD93">
            <v>1095352.58</v>
          </cell>
          <cell r="BE93">
            <v>1095352.58</v>
          </cell>
          <cell r="BF93">
            <v>1095352.58</v>
          </cell>
          <cell r="BG93">
            <v>1095352.58</v>
          </cell>
          <cell r="BH93">
            <v>1095352.58</v>
          </cell>
          <cell r="BL93">
            <v>201096.91999999998</v>
          </cell>
          <cell r="BM93">
            <v>292892.52</v>
          </cell>
          <cell r="BN93">
            <v>305935.57</v>
          </cell>
          <cell r="BO93">
            <v>305807.18000000005</v>
          </cell>
          <cell r="BP93">
            <v>496065.56000000006</v>
          </cell>
          <cell r="BQ93">
            <v>864650.03999999992</v>
          </cell>
          <cell r="BR93">
            <v>968227.99999999988</v>
          </cell>
          <cell r="BS93">
            <v>1106285.0099999998</v>
          </cell>
          <cell r="BT93">
            <v>1106285.0099999998</v>
          </cell>
          <cell r="BU93">
            <v>1106285.0099999998</v>
          </cell>
          <cell r="BV93">
            <v>1106285.0099999998</v>
          </cell>
          <cell r="BW93">
            <v>1106285.0099999998</v>
          </cell>
          <cell r="CP93">
            <v>802147.47270399996</v>
          </cell>
          <cell r="CQ93">
            <v>1423427.5265600001</v>
          </cell>
          <cell r="CR93">
            <v>2527061.9173485711</v>
          </cell>
          <cell r="CS93">
            <v>3679554.3828571425</v>
          </cell>
          <cell r="CT93">
            <v>4412552.4142857138</v>
          </cell>
          <cell r="CU93">
            <v>5517302.3248571418</v>
          </cell>
          <cell r="CV93">
            <v>6673592.4114285707</v>
          </cell>
          <cell r="CW93">
            <v>7538595.4490476185</v>
          </cell>
          <cell r="DE93">
            <v>118113.40000000002</v>
          </cell>
          <cell r="DF93">
            <v>402821.01</v>
          </cell>
          <cell r="DG93">
            <v>506072.83999999997</v>
          </cell>
          <cell r="DH93">
            <v>709759.8600000001</v>
          </cell>
          <cell r="DI93">
            <v>862143.7799999998</v>
          </cell>
          <cell r="DJ93">
            <v>1024523.83</v>
          </cell>
          <cell r="DK93">
            <v>1037251.7599999999</v>
          </cell>
          <cell r="DL93">
            <v>1142622.8700000001</v>
          </cell>
          <cell r="DT93">
            <v>193477.50000000003</v>
          </cell>
          <cell r="DU93">
            <v>266772.92000000004</v>
          </cell>
          <cell r="DV93">
            <v>302454.38</v>
          </cell>
          <cell r="DW93">
            <v>338525.78</v>
          </cell>
          <cell r="DX93">
            <v>644861.13000000012</v>
          </cell>
          <cell r="DY93">
            <v>812287.2100000002</v>
          </cell>
          <cell r="DZ93">
            <v>1016190.44</v>
          </cell>
          <cell r="EA93">
            <v>1111416.7999999998</v>
          </cell>
          <cell r="EX93">
            <v>745864.43</v>
          </cell>
          <cell r="EY93">
            <v>1461683.5499999998</v>
          </cell>
          <cell r="EZ93">
            <v>2851875.6999999997</v>
          </cell>
          <cell r="FA93">
            <v>3619353.5000000005</v>
          </cell>
          <cell r="FB93">
            <v>4606192.38</v>
          </cell>
          <cell r="FC93">
            <v>5839695.5700000003</v>
          </cell>
          <cell r="FD93">
            <v>6186018.4300000006</v>
          </cell>
          <cell r="FE93">
            <v>6641563.6000000015</v>
          </cell>
          <cell r="FF93">
            <v>7162891.2700000005</v>
          </cell>
          <cell r="FG93">
            <v>7855942.1400000006</v>
          </cell>
          <cell r="FH93">
            <v>8548904.1900000013</v>
          </cell>
          <cell r="FI93">
            <v>9268597.3600000013</v>
          </cell>
          <cell r="FM93">
            <v>86321.24</v>
          </cell>
          <cell r="FN93">
            <v>153028.24</v>
          </cell>
          <cell r="FO93">
            <v>279795.67</v>
          </cell>
          <cell r="FP93">
            <v>334554.17</v>
          </cell>
          <cell r="FQ93">
            <v>362204.17</v>
          </cell>
          <cell r="FR93">
            <v>377816.67</v>
          </cell>
          <cell r="FS93">
            <v>398941.07</v>
          </cell>
          <cell r="FT93">
            <v>453603.07</v>
          </cell>
          <cell r="FU93">
            <v>540494.37</v>
          </cell>
          <cell r="FV93">
            <v>645168.27</v>
          </cell>
          <cell r="FW93">
            <v>733814.77</v>
          </cell>
          <cell r="FX93">
            <v>844310.83000000007</v>
          </cell>
          <cell r="GB93">
            <v>124532.41</v>
          </cell>
          <cell r="GC93">
            <v>304497.32</v>
          </cell>
          <cell r="GD93">
            <v>636907.13</v>
          </cell>
          <cell r="GE93">
            <v>872457.54</v>
          </cell>
          <cell r="GF93">
            <v>1170355.3600000001</v>
          </cell>
          <cell r="GG93">
            <v>1539578.46</v>
          </cell>
          <cell r="GH93">
            <v>1781757.6099999999</v>
          </cell>
          <cell r="GI93">
            <v>1967862.69</v>
          </cell>
          <cell r="GJ93">
            <v>2080031.2</v>
          </cell>
          <cell r="GK93">
            <v>2265250.56</v>
          </cell>
          <cell r="GL93">
            <v>2477074.34</v>
          </cell>
          <cell r="GM93">
            <v>2672219.1999999997</v>
          </cell>
        </row>
        <row r="95">
          <cell r="A95" t="str">
            <v>Labor - Direct</v>
          </cell>
          <cell r="C95">
            <v>2238.6351125000001</v>
          </cell>
          <cell r="D95">
            <v>0</v>
          </cell>
          <cell r="E95">
            <v>2238.6351125000001</v>
          </cell>
          <cell r="F95" t="str">
            <v>n/a</v>
          </cell>
          <cell r="G95">
            <v>2702.6631222065998</v>
          </cell>
          <cell r="H95">
            <v>2458.2588009999999</v>
          </cell>
          <cell r="J95">
            <v>1765.9043845000001</v>
          </cell>
          <cell r="K95">
            <v>0</v>
          </cell>
          <cell r="L95">
            <v>1765.9043845000001</v>
          </cell>
          <cell r="M95" t="str">
            <v>n/a</v>
          </cell>
          <cell r="N95">
            <v>2199.1375934891998</v>
          </cell>
          <cell r="O95">
            <v>1989.779411</v>
          </cell>
          <cell r="Q95">
            <v>240.29554400000004</v>
          </cell>
          <cell r="R95">
            <v>0</v>
          </cell>
          <cell r="S95">
            <v>240.29554400000004</v>
          </cell>
          <cell r="T95" t="str">
            <v>n/a</v>
          </cell>
          <cell r="U95">
            <v>249.60403251629998</v>
          </cell>
          <cell r="V95">
            <v>167.01347000000001</v>
          </cell>
          <cell r="X95">
            <v>232.43518400000002</v>
          </cell>
          <cell r="Y95">
            <v>0</v>
          </cell>
          <cell r="Z95">
            <v>232.43518400000002</v>
          </cell>
          <cell r="AA95" t="str">
            <v>n/a</v>
          </cell>
          <cell r="AB95">
            <v>253.92149620109998</v>
          </cell>
          <cell r="AC95">
            <v>301.46591999999998</v>
          </cell>
          <cell r="AD95">
            <v>3332.8038575398182</v>
          </cell>
          <cell r="AE95">
            <v>3267.4444009999997</v>
          </cell>
          <cell r="AH95">
            <v>212272.5</v>
          </cell>
          <cell r="AI95">
            <v>420364.72</v>
          </cell>
          <cell r="AJ95">
            <v>660909.30999999994</v>
          </cell>
          <cell r="AK95">
            <v>899285.72399999993</v>
          </cell>
          <cell r="AL95">
            <v>1146549.9439999999</v>
          </cell>
          <cell r="AM95">
            <v>1363744.7279999999</v>
          </cell>
          <cell r="AN95">
            <v>1556320.8185000001</v>
          </cell>
          <cell r="AO95">
            <v>1765904.3845000002</v>
          </cell>
          <cell r="AP95">
            <v>1765904.3845000002</v>
          </cell>
          <cell r="AQ95">
            <v>1765904.3845000002</v>
          </cell>
          <cell r="AR95">
            <v>1765904.3845000002</v>
          </cell>
          <cell r="AS95">
            <v>1765904.3845000002</v>
          </cell>
          <cell r="AW95">
            <v>31140.58</v>
          </cell>
          <cell r="AX95">
            <v>62879.41</v>
          </cell>
          <cell r="AY95">
            <v>97305.35</v>
          </cell>
          <cell r="AZ95">
            <v>124798.45800000001</v>
          </cell>
          <cell r="BA95">
            <v>164797.16800000001</v>
          </cell>
          <cell r="BB95">
            <v>185558.28600000002</v>
          </cell>
          <cell r="BC95">
            <v>212109.09200000003</v>
          </cell>
          <cell r="BD95">
            <v>240295.54400000002</v>
          </cell>
          <cell r="BE95">
            <v>240295.54400000002</v>
          </cell>
          <cell r="BF95">
            <v>240295.54400000002</v>
          </cell>
          <cell r="BG95">
            <v>240295.54400000002</v>
          </cell>
          <cell r="BH95">
            <v>240295.54400000002</v>
          </cell>
          <cell r="BL95">
            <v>30832.55</v>
          </cell>
          <cell r="BM95">
            <v>55119.41</v>
          </cell>
          <cell r="BN95">
            <v>84312.99</v>
          </cell>
          <cell r="BO95">
            <v>111836.308</v>
          </cell>
          <cell r="BP95">
            <v>144559.45800000001</v>
          </cell>
          <cell r="BQ95">
            <v>175155.28600000002</v>
          </cell>
          <cell r="BR95">
            <v>206970.29200000002</v>
          </cell>
          <cell r="BS95">
            <v>232435.18400000001</v>
          </cell>
          <cell r="BT95">
            <v>232435.18400000001</v>
          </cell>
          <cell r="BU95">
            <v>232435.18400000001</v>
          </cell>
          <cell r="BV95">
            <v>232435.18400000001</v>
          </cell>
          <cell r="BW95">
            <v>232435.18400000001</v>
          </cell>
          <cell r="CP95">
            <v>266340.6597448801</v>
          </cell>
          <cell r="CQ95">
            <v>432844.47494400002</v>
          </cell>
          <cell r="CR95">
            <v>679429.75962039991</v>
          </cell>
          <cell r="CS95">
            <v>930569.21376997</v>
          </cell>
          <cell r="CT95">
            <v>1193075.4815507999</v>
          </cell>
          <cell r="CU95">
            <v>1404418.7661115997</v>
          </cell>
          <cell r="CV95">
            <v>1586154.5698783998</v>
          </cell>
          <cell r="CW95">
            <v>1775465.6838014</v>
          </cell>
          <cell r="DE95">
            <v>39148.77563012769</v>
          </cell>
          <cell r="DF95">
            <v>63561.926277538463</v>
          </cell>
          <cell r="DG95">
            <v>95542.714711476932</v>
          </cell>
          <cell r="DH95">
            <v>122293.04076154077</v>
          </cell>
          <cell r="DI95">
            <v>157817.37809609232</v>
          </cell>
          <cell r="DJ95">
            <v>195027.34949910769</v>
          </cell>
          <cell r="DK95">
            <v>212709.63554264617</v>
          </cell>
          <cell r="DL95">
            <v>239965.89332287695</v>
          </cell>
          <cell r="DT95">
            <v>29949.71493654</v>
          </cell>
          <cell r="DU95">
            <v>55635.626552000002</v>
          </cell>
          <cell r="DV95">
            <v>84264.421623200004</v>
          </cell>
          <cell r="DW95">
            <v>114051.95856000001</v>
          </cell>
          <cell r="DX95">
            <v>145515.484</v>
          </cell>
          <cell r="DY95">
            <v>175310.01</v>
          </cell>
          <cell r="DZ95">
            <v>205285.78200000001</v>
          </cell>
          <cell r="EA95">
            <v>229559.88379960001</v>
          </cell>
          <cell r="EX95">
            <v>190244.77</v>
          </cell>
          <cell r="EY95">
            <v>404782.223</v>
          </cell>
          <cell r="EZ95">
            <v>674740.29099999997</v>
          </cell>
          <cell r="FA95">
            <v>890563.89099999995</v>
          </cell>
          <cell r="FB95">
            <v>1100747.551</v>
          </cell>
          <cell r="FC95">
            <v>1336176.281</v>
          </cell>
          <cell r="FD95">
            <v>1576137.811</v>
          </cell>
          <cell r="FE95">
            <v>1782091.9410000001</v>
          </cell>
          <cell r="FF95">
            <v>1989779.4110000001</v>
          </cell>
          <cell r="FG95">
            <v>2208987.7209999999</v>
          </cell>
          <cell r="FH95">
            <v>2438046.3759999997</v>
          </cell>
          <cell r="FI95">
            <v>2643765.9559999998</v>
          </cell>
          <cell r="FM95">
            <v>17083.2</v>
          </cell>
          <cell r="FN95">
            <v>32827.130000000005</v>
          </cell>
          <cell r="FO95">
            <v>57315.29</v>
          </cell>
          <cell r="FP95">
            <v>82962.790000000008</v>
          </cell>
          <cell r="FQ95">
            <v>101131.09000000001</v>
          </cell>
          <cell r="FR95">
            <v>123267.34000000001</v>
          </cell>
          <cell r="FS95">
            <v>139567.33000000002</v>
          </cell>
          <cell r="FT95">
            <v>155023.16</v>
          </cell>
          <cell r="FU95">
            <v>167013.47</v>
          </cell>
          <cell r="FV95">
            <v>181881.72</v>
          </cell>
          <cell r="FW95">
            <v>201012.587</v>
          </cell>
          <cell r="FX95">
            <v>228802.45699999999</v>
          </cell>
          <cell r="GB95">
            <v>29271.48</v>
          </cell>
          <cell r="GC95">
            <v>56686.28</v>
          </cell>
          <cell r="GD95">
            <v>96767.19</v>
          </cell>
          <cell r="GE95">
            <v>134557.24</v>
          </cell>
          <cell r="GF95">
            <v>172739.46</v>
          </cell>
          <cell r="GG95">
            <v>204979.65999999997</v>
          </cell>
          <cell r="GH95">
            <v>229612.50999999998</v>
          </cell>
          <cell r="GI95">
            <v>268428.37</v>
          </cell>
          <cell r="GJ95">
            <v>301465.92</v>
          </cell>
          <cell r="GK95">
            <v>336591.35</v>
          </cell>
          <cell r="GL95">
            <v>372145.39799999999</v>
          </cell>
          <cell r="GM95">
            <v>394875.98800000001</v>
          </cell>
        </row>
        <row r="96">
          <cell r="A96" t="str">
            <v>Labor - Supervisory Direct</v>
          </cell>
          <cell r="C96">
            <v>606.95680000000004</v>
          </cell>
          <cell r="D96">
            <v>0</v>
          </cell>
          <cell r="E96">
            <v>606.95680000000004</v>
          </cell>
          <cell r="F96" t="str">
            <v>n/a</v>
          </cell>
          <cell r="G96">
            <v>702.98723263859995</v>
          </cell>
          <cell r="H96">
            <v>667.66689000000008</v>
          </cell>
          <cell r="J96">
            <v>408.73747000000003</v>
          </cell>
          <cell r="K96">
            <v>0</v>
          </cell>
          <cell r="L96">
            <v>408.73747000000003</v>
          </cell>
          <cell r="M96" t="str">
            <v>n/a</v>
          </cell>
          <cell r="N96">
            <v>477.4275464049</v>
          </cell>
          <cell r="O96">
            <v>449.86238000000003</v>
          </cell>
          <cell r="Q96">
            <v>119.19114999999999</v>
          </cell>
          <cell r="R96">
            <v>0</v>
          </cell>
          <cell r="S96">
            <v>119.19114999999999</v>
          </cell>
          <cell r="T96" t="str">
            <v>n/a</v>
          </cell>
          <cell r="U96">
            <v>134.54437626630002</v>
          </cell>
          <cell r="V96">
            <v>127.67962</v>
          </cell>
          <cell r="X96">
            <v>79.028179999999992</v>
          </cell>
          <cell r="Y96">
            <v>0</v>
          </cell>
          <cell r="Z96">
            <v>79.028179999999992</v>
          </cell>
          <cell r="AA96" t="str">
            <v>n/a</v>
          </cell>
          <cell r="AB96">
            <v>91.0153099674</v>
          </cell>
          <cell r="AC96">
            <v>90.124890000000008</v>
          </cell>
          <cell r="AD96">
            <v>889.24860085216005</v>
          </cell>
          <cell r="AE96">
            <v>887.29453999999998</v>
          </cell>
          <cell r="AH96">
            <v>60614.49</v>
          </cell>
          <cell r="AI96">
            <v>109171.23</v>
          </cell>
          <cell r="AJ96">
            <v>168811.56</v>
          </cell>
          <cell r="AK96">
            <v>209536.01</v>
          </cell>
          <cell r="AL96">
            <v>268380.93</v>
          </cell>
          <cell r="AM96">
            <v>314365.94</v>
          </cell>
          <cell r="AN96">
            <v>362665.83</v>
          </cell>
          <cell r="AO96">
            <v>408737.47000000003</v>
          </cell>
          <cell r="AP96">
            <v>408737.47000000003</v>
          </cell>
          <cell r="AQ96">
            <v>408737.47000000003</v>
          </cell>
          <cell r="AR96">
            <v>408737.47000000003</v>
          </cell>
          <cell r="AS96">
            <v>408737.47000000003</v>
          </cell>
          <cell r="AW96">
            <v>15469.6</v>
          </cell>
          <cell r="AX96">
            <v>29301.35</v>
          </cell>
          <cell r="AY96">
            <v>44653.63</v>
          </cell>
          <cell r="AZ96">
            <v>59139.46</v>
          </cell>
          <cell r="BA96">
            <v>75121.759999999995</v>
          </cell>
          <cell r="BB96">
            <v>89607.59</v>
          </cell>
          <cell r="BC96">
            <v>103208.84999999999</v>
          </cell>
          <cell r="BD96">
            <v>119191.15</v>
          </cell>
          <cell r="BE96">
            <v>119191.15</v>
          </cell>
          <cell r="BF96">
            <v>119191.15</v>
          </cell>
          <cell r="BG96">
            <v>119191.15</v>
          </cell>
          <cell r="BH96">
            <v>119191.15</v>
          </cell>
          <cell r="BL96">
            <v>9520.7800000000007</v>
          </cell>
          <cell r="BM96">
            <v>17602.09</v>
          </cell>
          <cell r="BN96">
            <v>28201.190000000002</v>
          </cell>
          <cell r="BO96">
            <v>37915.64</v>
          </cell>
          <cell r="BP96">
            <v>48727.6</v>
          </cell>
          <cell r="BQ96">
            <v>57974.3</v>
          </cell>
          <cell r="BR96">
            <v>68216.22</v>
          </cell>
          <cell r="BS96">
            <v>79028.179999999993</v>
          </cell>
          <cell r="BT96">
            <v>79028.179999999993</v>
          </cell>
          <cell r="BU96">
            <v>79028.179999999993</v>
          </cell>
          <cell r="BV96">
            <v>79028.179999999993</v>
          </cell>
          <cell r="BW96">
            <v>79028.179999999993</v>
          </cell>
          <cell r="CP96">
            <v>56311.967011860012</v>
          </cell>
          <cell r="CQ96">
            <v>107249.65936799999</v>
          </cell>
          <cell r="CR96">
            <v>162801.67477320001</v>
          </cell>
          <cell r="CS96">
            <v>221967.31448798999</v>
          </cell>
          <cell r="CT96">
            <v>263692.48190359998</v>
          </cell>
          <cell r="CU96">
            <v>318113.74309080001</v>
          </cell>
          <cell r="CV96">
            <v>363097.2631328</v>
          </cell>
          <cell r="CW96">
            <v>413444.33350140002</v>
          </cell>
          <cell r="DE96">
            <v>15869.336687819998</v>
          </cell>
          <cell r="DF96">
            <v>28611.907815999999</v>
          </cell>
          <cell r="DG96">
            <v>48095.0039884</v>
          </cell>
          <cell r="DH96">
            <v>59488.009947309998</v>
          </cell>
          <cell r="DI96">
            <v>74253.1139884</v>
          </cell>
          <cell r="DJ96">
            <v>88921.183206799993</v>
          </cell>
          <cell r="DK96">
            <v>103129.1285888</v>
          </cell>
          <cell r="DL96">
            <v>117081.8308998</v>
          </cell>
          <cell r="DT96">
            <v>10735.139124359999</v>
          </cell>
          <cell r="DU96">
            <v>18411.164367999998</v>
          </cell>
          <cell r="DV96">
            <v>27826.032023200001</v>
          </cell>
          <cell r="DW96">
            <v>38236.211355380001</v>
          </cell>
          <cell r="DX96">
            <v>48139.582023199997</v>
          </cell>
          <cell r="DY96">
            <v>58062.503586399995</v>
          </cell>
          <cell r="DZ96">
            <v>67121.222822399999</v>
          </cell>
          <cell r="EA96">
            <v>77600.8832004</v>
          </cell>
          <cell r="EX96">
            <v>43520.23</v>
          </cell>
          <cell r="EY96">
            <v>91095.75</v>
          </cell>
          <cell r="EZ96">
            <v>146473.41999999998</v>
          </cell>
          <cell r="FA96">
            <v>192321.74</v>
          </cell>
          <cell r="FB96">
            <v>238631.3</v>
          </cell>
          <cell r="FC96">
            <v>291281.73</v>
          </cell>
          <cell r="FD96">
            <v>351373.38</v>
          </cell>
          <cell r="FE96">
            <v>399601.99</v>
          </cell>
          <cell r="FF96">
            <v>449862.38</v>
          </cell>
          <cell r="FG96">
            <v>498806.29000000004</v>
          </cell>
          <cell r="FH96">
            <v>549913.92000000004</v>
          </cell>
          <cell r="FI96">
            <v>597512.75</v>
          </cell>
          <cell r="FM96">
            <v>12713.2</v>
          </cell>
          <cell r="FN96">
            <v>23855.370000000003</v>
          </cell>
          <cell r="FO96">
            <v>39232.14</v>
          </cell>
          <cell r="FP96">
            <v>53963.369999999995</v>
          </cell>
          <cell r="FQ96">
            <v>66230.599999999991</v>
          </cell>
          <cell r="FR96">
            <v>82944.289999999994</v>
          </cell>
          <cell r="FS96">
            <v>95933.28</v>
          </cell>
          <cell r="FT96">
            <v>113430.09</v>
          </cell>
          <cell r="FU96">
            <v>127679.62</v>
          </cell>
          <cell r="FV96">
            <v>142510.38999999998</v>
          </cell>
          <cell r="FW96">
            <v>156895</v>
          </cell>
          <cell r="FX96">
            <v>170308.88</v>
          </cell>
          <cell r="GB96">
            <v>13559.35</v>
          </cell>
          <cell r="GC96">
            <v>20816.060000000001</v>
          </cell>
          <cell r="GD96">
            <v>31241.910000000003</v>
          </cell>
          <cell r="GE96">
            <v>41919.270000000004</v>
          </cell>
          <cell r="GF96">
            <v>50678.880000000005</v>
          </cell>
          <cell r="GG96">
            <v>60397.020000000004</v>
          </cell>
          <cell r="GH96">
            <v>68024.23000000001</v>
          </cell>
          <cell r="GI96">
            <v>79973.100000000006</v>
          </cell>
          <cell r="GJ96">
            <v>90124.890000000014</v>
          </cell>
          <cell r="GK96">
            <v>100668.03000000001</v>
          </cell>
          <cell r="GL96">
            <v>110398.81000000001</v>
          </cell>
          <cell r="GM96">
            <v>119472.91000000002</v>
          </cell>
        </row>
        <row r="97">
          <cell r="A97" t="str">
            <v>Labor - Indirect</v>
          </cell>
          <cell r="C97">
            <v>736.76733000000002</v>
          </cell>
          <cell r="D97">
            <v>0</v>
          </cell>
          <cell r="E97">
            <v>736.76733000000002</v>
          </cell>
          <cell r="F97" t="str">
            <v>n/a</v>
          </cell>
          <cell r="G97">
            <v>903.90689804645319</v>
          </cell>
          <cell r="H97">
            <v>527.77431999999999</v>
          </cell>
          <cell r="J97">
            <v>328.58877000000001</v>
          </cell>
          <cell r="K97">
            <v>0</v>
          </cell>
          <cell r="L97">
            <v>328.58877000000001</v>
          </cell>
          <cell r="M97" t="str">
            <v>n/a</v>
          </cell>
          <cell r="N97">
            <v>444.78081992234326</v>
          </cell>
          <cell r="O97">
            <v>218.44875999999999</v>
          </cell>
          <cell r="Q97">
            <v>110.53644</v>
          </cell>
          <cell r="R97">
            <v>0</v>
          </cell>
          <cell r="S97">
            <v>110.53644</v>
          </cell>
          <cell r="T97" t="str">
            <v>n/a</v>
          </cell>
          <cell r="U97">
            <v>122.96622068036996</v>
          </cell>
          <cell r="V97">
            <v>10.391029999999999</v>
          </cell>
          <cell r="X97">
            <v>297.64211999999998</v>
          </cell>
          <cell r="Y97">
            <v>0</v>
          </cell>
          <cell r="Z97">
            <v>297.64211999999998</v>
          </cell>
          <cell r="AA97" t="str">
            <v>n/a</v>
          </cell>
          <cell r="AB97">
            <v>336.15985744373995</v>
          </cell>
          <cell r="AC97">
            <v>298.93453</v>
          </cell>
          <cell r="AD97">
            <v>1056.3430772880454</v>
          </cell>
          <cell r="AE97">
            <v>772.35941999999989</v>
          </cell>
          <cell r="AH97">
            <v>46514.11</v>
          </cell>
          <cell r="AI97">
            <v>83092.850000000006</v>
          </cell>
          <cell r="AJ97">
            <v>129500.57</v>
          </cell>
          <cell r="AK97">
            <v>161329.59000000003</v>
          </cell>
          <cell r="AL97">
            <v>197120.84000000003</v>
          </cell>
          <cell r="AM97">
            <v>244611.39</v>
          </cell>
          <cell r="AN97">
            <v>297487.71000000002</v>
          </cell>
          <cell r="AO97">
            <v>328588.77</v>
          </cell>
          <cell r="AP97">
            <v>328588.77</v>
          </cell>
          <cell r="AQ97">
            <v>328588.77</v>
          </cell>
          <cell r="AR97">
            <v>328588.77</v>
          </cell>
          <cell r="AS97">
            <v>328588.77</v>
          </cell>
          <cell r="AW97">
            <v>8455.6899999999987</v>
          </cell>
          <cell r="AX97">
            <v>16640.16</v>
          </cell>
          <cell r="AY97">
            <v>28833.629999999997</v>
          </cell>
          <cell r="AZ97">
            <v>48183.06</v>
          </cell>
          <cell r="BA97">
            <v>73940.09</v>
          </cell>
          <cell r="BB97">
            <v>87244.45</v>
          </cell>
          <cell r="BC97">
            <v>98387.51</v>
          </cell>
          <cell r="BD97">
            <v>110536.44</v>
          </cell>
          <cell r="BE97">
            <v>110536.44</v>
          </cell>
          <cell r="BF97">
            <v>110536.44</v>
          </cell>
          <cell r="BG97">
            <v>110536.44</v>
          </cell>
          <cell r="BH97">
            <v>110536.44</v>
          </cell>
          <cell r="BL97">
            <v>33468.840000000004</v>
          </cell>
          <cell r="BM97">
            <v>68405.540000000008</v>
          </cell>
          <cell r="BN97">
            <v>108073.96</v>
          </cell>
          <cell r="BO97">
            <v>151281.35</v>
          </cell>
          <cell r="BP97">
            <v>195044.25</v>
          </cell>
          <cell r="BQ97">
            <v>232353.33</v>
          </cell>
          <cell r="BR97">
            <v>263527.18</v>
          </cell>
          <cell r="BS97">
            <v>297642.12</v>
          </cell>
          <cell r="BT97">
            <v>297642.12</v>
          </cell>
          <cell r="BU97">
            <v>297642.12</v>
          </cell>
          <cell r="BV97">
            <v>297642.12</v>
          </cell>
          <cell r="BW97">
            <v>297642.12</v>
          </cell>
          <cell r="CP97">
            <v>46728.017329108596</v>
          </cell>
          <cell r="CQ97">
            <v>82757.18356385667</v>
          </cell>
          <cell r="CR97">
            <v>134499.62105167404</v>
          </cell>
          <cell r="CS97">
            <v>168500.38375752297</v>
          </cell>
          <cell r="CT97">
            <v>201643.06061450572</v>
          </cell>
          <cell r="CU97">
            <v>233928.79143063567</v>
          </cell>
          <cell r="CV97">
            <v>280795.13476054568</v>
          </cell>
          <cell r="CW97">
            <v>334871.22730840329</v>
          </cell>
          <cell r="DE97">
            <v>14375.502952043633</v>
          </cell>
          <cell r="DF97">
            <v>20828.757879051802</v>
          </cell>
          <cell r="DG97">
            <v>34386.840324819641</v>
          </cell>
          <cell r="DH97">
            <v>44421.025547139056</v>
          </cell>
          <cell r="DI97">
            <v>64117.06841942489</v>
          </cell>
          <cell r="DJ97">
            <v>88669.691890199538</v>
          </cell>
          <cell r="DK97">
            <v>101715.37294369085</v>
          </cell>
          <cell r="DL97">
            <v>113179.19394697537</v>
          </cell>
          <cell r="DT97">
            <v>39649.624211312919</v>
          </cell>
          <cell r="DU97">
            <v>66302.860095338197</v>
          </cell>
          <cell r="DV97">
            <v>109706.22430129227</v>
          </cell>
          <cell r="DW97">
            <v>148105.33988787132</v>
          </cell>
          <cell r="DX97">
            <v>192151.78878740274</v>
          </cell>
          <cell r="DY97">
            <v>232360.73758849816</v>
          </cell>
          <cell r="DZ97">
            <v>261480.96399149683</v>
          </cell>
          <cell r="EA97">
            <v>290759.52575075463</v>
          </cell>
          <cell r="EX97">
            <v>20932.48</v>
          </cell>
          <cell r="EY97">
            <v>45146.19</v>
          </cell>
          <cell r="EZ97">
            <v>71860.600000000006</v>
          </cell>
          <cell r="FA97">
            <v>94455.670000000013</v>
          </cell>
          <cell r="FB97">
            <v>117555.34000000001</v>
          </cell>
          <cell r="FC97">
            <v>142612.47</v>
          </cell>
          <cell r="FD97">
            <v>169337.86</v>
          </cell>
          <cell r="FE97">
            <v>195081.88999999998</v>
          </cell>
          <cell r="FF97">
            <v>218448.75999999998</v>
          </cell>
          <cell r="FG97">
            <v>241568.93999999997</v>
          </cell>
          <cell r="FH97">
            <v>271893.00999999995</v>
          </cell>
          <cell r="FI97">
            <v>306405.36999999994</v>
          </cell>
          <cell r="FM97">
            <v>293.22000000000003</v>
          </cell>
          <cell r="FN97">
            <v>550.21</v>
          </cell>
          <cell r="FO97">
            <v>904.87000000000012</v>
          </cell>
          <cell r="FP97">
            <v>1223.0800000000002</v>
          </cell>
          <cell r="FQ97">
            <v>1526.5800000000002</v>
          </cell>
          <cell r="FR97">
            <v>1893.15</v>
          </cell>
          <cell r="FS97">
            <v>2168.3200000000002</v>
          </cell>
          <cell r="FT97">
            <v>2757.04</v>
          </cell>
          <cell r="FU97">
            <v>10391.029999999999</v>
          </cell>
          <cell r="FV97">
            <v>21607.89</v>
          </cell>
          <cell r="FW97">
            <v>32487.33</v>
          </cell>
          <cell r="FX97">
            <v>42632.58</v>
          </cell>
          <cell r="GB97">
            <v>29533.279999999999</v>
          </cell>
          <cell r="GC97">
            <v>55048.72</v>
          </cell>
          <cell r="GD97">
            <v>91806.989999999991</v>
          </cell>
          <cell r="GE97">
            <v>129451.97</v>
          </cell>
          <cell r="GF97">
            <v>160335.56</v>
          </cell>
          <cell r="GG97">
            <v>196957.2</v>
          </cell>
          <cell r="GH97">
            <v>219670.71000000002</v>
          </cell>
          <cell r="GI97">
            <v>262690.12</v>
          </cell>
          <cell r="GJ97">
            <v>298934.52999999997</v>
          </cell>
          <cell r="GK97">
            <v>345182.55999999994</v>
          </cell>
          <cell r="GL97">
            <v>388344.66999999993</v>
          </cell>
          <cell r="GM97">
            <v>423321.46999999991</v>
          </cell>
        </row>
        <row r="98">
          <cell r="A98" t="str">
            <v>Overtime</v>
          </cell>
          <cell r="C98">
            <v>407.72921749999989</v>
          </cell>
          <cell r="D98">
            <v>0</v>
          </cell>
          <cell r="E98">
            <v>407.72921749999989</v>
          </cell>
          <cell r="F98" t="str">
            <v>n/a</v>
          </cell>
          <cell r="G98">
            <v>259.95611694359769</v>
          </cell>
          <cell r="H98">
            <v>326.07736899999998</v>
          </cell>
          <cell r="J98">
            <v>398.99609549999991</v>
          </cell>
          <cell r="K98">
            <v>0</v>
          </cell>
          <cell r="L98">
            <v>398.99609549999991</v>
          </cell>
          <cell r="M98" t="str">
            <v>n/a</v>
          </cell>
          <cell r="N98">
            <v>254.82980127625154</v>
          </cell>
          <cell r="O98">
            <v>307.69748899999996</v>
          </cell>
          <cell r="Q98">
            <v>7.0784659999999997</v>
          </cell>
          <cell r="R98">
            <v>0</v>
          </cell>
          <cell r="S98">
            <v>7.0784659999999997</v>
          </cell>
          <cell r="T98" t="str">
            <v>n/a</v>
          </cell>
          <cell r="U98">
            <v>3.5410753664566865</v>
          </cell>
          <cell r="V98">
            <v>14.237190000000002</v>
          </cell>
          <cell r="X98">
            <v>1.6546559999999999</v>
          </cell>
          <cell r="Y98">
            <v>0</v>
          </cell>
          <cell r="Z98">
            <v>1.6546559999999999</v>
          </cell>
          <cell r="AA98" t="str">
            <v>n/a</v>
          </cell>
          <cell r="AB98">
            <v>1.5852403008894269</v>
          </cell>
          <cell r="AC98">
            <v>4.14269</v>
          </cell>
          <cell r="AD98">
            <v>462.28888903322832</v>
          </cell>
          <cell r="AE98">
            <v>411.16758899999996</v>
          </cell>
          <cell r="AH98">
            <v>14632.41</v>
          </cell>
          <cell r="AI98">
            <v>50613.39</v>
          </cell>
          <cell r="AJ98">
            <v>145535.27000000002</v>
          </cell>
          <cell r="AK98">
            <v>218588.74600000004</v>
          </cell>
          <cell r="AL98">
            <v>320527.64600000007</v>
          </cell>
          <cell r="AM98">
            <v>372502.89200000005</v>
          </cell>
          <cell r="AN98">
            <v>377848.02149999997</v>
          </cell>
          <cell r="AO98">
            <v>398996.09549999994</v>
          </cell>
          <cell r="AP98">
            <v>398996.09549999994</v>
          </cell>
          <cell r="AQ98">
            <v>398996.09549999994</v>
          </cell>
          <cell r="AR98">
            <v>398996.09549999994</v>
          </cell>
          <cell r="AS98">
            <v>398996.09549999994</v>
          </cell>
          <cell r="AW98">
            <v>207.51</v>
          </cell>
          <cell r="AX98">
            <v>1586</v>
          </cell>
          <cell r="AY98">
            <v>4929.8600000000006</v>
          </cell>
          <cell r="AZ98">
            <v>5259.7520000000004</v>
          </cell>
          <cell r="BA98">
            <v>6729.0120000000006</v>
          </cell>
          <cell r="BB98">
            <v>7098.1140000000005</v>
          </cell>
          <cell r="BC98">
            <v>7011.0879999999997</v>
          </cell>
          <cell r="BD98">
            <v>7078.4659999999994</v>
          </cell>
          <cell r="BE98">
            <v>7078.4659999999994</v>
          </cell>
          <cell r="BF98">
            <v>7078.4659999999994</v>
          </cell>
          <cell r="BG98">
            <v>7078.4659999999994</v>
          </cell>
          <cell r="BH98">
            <v>7078.4659999999994</v>
          </cell>
          <cell r="BL98">
            <v>0</v>
          </cell>
          <cell r="BM98">
            <v>284.52</v>
          </cell>
          <cell r="BN98">
            <v>655.8</v>
          </cell>
          <cell r="BO98">
            <v>888.79199999999992</v>
          </cell>
          <cell r="BP98">
            <v>1194.4119999999998</v>
          </cell>
          <cell r="BQ98">
            <v>1418.3339999999998</v>
          </cell>
          <cell r="BR98">
            <v>1525.9379999999999</v>
          </cell>
          <cell r="BS98">
            <v>1654.6559999999999</v>
          </cell>
          <cell r="BT98">
            <v>1654.6559999999999</v>
          </cell>
          <cell r="BU98">
            <v>1654.6559999999999</v>
          </cell>
          <cell r="BV98">
            <v>1654.6559999999999</v>
          </cell>
          <cell r="BW98">
            <v>1654.6559999999999</v>
          </cell>
          <cell r="CP98">
            <v>22978.89824820037</v>
          </cell>
          <cell r="CQ98">
            <v>64731.898411714224</v>
          </cell>
          <cell r="CR98">
            <v>121056.39269267143</v>
          </cell>
          <cell r="CS98">
            <v>190235.36367973045</v>
          </cell>
          <cell r="CT98">
            <v>258382.80720777667</v>
          </cell>
          <cell r="CU98">
            <v>385135.133347422</v>
          </cell>
          <cell r="CV98">
            <v>397785.27393979923</v>
          </cell>
          <cell r="CW98">
            <v>413270.46163464943</v>
          </cell>
          <cell r="DE98">
            <v>465.08420710336247</v>
          </cell>
          <cell r="DF98">
            <v>645.47198356421904</v>
          </cell>
          <cell r="DG98">
            <v>2732.6900934493792</v>
          </cell>
          <cell r="DH98">
            <v>5366.0080502164128</v>
          </cell>
          <cell r="DI98">
            <v>5874.4673149360533</v>
          </cell>
          <cell r="DJ98">
            <v>7360.2811929248073</v>
          </cell>
          <cell r="DK98">
            <v>7334.9436378238706</v>
          </cell>
          <cell r="DL98">
            <v>7281.3707173862704</v>
          </cell>
          <cell r="DT98">
            <v>271.52627328947096</v>
          </cell>
          <cell r="DU98">
            <v>245.32318624608632</v>
          </cell>
          <cell r="DV98">
            <v>680.95035245276858</v>
          </cell>
          <cell r="DW98">
            <v>1079.0010057397828</v>
          </cell>
          <cell r="DX98">
            <v>1252.6503620586504</v>
          </cell>
          <cell r="DY98">
            <v>1568.0688277619706</v>
          </cell>
          <cell r="DZ98">
            <v>1648.0771629052695</v>
          </cell>
          <cell r="EA98">
            <v>1788.8061881483836</v>
          </cell>
          <cell r="EX98">
            <v>28671.57</v>
          </cell>
          <cell r="EY98">
            <v>63087.457000000002</v>
          </cell>
          <cell r="EZ98">
            <v>137804.43900000001</v>
          </cell>
          <cell r="FA98">
            <v>187572.55900000001</v>
          </cell>
          <cell r="FB98">
            <v>225253.829</v>
          </cell>
          <cell r="FC98">
            <v>238151.62899999999</v>
          </cell>
          <cell r="FD98">
            <v>256198.17899999997</v>
          </cell>
          <cell r="FE98">
            <v>274840.07899999997</v>
          </cell>
          <cell r="FF98">
            <v>307697.48899999994</v>
          </cell>
          <cell r="FG98">
            <v>352489.47899999993</v>
          </cell>
          <cell r="FH98">
            <v>382258.09399999992</v>
          </cell>
          <cell r="FI98">
            <v>388750.11399999994</v>
          </cell>
          <cell r="FM98">
            <v>1718.37</v>
          </cell>
          <cell r="FN98">
            <v>3799.77</v>
          </cell>
          <cell r="FO98">
            <v>8040.7800000000007</v>
          </cell>
          <cell r="FP98">
            <v>9222.2200000000012</v>
          </cell>
          <cell r="FQ98">
            <v>10103.480000000001</v>
          </cell>
          <cell r="FR98">
            <v>11281.680000000002</v>
          </cell>
          <cell r="FS98">
            <v>11780.400000000001</v>
          </cell>
          <cell r="FT98">
            <v>12584.570000000002</v>
          </cell>
          <cell r="FU98">
            <v>14237.190000000002</v>
          </cell>
          <cell r="FV98">
            <v>15775.440000000002</v>
          </cell>
          <cell r="FW98">
            <v>16746.213000000003</v>
          </cell>
          <cell r="FX98">
            <v>16952.243000000002</v>
          </cell>
          <cell r="GB98">
            <v>850.23</v>
          </cell>
          <cell r="GC98">
            <v>1167.3499999999999</v>
          </cell>
          <cell r="GD98">
            <v>1528.4099999999999</v>
          </cell>
          <cell r="GE98">
            <v>1857.7099999999998</v>
          </cell>
          <cell r="GF98">
            <v>2146.54</v>
          </cell>
          <cell r="GG98">
            <v>2649.12</v>
          </cell>
          <cell r="GH98">
            <v>2819.19</v>
          </cell>
          <cell r="GI98">
            <v>3614.6</v>
          </cell>
          <cell r="GJ98">
            <v>4142.6899999999996</v>
          </cell>
          <cell r="GK98">
            <v>4776.4399999999996</v>
          </cell>
          <cell r="GL98">
            <v>5197.7919999999995</v>
          </cell>
          <cell r="GM98">
            <v>5465.2319999999991</v>
          </cell>
        </row>
        <row r="99">
          <cell r="A99" t="str">
            <v>Payroll Taxes &amp; Employee Benefits</v>
          </cell>
          <cell r="C99">
            <v>503.61118999999997</v>
          </cell>
          <cell r="D99">
            <v>0</v>
          </cell>
          <cell r="E99">
            <v>503.61118999999997</v>
          </cell>
          <cell r="F99" t="str">
            <v>n/a</v>
          </cell>
          <cell r="G99">
            <v>649.44950978563293</v>
          </cell>
          <cell r="H99">
            <v>502.18691108473297</v>
          </cell>
          <cell r="J99">
            <v>382.66976</v>
          </cell>
          <cell r="K99">
            <v>0</v>
          </cell>
          <cell r="L99">
            <v>382.66976</v>
          </cell>
          <cell r="M99" t="str">
            <v>n/a</v>
          </cell>
          <cell r="N99">
            <v>491.10166991124947</v>
          </cell>
          <cell r="O99">
            <v>387.57081637352098</v>
          </cell>
          <cell r="Q99">
            <v>50.6004</v>
          </cell>
          <cell r="R99">
            <v>0</v>
          </cell>
          <cell r="S99">
            <v>50.6004</v>
          </cell>
          <cell r="T99" t="str">
            <v>n/a</v>
          </cell>
          <cell r="U99">
            <v>67.253687190347364</v>
          </cell>
          <cell r="V99">
            <v>38.275396555033709</v>
          </cell>
          <cell r="X99">
            <v>70.341029999999989</v>
          </cell>
          <cell r="Y99">
            <v>0</v>
          </cell>
          <cell r="Z99">
            <v>70.341029999999989</v>
          </cell>
          <cell r="AA99" t="str">
            <v>n/a</v>
          </cell>
          <cell r="AB99">
            <v>91.094152684036032</v>
          </cell>
          <cell r="AC99">
            <v>76.340698156178291</v>
          </cell>
          <cell r="AD99">
            <v>755.35887703209721</v>
          </cell>
          <cell r="AE99">
            <v>656.79798806825681</v>
          </cell>
          <cell r="AH99">
            <v>59501.070000000007</v>
          </cell>
          <cell r="AI99">
            <v>105240.25</v>
          </cell>
          <cell r="AJ99">
            <v>157463.6</v>
          </cell>
          <cell r="AK99">
            <v>206536.1</v>
          </cell>
          <cell r="AL99">
            <v>258437.57</v>
          </cell>
          <cell r="AM99">
            <v>303103.17</v>
          </cell>
          <cell r="AN99">
            <v>341652.86</v>
          </cell>
          <cell r="AO99">
            <v>382669.76</v>
          </cell>
          <cell r="AP99">
            <v>382669.76</v>
          </cell>
          <cell r="AQ99">
            <v>382669.76</v>
          </cell>
          <cell r="AR99">
            <v>382669.76</v>
          </cell>
          <cell r="AS99">
            <v>382669.76</v>
          </cell>
          <cell r="AW99">
            <v>6806.09</v>
          </cell>
          <cell r="AX99">
            <v>13378.24</v>
          </cell>
          <cell r="AY99">
            <v>21048.66</v>
          </cell>
          <cell r="AZ99">
            <v>26292.77</v>
          </cell>
          <cell r="BA99">
            <v>33518.589999999997</v>
          </cell>
          <cell r="BB99">
            <v>39352.82</v>
          </cell>
          <cell r="BC99">
            <v>44717.83</v>
          </cell>
          <cell r="BD99">
            <v>50600.4</v>
          </cell>
          <cell r="BE99">
            <v>50600.4</v>
          </cell>
          <cell r="BF99">
            <v>50600.4</v>
          </cell>
          <cell r="BG99">
            <v>50600.4</v>
          </cell>
          <cell r="BH99">
            <v>50600.4</v>
          </cell>
          <cell r="BL99">
            <v>10730.49</v>
          </cell>
          <cell r="BM99">
            <v>19220.03</v>
          </cell>
          <cell r="BN99">
            <v>28127.719999999998</v>
          </cell>
          <cell r="BO99">
            <v>36056.039999999994</v>
          </cell>
          <cell r="BP99">
            <v>45532.409999999989</v>
          </cell>
          <cell r="BQ99">
            <v>53836.76999999999</v>
          </cell>
          <cell r="BR99">
            <v>61516.079999999987</v>
          </cell>
          <cell r="BS99">
            <v>70341.029999999984</v>
          </cell>
          <cell r="BT99">
            <v>70341.029999999984</v>
          </cell>
          <cell r="BU99">
            <v>70341.029999999984</v>
          </cell>
          <cell r="BV99">
            <v>70341.029999999984</v>
          </cell>
          <cell r="BW99">
            <v>70341.029999999984</v>
          </cell>
          <cell r="CP99">
            <v>56704.884523641012</v>
          </cell>
          <cell r="CQ99">
            <v>111986.90021115771</v>
          </cell>
          <cell r="CR99">
            <v>165940.25762509304</v>
          </cell>
          <cell r="CS99">
            <v>214562.27987283058</v>
          </cell>
          <cell r="CT99">
            <v>266654.24145761918</v>
          </cell>
          <cell r="CU99">
            <v>315754.47878614889</v>
          </cell>
          <cell r="CV99">
            <v>355159.59017038078</v>
          </cell>
          <cell r="CW99">
            <v>394450.73859030136</v>
          </cell>
          <cell r="DE99">
            <v>9140.5098906585335</v>
          </cell>
          <cell r="DF99">
            <v>14772.768926910521</v>
          </cell>
          <cell r="DG99">
            <v>22560.310566194436</v>
          </cell>
          <cell r="DH99">
            <v>28116.91495054683</v>
          </cell>
          <cell r="DI99">
            <v>34566.667753786016</v>
          </cell>
          <cell r="DJ99">
            <v>41249.836943617047</v>
          </cell>
          <cell r="DK99">
            <v>47079.546807772342</v>
          </cell>
          <cell r="DL99">
            <v>52711.5367177796</v>
          </cell>
          <cell r="DT99">
            <v>10597.707022100672</v>
          </cell>
          <cell r="DU99">
            <v>19912.143888280982</v>
          </cell>
          <cell r="DV99">
            <v>29860.1293883982</v>
          </cell>
          <cell r="DW99">
            <v>38462.7315575959</v>
          </cell>
          <cell r="DX99">
            <v>47046.453903878384</v>
          </cell>
          <cell r="DY99">
            <v>55768.154131734293</v>
          </cell>
          <cell r="DZ99">
            <v>63714.220899614389</v>
          </cell>
          <cell r="EA99">
            <v>70178.474707756308</v>
          </cell>
          <cell r="EX99">
            <v>45025.25331054502</v>
          </cell>
          <cell r="EY99">
            <v>89215.118497633783</v>
          </cell>
          <cell r="EZ99">
            <v>141463.89145035343</v>
          </cell>
          <cell r="FA99">
            <v>187112.44361719524</v>
          </cell>
          <cell r="FB99">
            <v>225984.68866094342</v>
          </cell>
          <cell r="FC99">
            <v>273997.72009880241</v>
          </cell>
          <cell r="FD99">
            <v>316345.1661980853</v>
          </cell>
          <cell r="FE99">
            <v>355554.2425826785</v>
          </cell>
          <cell r="FF99">
            <v>387570.816373521</v>
          </cell>
          <cell r="FG99">
            <v>429176.01106038789</v>
          </cell>
          <cell r="FH99">
            <v>469431.36885167763</v>
          </cell>
          <cell r="FI99">
            <v>505587.7659741891</v>
          </cell>
          <cell r="FM99">
            <v>4355.4329825899758</v>
          </cell>
          <cell r="FN99">
            <v>8684.1728266696955</v>
          </cell>
          <cell r="FO99">
            <v>13611.917069378393</v>
          </cell>
          <cell r="FP99">
            <v>17660.589087938919</v>
          </cell>
          <cell r="FQ99">
            <v>21089.75178055136</v>
          </cell>
          <cell r="FR99">
            <v>26642.446771627547</v>
          </cell>
          <cell r="FS99">
            <v>30915.006085603156</v>
          </cell>
          <cell r="FT99">
            <v>34319.99224822929</v>
          </cell>
          <cell r="FU99">
            <v>38275.396555033709</v>
          </cell>
          <cell r="FV99">
            <v>42469.904151934876</v>
          </cell>
          <cell r="FW99">
            <v>46845.305148374428</v>
          </cell>
          <cell r="FX99">
            <v>52642.992431588995</v>
          </cell>
          <cell r="GB99">
            <v>9130.3787057288155</v>
          </cell>
          <cell r="GC99">
            <v>17686.089952432616</v>
          </cell>
          <cell r="GD99">
            <v>27312.40679372639</v>
          </cell>
          <cell r="GE99">
            <v>34413.407339803896</v>
          </cell>
          <cell r="GF99">
            <v>42491.457255139831</v>
          </cell>
          <cell r="GG99">
            <v>53518.497267598694</v>
          </cell>
          <cell r="GH99">
            <v>62771.086277235838</v>
          </cell>
          <cell r="GI99">
            <v>69982.232228070148</v>
          </cell>
          <cell r="GJ99">
            <v>76340.698156178289</v>
          </cell>
          <cell r="GK99">
            <v>83667.050046752847</v>
          </cell>
          <cell r="GL99">
            <v>91902.243186503852</v>
          </cell>
          <cell r="GM99">
            <v>98567.229662478727</v>
          </cell>
        </row>
        <row r="100">
          <cell r="A100" t="str">
            <v>Other Cost of Sales</v>
          </cell>
          <cell r="C100">
            <v>855.85079000000007</v>
          </cell>
          <cell r="D100">
            <v>0</v>
          </cell>
          <cell r="E100">
            <v>855.85079000000007</v>
          </cell>
          <cell r="F100" t="str">
            <v>n/a</v>
          </cell>
          <cell r="G100">
            <v>1077.858997673964</v>
          </cell>
          <cell r="H100">
            <v>897.39625099999989</v>
          </cell>
          <cell r="J100">
            <v>665.2003370000001</v>
          </cell>
          <cell r="K100">
            <v>0</v>
          </cell>
          <cell r="L100">
            <v>665.2003370000001</v>
          </cell>
          <cell r="M100" t="str">
            <v>n/a</v>
          </cell>
          <cell r="N100">
            <v>827.45623867373774</v>
          </cell>
          <cell r="O100">
            <v>734.36892099999989</v>
          </cell>
          <cell r="Q100">
            <v>105.30198300000001</v>
          </cell>
          <cell r="R100">
            <v>0</v>
          </cell>
          <cell r="S100">
            <v>105.30198300000001</v>
          </cell>
          <cell r="T100" t="str">
            <v>n/a</v>
          </cell>
          <cell r="U100">
            <v>138.3636388482856</v>
          </cell>
          <cell r="V100">
            <v>16.553349999999998</v>
          </cell>
          <cell r="X100">
            <v>85.348470000000006</v>
          </cell>
          <cell r="Y100">
            <v>0</v>
          </cell>
          <cell r="Z100">
            <v>85.348470000000006</v>
          </cell>
          <cell r="AA100" t="str">
            <v>n/a</v>
          </cell>
          <cell r="AB100">
            <v>112.03912015194061</v>
          </cell>
          <cell r="AC100">
            <v>146.47397999999998</v>
          </cell>
          <cell r="AD100">
            <v>1318.5819820000002</v>
          </cell>
          <cell r="AE100">
            <v>1234.9669209999997</v>
          </cell>
          <cell r="AH100">
            <v>65114.654999999999</v>
          </cell>
          <cell r="AI100">
            <v>140625.435</v>
          </cell>
          <cell r="AJ100">
            <v>231361.946</v>
          </cell>
          <cell r="AK100">
            <v>300596.45699999999</v>
          </cell>
          <cell r="AL100">
            <v>379562.462</v>
          </cell>
          <cell r="AM100">
            <v>479889.00699999998</v>
          </cell>
          <cell r="AN100">
            <v>595316.799</v>
          </cell>
          <cell r="AO100">
            <v>665200.33700000006</v>
          </cell>
          <cell r="AP100">
            <v>665200.33700000006</v>
          </cell>
          <cell r="AQ100">
            <v>665200.33700000006</v>
          </cell>
          <cell r="AR100">
            <v>665200.33700000006</v>
          </cell>
          <cell r="AS100">
            <v>665200.33700000006</v>
          </cell>
          <cell r="AW100">
            <v>12834.455</v>
          </cell>
          <cell r="AX100">
            <v>25289.044999999998</v>
          </cell>
          <cell r="AY100">
            <v>33470.023999999998</v>
          </cell>
          <cell r="AZ100">
            <v>48257.352999999996</v>
          </cell>
          <cell r="BA100">
            <v>60951.967999999993</v>
          </cell>
          <cell r="BB100">
            <v>77105.192999999999</v>
          </cell>
          <cell r="BC100">
            <v>92795.611000000004</v>
          </cell>
          <cell r="BD100">
            <v>105301.98300000001</v>
          </cell>
          <cell r="BE100">
            <v>105301.98300000001</v>
          </cell>
          <cell r="BF100">
            <v>105301.98300000001</v>
          </cell>
          <cell r="BG100">
            <v>105301.98300000001</v>
          </cell>
          <cell r="BH100">
            <v>105301.98300000001</v>
          </cell>
          <cell r="BL100">
            <v>10009.16</v>
          </cell>
          <cell r="BM100">
            <v>19088.72</v>
          </cell>
          <cell r="BN100">
            <v>33847.589999999997</v>
          </cell>
          <cell r="BO100">
            <v>43809.899999999994</v>
          </cell>
          <cell r="BP100">
            <v>51611.539999999994</v>
          </cell>
          <cell r="BQ100">
            <v>63533.02</v>
          </cell>
          <cell r="BR100">
            <v>75241.11</v>
          </cell>
          <cell r="BS100">
            <v>85348.47</v>
          </cell>
          <cell r="BT100">
            <v>85348.47</v>
          </cell>
          <cell r="BU100">
            <v>85348.47</v>
          </cell>
          <cell r="BV100">
            <v>85348.47</v>
          </cell>
          <cell r="BW100">
            <v>85348.47</v>
          </cell>
          <cell r="CP100">
            <v>93108.58770435481</v>
          </cell>
          <cell r="CQ100">
            <v>158230.5273138622</v>
          </cell>
          <cell r="CR100">
            <v>241149.43800561901</v>
          </cell>
          <cell r="CS100">
            <v>326258.79493780847</v>
          </cell>
          <cell r="CT100">
            <v>395058.22302956536</v>
          </cell>
          <cell r="CU100">
            <v>473574.63468834932</v>
          </cell>
          <cell r="CV100">
            <v>570409.03377607779</v>
          </cell>
          <cell r="CW100">
            <v>689694.83377607772</v>
          </cell>
          <cell r="DE100">
            <v>15461.397413361301</v>
          </cell>
          <cell r="DF100">
            <v>29573.390425097794</v>
          </cell>
          <cell r="DG100">
            <v>42514.361016499388</v>
          </cell>
          <cell r="DH100">
            <v>50243.817446628585</v>
          </cell>
          <cell r="DI100">
            <v>65119.68703803017</v>
          </cell>
          <cell r="DJ100">
            <v>77608.604995038113</v>
          </cell>
          <cell r="DK100">
            <v>92836.279091718112</v>
          </cell>
          <cell r="DL100">
            <v>108726.14709171811</v>
          </cell>
          <cell r="DT100">
            <v>12516.91792228389</v>
          </cell>
          <cell r="DU100">
            <v>22519.204527706672</v>
          </cell>
          <cell r="DV100">
            <v>31640.693511214948</v>
          </cell>
          <cell r="DW100">
            <v>45964.137615562933</v>
          </cell>
          <cell r="DX100">
            <v>56020.836599071205</v>
          </cell>
          <cell r="DY100">
            <v>63382.001516612559</v>
          </cell>
          <cell r="DZ100">
            <v>74370.217132204096</v>
          </cell>
          <cell r="EA100">
            <v>86284.817132204102</v>
          </cell>
          <cell r="EX100">
            <v>81077.152999999991</v>
          </cell>
          <cell r="EY100">
            <v>139320.47399999999</v>
          </cell>
          <cell r="EZ100">
            <v>229896.67199999996</v>
          </cell>
          <cell r="FA100">
            <v>302663.68899999995</v>
          </cell>
          <cell r="FB100">
            <v>390945.16499999992</v>
          </cell>
          <cell r="FC100">
            <v>517653.52099999995</v>
          </cell>
          <cell r="FD100">
            <v>578101.45099999988</v>
          </cell>
          <cell r="FE100">
            <v>649763.67099999986</v>
          </cell>
          <cell r="FF100">
            <v>734368.92099999986</v>
          </cell>
          <cell r="FG100">
            <v>814269.96199999982</v>
          </cell>
          <cell r="FH100">
            <v>902348.65199999977</v>
          </cell>
          <cell r="FI100">
            <v>993333.84199999971</v>
          </cell>
          <cell r="FM100">
            <v>7993.2599999999993</v>
          </cell>
          <cell r="FN100">
            <v>-11780.420000000002</v>
          </cell>
          <cell r="FO100">
            <v>-7446.1300000000019</v>
          </cell>
          <cell r="FP100">
            <v>-4868.970000000003</v>
          </cell>
          <cell r="FQ100">
            <v>-2934.180000000003</v>
          </cell>
          <cell r="FR100">
            <v>-786.33000000000311</v>
          </cell>
          <cell r="FS100">
            <v>3302.8299999999967</v>
          </cell>
          <cell r="FT100">
            <v>8089.1999999999971</v>
          </cell>
          <cell r="FU100">
            <v>16553.349999999999</v>
          </cell>
          <cell r="FV100">
            <v>27520.129000000001</v>
          </cell>
          <cell r="FW100">
            <v>39251.779000000002</v>
          </cell>
          <cell r="FX100">
            <v>58248.739000000001</v>
          </cell>
          <cell r="GB100">
            <v>16652.089999999997</v>
          </cell>
          <cell r="GC100">
            <v>36001.369999999995</v>
          </cell>
          <cell r="GD100">
            <v>49602.959999999992</v>
          </cell>
          <cell r="GE100">
            <v>67552.28</v>
          </cell>
          <cell r="GF100">
            <v>85557.28</v>
          </cell>
          <cell r="GG100">
            <v>112894.82999999999</v>
          </cell>
          <cell r="GH100">
            <v>120651.69999999998</v>
          </cell>
          <cell r="GI100">
            <v>131494.77999999997</v>
          </cell>
          <cell r="GJ100">
            <v>146473.97999999998</v>
          </cell>
          <cell r="GK100">
            <v>153452.03999999998</v>
          </cell>
          <cell r="GL100">
            <v>165378.99999999997</v>
          </cell>
          <cell r="GM100">
            <v>183384.33999999997</v>
          </cell>
        </row>
        <row r="101">
          <cell r="A101" t="str">
            <v>Cost of Sales</v>
          </cell>
          <cell r="C101">
            <v>5349.55044</v>
          </cell>
          <cell r="D101">
            <v>0</v>
          </cell>
          <cell r="E101">
            <v>5349.55044</v>
          </cell>
          <cell r="F101" t="str">
            <v>n/a</v>
          </cell>
          <cell r="G101">
            <v>6296.8218772948476</v>
          </cell>
          <cell r="H101">
            <v>5379.3605420847334</v>
          </cell>
          <cell r="J101">
            <v>3950.0968169999996</v>
          </cell>
          <cell r="K101">
            <v>0</v>
          </cell>
          <cell r="L101">
            <v>3950.0968169999996</v>
          </cell>
          <cell r="M101" t="str">
            <v>n/a</v>
          </cell>
          <cell r="N101">
            <v>4694.733669677682</v>
          </cell>
          <cell r="O101">
            <v>4087.7277773735209</v>
          </cell>
          <cell r="Q101">
            <v>633.00398300000006</v>
          </cell>
          <cell r="R101">
            <v>0</v>
          </cell>
          <cell r="S101">
            <v>633.00398300000006</v>
          </cell>
          <cell r="T101" t="str">
            <v>n/a</v>
          </cell>
          <cell r="U101">
            <v>716.27303086805966</v>
          </cell>
          <cell r="V101">
            <v>374.1500565550337</v>
          </cell>
          <cell r="X101">
            <v>766.44963999999993</v>
          </cell>
          <cell r="Y101">
            <v>0</v>
          </cell>
          <cell r="Z101">
            <v>766.44963999999993</v>
          </cell>
          <cell r="AA101" t="str">
            <v>n/a</v>
          </cell>
          <cell r="AB101">
            <v>885.81517674910583</v>
          </cell>
          <cell r="AC101">
            <v>917.48270815617821</v>
          </cell>
          <cell r="AD101">
            <v>7814.6252837453503</v>
          </cell>
          <cell r="AE101">
            <v>7230.0308590682562</v>
          </cell>
          <cell r="AH101">
            <v>458649.23499999999</v>
          </cell>
          <cell r="AI101">
            <v>909107.875</v>
          </cell>
          <cell r="AJ101">
            <v>1493582.2560000001</v>
          </cell>
          <cell r="AK101">
            <v>1995872.6270000001</v>
          </cell>
          <cell r="AL101">
            <v>2570579.3919999995</v>
          </cell>
          <cell r="AM101">
            <v>3078217.1269999994</v>
          </cell>
          <cell r="AN101">
            <v>3531292.0389999999</v>
          </cell>
          <cell r="AO101">
            <v>3950096.8170000007</v>
          </cell>
          <cell r="AP101">
            <v>3950096.8170000007</v>
          </cell>
          <cell r="AQ101">
            <v>3950096.8170000007</v>
          </cell>
          <cell r="AR101">
            <v>3950096.8170000007</v>
          </cell>
          <cell r="AS101">
            <v>3950096.8170000007</v>
          </cell>
          <cell r="AW101">
            <v>74913.925000000003</v>
          </cell>
          <cell r="AX101">
            <v>149074.20500000002</v>
          </cell>
          <cell r="AY101">
            <v>230241.15400000004</v>
          </cell>
          <cell r="AZ101">
            <v>311930.853</v>
          </cell>
          <cell r="BA101">
            <v>415058.58799999999</v>
          </cell>
          <cell r="BB101">
            <v>485966.4530000001</v>
          </cell>
          <cell r="BC101">
            <v>558229.98100000003</v>
          </cell>
          <cell r="BD101">
            <v>633003.98300000001</v>
          </cell>
          <cell r="BE101">
            <v>633003.98300000001</v>
          </cell>
          <cell r="BF101">
            <v>633003.98300000001</v>
          </cell>
          <cell r="BG101">
            <v>633003.98300000001</v>
          </cell>
          <cell r="BH101">
            <v>633003.98300000001</v>
          </cell>
          <cell r="BL101">
            <v>94561.820000000022</v>
          </cell>
          <cell r="BM101">
            <v>179720.31</v>
          </cell>
          <cell r="BN101">
            <v>283219.25</v>
          </cell>
          <cell r="BO101">
            <v>381788.03</v>
          </cell>
          <cell r="BP101">
            <v>486669.67</v>
          </cell>
          <cell r="BQ101">
            <v>584271.03999999992</v>
          </cell>
          <cell r="BR101">
            <v>676996.82</v>
          </cell>
          <cell r="BS101">
            <v>766449.6399999999</v>
          </cell>
          <cell r="BT101">
            <v>766449.6399999999</v>
          </cell>
          <cell r="BU101">
            <v>766449.6399999999</v>
          </cell>
          <cell r="BV101">
            <v>766449.6399999999</v>
          </cell>
          <cell r="BW101">
            <v>766449.6399999999</v>
          </cell>
          <cell r="CP101">
            <v>542173.01456204487</v>
          </cell>
          <cell r="CQ101">
            <v>957800.64381259086</v>
          </cell>
          <cell r="CR101">
            <v>1504877.1437686572</v>
          </cell>
          <cell r="CS101">
            <v>2052093.3505058526</v>
          </cell>
          <cell r="CT101">
            <v>2578506.295763867</v>
          </cell>
          <cell r="CU101">
            <v>3130925.547454956</v>
          </cell>
          <cell r="CV101">
            <v>3553400.8656580029</v>
          </cell>
          <cell r="CW101">
            <v>4021197.2786122318</v>
          </cell>
          <cell r="DE101">
            <v>94460.606781114533</v>
          </cell>
          <cell r="DF101">
            <v>157994.22330816279</v>
          </cell>
          <cell r="DG101">
            <v>245831.92070083978</v>
          </cell>
          <cell r="DH101">
            <v>309928.81670338172</v>
          </cell>
          <cell r="DI101">
            <v>401748.38261066948</v>
          </cell>
          <cell r="DJ101">
            <v>498836.94772768725</v>
          </cell>
          <cell r="DK101">
            <v>564804.9066124513</v>
          </cell>
          <cell r="DL101">
            <v>638945.97269653634</v>
          </cell>
          <cell r="DT101">
            <v>103720.62948988695</v>
          </cell>
          <cell r="DU101">
            <v>183026.32261757195</v>
          </cell>
          <cell r="DV101">
            <v>283978.45119975822</v>
          </cell>
          <cell r="DW101">
            <v>385899.37998214999</v>
          </cell>
          <cell r="DX101">
            <v>490126.79567561101</v>
          </cell>
          <cell r="DY101">
            <v>586451.47565100703</v>
          </cell>
          <cell r="DZ101">
            <v>673620.48400862061</v>
          </cell>
          <cell r="EA101">
            <v>756172.39077886334</v>
          </cell>
          <cell r="EX101">
            <v>409471.45631054498</v>
          </cell>
          <cell r="EY101">
            <v>832647.21249763365</v>
          </cell>
          <cell r="EZ101">
            <v>1402239.3134503535</v>
          </cell>
          <cell r="FA101">
            <v>1854689.9926171952</v>
          </cell>
          <cell r="FB101">
            <v>2299117.8736609435</v>
          </cell>
          <cell r="FC101">
            <v>2799873.3510988019</v>
          </cell>
          <cell r="FD101">
            <v>3247493.8471980854</v>
          </cell>
          <cell r="FE101">
            <v>3656933.8135826783</v>
          </cell>
          <cell r="FF101">
            <v>4087727.7773735207</v>
          </cell>
          <cell r="FG101">
            <v>4545298.4030603878</v>
          </cell>
          <cell r="FH101">
            <v>5013891.4208516767</v>
          </cell>
          <cell r="FI101">
            <v>5435355.7979741879</v>
          </cell>
          <cell r="FM101">
            <v>44156.682982589977</v>
          </cell>
          <cell r="FN101">
            <v>57936.2328266697</v>
          </cell>
          <cell r="FO101">
            <v>111658.86706937838</v>
          </cell>
          <cell r="FP101">
            <v>160163.07908793891</v>
          </cell>
          <cell r="FQ101">
            <v>197147.32178055137</v>
          </cell>
          <cell r="FR101">
            <v>245242.57677162753</v>
          </cell>
          <cell r="FS101">
            <v>283667.16608560318</v>
          </cell>
          <cell r="FT101">
            <v>326204.05224822927</v>
          </cell>
          <cell r="FU101">
            <v>374150.05655503366</v>
          </cell>
          <cell r="FV101">
            <v>431765.47315193492</v>
          </cell>
          <cell r="FW101">
            <v>493238.21414837439</v>
          </cell>
          <cell r="FX101">
            <v>569587.89143158903</v>
          </cell>
          <cell r="GB101">
            <v>98996.808705728807</v>
          </cell>
          <cell r="GC101">
            <v>187405.86995243261</v>
          </cell>
          <cell r="GD101">
            <v>298259.86679372634</v>
          </cell>
          <cell r="GE101">
            <v>409751.87733980385</v>
          </cell>
          <cell r="GF101">
            <v>513949.1772551398</v>
          </cell>
          <cell r="GG101">
            <v>631396.32726759871</v>
          </cell>
          <cell r="GH101">
            <v>703549.42627723585</v>
          </cell>
          <cell r="GI101">
            <v>816183.20222807</v>
          </cell>
          <cell r="GJ101">
            <v>917482.70815617824</v>
          </cell>
          <cell r="GK101">
            <v>1024337.4700467528</v>
          </cell>
          <cell r="GL101">
            <v>1133367.9131865038</v>
          </cell>
          <cell r="GM101">
            <v>1225087.1696624788</v>
          </cell>
        </row>
        <row r="103">
          <cell r="A103" t="str">
            <v>Labor - Sales &amp; Marketing</v>
          </cell>
          <cell r="C103">
            <v>659.49370999999996</v>
          </cell>
          <cell r="D103">
            <v>0</v>
          </cell>
          <cell r="E103">
            <v>659.49370999999996</v>
          </cell>
          <cell r="F103" t="str">
            <v>n/a</v>
          </cell>
          <cell r="G103">
            <v>631.81354926582003</v>
          </cell>
          <cell r="H103">
            <v>574.91149999999993</v>
          </cell>
          <cell r="J103">
            <v>489.09974999999997</v>
          </cell>
          <cell r="K103">
            <v>0</v>
          </cell>
          <cell r="L103">
            <v>489.09974999999997</v>
          </cell>
          <cell r="M103" t="str">
            <v>n/a</v>
          </cell>
          <cell r="N103">
            <v>552.25748774007945</v>
          </cell>
          <cell r="O103">
            <v>410.60333999999995</v>
          </cell>
          <cell r="Q103">
            <v>49.150550000000003</v>
          </cell>
          <cell r="R103">
            <v>0</v>
          </cell>
          <cell r="S103">
            <v>49.150550000000003</v>
          </cell>
          <cell r="T103" t="str">
            <v>n/a</v>
          </cell>
          <cell r="U103">
            <v>37.733130076086411</v>
          </cell>
          <cell r="V103">
            <v>15.671710000000001</v>
          </cell>
          <cell r="X103">
            <v>121.24340999999998</v>
          </cell>
          <cell r="Y103">
            <v>0</v>
          </cell>
          <cell r="Z103">
            <v>121.24340999999998</v>
          </cell>
          <cell r="AA103" t="str">
            <v>n/a</v>
          </cell>
          <cell r="AB103">
            <v>41.822931449654106</v>
          </cell>
          <cell r="AC103">
            <v>148.63645</v>
          </cell>
          <cell r="AD103">
            <v>893.48853541513574</v>
          </cell>
          <cell r="AE103">
            <v>767.36950000000002</v>
          </cell>
          <cell r="AH103">
            <v>55409.639999999992</v>
          </cell>
          <cell r="AI103">
            <v>113806.76999999999</v>
          </cell>
          <cell r="AJ103">
            <v>193258.94</v>
          </cell>
          <cell r="AK103">
            <v>243642.11</v>
          </cell>
          <cell r="AL103">
            <v>314572.69</v>
          </cell>
          <cell r="AM103">
            <v>376888.84</v>
          </cell>
          <cell r="AN103">
            <v>441934.27</v>
          </cell>
          <cell r="AO103">
            <v>489099.75</v>
          </cell>
          <cell r="AP103">
            <v>489099.75</v>
          </cell>
          <cell r="AQ103">
            <v>489099.75</v>
          </cell>
          <cell r="AR103">
            <v>489099.75</v>
          </cell>
          <cell r="AS103">
            <v>489099.75</v>
          </cell>
          <cell r="AW103">
            <v>6746.74</v>
          </cell>
          <cell r="AX103">
            <v>13286.369999999999</v>
          </cell>
          <cell r="AY103">
            <v>19185.739999999998</v>
          </cell>
          <cell r="AZ103">
            <v>25468.25</v>
          </cell>
          <cell r="BA103">
            <v>31623.43</v>
          </cell>
          <cell r="BB103">
            <v>36764.22</v>
          </cell>
          <cell r="BC103">
            <v>44442.62</v>
          </cell>
          <cell r="BD103">
            <v>49150.55</v>
          </cell>
          <cell r="BE103">
            <v>49150.55</v>
          </cell>
          <cell r="BF103">
            <v>49150.55</v>
          </cell>
          <cell r="BG103">
            <v>49150.55</v>
          </cell>
          <cell r="BH103">
            <v>49150.55</v>
          </cell>
          <cell r="BL103">
            <v>8681.9699999999993</v>
          </cell>
          <cell r="BM103">
            <v>16518.98</v>
          </cell>
          <cell r="BN103">
            <v>34728.089999999997</v>
          </cell>
          <cell r="BO103">
            <v>52455.039999999994</v>
          </cell>
          <cell r="BP103">
            <v>69628.549999999988</v>
          </cell>
          <cell r="BQ103">
            <v>93602.349999999991</v>
          </cell>
          <cell r="BR103">
            <v>112012.10999999999</v>
          </cell>
          <cell r="BS103">
            <v>121243.40999999999</v>
          </cell>
          <cell r="BT103">
            <v>121243.40999999999</v>
          </cell>
          <cell r="BU103">
            <v>121243.40999999999</v>
          </cell>
          <cell r="BV103">
            <v>121243.40999999999</v>
          </cell>
          <cell r="BW103">
            <v>121243.40999999999</v>
          </cell>
          <cell r="CP103">
            <v>62540.966929095746</v>
          </cell>
          <cell r="CQ103">
            <v>107840.87383918228</v>
          </cell>
          <cell r="CR103">
            <v>177408.06411377038</v>
          </cell>
          <cell r="CS103">
            <v>252680.09663230312</v>
          </cell>
          <cell r="CT103">
            <v>302266.07297208597</v>
          </cell>
          <cell r="CU103">
            <v>375985.14982459322</v>
          </cell>
          <cell r="CV103">
            <v>427669.37504085281</v>
          </cell>
          <cell r="CW103">
            <v>487497.09917250485</v>
          </cell>
          <cell r="DE103">
            <v>4231.7546611823636</v>
          </cell>
          <cell r="DF103">
            <v>10785.255995276644</v>
          </cell>
          <cell r="DG103">
            <v>18831.556174123507</v>
          </cell>
          <cell r="DH103">
            <v>24100.629562515904</v>
          </cell>
          <cell r="DI103">
            <v>30475.66793744699</v>
          </cell>
          <cell r="DJ103">
            <v>36927.415455671457</v>
          </cell>
          <cell r="DK103">
            <v>41243.558055801834</v>
          </cell>
          <cell r="DL103">
            <v>49038.206052424401</v>
          </cell>
          <cell r="DT103">
            <v>4690.424164375092</v>
          </cell>
          <cell r="DU103">
            <v>12416.195308876362</v>
          </cell>
          <cell r="DV103">
            <v>34870.518844481907</v>
          </cell>
          <cell r="DW103">
            <v>52574.590622032643</v>
          </cell>
          <cell r="DX103">
            <v>70566.923247253624</v>
          </cell>
          <cell r="DY103">
            <v>87168.415247027719</v>
          </cell>
          <cell r="DZ103">
            <v>111031.0944150787</v>
          </cell>
          <cell r="EA103">
            <v>116261.43172267075</v>
          </cell>
          <cell r="EX103">
            <v>59897.17</v>
          </cell>
          <cell r="EY103">
            <v>127835.06</v>
          </cell>
          <cell r="EZ103">
            <v>161213.57</v>
          </cell>
          <cell r="FA103">
            <v>193464.31</v>
          </cell>
          <cell r="FB103">
            <v>234502.66999999998</v>
          </cell>
          <cell r="FC103">
            <v>274923.07</v>
          </cell>
          <cell r="FD103">
            <v>316043.12</v>
          </cell>
          <cell r="FE103">
            <v>368631.18</v>
          </cell>
          <cell r="FF103">
            <v>410603.33999999997</v>
          </cell>
          <cell r="FG103">
            <v>457101.26999999996</v>
          </cell>
          <cell r="FH103">
            <v>522223.70999999996</v>
          </cell>
          <cell r="FI103">
            <v>575588.93999999994</v>
          </cell>
          <cell r="FM103">
            <v>3223.41</v>
          </cell>
          <cell r="FN103">
            <v>5721.41</v>
          </cell>
          <cell r="FO103">
            <v>6589.45</v>
          </cell>
          <cell r="FP103">
            <v>7974.11</v>
          </cell>
          <cell r="FQ103">
            <v>8716.94</v>
          </cell>
          <cell r="FR103">
            <v>10613.890000000001</v>
          </cell>
          <cell r="FS103">
            <v>11936.840000000002</v>
          </cell>
          <cell r="FT103">
            <v>13995.29</v>
          </cell>
          <cell r="FU103">
            <v>15671.710000000001</v>
          </cell>
          <cell r="FV103">
            <v>17416.5</v>
          </cell>
          <cell r="FW103">
            <v>19405.16</v>
          </cell>
          <cell r="FX103">
            <v>21095.15</v>
          </cell>
          <cell r="GB103">
            <v>23856.89</v>
          </cell>
          <cell r="GC103">
            <v>42692.75</v>
          </cell>
          <cell r="GD103">
            <v>59972.44</v>
          </cell>
          <cell r="GE103">
            <v>98778.61</v>
          </cell>
          <cell r="GF103">
            <v>108081.88</v>
          </cell>
          <cell r="GG103">
            <v>128702.36</v>
          </cell>
          <cell r="GH103">
            <v>133262.09</v>
          </cell>
          <cell r="GI103">
            <v>141574.34</v>
          </cell>
          <cell r="GJ103">
            <v>148636.44999999998</v>
          </cell>
          <cell r="GK103">
            <v>155970.79999999999</v>
          </cell>
          <cell r="GL103">
            <v>163925.46</v>
          </cell>
          <cell r="GM103">
            <v>170685.41</v>
          </cell>
        </row>
        <row r="104">
          <cell r="A104" t="str">
            <v>Payroll Taxes &amp; Employee Benefits</v>
          </cell>
          <cell r="C104">
            <v>58.154510000000002</v>
          </cell>
          <cell r="D104">
            <v>0</v>
          </cell>
          <cell r="E104">
            <v>58.154510000000002</v>
          </cell>
          <cell r="F104" t="str">
            <v>n/a</v>
          </cell>
          <cell r="G104">
            <v>74.483209683088347</v>
          </cell>
          <cell r="H104">
            <v>73.068834303203388</v>
          </cell>
          <cell r="J104">
            <v>45.588900000000002</v>
          </cell>
          <cell r="K104">
            <v>0</v>
          </cell>
          <cell r="L104">
            <v>45.588900000000002</v>
          </cell>
          <cell r="M104" t="str">
            <v>n/a</v>
          </cell>
          <cell r="N104">
            <v>65.373655275478839</v>
          </cell>
          <cell r="O104">
            <v>54.584777985029568</v>
          </cell>
          <cell r="Q104">
            <v>3.6263299999999998</v>
          </cell>
          <cell r="R104">
            <v>0</v>
          </cell>
          <cell r="S104">
            <v>3.6263299999999998</v>
          </cell>
          <cell r="T104" t="str">
            <v>n/a</v>
          </cell>
          <cell r="U104">
            <v>4.3206261698400033</v>
          </cell>
          <cell r="V104">
            <v>1.9615095507986333</v>
          </cell>
          <cell r="X104">
            <v>8.9392799999999983</v>
          </cell>
          <cell r="Y104">
            <v>0</v>
          </cell>
          <cell r="Z104">
            <v>8.9392799999999983</v>
          </cell>
          <cell r="AA104" t="str">
            <v>n/a</v>
          </cell>
          <cell r="AB104">
            <v>4.7889282377695057</v>
          </cell>
          <cell r="AC104">
            <v>16.522546767375186</v>
          </cell>
          <cell r="AD104">
            <v>85.137447887913424</v>
          </cell>
          <cell r="AE104">
            <v>94.116948055821581</v>
          </cell>
          <cell r="AH104">
            <v>8112.7900000000009</v>
          </cell>
          <cell r="AI104">
            <v>13444.95</v>
          </cell>
          <cell r="AJ104">
            <v>20356.669999999998</v>
          </cell>
          <cell r="AK104">
            <v>26017.199999999997</v>
          </cell>
          <cell r="AL104">
            <v>32874.57</v>
          </cell>
          <cell r="AM104">
            <v>36495.65</v>
          </cell>
          <cell r="AN104">
            <v>39704.020000000004</v>
          </cell>
          <cell r="AO104">
            <v>45588.9</v>
          </cell>
          <cell r="AP104">
            <v>45588.9</v>
          </cell>
          <cell r="AQ104">
            <v>45588.9</v>
          </cell>
          <cell r="AR104">
            <v>45588.9</v>
          </cell>
          <cell r="AS104">
            <v>45588.9</v>
          </cell>
          <cell r="AW104">
            <v>879.3</v>
          </cell>
          <cell r="AX104">
            <v>1368.53</v>
          </cell>
          <cell r="AY104">
            <v>1947.92</v>
          </cell>
          <cell r="AZ104">
            <v>2646</v>
          </cell>
          <cell r="BA104">
            <v>2951.23</v>
          </cell>
          <cell r="BB104">
            <v>3168.93</v>
          </cell>
          <cell r="BC104">
            <v>3380.5099999999998</v>
          </cell>
          <cell r="BD104">
            <v>3626.33</v>
          </cell>
          <cell r="BE104">
            <v>3626.33</v>
          </cell>
          <cell r="BF104">
            <v>3626.33</v>
          </cell>
          <cell r="BG104">
            <v>3626.33</v>
          </cell>
          <cell r="BH104">
            <v>3626.33</v>
          </cell>
          <cell r="BL104">
            <v>997.7</v>
          </cell>
          <cell r="BM104">
            <v>1549.65</v>
          </cell>
          <cell r="BN104">
            <v>3216.28</v>
          </cell>
          <cell r="BO104">
            <v>4678.66</v>
          </cell>
          <cell r="BP104">
            <v>5830.44</v>
          </cell>
          <cell r="BQ104">
            <v>7292.4299999999994</v>
          </cell>
          <cell r="BR104">
            <v>8174.4699999999993</v>
          </cell>
          <cell r="BS104">
            <v>8939.2799999999988</v>
          </cell>
          <cell r="BT104">
            <v>8939.2799999999988</v>
          </cell>
          <cell r="BU104">
            <v>8939.2799999999988</v>
          </cell>
          <cell r="BV104">
            <v>8939.2799999999988</v>
          </cell>
          <cell r="BW104">
            <v>8939.2799999999988</v>
          </cell>
          <cell r="CP104">
            <v>7414.1615019740238</v>
          </cell>
          <cell r="CQ104">
            <v>14477.16787721328</v>
          </cell>
          <cell r="CR104">
            <v>20904.504199140407</v>
          </cell>
          <cell r="CS104">
            <v>27314.893919298302</v>
          </cell>
          <cell r="CT104">
            <v>32907.89190668075</v>
          </cell>
          <cell r="CU104">
            <v>39977.664119878704</v>
          </cell>
          <cell r="CV104">
            <v>42825.977941751378</v>
          </cell>
          <cell r="CW104">
            <v>45389.302606806516</v>
          </cell>
          <cell r="DE104">
            <v>486.22935486447619</v>
          </cell>
          <cell r="DF104">
            <v>1357.1298112806819</v>
          </cell>
          <cell r="DG104">
            <v>1992.3783345527145</v>
          </cell>
          <cell r="DH104">
            <v>2506.4435216642496</v>
          </cell>
          <cell r="DI104">
            <v>3214.0048129521451</v>
          </cell>
          <cell r="DJ104">
            <v>3542.3265243560495</v>
          </cell>
          <cell r="DK104">
            <v>3720.7258519827365</v>
          </cell>
          <cell r="DL104">
            <v>3954.6147726601371</v>
          </cell>
          <cell r="DT104">
            <v>538.93056145358833</v>
          </cell>
          <cell r="DU104">
            <v>1439.5266949312181</v>
          </cell>
          <cell r="DV104">
            <v>3631.3952213849716</v>
          </cell>
          <cell r="DW104">
            <v>5208.6685988962254</v>
          </cell>
          <cell r="DX104">
            <v>6698.2476668698664</v>
          </cell>
          <cell r="DY104">
            <v>7784.6398835397968</v>
          </cell>
          <cell r="DZ104">
            <v>9347.4102049778867</v>
          </cell>
          <cell r="EA104">
            <v>8705.3176119746895</v>
          </cell>
          <cell r="EX104">
            <v>9517.2188064814327</v>
          </cell>
          <cell r="EY104">
            <v>18877.267895678622</v>
          </cell>
          <cell r="EZ104">
            <v>22963.773317242092</v>
          </cell>
          <cell r="FA104">
            <v>27371.093216366622</v>
          </cell>
          <cell r="FB104">
            <v>32399.089149327418</v>
          </cell>
          <cell r="FC104">
            <v>38351.552389999073</v>
          </cell>
          <cell r="FD104">
            <v>43401.442899642971</v>
          </cell>
          <cell r="FE104">
            <v>50307.48987857606</v>
          </cell>
          <cell r="FF104">
            <v>54584.77798502957</v>
          </cell>
          <cell r="FG104">
            <v>60341.280273731769</v>
          </cell>
          <cell r="FH104">
            <v>67333.428517627603</v>
          </cell>
          <cell r="FI104">
            <v>73088.952244992775</v>
          </cell>
          <cell r="FM104">
            <v>441.37797548384395</v>
          </cell>
          <cell r="FN104">
            <v>811.3824522261632</v>
          </cell>
          <cell r="FO104">
            <v>907.59076053601189</v>
          </cell>
          <cell r="FP104">
            <v>1041.4553989776139</v>
          </cell>
          <cell r="FQ104">
            <v>1122.0139556180907</v>
          </cell>
          <cell r="FR104">
            <v>1382.7704943659112</v>
          </cell>
          <cell r="FS104">
            <v>1570.7892146153097</v>
          </cell>
          <cell r="FT104">
            <v>1774.8621686928204</v>
          </cell>
          <cell r="FU104">
            <v>1961.5095507986334</v>
          </cell>
          <cell r="FV104">
            <v>2133.8964283532359</v>
          </cell>
          <cell r="FW104">
            <v>2325.6974335970554</v>
          </cell>
          <cell r="FX104">
            <v>2515.747435153834</v>
          </cell>
          <cell r="GB104">
            <v>2975.1335659232154</v>
          </cell>
          <cell r="GC104">
            <v>5638.659825286235</v>
          </cell>
          <cell r="GD104">
            <v>7536.9502871719087</v>
          </cell>
          <cell r="GE104">
            <v>10724.794420728025</v>
          </cell>
          <cell r="GF104">
            <v>11686.875979929418</v>
          </cell>
          <cell r="GG104">
            <v>14562.135177862665</v>
          </cell>
          <cell r="GH104">
            <v>15327.215388108358</v>
          </cell>
          <cell r="GI104">
            <v>15960.976575699358</v>
          </cell>
          <cell r="GJ104">
            <v>16522.546767375185</v>
          </cell>
          <cell r="GK104">
            <v>17103.139158313043</v>
          </cell>
          <cell r="GL104">
            <v>17840.276797183462</v>
          </cell>
          <cell r="GM104">
            <v>18512.248375674964</v>
          </cell>
        </row>
        <row r="105">
          <cell r="A105" t="str">
            <v>Other Sales &amp; Marketing Expense</v>
          </cell>
          <cell r="C105">
            <v>206.221386</v>
          </cell>
          <cell r="D105">
            <v>0</v>
          </cell>
          <cell r="E105">
            <v>206.221386</v>
          </cell>
          <cell r="F105" t="str">
            <v>n/a</v>
          </cell>
          <cell r="G105">
            <v>246.90000000000003</v>
          </cell>
          <cell r="H105">
            <v>192.508644</v>
          </cell>
          <cell r="J105">
            <v>137.844235</v>
          </cell>
          <cell r="K105">
            <v>0</v>
          </cell>
          <cell r="L105">
            <v>137.844235</v>
          </cell>
          <cell r="M105" t="str">
            <v>n/a</v>
          </cell>
          <cell r="N105">
            <v>218.75786308755386</v>
          </cell>
          <cell r="O105">
            <v>151.20791399999999</v>
          </cell>
          <cell r="Q105">
            <v>37.146628</v>
          </cell>
          <cell r="R105">
            <v>0</v>
          </cell>
          <cell r="S105">
            <v>37.146628</v>
          </cell>
          <cell r="T105" t="str">
            <v>n/a</v>
          </cell>
          <cell r="U105">
            <v>10.231918231038124</v>
          </cell>
          <cell r="V105">
            <v>16.900576000000001</v>
          </cell>
          <cell r="X105">
            <v>31.230523000000002</v>
          </cell>
          <cell r="Y105">
            <v>0</v>
          </cell>
          <cell r="Z105">
            <v>31.230523000000002</v>
          </cell>
          <cell r="AA105" t="str">
            <v>n/a</v>
          </cell>
          <cell r="AB105">
            <v>17.91021868140804</v>
          </cell>
          <cell r="AC105">
            <v>24.400154000000001</v>
          </cell>
          <cell r="AD105">
            <v>313.99666999999999</v>
          </cell>
          <cell r="AE105">
            <v>263.61545399999994</v>
          </cell>
          <cell r="AH105">
            <v>-2152.5270000000005</v>
          </cell>
          <cell r="AI105">
            <v>33288.923999999999</v>
          </cell>
          <cell r="AJ105">
            <v>50089.577999999994</v>
          </cell>
          <cell r="AK105">
            <v>64665.816999999995</v>
          </cell>
          <cell r="AL105">
            <v>78174.510999999999</v>
          </cell>
          <cell r="AM105">
            <v>98974.092000000004</v>
          </cell>
          <cell r="AN105">
            <v>117865.239</v>
          </cell>
          <cell r="AO105">
            <v>137844.23499999999</v>
          </cell>
          <cell r="AP105">
            <v>137844.23499999999</v>
          </cell>
          <cell r="AQ105">
            <v>137844.23499999999</v>
          </cell>
          <cell r="AR105">
            <v>137844.23499999999</v>
          </cell>
          <cell r="AS105">
            <v>137844.23499999999</v>
          </cell>
          <cell r="AW105">
            <v>2182.7230000000009</v>
          </cell>
          <cell r="AX105">
            <v>11359.209000000003</v>
          </cell>
          <cell r="AY105">
            <v>20681.218000000004</v>
          </cell>
          <cell r="AZ105">
            <v>22283.802000000003</v>
          </cell>
          <cell r="BA105">
            <v>27151.847000000002</v>
          </cell>
          <cell r="BB105">
            <v>29871.396000000001</v>
          </cell>
          <cell r="BC105">
            <v>32647.924999999999</v>
          </cell>
          <cell r="BD105">
            <v>37146.627999999997</v>
          </cell>
          <cell r="BE105">
            <v>37146.627999999997</v>
          </cell>
          <cell r="BF105">
            <v>37146.627999999997</v>
          </cell>
          <cell r="BG105">
            <v>37146.627999999997</v>
          </cell>
          <cell r="BH105">
            <v>37146.627999999997</v>
          </cell>
          <cell r="BL105">
            <v>-2167.942</v>
          </cell>
          <cell r="BM105">
            <v>3058.8069999999998</v>
          </cell>
          <cell r="BN105">
            <v>5748.9580000000005</v>
          </cell>
          <cell r="BO105">
            <v>14556.208000000001</v>
          </cell>
          <cell r="BP105">
            <v>23752.224000000002</v>
          </cell>
          <cell r="BQ105">
            <v>25043.811000000002</v>
          </cell>
          <cell r="BR105">
            <v>30158.517</v>
          </cell>
          <cell r="BS105">
            <v>31230.523000000001</v>
          </cell>
          <cell r="BT105">
            <v>31230.523000000001</v>
          </cell>
          <cell r="BU105">
            <v>31230.523000000001</v>
          </cell>
          <cell r="BV105">
            <v>31230.523000000001</v>
          </cell>
          <cell r="BW105">
            <v>31230.523000000001</v>
          </cell>
          <cell r="CP105">
            <v>23239.107810558584</v>
          </cell>
          <cell r="CQ105">
            <v>36046.768373114464</v>
          </cell>
          <cell r="CR105">
            <v>50627.517160134252</v>
          </cell>
          <cell r="CS105">
            <v>65478.27324099961</v>
          </cell>
          <cell r="CT105">
            <v>79524.173240999618</v>
          </cell>
          <cell r="CU105">
            <v>86060.629660932478</v>
          </cell>
          <cell r="CV105">
            <v>105546.15966093248</v>
          </cell>
          <cell r="CW105">
            <v>125422.97547118241</v>
          </cell>
          <cell r="DE105">
            <v>1149.2371926166009</v>
          </cell>
          <cell r="DF105">
            <v>7750.8137299076661</v>
          </cell>
          <cell r="DG105">
            <v>14046.068568079185</v>
          </cell>
          <cell r="DH105">
            <v>23858.032245534414</v>
          </cell>
          <cell r="DI105">
            <v>25382.462245534414</v>
          </cell>
          <cell r="DJ105">
            <v>29168.537961494822</v>
          </cell>
          <cell r="DK105">
            <v>31768.207961494823</v>
          </cell>
          <cell r="DL105">
            <v>34881.333522878427</v>
          </cell>
          <cell r="DT105">
            <v>2011.6549968248162</v>
          </cell>
          <cell r="DU105">
            <v>3570.2778969778647</v>
          </cell>
          <cell r="DV105">
            <v>4985.6642717865543</v>
          </cell>
          <cell r="DW105">
            <v>7249.1245134659757</v>
          </cell>
          <cell r="DX105">
            <v>16003.154513465977</v>
          </cell>
          <cell r="DY105">
            <v>24416.1323775727</v>
          </cell>
          <cell r="DZ105">
            <v>25605.3323775727</v>
          </cell>
          <cell r="EA105">
            <v>31245.531005939192</v>
          </cell>
          <cell r="EX105">
            <v>10824.996999999999</v>
          </cell>
          <cell r="EY105">
            <v>38397.290999999997</v>
          </cell>
          <cell r="EZ105">
            <v>65082.887999999992</v>
          </cell>
          <cell r="FA105">
            <v>92050.730999999985</v>
          </cell>
          <cell r="FB105">
            <v>92413.37999999999</v>
          </cell>
          <cell r="FC105">
            <v>107200.30399999999</v>
          </cell>
          <cell r="FD105">
            <v>119517.34399999998</v>
          </cell>
          <cell r="FE105">
            <v>133081.66399999999</v>
          </cell>
          <cell r="FF105">
            <v>151207.91399999999</v>
          </cell>
          <cell r="FG105">
            <v>172867.804</v>
          </cell>
          <cell r="FH105">
            <v>190677.79399999999</v>
          </cell>
          <cell r="FI105">
            <v>207752.204</v>
          </cell>
          <cell r="FM105">
            <v>1701.5969999999998</v>
          </cell>
          <cell r="FN105">
            <v>4989.6809999999996</v>
          </cell>
          <cell r="FO105">
            <v>7250.2139999999999</v>
          </cell>
          <cell r="FP105">
            <v>9715.6929999999993</v>
          </cell>
          <cell r="FQ105">
            <v>9505.4539999999997</v>
          </cell>
          <cell r="FR105">
            <v>11508.966</v>
          </cell>
          <cell r="FS105">
            <v>12974.106</v>
          </cell>
          <cell r="FT105">
            <v>15454.486000000001</v>
          </cell>
          <cell r="FU105">
            <v>16900.576000000001</v>
          </cell>
          <cell r="FV105">
            <v>20344.966</v>
          </cell>
          <cell r="FW105">
            <v>24595.506000000001</v>
          </cell>
          <cell r="FX105">
            <v>26140.656000000003</v>
          </cell>
          <cell r="GB105">
            <v>2348.3179999999998</v>
          </cell>
          <cell r="GC105">
            <v>8946.4139999999989</v>
          </cell>
          <cell r="GD105">
            <v>14052.065999999999</v>
          </cell>
          <cell r="GE105">
            <v>19371.612000000001</v>
          </cell>
          <cell r="GF105">
            <v>18262.876</v>
          </cell>
          <cell r="GG105">
            <v>18871.734</v>
          </cell>
          <cell r="GH105">
            <v>22016.484</v>
          </cell>
          <cell r="GI105">
            <v>21195.404000000002</v>
          </cell>
          <cell r="GJ105">
            <v>24400.154000000002</v>
          </cell>
          <cell r="GK105">
            <v>25045.234000000004</v>
          </cell>
          <cell r="GL105">
            <v>26907.744000000002</v>
          </cell>
          <cell r="GM105">
            <v>29722.594000000001</v>
          </cell>
        </row>
        <row r="106">
          <cell r="A106" t="str">
            <v>Sales &amp; Marketing Expense</v>
          </cell>
          <cell r="C106">
            <v>923.86960599999998</v>
          </cell>
          <cell r="D106">
            <v>0</v>
          </cell>
          <cell r="E106">
            <v>923.86960599999998</v>
          </cell>
          <cell r="F106" t="str">
            <v>n/a</v>
          </cell>
          <cell r="G106">
            <v>953.19675894890838</v>
          </cell>
          <cell r="H106">
            <v>840.48897830320334</v>
          </cell>
          <cell r="J106">
            <v>672.53288499999996</v>
          </cell>
          <cell r="K106">
            <v>0</v>
          </cell>
          <cell r="L106">
            <v>672.53288499999996</v>
          </cell>
          <cell r="M106" t="str">
            <v>n/a</v>
          </cell>
          <cell r="N106">
            <v>836.38900610311225</v>
          </cell>
          <cell r="O106">
            <v>616.39603198502948</v>
          </cell>
          <cell r="Q106">
            <v>89.923507999999998</v>
          </cell>
          <cell r="R106">
            <v>0</v>
          </cell>
          <cell r="S106">
            <v>89.923507999999998</v>
          </cell>
          <cell r="T106" t="str">
            <v>n/a</v>
          </cell>
          <cell r="U106">
            <v>52.285674476964537</v>
          </cell>
          <cell r="V106">
            <v>34.533795550798636</v>
          </cell>
          <cell r="X106">
            <v>161.41321299999998</v>
          </cell>
          <cell r="Y106">
            <v>0</v>
          </cell>
          <cell r="Z106">
            <v>161.41321299999998</v>
          </cell>
          <cell r="AA106" t="str">
            <v>n/a</v>
          </cell>
          <cell r="AB106">
            <v>64.522078368831643</v>
          </cell>
          <cell r="AC106">
            <v>189.55915076737517</v>
          </cell>
          <cell r="AD106">
            <v>1292.6226533030492</v>
          </cell>
          <cell r="AE106">
            <v>1125.1019020558215</v>
          </cell>
          <cell r="AH106">
            <v>61369.902999999991</v>
          </cell>
          <cell r="AI106">
            <v>160540.64399999997</v>
          </cell>
          <cell r="AJ106">
            <v>263705.18799999997</v>
          </cell>
          <cell r="AK106">
            <v>334325.12699999998</v>
          </cell>
          <cell r="AL106">
            <v>425621.77100000001</v>
          </cell>
          <cell r="AM106">
            <v>512358.58200000005</v>
          </cell>
          <cell r="AN106">
            <v>599503.5290000001</v>
          </cell>
          <cell r="AO106">
            <v>672532.88500000001</v>
          </cell>
          <cell r="AP106">
            <v>672532.88500000001</v>
          </cell>
          <cell r="AQ106">
            <v>672532.88500000001</v>
          </cell>
          <cell r="AR106">
            <v>672532.88500000001</v>
          </cell>
          <cell r="AS106">
            <v>672532.88500000001</v>
          </cell>
          <cell r="AW106">
            <v>9808.7630000000008</v>
          </cell>
          <cell r="AX106">
            <v>26014.109000000004</v>
          </cell>
          <cell r="AY106">
            <v>41814.877999999997</v>
          </cell>
          <cell r="AZ106">
            <v>50398.052000000003</v>
          </cell>
          <cell r="BA106">
            <v>61726.507000000005</v>
          </cell>
          <cell r="BB106">
            <v>69804.546000000002</v>
          </cell>
          <cell r="BC106">
            <v>80471.055000000008</v>
          </cell>
          <cell r="BD106">
            <v>89923.508000000002</v>
          </cell>
          <cell r="BE106">
            <v>89923.508000000002</v>
          </cell>
          <cell r="BF106">
            <v>89923.508000000002</v>
          </cell>
          <cell r="BG106">
            <v>89923.508000000002</v>
          </cell>
          <cell r="BH106">
            <v>89923.508000000002</v>
          </cell>
          <cell r="BL106">
            <v>7511.7280000000001</v>
          </cell>
          <cell r="BM106">
            <v>21127.437000000002</v>
          </cell>
          <cell r="BN106">
            <v>43693.327999999994</v>
          </cell>
          <cell r="BO106">
            <v>71689.907999999996</v>
          </cell>
          <cell r="BP106">
            <v>99211.213999999993</v>
          </cell>
          <cell r="BQ106">
            <v>125938.59099999999</v>
          </cell>
          <cell r="BR106">
            <v>150345.09699999998</v>
          </cell>
          <cell r="BS106">
            <v>161413.21299999999</v>
          </cell>
          <cell r="BT106">
            <v>161413.21299999999</v>
          </cell>
          <cell r="BU106">
            <v>161413.21299999999</v>
          </cell>
          <cell r="BV106">
            <v>161413.21299999999</v>
          </cell>
          <cell r="BW106">
            <v>161413.21299999999</v>
          </cell>
          <cell r="CP106">
            <v>93194.236241628358</v>
          </cell>
          <cell r="CQ106">
            <v>158364.81008951002</v>
          </cell>
          <cell r="CR106">
            <v>248940.08547304504</v>
          </cell>
          <cell r="CS106">
            <v>345473.26379260101</v>
          </cell>
          <cell r="CT106">
            <v>414698.13811976637</v>
          </cell>
          <cell r="CU106">
            <v>502023.44360540441</v>
          </cell>
          <cell r="CV106">
            <v>576041.51264353667</v>
          </cell>
          <cell r="CW106">
            <v>658309.37725049374</v>
          </cell>
          <cell r="DE106">
            <v>5867.2212086634408</v>
          </cell>
          <cell r="DF106">
            <v>19893.199536464992</v>
          </cell>
          <cell r="DG106">
            <v>34870.003076755405</v>
          </cell>
          <cell r="DH106">
            <v>50465.10532971457</v>
          </cell>
          <cell r="DI106">
            <v>59072.134995933549</v>
          </cell>
          <cell r="DJ106">
            <v>69638.279941522327</v>
          </cell>
          <cell r="DK106">
            <v>76732.491869279387</v>
          </cell>
          <cell r="DL106">
            <v>87874.154347962962</v>
          </cell>
          <cell r="DT106">
            <v>7241.0097226534963</v>
          </cell>
          <cell r="DU106">
            <v>17425.999900785442</v>
          </cell>
          <cell r="DV106">
            <v>43487.578337653431</v>
          </cell>
          <cell r="DW106">
            <v>65032.383734394847</v>
          </cell>
          <cell r="DX106">
            <v>93268.325427589472</v>
          </cell>
          <cell r="DY106">
            <v>119369.18750814022</v>
          </cell>
          <cell r="DZ106">
            <v>145983.83699762929</v>
          </cell>
          <cell r="EA106">
            <v>156212.28034058464</v>
          </cell>
          <cell r="EX106">
            <v>80239.385806481441</v>
          </cell>
          <cell r="EY106">
            <v>185109.61889567861</v>
          </cell>
          <cell r="EZ106">
            <v>249260.23131724208</v>
          </cell>
          <cell r="FA106">
            <v>312886.13421636663</v>
          </cell>
          <cell r="FB106">
            <v>359315.13914932741</v>
          </cell>
          <cell r="FC106">
            <v>420474.92638999911</v>
          </cell>
          <cell r="FD106">
            <v>478961.90689964296</v>
          </cell>
          <cell r="FE106">
            <v>552020.33387857606</v>
          </cell>
          <cell r="FF106">
            <v>616396.03198502958</v>
          </cell>
          <cell r="FG106">
            <v>690310.3542737317</v>
          </cell>
          <cell r="FH106">
            <v>780234.9325176276</v>
          </cell>
          <cell r="FI106">
            <v>856430.0962449928</v>
          </cell>
          <cell r="FM106">
            <v>5366.3849754838429</v>
          </cell>
          <cell r="FN106">
            <v>11522.473452226162</v>
          </cell>
          <cell r="FO106">
            <v>14747.254760536012</v>
          </cell>
          <cell r="FP106">
            <v>18731.25839897761</v>
          </cell>
          <cell r="FQ106">
            <v>19344.407955618091</v>
          </cell>
          <cell r="FR106">
            <v>23505.626494365912</v>
          </cell>
          <cell r="FS106">
            <v>26481.735214615313</v>
          </cell>
          <cell r="FT106">
            <v>31224.638168692822</v>
          </cell>
          <cell r="FU106">
            <v>34533.795550798633</v>
          </cell>
          <cell r="FV106">
            <v>39895.362428353241</v>
          </cell>
          <cell r="FW106">
            <v>46326.363433597056</v>
          </cell>
          <cell r="FX106">
            <v>49751.553435153837</v>
          </cell>
          <cell r="GB106">
            <v>29180.341565923212</v>
          </cell>
          <cell r="GC106">
            <v>57277.823825286228</v>
          </cell>
          <cell r="GD106">
            <v>81561.456287171895</v>
          </cell>
          <cell r="GE106">
            <v>128875.01642072803</v>
          </cell>
          <cell r="GF106">
            <v>138031.63197992943</v>
          </cell>
          <cell r="GG106">
            <v>162136.22917786267</v>
          </cell>
          <cell r="GH106">
            <v>170605.78938810836</v>
          </cell>
          <cell r="GI106">
            <v>178730.72057569938</v>
          </cell>
          <cell r="GJ106">
            <v>189559.15076737516</v>
          </cell>
          <cell r="GK106">
            <v>198119.17315831303</v>
          </cell>
          <cell r="GL106">
            <v>208673.48079718347</v>
          </cell>
          <cell r="GM106">
            <v>218920.25237567499</v>
          </cell>
        </row>
        <row r="108">
          <cell r="A108" t="str">
            <v>Labor - General &amp; Administrative</v>
          </cell>
          <cell r="C108">
            <v>642.90245000000004</v>
          </cell>
          <cell r="D108">
            <v>0</v>
          </cell>
          <cell r="E108">
            <v>642.90245000000004</v>
          </cell>
          <cell r="F108" t="str">
            <v>n/a</v>
          </cell>
          <cell r="G108">
            <v>665.24169031697875</v>
          </cell>
          <cell r="H108">
            <v>843.60037999999997</v>
          </cell>
          <cell r="J108">
            <v>510.73116800000008</v>
          </cell>
          <cell r="K108">
            <v>0</v>
          </cell>
          <cell r="L108">
            <v>510.73116800000008</v>
          </cell>
          <cell r="M108" t="str">
            <v>n/a</v>
          </cell>
          <cell r="N108">
            <v>522.00990308739608</v>
          </cell>
          <cell r="O108">
            <v>654.68737999999996</v>
          </cell>
          <cell r="Q108">
            <v>64.41775100000001</v>
          </cell>
          <cell r="R108">
            <v>0</v>
          </cell>
          <cell r="S108">
            <v>64.41775100000001</v>
          </cell>
          <cell r="T108" t="str">
            <v>n/a</v>
          </cell>
          <cell r="U108">
            <v>67.934278732683481</v>
          </cell>
          <cell r="V108">
            <v>39.988320000000002</v>
          </cell>
          <cell r="X108">
            <v>67.753531000000009</v>
          </cell>
          <cell r="Y108">
            <v>0</v>
          </cell>
          <cell r="Z108">
            <v>67.753531000000009</v>
          </cell>
          <cell r="AA108" t="str">
            <v>n/a</v>
          </cell>
          <cell r="AB108">
            <v>75.297508496899141</v>
          </cell>
          <cell r="AC108">
            <v>148.92468</v>
          </cell>
          <cell r="AD108">
            <v>892.16716866304535</v>
          </cell>
          <cell r="AE108">
            <v>1097.9114999999999</v>
          </cell>
          <cell r="AH108">
            <v>55471.498</v>
          </cell>
          <cell r="AI108">
            <v>117420.85800000001</v>
          </cell>
          <cell r="AJ108">
            <v>188774.26800000001</v>
          </cell>
          <cell r="AK108">
            <v>241374.11800000002</v>
          </cell>
          <cell r="AL108">
            <v>319435.11800000002</v>
          </cell>
          <cell r="AM108">
            <v>398568.37800000003</v>
          </cell>
          <cell r="AN108">
            <v>454788.57800000004</v>
          </cell>
          <cell r="AO108">
            <v>510731.16800000006</v>
          </cell>
          <cell r="AP108">
            <v>510731.16800000006</v>
          </cell>
          <cell r="AQ108">
            <v>510731.16800000006</v>
          </cell>
          <cell r="AR108">
            <v>510731.16800000006</v>
          </cell>
          <cell r="AS108">
            <v>510731.16800000006</v>
          </cell>
          <cell r="AW108">
            <v>6028.701</v>
          </cell>
          <cell r="AX108">
            <v>12850.151</v>
          </cell>
          <cell r="AY108">
            <v>20052.921000000002</v>
          </cell>
          <cell r="AZ108">
            <v>31363.211000000003</v>
          </cell>
          <cell r="BA108">
            <v>40482.831000000006</v>
          </cell>
          <cell r="BB108">
            <v>50937.941000000006</v>
          </cell>
          <cell r="BC108">
            <v>58072.791000000005</v>
          </cell>
          <cell r="BD108">
            <v>64417.751000000004</v>
          </cell>
          <cell r="BE108">
            <v>64417.751000000004</v>
          </cell>
          <cell r="BF108">
            <v>64417.751000000004</v>
          </cell>
          <cell r="BG108">
            <v>64417.751000000004</v>
          </cell>
          <cell r="BH108">
            <v>64417.751000000004</v>
          </cell>
          <cell r="BL108">
            <v>6028.701</v>
          </cell>
          <cell r="BM108">
            <v>12850.151</v>
          </cell>
          <cell r="BN108">
            <v>20052.921000000002</v>
          </cell>
          <cell r="BO108">
            <v>33588.991000000002</v>
          </cell>
          <cell r="BP108">
            <v>42978.611000000004</v>
          </cell>
          <cell r="BQ108">
            <v>53973.721000000005</v>
          </cell>
          <cell r="BR108">
            <v>61408.571000000004</v>
          </cell>
          <cell r="BS108">
            <v>67753.531000000003</v>
          </cell>
          <cell r="BT108">
            <v>67753.531000000003</v>
          </cell>
          <cell r="BU108">
            <v>67753.531000000003</v>
          </cell>
          <cell r="BV108">
            <v>67753.531000000003</v>
          </cell>
          <cell r="BW108">
            <v>67753.531000000003</v>
          </cell>
          <cell r="CP108">
            <v>58812.356577489882</v>
          </cell>
          <cell r="CQ108">
            <v>102407.37838253583</v>
          </cell>
          <cell r="CR108">
            <v>179071.82448103119</v>
          </cell>
          <cell r="CS108">
            <v>246669.68455141177</v>
          </cell>
          <cell r="CT108">
            <v>299217.88516698143</v>
          </cell>
          <cell r="CU108">
            <v>375307.11707147222</v>
          </cell>
          <cell r="CV108">
            <v>445829.44104775885</v>
          </cell>
          <cell r="CW108">
            <v>504560.74760778871</v>
          </cell>
          <cell r="DE108">
            <v>7653.8299389164149</v>
          </cell>
          <cell r="DF108">
            <v>13511.954010559137</v>
          </cell>
          <cell r="DG108">
            <v>22679.513457100486</v>
          </cell>
          <cell r="DH108">
            <v>29283.514879882394</v>
          </cell>
          <cell r="DI108">
            <v>40585.570126248676</v>
          </cell>
          <cell r="DJ108">
            <v>49390.819980923057</v>
          </cell>
          <cell r="DK108">
            <v>58473.039723022164</v>
          </cell>
          <cell r="DL108">
            <v>66008.249651759543</v>
          </cell>
          <cell r="DT108">
            <v>8483.4097838461676</v>
          </cell>
          <cell r="DU108">
            <v>12948.112193972738</v>
          </cell>
          <cell r="DV108">
            <v>21938.898970876726</v>
          </cell>
          <cell r="DW108">
            <v>28588.015901822946</v>
          </cell>
          <cell r="DX108">
            <v>42116.471613438953</v>
          </cell>
          <cell r="DY108">
            <v>51215.408363848495</v>
          </cell>
          <cell r="DZ108">
            <v>60941.07147955749</v>
          </cell>
          <cell r="EA108">
            <v>68746.115427111392</v>
          </cell>
          <cell r="EX108">
            <v>78259.69</v>
          </cell>
          <cell r="EY108">
            <v>167224.44</v>
          </cell>
          <cell r="EZ108">
            <v>234944.39</v>
          </cell>
          <cell r="FA108">
            <v>289105.66000000003</v>
          </cell>
          <cell r="FB108">
            <v>347835.69000000006</v>
          </cell>
          <cell r="FC108">
            <v>427495.88000000006</v>
          </cell>
          <cell r="FD108">
            <v>508351.16000000003</v>
          </cell>
          <cell r="FE108">
            <v>582030.80000000005</v>
          </cell>
          <cell r="FF108">
            <v>654687.38</v>
          </cell>
          <cell r="FG108">
            <v>725814.71</v>
          </cell>
          <cell r="FH108">
            <v>794885.01</v>
          </cell>
          <cell r="FI108">
            <v>849764.66</v>
          </cell>
          <cell r="FM108">
            <v>5159.24</v>
          </cell>
          <cell r="FN108">
            <v>9873.9599999999991</v>
          </cell>
          <cell r="FO108">
            <v>13932.259999999998</v>
          </cell>
          <cell r="FP108">
            <v>17545.05</v>
          </cell>
          <cell r="FQ108">
            <v>21138.46</v>
          </cell>
          <cell r="FR108">
            <v>26500.19</v>
          </cell>
          <cell r="FS108">
            <v>30344.75</v>
          </cell>
          <cell r="FT108">
            <v>35729.01</v>
          </cell>
          <cell r="FU108">
            <v>39988.32</v>
          </cell>
          <cell r="FV108">
            <v>44498.05</v>
          </cell>
          <cell r="FW108">
            <v>48510.840000000004</v>
          </cell>
          <cell r="FX108">
            <v>51651.48</v>
          </cell>
          <cell r="GB108">
            <v>18953.45</v>
          </cell>
          <cell r="GC108">
            <v>35508.07</v>
          </cell>
          <cell r="GD108">
            <v>50342.96</v>
          </cell>
          <cell r="GE108">
            <v>65416.94</v>
          </cell>
          <cell r="GF108">
            <v>78313.53</v>
          </cell>
          <cell r="GG108">
            <v>95988.75</v>
          </cell>
          <cell r="GH108">
            <v>109239.55</v>
          </cell>
          <cell r="GI108">
            <v>130981.82</v>
          </cell>
          <cell r="GJ108">
            <v>148924.68</v>
          </cell>
          <cell r="GK108">
            <v>167881.63</v>
          </cell>
          <cell r="GL108">
            <v>183932.79</v>
          </cell>
          <cell r="GM108">
            <v>196495.36000000002</v>
          </cell>
        </row>
        <row r="109">
          <cell r="A109" t="str">
            <v>Payroll Taxes &amp; Employee Benefits</v>
          </cell>
          <cell r="C109">
            <v>78.840319999999991</v>
          </cell>
          <cell r="D109">
            <v>0</v>
          </cell>
          <cell r="E109">
            <v>78.840319999999991</v>
          </cell>
          <cell r="F109" t="str">
            <v>n/a</v>
          </cell>
          <cell r="G109">
            <v>87.888581207648343</v>
          </cell>
          <cell r="H109">
            <v>107.88455461206362</v>
          </cell>
          <cell r="J109">
            <v>65.215599999999995</v>
          </cell>
          <cell r="K109">
            <v>0</v>
          </cell>
          <cell r="L109">
            <v>65.215599999999995</v>
          </cell>
          <cell r="M109" t="str">
            <v>n/a</v>
          </cell>
          <cell r="N109">
            <v>68.965475896185438</v>
          </cell>
          <cell r="O109">
            <v>86.320835641449435</v>
          </cell>
          <cell r="Q109">
            <v>6.81236</v>
          </cell>
          <cell r="R109">
            <v>0</v>
          </cell>
          <cell r="S109">
            <v>6.81236</v>
          </cell>
          <cell r="T109" t="str">
            <v>n/a</v>
          </cell>
          <cell r="U109">
            <v>8.975155135474953</v>
          </cell>
          <cell r="V109">
            <v>4.8849938941676578</v>
          </cell>
          <cell r="X109">
            <v>6.81236</v>
          </cell>
          <cell r="Y109">
            <v>0</v>
          </cell>
          <cell r="Z109">
            <v>6.81236</v>
          </cell>
          <cell r="AA109" t="str">
            <v>n/a</v>
          </cell>
          <cell r="AB109">
            <v>9.9479501759879518</v>
          </cell>
          <cell r="AC109">
            <v>16.678725076446529</v>
          </cell>
          <cell r="AD109">
            <v>112.64805834345427</v>
          </cell>
          <cell r="AE109">
            <v>137.0261438759216</v>
          </cell>
          <cell r="AH109">
            <v>12399.779999999999</v>
          </cell>
          <cell r="AI109">
            <v>19982.71</v>
          </cell>
          <cell r="AJ109">
            <v>28978.769999999997</v>
          </cell>
          <cell r="AK109">
            <v>37572.289999999994</v>
          </cell>
          <cell r="AL109">
            <v>45379.709999999992</v>
          </cell>
          <cell r="AM109">
            <v>51805.19999999999</v>
          </cell>
          <cell r="AN109">
            <v>58166.599999999991</v>
          </cell>
          <cell r="AO109">
            <v>65215.599999999991</v>
          </cell>
          <cell r="AP109">
            <v>65215.599999999991</v>
          </cell>
          <cell r="AQ109">
            <v>65215.599999999991</v>
          </cell>
          <cell r="AR109">
            <v>65215.599999999991</v>
          </cell>
          <cell r="AS109">
            <v>65215.599999999991</v>
          </cell>
          <cell r="AW109">
            <v>1371.17</v>
          </cell>
          <cell r="AX109">
            <v>2093.69</v>
          </cell>
          <cell r="AY109">
            <v>3038.3100000000004</v>
          </cell>
          <cell r="AZ109">
            <v>3952.3100000000004</v>
          </cell>
          <cell r="BA109">
            <v>4752.7300000000005</v>
          </cell>
          <cell r="BB109">
            <v>5400.89</v>
          </cell>
          <cell r="BC109">
            <v>6045.21</v>
          </cell>
          <cell r="BD109">
            <v>6812.36</v>
          </cell>
          <cell r="BE109">
            <v>6812.36</v>
          </cell>
          <cell r="BF109">
            <v>6812.36</v>
          </cell>
          <cell r="BG109">
            <v>6812.36</v>
          </cell>
          <cell r="BH109">
            <v>6812.36</v>
          </cell>
          <cell r="BL109">
            <v>1371.17</v>
          </cell>
          <cell r="BM109">
            <v>2093.69</v>
          </cell>
          <cell r="BN109">
            <v>3038.3100000000004</v>
          </cell>
          <cell r="BO109">
            <v>3952.3100000000004</v>
          </cell>
          <cell r="BP109">
            <v>4752.7300000000005</v>
          </cell>
          <cell r="BQ109">
            <v>5400.89</v>
          </cell>
          <cell r="BR109">
            <v>6045.21</v>
          </cell>
          <cell r="BS109">
            <v>6812.36</v>
          </cell>
          <cell r="BT109">
            <v>6812.36</v>
          </cell>
          <cell r="BU109">
            <v>6812.36</v>
          </cell>
          <cell r="BV109">
            <v>6812.36</v>
          </cell>
          <cell r="BW109">
            <v>6812.36</v>
          </cell>
          <cell r="CP109">
            <v>7765.5454690208126</v>
          </cell>
          <cell r="CQ109">
            <v>18909.377236457549</v>
          </cell>
          <cell r="CR109">
            <v>27962.42899642446</v>
          </cell>
          <cell r="CS109">
            <v>36435.864015955493</v>
          </cell>
          <cell r="CT109">
            <v>45025.519091904913</v>
          </cell>
          <cell r="CU109">
            <v>52607.02074118227</v>
          </cell>
          <cell r="CV109">
            <v>58694.327689160171</v>
          </cell>
          <cell r="CW109">
            <v>65259.76168809997</v>
          </cell>
          <cell r="DE109">
            <v>1010.6067476567855</v>
          </cell>
          <cell r="DF109">
            <v>2409.0319239743458</v>
          </cell>
          <cell r="DG109">
            <v>3365.9417553037756</v>
          </cell>
          <cell r="DH109">
            <v>4227.2366972327854</v>
          </cell>
          <cell r="DI109">
            <v>5140.6204905205368</v>
          </cell>
          <cell r="DJ109">
            <v>5905.0210494360817</v>
          </cell>
          <cell r="DK109">
            <v>6499.2626117389791</v>
          </cell>
          <cell r="DL109">
            <v>7176.1129067793327</v>
          </cell>
          <cell r="DT109">
            <v>1120.1439330524636</v>
          </cell>
          <cell r="DU109">
            <v>2330.8319818163263</v>
          </cell>
          <cell r="DV109">
            <v>3270.0812064417355</v>
          </cell>
          <cell r="DW109">
            <v>4137.6544543485907</v>
          </cell>
          <cell r="DX109">
            <v>5051.0846770583503</v>
          </cell>
          <cell r="DY109">
            <v>5818.1991983462522</v>
          </cell>
          <cell r="DZ109">
            <v>6416.5033614747172</v>
          </cell>
          <cell r="EA109">
            <v>7090.9025913668311</v>
          </cell>
          <cell r="EX109">
            <v>12434.887882973551</v>
          </cell>
          <cell r="EY109">
            <v>24691.883606687603</v>
          </cell>
          <cell r="EZ109">
            <v>32982.78523240448</v>
          </cell>
          <cell r="FA109">
            <v>40384.35316643813</v>
          </cell>
          <cell r="FB109">
            <v>47579.922189729157</v>
          </cell>
          <cell r="FC109">
            <v>59310.987511198517</v>
          </cell>
          <cell r="FD109">
            <v>69240.700902271725</v>
          </cell>
          <cell r="FE109">
            <v>78916.567538745439</v>
          </cell>
          <cell r="FF109">
            <v>86320.835641449434</v>
          </cell>
          <cell r="FG109">
            <v>95126.488665880344</v>
          </cell>
          <cell r="FH109">
            <v>103298.05763069476</v>
          </cell>
          <cell r="FI109">
            <v>110039.80678081812</v>
          </cell>
          <cell r="FM109">
            <v>706.44904192617992</v>
          </cell>
          <cell r="FN109">
            <v>1404.7947211041412</v>
          </cell>
          <cell r="FO109">
            <v>1854.5921700855924</v>
          </cell>
          <cell r="FP109">
            <v>2203.8655130834659</v>
          </cell>
          <cell r="FQ109">
            <v>2593.5642638305485</v>
          </cell>
          <cell r="FR109">
            <v>3330.5927340065423</v>
          </cell>
          <cell r="FS109">
            <v>3876.9846997815357</v>
          </cell>
          <cell r="FT109">
            <v>4410.7755830778888</v>
          </cell>
          <cell r="FU109">
            <v>4884.9938941676583</v>
          </cell>
          <cell r="FV109">
            <v>5330.5594197118889</v>
          </cell>
          <cell r="FW109">
            <v>5717.5824180285172</v>
          </cell>
          <cell r="FX109">
            <v>6070.7671332571763</v>
          </cell>
          <cell r="GB109">
            <v>2363.6377283479687</v>
          </cell>
          <cell r="GC109">
            <v>4704.580222281149</v>
          </cell>
          <cell r="GD109">
            <v>6334.2929191017029</v>
          </cell>
          <cell r="GE109">
            <v>7572.588239468083</v>
          </cell>
          <cell r="GF109">
            <v>8906.2667649307514</v>
          </cell>
          <cell r="GG109">
            <v>11370.847554538639</v>
          </cell>
          <cell r="GH109">
            <v>13594.208334655799</v>
          </cell>
          <cell r="GI109">
            <v>15251.931196230487</v>
          </cell>
          <cell r="GJ109">
            <v>16678.725076446528</v>
          </cell>
          <cell r="GK109">
            <v>18179.370794934111</v>
          </cell>
          <cell r="GL109">
            <v>19666.790016312691</v>
          </cell>
          <cell r="GM109">
            <v>20915.569961846311</v>
          </cell>
        </row>
        <row r="110">
          <cell r="A110" t="str">
            <v>Other General &amp; Administrative Expense</v>
          </cell>
          <cell r="C110">
            <v>203.59505399999998</v>
          </cell>
          <cell r="D110">
            <v>0</v>
          </cell>
          <cell r="E110">
            <v>203.59505399999998</v>
          </cell>
          <cell r="F110" t="str">
            <v>n/a</v>
          </cell>
          <cell r="G110">
            <v>259.20000000000005</v>
          </cell>
          <cell r="H110">
            <v>389.55764500000004</v>
          </cell>
          <cell r="J110">
            <v>107.16467499999997</v>
          </cell>
          <cell r="K110">
            <v>0</v>
          </cell>
          <cell r="L110">
            <v>107.16467499999997</v>
          </cell>
          <cell r="M110" t="str">
            <v>n/a</v>
          </cell>
          <cell r="N110">
            <v>202.44022986128491</v>
          </cell>
          <cell r="O110">
            <v>221.91706500000004</v>
          </cell>
          <cell r="Q110">
            <v>59.841692000000002</v>
          </cell>
          <cell r="R110">
            <v>0</v>
          </cell>
          <cell r="S110">
            <v>59.841692000000002</v>
          </cell>
          <cell r="T110" t="str">
            <v>n/a</v>
          </cell>
          <cell r="U110">
            <v>20.675453560105652</v>
          </cell>
          <cell r="V110">
            <v>27.11084</v>
          </cell>
          <cell r="X110">
            <v>36.588687</v>
          </cell>
          <cell r="Y110">
            <v>0</v>
          </cell>
          <cell r="Z110">
            <v>36.588687</v>
          </cell>
          <cell r="AA110" t="str">
            <v>n/a</v>
          </cell>
          <cell r="AB110">
            <v>36.084316578609489</v>
          </cell>
          <cell r="AC110">
            <v>140.52974</v>
          </cell>
          <cell r="AD110">
            <v>342.07297000000023</v>
          </cell>
          <cell r="AE110">
            <v>534.94555500000001</v>
          </cell>
          <cell r="AH110">
            <v>5465.0170000000144</v>
          </cell>
          <cell r="AI110">
            <v>22651.22600000001</v>
          </cell>
          <cell r="AJ110">
            <v>35993.641999999993</v>
          </cell>
          <cell r="AK110">
            <v>47706.682999999997</v>
          </cell>
          <cell r="AL110">
            <v>67912.348999999987</v>
          </cell>
          <cell r="AM110">
            <v>80661.487999999968</v>
          </cell>
          <cell r="AN110">
            <v>92435.010999999969</v>
          </cell>
          <cell r="AO110">
            <v>107164.67499999997</v>
          </cell>
          <cell r="AP110">
            <v>107164.67499999997</v>
          </cell>
          <cell r="AQ110">
            <v>107164.67499999997</v>
          </cell>
          <cell r="AR110">
            <v>107164.67499999997</v>
          </cell>
          <cell r="AS110">
            <v>107164.67499999997</v>
          </cell>
          <cell r="AW110">
            <v>14352.026999999996</v>
          </cell>
          <cell r="AX110">
            <v>17873.940999999995</v>
          </cell>
          <cell r="AY110">
            <v>21343.431999999997</v>
          </cell>
          <cell r="AZ110">
            <v>34848.667999999998</v>
          </cell>
          <cell r="BA110">
            <v>51383.743000000002</v>
          </cell>
          <cell r="BB110">
            <v>53057.194000000003</v>
          </cell>
          <cell r="BC110">
            <v>58020.115000000005</v>
          </cell>
          <cell r="BD110">
            <v>59841.692000000003</v>
          </cell>
          <cell r="BE110">
            <v>59841.692000000003</v>
          </cell>
          <cell r="BF110">
            <v>59841.692000000003</v>
          </cell>
          <cell r="BG110">
            <v>59841.692000000003</v>
          </cell>
          <cell r="BH110">
            <v>59841.692000000003</v>
          </cell>
          <cell r="BL110">
            <v>9018.4419999999973</v>
          </cell>
          <cell r="BM110">
            <v>19448.062999999998</v>
          </cell>
          <cell r="BN110">
            <v>28349.151999999995</v>
          </cell>
          <cell r="BO110">
            <v>26055.811999999994</v>
          </cell>
          <cell r="BP110">
            <v>29153.055999999997</v>
          </cell>
          <cell r="BQ110">
            <v>30845.838999999996</v>
          </cell>
          <cell r="BR110">
            <v>32793.712999999996</v>
          </cell>
          <cell r="BS110">
            <v>36588.686999999998</v>
          </cell>
          <cell r="BT110">
            <v>36588.686999999998</v>
          </cell>
          <cell r="BU110">
            <v>36588.686999999998</v>
          </cell>
          <cell r="BV110">
            <v>36588.686999999998</v>
          </cell>
          <cell r="BW110">
            <v>36588.686999999998</v>
          </cell>
          <cell r="CP110">
            <v>25076.015943320228</v>
          </cell>
          <cell r="CQ110">
            <v>21389.832441889321</v>
          </cell>
          <cell r="CR110">
            <v>48403.002441889308</v>
          </cell>
          <cell r="CS110">
            <v>68721.612441889345</v>
          </cell>
          <cell r="CT110">
            <v>79644.702441889327</v>
          </cell>
          <cell r="CU110">
            <v>100028.9424418893</v>
          </cell>
          <cell r="CV110">
            <v>118258.84244188934</v>
          </cell>
          <cell r="CW110">
            <v>128616.2124418895</v>
          </cell>
          <cell r="DE110">
            <v>2372.6140841106285</v>
          </cell>
          <cell r="DF110">
            <v>14963.02795279018</v>
          </cell>
          <cell r="DG110">
            <v>19203.707952790195</v>
          </cell>
          <cell r="DH110">
            <v>22857.767952790178</v>
          </cell>
          <cell r="DI110">
            <v>36267.097952790187</v>
          </cell>
          <cell r="DJ110">
            <v>52908.877952790208</v>
          </cell>
          <cell r="DK110">
            <v>55339.547952790163</v>
          </cell>
          <cell r="DL110">
            <v>60027.857952790197</v>
          </cell>
          <cell r="DT110">
            <v>4151.3699725691376</v>
          </cell>
          <cell r="DU110">
            <v>11176.029605320486</v>
          </cell>
          <cell r="DV110">
            <v>22903.169605320483</v>
          </cell>
          <cell r="DW110">
            <v>32926.619605320491</v>
          </cell>
          <cell r="DX110">
            <v>30509.009605320491</v>
          </cell>
          <cell r="DY110">
            <v>33301.779605320495</v>
          </cell>
          <cell r="DZ110">
            <v>35731.059605320494</v>
          </cell>
          <cell r="EA110">
            <v>37268.729605320477</v>
          </cell>
          <cell r="EX110">
            <v>21147.814999999999</v>
          </cell>
          <cell r="EY110">
            <v>56461.910000000018</v>
          </cell>
          <cell r="EZ110">
            <v>77547.120000000054</v>
          </cell>
          <cell r="FA110">
            <v>99910.115000000063</v>
          </cell>
          <cell r="FB110">
            <v>117356.84500000006</v>
          </cell>
          <cell r="FC110">
            <v>147600.20500000007</v>
          </cell>
          <cell r="FD110">
            <v>171413.94500000007</v>
          </cell>
          <cell r="FE110">
            <v>201627.52500000005</v>
          </cell>
          <cell r="FF110">
            <v>221917.06500000003</v>
          </cell>
          <cell r="FG110">
            <v>252338.31500000006</v>
          </cell>
          <cell r="FH110">
            <v>274609.58500000008</v>
          </cell>
          <cell r="FI110">
            <v>298990.51500000007</v>
          </cell>
          <cell r="FM110">
            <v>2061.2399999999989</v>
          </cell>
          <cell r="FN110">
            <v>5733.0699999999979</v>
          </cell>
          <cell r="FO110">
            <v>7640.369999999999</v>
          </cell>
          <cell r="FP110">
            <v>9576.3399999999983</v>
          </cell>
          <cell r="FQ110">
            <v>11469.679999999998</v>
          </cell>
          <cell r="FR110">
            <v>13331.069999999998</v>
          </cell>
          <cell r="FS110">
            <v>22686.489999999998</v>
          </cell>
          <cell r="FT110">
            <v>25327.79</v>
          </cell>
          <cell r="FU110">
            <v>27110.84</v>
          </cell>
          <cell r="FV110">
            <v>37454.1</v>
          </cell>
          <cell r="FW110">
            <v>48430.95</v>
          </cell>
          <cell r="FX110">
            <v>53671.85</v>
          </cell>
          <cell r="GB110">
            <v>4623.7499999999982</v>
          </cell>
          <cell r="GC110">
            <v>29204.649999999994</v>
          </cell>
          <cell r="GD110">
            <v>48662.239999999991</v>
          </cell>
          <cell r="GE110">
            <v>70886.01999999999</v>
          </cell>
          <cell r="GF110">
            <v>80495.95</v>
          </cell>
          <cell r="GG110">
            <v>95590.47</v>
          </cell>
          <cell r="GH110">
            <v>115665.67</v>
          </cell>
          <cell r="GI110">
            <v>129322.31</v>
          </cell>
          <cell r="GJ110">
            <v>140529.74</v>
          </cell>
          <cell r="GK110">
            <v>159885.38</v>
          </cell>
          <cell r="GL110">
            <v>172147.53</v>
          </cell>
          <cell r="GM110">
            <v>182283.19</v>
          </cell>
        </row>
        <row r="111">
          <cell r="A111" t="str">
            <v>General &amp; Administrative Expense</v>
          </cell>
          <cell r="C111">
            <v>925.33782400000007</v>
          </cell>
          <cell r="D111">
            <v>0</v>
          </cell>
          <cell r="E111">
            <v>925.33782400000007</v>
          </cell>
          <cell r="F111" t="str">
            <v>n/a</v>
          </cell>
          <cell r="G111">
            <v>1012.3302715246272</v>
          </cell>
          <cell r="H111">
            <v>1341.0425796120637</v>
          </cell>
          <cell r="J111">
            <v>683.11144300000001</v>
          </cell>
          <cell r="K111">
            <v>0</v>
          </cell>
          <cell r="L111">
            <v>683.11144300000001</v>
          </cell>
          <cell r="M111" t="str">
            <v>n/a</v>
          </cell>
          <cell r="N111">
            <v>793.41560884486648</v>
          </cell>
          <cell r="O111">
            <v>962.92528064144949</v>
          </cell>
          <cell r="Q111">
            <v>131.07180300000002</v>
          </cell>
          <cell r="R111">
            <v>0</v>
          </cell>
          <cell r="S111">
            <v>131.07180300000002</v>
          </cell>
          <cell r="T111" t="str">
            <v>n/a</v>
          </cell>
          <cell r="U111">
            <v>97.584887428264082</v>
          </cell>
          <cell r="V111">
            <v>71.984153894167662</v>
          </cell>
          <cell r="X111">
            <v>111.15457800000001</v>
          </cell>
          <cell r="Y111">
            <v>0</v>
          </cell>
          <cell r="Z111">
            <v>111.15457800000001</v>
          </cell>
          <cell r="AA111" t="str">
            <v>n/a</v>
          </cell>
          <cell r="AB111">
            <v>121.32977525149659</v>
          </cell>
          <cell r="AC111">
            <v>306.13314507644657</v>
          </cell>
          <cell r="AD111">
            <v>1346.8881970064999</v>
          </cell>
          <cell r="AE111">
            <v>1769.8831988759216</v>
          </cell>
          <cell r="AH111">
            <v>73336.295000000013</v>
          </cell>
          <cell r="AI111">
            <v>160054.79399999999</v>
          </cell>
          <cell r="AJ111">
            <v>253746.68</v>
          </cell>
          <cell r="AK111">
            <v>326653.09100000001</v>
          </cell>
          <cell r="AL111">
            <v>432727.17699999997</v>
          </cell>
          <cell r="AM111">
            <v>531035.06599999999</v>
          </cell>
          <cell r="AN111">
            <v>605390.18900000001</v>
          </cell>
          <cell r="AO111">
            <v>683111.44299999997</v>
          </cell>
          <cell r="AP111">
            <v>683111.44299999997</v>
          </cell>
          <cell r="AQ111">
            <v>683111.44299999997</v>
          </cell>
          <cell r="AR111">
            <v>683111.44299999997</v>
          </cell>
          <cell r="AS111">
            <v>683111.44299999997</v>
          </cell>
          <cell r="AW111">
            <v>21751.897999999997</v>
          </cell>
          <cell r="AX111">
            <v>32817.781999999992</v>
          </cell>
          <cell r="AY111">
            <v>44434.663</v>
          </cell>
          <cell r="AZ111">
            <v>70164.188999999998</v>
          </cell>
          <cell r="BA111">
            <v>96619.304000000004</v>
          </cell>
          <cell r="BB111">
            <v>109396.02500000001</v>
          </cell>
          <cell r="BC111">
            <v>122138.11600000001</v>
          </cell>
          <cell r="BD111">
            <v>131071.80300000001</v>
          </cell>
          <cell r="BE111">
            <v>131071.80300000001</v>
          </cell>
          <cell r="BF111">
            <v>131071.80300000001</v>
          </cell>
          <cell r="BG111">
            <v>131071.80300000001</v>
          </cell>
          <cell r="BH111">
            <v>131071.80300000001</v>
          </cell>
          <cell r="BL111">
            <v>16418.312999999998</v>
          </cell>
          <cell r="BM111">
            <v>34391.903999999995</v>
          </cell>
          <cell r="BN111">
            <v>51440.383000000002</v>
          </cell>
          <cell r="BO111">
            <v>63597.112999999998</v>
          </cell>
          <cell r="BP111">
            <v>76884.396999999997</v>
          </cell>
          <cell r="BQ111">
            <v>90220.45</v>
          </cell>
          <cell r="BR111">
            <v>100247.49400000001</v>
          </cell>
          <cell r="BS111">
            <v>111154.57800000001</v>
          </cell>
          <cell r="BT111">
            <v>111154.57800000001</v>
          </cell>
          <cell r="BU111">
            <v>111154.57800000001</v>
          </cell>
          <cell r="BV111">
            <v>111154.57800000001</v>
          </cell>
          <cell r="BW111">
            <v>111154.57800000001</v>
          </cell>
          <cell r="CP111">
            <v>91653.917989830923</v>
          </cell>
          <cell r="CQ111">
            <v>142706.5880608827</v>
          </cell>
          <cell r="CR111">
            <v>255437.25591934496</v>
          </cell>
          <cell r="CS111">
            <v>351827.16100925661</v>
          </cell>
          <cell r="CT111">
            <v>423888.10670077568</v>
          </cell>
          <cell r="CU111">
            <v>527943.08025454381</v>
          </cell>
          <cell r="CV111">
            <v>622782.61117880838</v>
          </cell>
          <cell r="CW111">
            <v>698436.72173777816</v>
          </cell>
          <cell r="DE111">
            <v>11037.050770683829</v>
          </cell>
          <cell r="DF111">
            <v>30884.013887323665</v>
          </cell>
          <cell r="DG111">
            <v>45249.163165194455</v>
          </cell>
          <cell r="DH111">
            <v>56368.519529905359</v>
          </cell>
          <cell r="DI111">
            <v>81993.288569559401</v>
          </cell>
          <cell r="DJ111">
            <v>108204.71898314935</v>
          </cell>
          <cell r="DK111">
            <v>120311.85028755131</v>
          </cell>
          <cell r="DL111">
            <v>133212.22051132907</v>
          </cell>
          <cell r="DT111">
            <v>13754.923689467767</v>
          </cell>
          <cell r="DU111">
            <v>26454.973781109547</v>
          </cell>
          <cell r="DV111">
            <v>48112.149782638946</v>
          </cell>
          <cell r="DW111">
            <v>65652.289961492032</v>
          </cell>
          <cell r="DX111">
            <v>77676.565895817796</v>
          </cell>
          <cell r="DY111">
            <v>90335.387167515233</v>
          </cell>
          <cell r="DZ111">
            <v>103088.63444635271</v>
          </cell>
          <cell r="EA111">
            <v>113105.7476237987</v>
          </cell>
          <cell r="EX111">
            <v>111842.39288297355</v>
          </cell>
          <cell r="EY111">
            <v>248378.23360668763</v>
          </cell>
          <cell r="EZ111">
            <v>345474.29523240455</v>
          </cell>
          <cell r="FA111">
            <v>429400.1281664382</v>
          </cell>
          <cell r="FB111">
            <v>512772.45718972932</v>
          </cell>
          <cell r="FC111">
            <v>634407.0725111987</v>
          </cell>
          <cell r="FD111">
            <v>749005.80590227176</v>
          </cell>
          <cell r="FE111">
            <v>862574.89253874554</v>
          </cell>
          <cell r="FF111">
            <v>962925.2806414495</v>
          </cell>
          <cell r="FG111">
            <v>1073279.5136658805</v>
          </cell>
          <cell r="FH111">
            <v>1172792.6526306947</v>
          </cell>
          <cell r="FI111">
            <v>1258794.9817808182</v>
          </cell>
          <cell r="FM111">
            <v>7926.9290419261788</v>
          </cell>
          <cell r="FN111">
            <v>17011.824721104138</v>
          </cell>
          <cell r="FO111">
            <v>23427.222170085588</v>
          </cell>
          <cell r="FP111">
            <v>29325.255513083466</v>
          </cell>
          <cell r="FQ111">
            <v>35201.704263830543</v>
          </cell>
          <cell r="FR111">
            <v>43161.852734006541</v>
          </cell>
          <cell r="FS111">
            <v>56908.224699781531</v>
          </cell>
          <cell r="FT111">
            <v>65467.575583077894</v>
          </cell>
          <cell r="FU111">
            <v>71984.153894167655</v>
          </cell>
          <cell r="FV111">
            <v>87282.7094197119</v>
          </cell>
          <cell r="FW111">
            <v>102659.37241802852</v>
          </cell>
          <cell r="FX111">
            <v>111394.09713325718</v>
          </cell>
          <cell r="GB111">
            <v>25940.837728347971</v>
          </cell>
          <cell r="GC111">
            <v>69417.300222281134</v>
          </cell>
          <cell r="GD111">
            <v>105339.4929191017</v>
          </cell>
          <cell r="GE111">
            <v>143875.54823946807</v>
          </cell>
          <cell r="GF111">
            <v>167715.74676493075</v>
          </cell>
          <cell r="GG111">
            <v>202950.06755453863</v>
          </cell>
          <cell r="GH111">
            <v>238499.42833465582</v>
          </cell>
          <cell r="GI111">
            <v>275556.06119623047</v>
          </cell>
          <cell r="GJ111">
            <v>306133.14507644653</v>
          </cell>
          <cell r="GK111">
            <v>345946.38079493411</v>
          </cell>
          <cell r="GL111">
            <v>375747.11001631268</v>
          </cell>
          <cell r="GM111">
            <v>399694.11996184633</v>
          </cell>
        </row>
        <row r="114">
          <cell r="A114" t="str">
            <v>Operating Income/(Loss)</v>
          </cell>
          <cell r="C114">
            <v>2599.6348399999979</v>
          </cell>
          <cell r="D114">
            <v>0</v>
          </cell>
          <cell r="E114">
            <v>2599.6348399999979</v>
          </cell>
          <cell r="F114" t="str">
            <v>n/a</v>
          </cell>
          <cell r="G114">
            <v>1784.5678288517147</v>
          </cell>
          <cell r="H114">
            <v>1439.8283799999979</v>
          </cell>
          <cell r="J114">
            <v>2291.0139749999998</v>
          </cell>
          <cell r="K114">
            <v>0</v>
          </cell>
          <cell r="L114">
            <v>2291.0139749999998</v>
          </cell>
          <cell r="M114" t="str">
            <v>n/a</v>
          </cell>
          <cell r="N114">
            <v>1091.7486582440069</v>
          </cell>
          <cell r="O114">
            <v>1167.3296200000011</v>
          </cell>
          <cell r="Q114">
            <v>241.35328600000017</v>
          </cell>
          <cell r="R114">
            <v>0</v>
          </cell>
          <cell r="S114">
            <v>241.35328600000017</v>
          </cell>
          <cell r="T114" t="str">
            <v>n/a</v>
          </cell>
          <cell r="U114">
            <v>611.86518713749808</v>
          </cell>
          <cell r="V114">
            <v>-1.0856460000001107</v>
          </cell>
          <cell r="X114">
            <v>67.267578999999898</v>
          </cell>
          <cell r="Y114">
            <v>0</v>
          </cell>
          <cell r="Z114">
            <v>67.267578999999898</v>
          </cell>
          <cell r="AA114" t="str">
            <v>n/a</v>
          </cell>
          <cell r="AB114">
            <v>80.953983470208897</v>
          </cell>
          <cell r="AC114">
            <v>273.58440599999994</v>
          </cell>
          <cell r="AD114">
            <v>2171.3859188022411</v>
          </cell>
          <cell r="AE114">
            <v>1530.721790000001</v>
          </cell>
          <cell r="AH114">
            <v>988.82700000013574</v>
          </cell>
          <cell r="AI114">
            <v>67751.087000000174</v>
          </cell>
          <cell r="AJ114">
            <v>664884.11599999969</v>
          </cell>
          <cell r="AK114">
            <v>966985.85499999905</v>
          </cell>
          <cell r="AL114">
            <v>1229063.5500000003</v>
          </cell>
          <cell r="AM114">
            <v>1952605.0650000004</v>
          </cell>
          <cell r="AN114">
            <v>2139206.9730000002</v>
          </cell>
          <cell r="AO114">
            <v>2291013.9749999978</v>
          </cell>
          <cell r="AP114">
            <v>2291013.9749999978</v>
          </cell>
          <cell r="AQ114">
            <v>2291013.9749999978</v>
          </cell>
          <cell r="AR114">
            <v>2291013.9749999978</v>
          </cell>
          <cell r="AS114">
            <v>2291013.9749999978</v>
          </cell>
          <cell r="AW114">
            <v>59092.423999999999</v>
          </cell>
          <cell r="AX114">
            <v>47710.743999999992</v>
          </cell>
          <cell r="AY114">
            <v>150121.16500000007</v>
          </cell>
          <cell r="AZ114">
            <v>264594.68599999999</v>
          </cell>
          <cell r="BA114">
            <v>300579.4310000001</v>
          </cell>
          <cell r="BB114">
            <v>255984.7359999998</v>
          </cell>
          <cell r="BC114">
            <v>229083.71800000008</v>
          </cell>
          <cell r="BD114">
            <v>241353.28600000002</v>
          </cell>
          <cell r="BE114">
            <v>241353.28600000002</v>
          </cell>
          <cell r="BF114">
            <v>241353.28600000002</v>
          </cell>
          <cell r="BG114">
            <v>241353.28600000002</v>
          </cell>
          <cell r="BH114">
            <v>241353.28600000002</v>
          </cell>
          <cell r="BL114">
            <v>82605.058999999965</v>
          </cell>
          <cell r="BM114">
            <v>57652.869000000021</v>
          </cell>
          <cell r="BN114">
            <v>-72417.390999999989</v>
          </cell>
          <cell r="BO114">
            <v>-211267.87099999998</v>
          </cell>
          <cell r="BP114">
            <v>-166699.7209999999</v>
          </cell>
          <cell r="BQ114">
            <v>64219.959000000017</v>
          </cell>
          <cell r="BR114">
            <v>40638.588999999949</v>
          </cell>
          <cell r="BS114">
            <v>67267.578999999881</v>
          </cell>
          <cell r="BT114">
            <v>67267.578999999881</v>
          </cell>
          <cell r="BU114">
            <v>67267.578999999881</v>
          </cell>
          <cell r="BV114">
            <v>67267.578999999881</v>
          </cell>
          <cell r="BW114">
            <v>67267.578999999881</v>
          </cell>
          <cell r="CP114">
            <v>75126.303910495801</v>
          </cell>
          <cell r="CQ114">
            <v>164555.48459701653</v>
          </cell>
          <cell r="CR114">
            <v>517807.43218752393</v>
          </cell>
          <cell r="CS114">
            <v>930160.60754943232</v>
          </cell>
          <cell r="CT114">
            <v>995459.87370130466</v>
          </cell>
          <cell r="CU114">
            <v>1356410.2535422377</v>
          </cell>
          <cell r="CV114">
            <v>1921367.4219482229</v>
          </cell>
          <cell r="CW114">
            <v>2160652.0714471149</v>
          </cell>
          <cell r="DE114">
            <v>6748.5212395382223</v>
          </cell>
          <cell r="DF114">
            <v>194049.57326804855</v>
          </cell>
          <cell r="DG114">
            <v>180121.75305721033</v>
          </cell>
          <cell r="DH114">
            <v>292997.41843699844</v>
          </cell>
          <cell r="DI114">
            <v>319329.97382383735</v>
          </cell>
          <cell r="DJ114">
            <v>347843.88334764098</v>
          </cell>
          <cell r="DK114">
            <v>275402.51123071788</v>
          </cell>
          <cell r="DL114">
            <v>282590.52244417177</v>
          </cell>
          <cell r="DT114">
            <v>68760.937097991817</v>
          </cell>
          <cell r="DU114">
            <v>39865.623700533099</v>
          </cell>
          <cell r="DV114">
            <v>-73123.799320050588</v>
          </cell>
          <cell r="DW114">
            <v>-178058.27367803684</v>
          </cell>
          <cell r="DX114">
            <v>-16210.556999018154</v>
          </cell>
          <cell r="DY114">
            <v>16131.159673337708</v>
          </cell>
          <cell r="DZ114">
            <v>93497.48454739734</v>
          </cell>
          <cell r="EA114">
            <v>85926.381256753142</v>
          </cell>
          <cell r="EX114">
            <v>144311.19500000007</v>
          </cell>
          <cell r="EY114">
            <v>195548.48499999993</v>
          </cell>
          <cell r="EZ114">
            <v>854901.85999999964</v>
          </cell>
          <cell r="FA114">
            <v>1022377.2450000005</v>
          </cell>
          <cell r="FB114">
            <v>1434986.9099999997</v>
          </cell>
          <cell r="FC114">
            <v>1984940.2200000004</v>
          </cell>
          <cell r="FD114">
            <v>1710556.8700000003</v>
          </cell>
          <cell r="FE114">
            <v>1570034.5600000019</v>
          </cell>
          <cell r="FF114">
            <v>1495842.1800000006</v>
          </cell>
          <cell r="FG114">
            <v>1547053.8690000004</v>
          </cell>
          <cell r="FH114">
            <v>1581985.1840000022</v>
          </cell>
          <cell r="FI114">
            <v>1718016.4840000025</v>
          </cell>
          <cell r="FM114">
            <v>28871.243000000006</v>
          </cell>
          <cell r="FN114">
            <v>66557.709000000003</v>
          </cell>
          <cell r="FO114">
            <v>129962.326</v>
          </cell>
          <cell r="FP114">
            <v>126334.577</v>
          </cell>
          <cell r="FQ114">
            <v>110510.73599999999</v>
          </cell>
          <cell r="FR114">
            <v>65906.614000000001</v>
          </cell>
          <cell r="FS114">
            <v>31883.943999999981</v>
          </cell>
          <cell r="FT114">
            <v>30706.804000000018</v>
          </cell>
          <cell r="FU114">
            <v>59826.364000000031</v>
          </cell>
          <cell r="FV114">
            <v>86224.724999999977</v>
          </cell>
          <cell r="FW114">
            <v>91590.820000000051</v>
          </cell>
          <cell r="FX114">
            <v>113577.28800000002</v>
          </cell>
          <cell r="GB114">
            <v>-29585.577999999987</v>
          </cell>
          <cell r="GC114">
            <v>-9603.6739999999627</v>
          </cell>
          <cell r="GD114">
            <v>151746.31400000007</v>
          </cell>
          <cell r="GE114">
            <v>189955.09800000006</v>
          </cell>
          <cell r="GF114">
            <v>350658.80400000012</v>
          </cell>
          <cell r="GG114">
            <v>543095.83600000001</v>
          </cell>
          <cell r="GH114">
            <v>669102.9659999999</v>
          </cell>
          <cell r="GI114">
            <v>697392.70600000012</v>
          </cell>
          <cell r="GJ114">
            <v>666856.196</v>
          </cell>
          <cell r="GK114">
            <v>696847.53600000008</v>
          </cell>
          <cell r="GL114">
            <v>759285.83599999989</v>
          </cell>
          <cell r="GM114">
            <v>828517.65799999959</v>
          </cell>
        </row>
        <row r="116">
          <cell r="A116" t="str">
            <v>Other Income/(Expense)</v>
          </cell>
          <cell r="C116">
            <v>-139.60287000000002</v>
          </cell>
          <cell r="D116">
            <v>0</v>
          </cell>
          <cell r="E116">
            <v>-139.60287000000002</v>
          </cell>
          <cell r="F116" t="str">
            <v>n/a</v>
          </cell>
          <cell r="G116">
            <v>-150.6120499999999</v>
          </cell>
          <cell r="H116">
            <v>-40.384209999999996</v>
          </cell>
          <cell r="J116">
            <v>-48.487179999999995</v>
          </cell>
          <cell r="K116">
            <v>0</v>
          </cell>
          <cell r="L116">
            <v>-48.487179999999995</v>
          </cell>
          <cell r="M116" t="str">
            <v>n/a</v>
          </cell>
          <cell r="N116">
            <v>175.08485964024152</v>
          </cell>
          <cell r="O116">
            <v>-10.889200000000001</v>
          </cell>
          <cell r="Q116">
            <v>-80.03425</v>
          </cell>
          <cell r="R116">
            <v>0</v>
          </cell>
          <cell r="S116">
            <v>-80.03425</v>
          </cell>
          <cell r="T116" t="str">
            <v>n/a</v>
          </cell>
          <cell r="U116">
            <v>-307.21501115454959</v>
          </cell>
          <cell r="V116">
            <v>1.0055800000000001</v>
          </cell>
          <cell r="X116">
            <v>-11.081440000000002</v>
          </cell>
          <cell r="Y116">
            <v>0</v>
          </cell>
          <cell r="Z116">
            <v>-11.081440000000002</v>
          </cell>
          <cell r="AA116" t="str">
            <v>n/a</v>
          </cell>
          <cell r="AB116">
            <v>-18.481898485691843</v>
          </cell>
          <cell r="AC116">
            <v>-30.500589999999995</v>
          </cell>
          <cell r="AD116">
            <v>-180.20557000000002</v>
          </cell>
          <cell r="AE116">
            <v>-102.80721</v>
          </cell>
          <cell r="AH116">
            <v>0</v>
          </cell>
          <cell r="AI116">
            <v>-5.88</v>
          </cell>
          <cell r="AJ116">
            <v>-33837.579999999994</v>
          </cell>
          <cell r="AK116">
            <v>-33837.649999999994</v>
          </cell>
          <cell r="AL116">
            <v>-471.73999999999069</v>
          </cell>
          <cell r="AM116">
            <v>-30930.829999999994</v>
          </cell>
          <cell r="AN116">
            <v>-40030.829999999994</v>
          </cell>
          <cell r="AO116">
            <v>-48487.179999999993</v>
          </cell>
          <cell r="AP116">
            <v>-48487.179999999993</v>
          </cell>
          <cell r="AQ116">
            <v>-48487.179999999993</v>
          </cell>
          <cell r="AR116">
            <v>-48487.179999999993</v>
          </cell>
          <cell r="AS116">
            <v>-48487.179999999993</v>
          </cell>
          <cell r="AW116">
            <v>0</v>
          </cell>
          <cell r="AX116">
            <v>0</v>
          </cell>
          <cell r="AY116">
            <v>-6766.34</v>
          </cell>
          <cell r="AZ116">
            <v>-41766.350000000006</v>
          </cell>
          <cell r="BA116">
            <v>-75132.260000000009</v>
          </cell>
          <cell r="BB116">
            <v>-41184.98000000001</v>
          </cell>
          <cell r="BC116">
            <v>-43004.98000000001</v>
          </cell>
          <cell r="BD116">
            <v>-80034.25</v>
          </cell>
          <cell r="BE116">
            <v>-80034.25</v>
          </cell>
          <cell r="BF116">
            <v>-80034.25</v>
          </cell>
          <cell r="BG116">
            <v>-80034.25</v>
          </cell>
          <cell r="BH116">
            <v>-80034.25</v>
          </cell>
          <cell r="BL116">
            <v>0</v>
          </cell>
          <cell r="BM116">
            <v>0</v>
          </cell>
          <cell r="BN116">
            <v>-7732.96</v>
          </cell>
          <cell r="BO116">
            <v>-7732.9800000000005</v>
          </cell>
          <cell r="BP116">
            <v>-7732.9800000000005</v>
          </cell>
          <cell r="BQ116">
            <v>-7068.56</v>
          </cell>
          <cell r="BR116">
            <v>-9148.5600000000013</v>
          </cell>
          <cell r="BS116">
            <v>-11081.440000000002</v>
          </cell>
          <cell r="BT116">
            <v>-11081.440000000002</v>
          </cell>
          <cell r="BU116">
            <v>-11081.440000000002</v>
          </cell>
          <cell r="BV116">
            <v>-11081.440000000002</v>
          </cell>
          <cell r="BW116">
            <v>-11081.440000000002</v>
          </cell>
          <cell r="CP116">
            <v>-11360.830720048163</v>
          </cell>
          <cell r="CQ116">
            <v>17787.05058086483</v>
          </cell>
          <cell r="CR116">
            <v>21387.416344768913</v>
          </cell>
          <cell r="CS116">
            <v>-2938.4735396245023</v>
          </cell>
          <cell r="CT116">
            <v>-2983.5182541886329</v>
          </cell>
          <cell r="CU116">
            <v>-32360.268037449132</v>
          </cell>
          <cell r="CV116">
            <v>-39700.609999999993</v>
          </cell>
          <cell r="CW116">
            <v>-50477.259999999995</v>
          </cell>
          <cell r="DE116">
            <v>-1650.1656676700784</v>
          </cell>
          <cell r="DF116">
            <v>-32844.930580864828</v>
          </cell>
          <cell r="DG116">
            <v>-42361.226344768911</v>
          </cell>
          <cell r="DH116">
            <v>-40491.19646037549</v>
          </cell>
          <cell r="DI116">
            <v>-75446.231745811354</v>
          </cell>
          <cell r="DJ116">
            <v>-85593.680962550876</v>
          </cell>
          <cell r="DK116">
            <v>-43338.95</v>
          </cell>
          <cell r="DL116">
            <v>-45598.95</v>
          </cell>
          <cell r="DT116">
            <v>-2933.7036122817581</v>
          </cell>
          <cell r="DU116">
            <v>-2123.31</v>
          </cell>
          <cell r="DV116">
            <v>-2087.84</v>
          </cell>
          <cell r="DW116">
            <v>-8046.93</v>
          </cell>
          <cell r="DX116">
            <v>-8046.9500000000007</v>
          </cell>
          <cell r="DY116">
            <v>-15966.059599999999</v>
          </cell>
          <cell r="DZ116">
            <v>-9520.8499999999985</v>
          </cell>
          <cell r="EA116">
            <v>-11606.849999999999</v>
          </cell>
          <cell r="EX116">
            <v>-6670.5899999999992</v>
          </cell>
          <cell r="EY116">
            <v>-6795.0899999999992</v>
          </cell>
          <cell r="EZ116">
            <v>-9088.34</v>
          </cell>
          <cell r="FA116">
            <v>-14691.24</v>
          </cell>
          <cell r="FB116">
            <v>-16822.09</v>
          </cell>
          <cell r="FC116">
            <v>-26752.95</v>
          </cell>
          <cell r="FD116">
            <v>-26710.95</v>
          </cell>
          <cell r="FE116">
            <v>-27473.11</v>
          </cell>
          <cell r="FF116">
            <v>-10889.2</v>
          </cell>
          <cell r="FG116">
            <v>-38118.97</v>
          </cell>
          <cell r="FH116">
            <v>-45436.92</v>
          </cell>
          <cell r="FI116">
            <v>-55220.99</v>
          </cell>
          <cell r="FM116">
            <v>0</v>
          </cell>
          <cell r="FN116">
            <v>0</v>
          </cell>
          <cell r="FO116">
            <v>0</v>
          </cell>
          <cell r="FP116">
            <v>0</v>
          </cell>
          <cell r="FQ116">
            <v>0</v>
          </cell>
          <cell r="FR116">
            <v>0</v>
          </cell>
          <cell r="FS116">
            <v>0</v>
          </cell>
          <cell r="FT116">
            <v>0</v>
          </cell>
          <cell r="FU116">
            <v>1005.58</v>
          </cell>
          <cell r="FV116">
            <v>-1325.12</v>
          </cell>
          <cell r="FW116">
            <v>-1791.2599999999998</v>
          </cell>
          <cell r="FX116">
            <v>-2138.6699999999996</v>
          </cell>
          <cell r="GB116">
            <v>0</v>
          </cell>
          <cell r="GC116">
            <v>-6000</v>
          </cell>
          <cell r="GD116">
            <v>-6000</v>
          </cell>
          <cell r="GE116">
            <v>-12000</v>
          </cell>
          <cell r="GF116">
            <v>-12000</v>
          </cell>
          <cell r="GG116">
            <v>-35280.85</v>
          </cell>
          <cell r="GH116">
            <v>-35280.85</v>
          </cell>
          <cell r="GI116">
            <v>-35280.85</v>
          </cell>
          <cell r="GJ116">
            <v>-30500.589999999997</v>
          </cell>
          <cell r="GK116">
            <v>-41580.119999999995</v>
          </cell>
          <cell r="GL116">
            <v>-43796.03</v>
          </cell>
          <cell r="GM116">
            <v>-45447.549999999996</v>
          </cell>
        </row>
        <row r="118">
          <cell r="A118" t="str">
            <v>EBITDA</v>
          </cell>
          <cell r="C118">
            <v>2460.0319699999977</v>
          </cell>
          <cell r="D118">
            <v>0</v>
          </cell>
          <cell r="E118">
            <v>2460.0319699999977</v>
          </cell>
          <cell r="F118" t="str">
            <v>n/a</v>
          </cell>
          <cell r="G118">
            <v>1633.9557788517147</v>
          </cell>
          <cell r="H118">
            <v>1399.4441699999979</v>
          </cell>
          <cell r="J118">
            <v>2242.5267949999998</v>
          </cell>
          <cell r="K118">
            <v>0</v>
          </cell>
          <cell r="L118">
            <v>2242.5267949999998</v>
          </cell>
          <cell r="M118" t="str">
            <v>n/a</v>
          </cell>
          <cell r="N118">
            <v>1266.8335178842485</v>
          </cell>
          <cell r="O118">
            <v>1156.440420000001</v>
          </cell>
          <cell r="Q118">
            <v>161.31903600000015</v>
          </cell>
          <cell r="R118">
            <v>0</v>
          </cell>
          <cell r="S118">
            <v>161.31903600000015</v>
          </cell>
          <cell r="T118" t="str">
            <v>n/a</v>
          </cell>
          <cell r="U118">
            <v>304.6501759829485</v>
          </cell>
          <cell r="V118">
            <v>-8.0066000000110549E-2</v>
          </cell>
          <cell r="X118">
            <v>56.186138999999898</v>
          </cell>
          <cell r="Y118">
            <v>0</v>
          </cell>
          <cell r="Z118">
            <v>56.186138999999898</v>
          </cell>
          <cell r="AA118" t="str">
            <v>n/a</v>
          </cell>
          <cell r="AB118">
            <v>62.472084984517053</v>
          </cell>
          <cell r="AC118">
            <v>243.08381599999996</v>
          </cell>
          <cell r="AD118">
            <v>1991.180348802241</v>
          </cell>
          <cell r="AE118">
            <v>1427.914580000001</v>
          </cell>
          <cell r="AH118">
            <v>988.82700000013574</v>
          </cell>
          <cell r="AI118">
            <v>67745.20700000017</v>
          </cell>
          <cell r="AJ118">
            <v>631046.53599999973</v>
          </cell>
          <cell r="AK118">
            <v>933148.20499999903</v>
          </cell>
          <cell r="AL118">
            <v>1228591.8100000003</v>
          </cell>
          <cell r="AM118">
            <v>1921674.2350000003</v>
          </cell>
          <cell r="AN118">
            <v>2099176.1430000002</v>
          </cell>
          <cell r="AO118">
            <v>2242526.7949999976</v>
          </cell>
          <cell r="AP118">
            <v>2242526.7949999976</v>
          </cell>
          <cell r="AQ118">
            <v>2242526.7949999976</v>
          </cell>
          <cell r="AR118">
            <v>2242526.7949999976</v>
          </cell>
          <cell r="AS118">
            <v>2242526.7949999976</v>
          </cell>
          <cell r="AW118">
            <v>59092.423999999999</v>
          </cell>
          <cell r="AX118">
            <v>47710.743999999992</v>
          </cell>
          <cell r="AY118">
            <v>143354.82500000007</v>
          </cell>
          <cell r="AZ118">
            <v>222828.33599999998</v>
          </cell>
          <cell r="BA118">
            <v>225447.17100000009</v>
          </cell>
          <cell r="BB118">
            <v>214799.75599999979</v>
          </cell>
          <cell r="BC118">
            <v>186078.73800000007</v>
          </cell>
          <cell r="BD118">
            <v>161319.03600000002</v>
          </cell>
          <cell r="BE118">
            <v>161319.03600000002</v>
          </cell>
          <cell r="BF118">
            <v>161319.03600000002</v>
          </cell>
          <cell r="BG118">
            <v>161319.03600000002</v>
          </cell>
          <cell r="BH118">
            <v>161319.03600000002</v>
          </cell>
          <cell r="BL118">
            <v>82605.058999999965</v>
          </cell>
          <cell r="BM118">
            <v>57652.869000000021</v>
          </cell>
          <cell r="BN118">
            <v>-80150.350999999995</v>
          </cell>
          <cell r="BO118">
            <v>-219000.851</v>
          </cell>
          <cell r="BP118">
            <v>-174432.70099999991</v>
          </cell>
          <cell r="BQ118">
            <v>57151.399000000019</v>
          </cell>
          <cell r="BR118">
            <v>31490.028999999948</v>
          </cell>
          <cell r="BS118">
            <v>56186.138999999879</v>
          </cell>
          <cell r="BT118">
            <v>56186.138999999879</v>
          </cell>
          <cell r="BU118">
            <v>56186.138999999879</v>
          </cell>
          <cell r="BV118">
            <v>56186.138999999879</v>
          </cell>
          <cell r="BW118">
            <v>56186.138999999879</v>
          </cell>
          <cell r="CP118">
            <v>63765.473190447636</v>
          </cell>
          <cell r="CQ118">
            <v>182342.53517788136</v>
          </cell>
          <cell r="CR118">
            <v>539194.84853229288</v>
          </cell>
          <cell r="CS118">
            <v>927222.13400980784</v>
          </cell>
          <cell r="CT118">
            <v>992476.35544711608</v>
          </cell>
          <cell r="CU118">
            <v>1324049.9855047886</v>
          </cell>
          <cell r="CV118">
            <v>1881666.8119482228</v>
          </cell>
          <cell r="CW118">
            <v>2110174.8114471151</v>
          </cell>
          <cell r="DE118">
            <v>5098.3555718681437</v>
          </cell>
          <cell r="DF118">
            <v>161204.64268718372</v>
          </cell>
          <cell r="DG118">
            <v>137760.52671244141</v>
          </cell>
          <cell r="DH118">
            <v>252506.22197662294</v>
          </cell>
          <cell r="DI118">
            <v>243883.742078026</v>
          </cell>
          <cell r="DJ118">
            <v>262250.20238509012</v>
          </cell>
          <cell r="DK118">
            <v>232063.56123071787</v>
          </cell>
          <cell r="DL118">
            <v>236991.57244417176</v>
          </cell>
          <cell r="DT118">
            <v>65827.233485710065</v>
          </cell>
          <cell r="DU118">
            <v>37742.313700533101</v>
          </cell>
          <cell r="DV118">
            <v>-75211.639320050585</v>
          </cell>
          <cell r="DW118">
            <v>-186105.20367803684</v>
          </cell>
          <cell r="DX118">
            <v>-24257.506999018155</v>
          </cell>
          <cell r="DY118">
            <v>165.10007333770955</v>
          </cell>
          <cell r="DZ118">
            <v>83976.634547397349</v>
          </cell>
          <cell r="EA118">
            <v>74319.531256753136</v>
          </cell>
          <cell r="EX118">
            <v>137640.60500000007</v>
          </cell>
          <cell r="EY118">
            <v>188753.39499999993</v>
          </cell>
          <cell r="EZ118">
            <v>845813.51999999967</v>
          </cell>
          <cell r="FA118">
            <v>1007686.0050000005</v>
          </cell>
          <cell r="FB118">
            <v>1418164.8199999996</v>
          </cell>
          <cell r="FC118">
            <v>1958187.2700000005</v>
          </cell>
          <cell r="FD118">
            <v>1683845.9200000004</v>
          </cell>
          <cell r="FE118">
            <v>1542561.4500000018</v>
          </cell>
          <cell r="FF118">
            <v>1484952.9800000007</v>
          </cell>
          <cell r="FG118">
            <v>1508934.8990000004</v>
          </cell>
          <cell r="FH118">
            <v>1536548.2640000023</v>
          </cell>
          <cell r="FI118">
            <v>1662795.4940000025</v>
          </cell>
          <cell r="FM118">
            <v>28871.243000000006</v>
          </cell>
          <cell r="FN118">
            <v>66557.709000000003</v>
          </cell>
          <cell r="FO118">
            <v>129962.326</v>
          </cell>
          <cell r="FP118">
            <v>126334.577</v>
          </cell>
          <cell r="FQ118">
            <v>110510.73599999999</v>
          </cell>
          <cell r="FR118">
            <v>65906.614000000001</v>
          </cell>
          <cell r="FS118">
            <v>31883.943999999981</v>
          </cell>
          <cell r="FT118">
            <v>30706.804000000018</v>
          </cell>
          <cell r="FU118">
            <v>60831.944000000032</v>
          </cell>
          <cell r="FV118">
            <v>84899.604999999981</v>
          </cell>
          <cell r="FW118">
            <v>89799.560000000056</v>
          </cell>
          <cell r="FX118">
            <v>111438.61800000002</v>
          </cell>
          <cell r="GB118">
            <v>-29585.577999999987</v>
          </cell>
          <cell r="GC118">
            <v>-15603.673999999963</v>
          </cell>
          <cell r="GD118">
            <v>145746.31400000007</v>
          </cell>
          <cell r="GE118">
            <v>177955.09800000006</v>
          </cell>
          <cell r="GF118">
            <v>338658.80400000012</v>
          </cell>
          <cell r="GG118">
            <v>507814.98600000003</v>
          </cell>
          <cell r="GH118">
            <v>633822.11599999992</v>
          </cell>
          <cell r="GI118">
            <v>662111.85600000015</v>
          </cell>
          <cell r="GJ118">
            <v>636355.60600000003</v>
          </cell>
          <cell r="GK118">
            <v>655267.41600000008</v>
          </cell>
          <cell r="GL118">
            <v>715489.80599999987</v>
          </cell>
          <cell r="GM118">
            <v>783070.10799999954</v>
          </cell>
        </row>
        <row r="120">
          <cell r="A120" t="str">
            <v>Interest Expense (Net)</v>
          </cell>
          <cell r="C120">
            <v>-27.282979999999998</v>
          </cell>
          <cell r="D120">
            <v>0</v>
          </cell>
          <cell r="E120">
            <v>-27.282979999999998</v>
          </cell>
          <cell r="F120" t="str">
            <v>n/a</v>
          </cell>
          <cell r="G120">
            <v>0</v>
          </cell>
          <cell r="H120">
            <v>163.12027999999998</v>
          </cell>
          <cell r="J120">
            <v>-19.963609999999999</v>
          </cell>
          <cell r="K120">
            <v>0</v>
          </cell>
          <cell r="L120">
            <v>-19.963609999999999</v>
          </cell>
          <cell r="M120" t="str">
            <v>n/a</v>
          </cell>
          <cell r="N120">
            <v>0</v>
          </cell>
          <cell r="O120">
            <v>131.15669999999997</v>
          </cell>
          <cell r="Q120">
            <v>-3.5972999999999997</v>
          </cell>
          <cell r="R120">
            <v>0</v>
          </cell>
          <cell r="S120">
            <v>-3.5972999999999997</v>
          </cell>
          <cell r="T120" t="str">
            <v>n/a</v>
          </cell>
          <cell r="U120">
            <v>0</v>
          </cell>
          <cell r="V120">
            <v>9.4773499999999977</v>
          </cell>
          <cell r="X120">
            <v>-3.72207</v>
          </cell>
          <cell r="Y120">
            <v>0</v>
          </cell>
          <cell r="Z120">
            <v>-3.72207</v>
          </cell>
          <cell r="AA120" t="str">
            <v>n/a</v>
          </cell>
          <cell r="AB120">
            <v>0</v>
          </cell>
          <cell r="AC120">
            <v>22.486229999999999</v>
          </cell>
          <cell r="AD120">
            <v>-27.282979999999995</v>
          </cell>
          <cell r="AE120">
            <v>249.63954999999999</v>
          </cell>
          <cell r="AH120">
            <v>44.660000000000004</v>
          </cell>
          <cell r="AI120">
            <v>-21131.260000000002</v>
          </cell>
          <cell r="AJ120">
            <v>-20695.640000000003</v>
          </cell>
          <cell r="AK120">
            <v>-20155.520000000004</v>
          </cell>
          <cell r="AL120">
            <v>-20012.980000000003</v>
          </cell>
          <cell r="AM120">
            <v>-19960.760000000002</v>
          </cell>
          <cell r="AN120">
            <v>-19958.29</v>
          </cell>
          <cell r="AO120">
            <v>-19963.61</v>
          </cell>
          <cell r="AP120">
            <v>-19963.61</v>
          </cell>
          <cell r="AQ120">
            <v>-19963.61</v>
          </cell>
          <cell r="AR120">
            <v>-19963.61</v>
          </cell>
          <cell r="AS120">
            <v>-19963.61</v>
          </cell>
          <cell r="AW120">
            <v>4.87</v>
          </cell>
          <cell r="AX120">
            <v>-3043.68</v>
          </cell>
          <cell r="AY120">
            <v>-3252.14</v>
          </cell>
          <cell r="AZ120">
            <v>-3504.19</v>
          </cell>
          <cell r="BA120">
            <v>-3570.71</v>
          </cell>
          <cell r="BB120">
            <v>-3595.08</v>
          </cell>
          <cell r="BC120">
            <v>-3596.24</v>
          </cell>
          <cell r="BD120">
            <v>-3597.2999999999997</v>
          </cell>
          <cell r="BE120">
            <v>-3597.2999999999997</v>
          </cell>
          <cell r="BF120">
            <v>-3597.2999999999997</v>
          </cell>
          <cell r="BG120">
            <v>-3597.2999999999997</v>
          </cell>
          <cell r="BH120">
            <v>-3597.2999999999997</v>
          </cell>
          <cell r="BL120">
            <v>4.5999999999999996</v>
          </cell>
          <cell r="BM120">
            <v>-3089.36</v>
          </cell>
          <cell r="BN120">
            <v>-3327.6000000000004</v>
          </cell>
          <cell r="BO120">
            <v>-3615.6600000000003</v>
          </cell>
          <cell r="BP120">
            <v>-3691.6800000000003</v>
          </cell>
          <cell r="BQ120">
            <v>-3719.53</v>
          </cell>
          <cell r="BR120">
            <v>-3720.8500000000004</v>
          </cell>
          <cell r="BS120">
            <v>-3722.07</v>
          </cell>
          <cell r="BT120">
            <v>-3722.07</v>
          </cell>
          <cell r="BU120">
            <v>-3722.07</v>
          </cell>
          <cell r="BV120">
            <v>-3722.07</v>
          </cell>
          <cell r="BW120">
            <v>-3722.07</v>
          </cell>
          <cell r="CP120">
            <v>0</v>
          </cell>
          <cell r="CQ120">
            <v>44.660000000000004</v>
          </cell>
          <cell r="CR120">
            <v>-21131.260000000002</v>
          </cell>
          <cell r="CS120">
            <v>-20695.640000000003</v>
          </cell>
          <cell r="CT120">
            <v>-20155.520000000004</v>
          </cell>
          <cell r="CU120">
            <v>-20012.980000000003</v>
          </cell>
          <cell r="CV120">
            <v>-19960.760000000002</v>
          </cell>
          <cell r="CW120">
            <v>-19958.29</v>
          </cell>
          <cell r="DE120">
            <v>0</v>
          </cell>
          <cell r="DF120">
            <v>4.87</v>
          </cell>
          <cell r="DG120">
            <v>-3043.68</v>
          </cell>
          <cell r="DH120">
            <v>-3252.14</v>
          </cell>
          <cell r="DI120">
            <v>-3504.19</v>
          </cell>
          <cell r="DJ120">
            <v>-3570.71</v>
          </cell>
          <cell r="DK120">
            <v>-3595.08</v>
          </cell>
          <cell r="DL120">
            <v>-3596.24</v>
          </cell>
          <cell r="DT120">
            <v>0</v>
          </cell>
          <cell r="DU120">
            <v>4.5999999999999996</v>
          </cell>
          <cell r="DV120">
            <v>-3089.36</v>
          </cell>
          <cell r="DW120">
            <v>-3327.6000000000004</v>
          </cell>
          <cell r="DX120">
            <v>-3615.6600000000003</v>
          </cell>
          <cell r="DY120">
            <v>-3691.6800000000003</v>
          </cell>
          <cell r="DZ120">
            <v>-3719.53</v>
          </cell>
          <cell r="EA120">
            <v>-3720.8500000000004</v>
          </cell>
          <cell r="EX120">
            <v>10383.01</v>
          </cell>
          <cell r="EY120">
            <v>19786.11</v>
          </cell>
          <cell r="EZ120">
            <v>34917.81</v>
          </cell>
          <cell r="FA120">
            <v>43947.369999999995</v>
          </cell>
          <cell r="FB120">
            <v>54360.099999999991</v>
          </cell>
          <cell r="FC120">
            <v>61608.539999999994</v>
          </cell>
          <cell r="FD120">
            <v>90002.049999999988</v>
          </cell>
          <cell r="FE120">
            <v>111800.02999999998</v>
          </cell>
          <cell r="FF120">
            <v>131156.69999999998</v>
          </cell>
          <cell r="FG120">
            <v>159129.03999999998</v>
          </cell>
          <cell r="FH120">
            <v>180362.91999999998</v>
          </cell>
          <cell r="FI120">
            <v>203808.33</v>
          </cell>
          <cell r="FM120">
            <v>1204.8599999999999</v>
          </cell>
          <cell r="FN120">
            <v>3324.8199999999997</v>
          </cell>
          <cell r="FO120">
            <v>4677.1399999999994</v>
          </cell>
          <cell r="FP120">
            <v>5316.4299999999994</v>
          </cell>
          <cell r="FQ120">
            <v>5585.5599999999995</v>
          </cell>
          <cell r="FR120">
            <v>5674.2499999999991</v>
          </cell>
          <cell r="FS120">
            <v>7271.5999999999985</v>
          </cell>
          <cell r="FT120">
            <v>8472.7699999999986</v>
          </cell>
          <cell r="FU120">
            <v>9477.3499999999985</v>
          </cell>
          <cell r="FV120">
            <v>10856.829999999998</v>
          </cell>
          <cell r="FW120">
            <v>12297.299999999997</v>
          </cell>
          <cell r="FX120">
            <v>13838.849999999997</v>
          </cell>
          <cell r="GB120">
            <v>1737.06</v>
          </cell>
          <cell r="GC120">
            <v>4048.18</v>
          </cell>
          <cell r="GD120">
            <v>7594.24</v>
          </cell>
          <cell r="GE120">
            <v>10274.17</v>
          </cell>
          <cell r="GF120">
            <v>13190.74</v>
          </cell>
          <cell r="GG120">
            <v>15151.58</v>
          </cell>
          <cell r="GH120">
            <v>18128.2</v>
          </cell>
          <cell r="GI120">
            <v>20618.07</v>
          </cell>
          <cell r="GJ120">
            <v>22486.23</v>
          </cell>
          <cell r="GK120">
            <v>25281.94</v>
          </cell>
          <cell r="GL120">
            <v>28470.18</v>
          </cell>
          <cell r="GM120">
            <v>31992.37</v>
          </cell>
        </row>
        <row r="121">
          <cell r="A121" t="str">
            <v>Taxes on Income</v>
          </cell>
          <cell r="C121">
            <v>873.83299999999963</v>
          </cell>
          <cell r="D121">
            <v>0</v>
          </cell>
          <cell r="E121">
            <v>873.83299999999963</v>
          </cell>
          <cell r="F121" t="str">
            <v>n/a</v>
          </cell>
          <cell r="G121">
            <v>488.37386932920333</v>
          </cell>
          <cell r="H121">
            <v>377.95600043500008</v>
          </cell>
          <cell r="J121">
            <v>823.43976428999963</v>
          </cell>
          <cell r="K121">
            <v>0</v>
          </cell>
          <cell r="L121">
            <v>823.43976428999963</v>
          </cell>
          <cell r="M121" t="str">
            <v>n/a</v>
          </cell>
          <cell r="N121">
            <v>469.49326322866688</v>
          </cell>
          <cell r="O121">
            <v>328.24902067500005</v>
          </cell>
          <cell r="Q121">
            <v>59.314866870000039</v>
          </cell>
          <cell r="R121">
            <v>0</v>
          </cell>
          <cell r="S121">
            <v>59.314866870000039</v>
          </cell>
          <cell r="T121" t="str">
            <v>n/a</v>
          </cell>
          <cell r="U121">
            <v>11.409557619639997</v>
          </cell>
          <cell r="V121">
            <v>-11.027194565000013</v>
          </cell>
          <cell r="X121">
            <v>-8.9216311600000111</v>
          </cell>
          <cell r="Y121">
            <v>0</v>
          </cell>
          <cell r="Z121">
            <v>-8.9216311600000111</v>
          </cell>
          <cell r="AA121" t="str">
            <v>n/a</v>
          </cell>
          <cell r="AB121">
            <v>7.4710484808964637</v>
          </cell>
          <cell r="AC121">
            <v>60.734174325000012</v>
          </cell>
          <cell r="AD121">
            <v>590.43350197558641</v>
          </cell>
          <cell r="AE121">
            <v>-204.90903596500002</v>
          </cell>
          <cell r="AH121">
            <v>-12520.051510000028</v>
          </cell>
          <cell r="AI121">
            <v>10625.031509999963</v>
          </cell>
          <cell r="AJ121">
            <v>228492.81221999988</v>
          </cell>
          <cell r="AK121">
            <v>339225.88732999994</v>
          </cell>
          <cell r="AL121">
            <v>447392.16399999976</v>
          </cell>
          <cell r="AM121">
            <v>718627.38806999964</v>
          </cell>
          <cell r="AN121">
            <v>778494.9976699996</v>
          </cell>
          <cell r="AO121">
            <v>823439.76428999961</v>
          </cell>
          <cell r="AP121">
            <v>823439.76428999961</v>
          </cell>
          <cell r="AQ121">
            <v>823439.76428999961</v>
          </cell>
          <cell r="AR121">
            <v>823439.76428999961</v>
          </cell>
          <cell r="AS121">
            <v>823439.76428999961</v>
          </cell>
          <cell r="AW121">
            <v>23197.390819999993</v>
          </cell>
          <cell r="AX121">
            <v>18752.301199999994</v>
          </cell>
          <cell r="AY121">
            <v>57023.336690000004</v>
          </cell>
          <cell r="AZ121">
            <v>88682.31038000001</v>
          </cell>
          <cell r="BA121">
            <v>88754.799610000031</v>
          </cell>
          <cell r="BB121">
            <v>83370.844840000034</v>
          </cell>
          <cell r="BC121">
            <v>70567.196740000043</v>
          </cell>
          <cell r="BD121">
            <v>59314.866870000042</v>
          </cell>
          <cell r="BE121">
            <v>59314.866870000042</v>
          </cell>
          <cell r="BF121">
            <v>59314.866870000042</v>
          </cell>
          <cell r="BG121">
            <v>59314.866870000042</v>
          </cell>
          <cell r="BH121">
            <v>59314.866870000042</v>
          </cell>
          <cell r="BL121">
            <v>29718.26738999999</v>
          </cell>
          <cell r="BM121">
            <v>16608.47229000002</v>
          </cell>
          <cell r="BN121">
            <v>-43941.09030999997</v>
          </cell>
          <cell r="BO121">
            <v>-104899.61150999997</v>
          </cell>
          <cell r="BP121">
            <v>-90743.42260999998</v>
          </cell>
          <cell r="BQ121">
            <v>69.556089999998221</v>
          </cell>
          <cell r="BR121">
            <v>-14598.985210000008</v>
          </cell>
          <cell r="BS121">
            <v>-8921.6311600000117</v>
          </cell>
          <cell r="BT121">
            <v>-8921.6311600000117</v>
          </cell>
          <cell r="BU121">
            <v>-8921.6311600000117</v>
          </cell>
          <cell r="BV121">
            <v>-8921.6311600000117</v>
          </cell>
          <cell r="BW121">
            <v>-8921.6311600000117</v>
          </cell>
          <cell r="CP121">
            <v>10425.495101001121</v>
          </cell>
          <cell r="CQ121">
            <v>46095.791726227231</v>
          </cell>
          <cell r="CR121">
            <v>188066.35468519005</v>
          </cell>
          <cell r="CS121">
            <v>333985.25814795878</v>
          </cell>
          <cell r="CT121">
            <v>347524.36035424296</v>
          </cell>
          <cell r="CU121">
            <v>484111.11766154284</v>
          </cell>
          <cell r="CV121">
            <v>686025.23715367122</v>
          </cell>
          <cell r="CW121">
            <v>766718.82486520451</v>
          </cell>
          <cell r="DE121">
            <v>373.3046567790243</v>
          </cell>
          <cell r="DF121">
            <v>63070.120973745987</v>
          </cell>
          <cell r="DG121">
            <v>53664.889176294462</v>
          </cell>
          <cell r="DH121">
            <v>99756.459753468298</v>
          </cell>
          <cell r="DI121">
            <v>95284.95041390312</v>
          </cell>
          <cell r="DJ121">
            <v>101804.54759199216</v>
          </cell>
          <cell r="DK121">
            <v>88396.675004225632</v>
          </cell>
          <cell r="DL121">
            <v>89378.00212060113</v>
          </cell>
          <cell r="DT121">
            <v>25053.174652799389</v>
          </cell>
          <cell r="DU121">
            <v>9379.2762196997428</v>
          </cell>
          <cell r="DV121">
            <v>-39825.206665697551</v>
          </cell>
          <cell r="DW121">
            <v>-89352.358732763314</v>
          </cell>
          <cell r="DX121">
            <v>-27035.167574657098</v>
          </cell>
          <cell r="DY121">
            <v>-21147.491221949283</v>
          </cell>
          <cell r="DZ121">
            <v>9066.4789987905096</v>
          </cell>
          <cell r="EA121">
            <v>949.1387693349734</v>
          </cell>
          <cell r="EX121">
            <v>30004.994740000024</v>
          </cell>
          <cell r="EY121">
            <v>22698.800685000035</v>
          </cell>
          <cell r="EZ121">
            <v>245233.98531500017</v>
          </cell>
          <cell r="FA121">
            <v>267986.62617500016</v>
          </cell>
          <cell r="FB121">
            <v>409882.19162500004</v>
          </cell>
          <cell r="FC121">
            <v>612444.96302500006</v>
          </cell>
          <cell r="FD121">
            <v>473922.12317500007</v>
          </cell>
          <cell r="FE121">
            <v>389276.49157500005</v>
          </cell>
          <cell r="FF121">
            <v>328249.02067500004</v>
          </cell>
          <cell r="FG121">
            <v>291557.95831500005</v>
          </cell>
          <cell r="FH121">
            <v>-40232.564254999976</v>
          </cell>
          <cell r="FI121">
            <v>-92359.038679999998</v>
          </cell>
          <cell r="FM121">
            <v>8216.6777750000001</v>
          </cell>
          <cell r="FN121">
            <v>18464.888535000002</v>
          </cell>
          <cell r="FO121">
            <v>41216.72722999999</v>
          </cell>
          <cell r="FP121">
            <v>34889.169554999986</v>
          </cell>
          <cell r="FQ121">
            <v>24841.672244999987</v>
          </cell>
          <cell r="FR121">
            <v>4071.4158249999855</v>
          </cell>
          <cell r="FS121">
            <v>-11663.289065000012</v>
          </cell>
          <cell r="FT121">
            <v>-16095.913865000013</v>
          </cell>
          <cell r="FU121">
            <v>-11027.194565000013</v>
          </cell>
          <cell r="FV121">
            <v>-14121.737830000015</v>
          </cell>
          <cell r="FW121">
            <v>-64509.464165000005</v>
          </cell>
          <cell r="FX121">
            <v>-73381.531040000016</v>
          </cell>
          <cell r="GB121">
            <v>-18493.351555000019</v>
          </cell>
          <cell r="GC121">
            <v>-22012.097015000018</v>
          </cell>
          <cell r="GD121">
            <v>8328.3705899999804</v>
          </cell>
          <cell r="GE121">
            <v>5261.5794049999986</v>
          </cell>
          <cell r="GF121">
            <v>50256.306165000002</v>
          </cell>
          <cell r="GG121">
            <v>83320.457685000001</v>
          </cell>
          <cell r="GH121">
            <v>110506.489225</v>
          </cell>
          <cell r="GI121">
            <v>90985.134625000006</v>
          </cell>
          <cell r="GJ121">
            <v>60734.174325000015</v>
          </cell>
          <cell r="GK121">
            <v>21954.563150000024</v>
          </cell>
          <cell r="GL121">
            <v>-33473.480144999987</v>
          </cell>
          <cell r="GM121">
            <v>-39168.466244999996</v>
          </cell>
        </row>
        <row r="122">
          <cell r="A122" t="str">
            <v>Depreciation Expense</v>
          </cell>
          <cell r="C122">
            <v>356.01494999999994</v>
          </cell>
          <cell r="D122">
            <v>0</v>
          </cell>
          <cell r="E122">
            <v>356.01494999999994</v>
          </cell>
          <cell r="F122" t="str">
            <v>n/a</v>
          </cell>
          <cell r="G122">
            <v>442.79999999999995</v>
          </cell>
          <cell r="H122">
            <v>314.47996999999998</v>
          </cell>
          <cell r="J122">
            <v>254.10073599999998</v>
          </cell>
          <cell r="K122">
            <v>0</v>
          </cell>
          <cell r="L122">
            <v>254.10073599999998</v>
          </cell>
          <cell r="M122" t="str">
            <v>n/a</v>
          </cell>
          <cell r="N122">
            <v>359.29532721180459</v>
          </cell>
          <cell r="O122">
            <v>224.67634099999998</v>
          </cell>
          <cell r="Q122">
            <v>20.245929</v>
          </cell>
          <cell r="R122">
            <v>0</v>
          </cell>
          <cell r="S122">
            <v>20.245929</v>
          </cell>
          <cell r="T122" t="str">
            <v>n/a</v>
          </cell>
          <cell r="U122">
            <v>39.254657269279889</v>
          </cell>
          <cell r="V122">
            <v>17.338161500000002</v>
          </cell>
          <cell r="X122">
            <v>81.668284999999983</v>
          </cell>
          <cell r="Y122">
            <v>0</v>
          </cell>
          <cell r="Z122">
            <v>81.668284999999983</v>
          </cell>
          <cell r="AA122" t="str">
            <v>n/a</v>
          </cell>
          <cell r="AB122">
            <v>44.25001551891549</v>
          </cell>
          <cell r="AC122">
            <v>72.465467500000003</v>
          </cell>
          <cell r="AD122">
            <v>578.38161666666656</v>
          </cell>
          <cell r="AE122">
            <v>478.05513999999999</v>
          </cell>
          <cell r="AH122">
            <v>31480.877999999997</v>
          </cell>
          <cell r="AI122">
            <v>62961.755999999994</v>
          </cell>
          <cell r="AJ122">
            <v>94442.633999999991</v>
          </cell>
          <cell r="AK122">
            <v>125923.51199999999</v>
          </cell>
          <cell r="AL122">
            <v>157404.38999999998</v>
          </cell>
          <cell r="AM122">
            <v>188885.26799999998</v>
          </cell>
          <cell r="AN122">
            <v>220366.14599999998</v>
          </cell>
          <cell r="AO122">
            <v>254100.73599999998</v>
          </cell>
          <cell r="AP122">
            <v>254100.73599999998</v>
          </cell>
          <cell r="AQ122">
            <v>254100.73599999998</v>
          </cell>
          <cell r="AR122">
            <v>254100.73599999998</v>
          </cell>
          <cell r="AS122">
            <v>254100.73599999998</v>
          </cell>
          <cell r="AW122">
            <v>2508.5520000000001</v>
          </cell>
          <cell r="AX122">
            <v>5017.1040000000003</v>
          </cell>
          <cell r="AY122">
            <v>7525.6560000000009</v>
          </cell>
          <cell r="AZ122">
            <v>10034.208000000001</v>
          </cell>
          <cell r="BA122">
            <v>12542.76</v>
          </cell>
          <cell r="BB122">
            <v>15051.312</v>
          </cell>
          <cell r="BC122">
            <v>17559.864000000001</v>
          </cell>
          <cell r="BD122">
            <v>20245.929</v>
          </cell>
          <cell r="BE122">
            <v>20245.929</v>
          </cell>
          <cell r="BF122">
            <v>20245.929</v>
          </cell>
          <cell r="BG122">
            <v>20245.929</v>
          </cell>
          <cell r="BH122">
            <v>20245.929</v>
          </cell>
          <cell r="BL122">
            <v>10116.879999999999</v>
          </cell>
          <cell r="BM122">
            <v>20233.759999999998</v>
          </cell>
          <cell r="BN122">
            <v>30350.639999999999</v>
          </cell>
          <cell r="BO122">
            <v>40467.519999999997</v>
          </cell>
          <cell r="BP122">
            <v>50584.399999999994</v>
          </cell>
          <cell r="BQ122">
            <v>60701.279999999992</v>
          </cell>
          <cell r="BR122">
            <v>70818.159999999989</v>
          </cell>
          <cell r="BS122">
            <v>81668.284999999989</v>
          </cell>
          <cell r="BT122">
            <v>81668.284999999989</v>
          </cell>
          <cell r="BU122">
            <v>81668.284999999989</v>
          </cell>
          <cell r="BV122">
            <v>81668.284999999989</v>
          </cell>
          <cell r="BW122">
            <v>81668.284999999989</v>
          </cell>
          <cell r="CP122">
            <v>38337.436358737701</v>
          </cell>
          <cell r="CQ122">
            <v>69869.114870009987</v>
          </cell>
          <cell r="CR122">
            <v>101627.68247085347</v>
          </cell>
          <cell r="CS122">
            <v>133319.58340503031</v>
          </cell>
          <cell r="CT122">
            <v>165011.48433920712</v>
          </cell>
          <cell r="CU122">
            <v>196670.05194005062</v>
          </cell>
          <cell r="CV122">
            <v>228395.28620756077</v>
          </cell>
          <cell r="CW122">
            <v>260087.18714173761</v>
          </cell>
          <cell r="DE122">
            <v>4187.8564089924812</v>
          </cell>
          <cell r="DF122">
            <v>7370.2093365837136</v>
          </cell>
          <cell r="DG122">
            <v>9914.233111723277</v>
          </cell>
          <cell r="DH122">
            <v>12449.923553529507</v>
          </cell>
          <cell r="DI122">
            <v>14985.613995335736</v>
          </cell>
          <cell r="DJ122">
            <v>17517.137770475299</v>
          </cell>
          <cell r="DK122">
            <v>20056.994878948193</v>
          </cell>
          <cell r="DL122">
            <v>22592.685320754426</v>
          </cell>
          <cell r="DT122">
            <v>4721.9294544920394</v>
          </cell>
          <cell r="DU122">
            <v>14861.430237850745</v>
          </cell>
          <cell r="DV122">
            <v>25012.371084089908</v>
          </cell>
          <cell r="DW122">
            <v>35154.978596995745</v>
          </cell>
          <cell r="DX122">
            <v>45297.586109901575</v>
          </cell>
          <cell r="DY122">
            <v>55436.026956140733</v>
          </cell>
          <cell r="DZ122">
            <v>65582.801135713235</v>
          </cell>
          <cell r="EA122">
            <v>75725.408648619064</v>
          </cell>
          <cell r="EX122">
            <v>18678.936999999998</v>
          </cell>
          <cell r="EY122">
            <v>38533.377</v>
          </cell>
          <cell r="EZ122">
            <v>57186.262000000002</v>
          </cell>
          <cell r="FA122">
            <v>82984.421000000002</v>
          </cell>
          <cell r="FB122">
            <v>99746.350999999995</v>
          </cell>
          <cell r="FC122">
            <v>133703.951</v>
          </cell>
          <cell r="FD122">
            <v>153602.071</v>
          </cell>
          <cell r="FE122">
            <v>173500.19099999999</v>
          </cell>
          <cell r="FF122">
            <v>224676.34099999999</v>
          </cell>
          <cell r="FG122">
            <v>256456.46599999999</v>
          </cell>
          <cell r="FH122">
            <v>298820.913</v>
          </cell>
          <cell r="FI122">
            <v>341524.88300000003</v>
          </cell>
          <cell r="FM122">
            <v>1493.1655000000001</v>
          </cell>
          <cell r="FN122">
            <v>3070.2955000000002</v>
          </cell>
          <cell r="FO122">
            <v>4548.9930000000004</v>
          </cell>
          <cell r="FP122">
            <v>6520.9415000000008</v>
          </cell>
          <cell r="FQ122">
            <v>7860.0915000000005</v>
          </cell>
          <cell r="FR122">
            <v>10425.611500000001</v>
          </cell>
          <cell r="FS122">
            <v>11914.6515</v>
          </cell>
          <cell r="FT122">
            <v>13403.691500000001</v>
          </cell>
          <cell r="FU122">
            <v>17338.161500000002</v>
          </cell>
          <cell r="FV122">
            <v>19746.339000000004</v>
          </cell>
          <cell r="FW122">
            <v>22980.984500000002</v>
          </cell>
          <cell r="FX122">
            <v>26183.524500000003</v>
          </cell>
          <cell r="GB122">
            <v>6118.1075000000001</v>
          </cell>
          <cell r="GC122">
            <v>12593.637500000001</v>
          </cell>
          <cell r="GD122">
            <v>18677.565000000002</v>
          </cell>
          <cell r="GE122">
            <v>26403.147500000003</v>
          </cell>
          <cell r="GF122">
            <v>31767.567500000005</v>
          </cell>
          <cell r="GG122">
            <v>43200.947500000002</v>
          </cell>
          <cell r="GH122">
            <v>49752.797500000001</v>
          </cell>
          <cell r="GI122">
            <v>56304.647499999999</v>
          </cell>
          <cell r="GJ122">
            <v>72465.467499999999</v>
          </cell>
          <cell r="GK122">
            <v>82740.304999999993</v>
          </cell>
          <cell r="GL122">
            <v>96274.642499999987</v>
          </cell>
          <cell r="GM122">
            <v>110346.73249999998</v>
          </cell>
        </row>
        <row r="123">
          <cell r="A123" t="str">
            <v>Amortization Expense</v>
          </cell>
          <cell r="C123">
            <v>0</v>
          </cell>
          <cell r="D123">
            <v>0</v>
          </cell>
          <cell r="E123">
            <v>0</v>
          </cell>
          <cell r="F123" t="str">
            <v>n/a</v>
          </cell>
          <cell r="G123">
            <v>0</v>
          </cell>
          <cell r="H123">
            <v>0</v>
          </cell>
          <cell r="J123">
            <v>0</v>
          </cell>
          <cell r="K123">
            <v>0</v>
          </cell>
          <cell r="L123">
            <v>0</v>
          </cell>
          <cell r="M123" t="str">
            <v>n/a</v>
          </cell>
          <cell r="N123">
            <v>0</v>
          </cell>
          <cell r="O123">
            <v>0</v>
          </cell>
          <cell r="Q123">
            <v>0</v>
          </cell>
          <cell r="R123">
            <v>0</v>
          </cell>
          <cell r="S123">
            <v>0</v>
          </cell>
          <cell r="T123" t="str">
            <v>n/a</v>
          </cell>
          <cell r="U123">
            <v>0</v>
          </cell>
          <cell r="V123">
            <v>0</v>
          </cell>
          <cell r="X123">
            <v>0</v>
          </cell>
          <cell r="Y123">
            <v>0</v>
          </cell>
          <cell r="Z123">
            <v>0</v>
          </cell>
          <cell r="AA123" t="str">
            <v>n/a</v>
          </cell>
          <cell r="AB123">
            <v>0</v>
          </cell>
          <cell r="AC123">
            <v>0</v>
          </cell>
          <cell r="AD123">
            <v>0</v>
          </cell>
          <cell r="AE123">
            <v>1200</v>
          </cell>
          <cell r="AH123">
            <v>0</v>
          </cell>
          <cell r="AI123">
            <v>0</v>
          </cell>
          <cell r="AJ123">
            <v>0</v>
          </cell>
          <cell r="AK123">
            <v>0</v>
          </cell>
          <cell r="AL123">
            <v>0</v>
          </cell>
          <cell r="AM123">
            <v>0</v>
          </cell>
          <cell r="AN123">
            <v>0</v>
          </cell>
          <cell r="AO123">
            <v>0</v>
          </cell>
          <cell r="AP123">
            <v>0</v>
          </cell>
          <cell r="AQ123">
            <v>0</v>
          </cell>
          <cell r="AR123">
            <v>0</v>
          </cell>
          <cell r="AS123">
            <v>0</v>
          </cell>
          <cell r="AW123">
            <v>0</v>
          </cell>
          <cell r="AX123">
            <v>0</v>
          </cell>
          <cell r="AY123">
            <v>0</v>
          </cell>
          <cell r="AZ123">
            <v>0</v>
          </cell>
          <cell r="BA123">
            <v>0</v>
          </cell>
          <cell r="BB123">
            <v>0</v>
          </cell>
          <cell r="BC123">
            <v>0</v>
          </cell>
          <cell r="BD123">
            <v>0</v>
          </cell>
          <cell r="BE123">
            <v>0</v>
          </cell>
          <cell r="BF123">
            <v>0</v>
          </cell>
          <cell r="BG123">
            <v>0</v>
          </cell>
          <cell r="BH123">
            <v>0</v>
          </cell>
          <cell r="BL123">
            <v>0</v>
          </cell>
          <cell r="BM123">
            <v>0</v>
          </cell>
          <cell r="BN123">
            <v>0</v>
          </cell>
          <cell r="BO123">
            <v>0</v>
          </cell>
          <cell r="BP123">
            <v>0</v>
          </cell>
          <cell r="BQ123">
            <v>0</v>
          </cell>
          <cell r="BR123">
            <v>0</v>
          </cell>
          <cell r="BS123">
            <v>0</v>
          </cell>
          <cell r="BT123">
            <v>0</v>
          </cell>
          <cell r="BU123">
            <v>0</v>
          </cell>
          <cell r="BV123">
            <v>0</v>
          </cell>
          <cell r="BW123">
            <v>0</v>
          </cell>
          <cell r="CP123">
            <v>0</v>
          </cell>
          <cell r="CQ123">
            <v>0</v>
          </cell>
          <cell r="CR123">
            <v>0</v>
          </cell>
          <cell r="CS123">
            <v>0</v>
          </cell>
          <cell r="CT123">
            <v>0</v>
          </cell>
          <cell r="CU123">
            <v>0</v>
          </cell>
          <cell r="CV123">
            <v>0</v>
          </cell>
          <cell r="CW123">
            <v>0</v>
          </cell>
          <cell r="DE123">
            <v>0</v>
          </cell>
          <cell r="DF123">
            <v>0</v>
          </cell>
          <cell r="DG123">
            <v>0</v>
          </cell>
          <cell r="DH123">
            <v>0</v>
          </cell>
          <cell r="DI123">
            <v>0</v>
          </cell>
          <cell r="DJ123">
            <v>0</v>
          </cell>
          <cell r="DK123">
            <v>0</v>
          </cell>
          <cell r="DL123">
            <v>0</v>
          </cell>
          <cell r="DT123">
            <v>0</v>
          </cell>
          <cell r="DU123">
            <v>0</v>
          </cell>
          <cell r="DV123">
            <v>0</v>
          </cell>
          <cell r="DW123">
            <v>0</v>
          </cell>
          <cell r="DX123">
            <v>0</v>
          </cell>
          <cell r="DY123">
            <v>0</v>
          </cell>
          <cell r="DZ123">
            <v>0</v>
          </cell>
          <cell r="EA123">
            <v>0</v>
          </cell>
          <cell r="EX123">
            <v>0</v>
          </cell>
          <cell r="EY123">
            <v>0</v>
          </cell>
          <cell r="EZ123">
            <v>0</v>
          </cell>
          <cell r="FA123">
            <v>0</v>
          </cell>
          <cell r="FB123">
            <v>0</v>
          </cell>
          <cell r="FC123">
            <v>0</v>
          </cell>
          <cell r="FD123">
            <v>0</v>
          </cell>
          <cell r="FE123">
            <v>0</v>
          </cell>
          <cell r="FF123">
            <v>0</v>
          </cell>
          <cell r="FG123">
            <v>0</v>
          </cell>
          <cell r="FH123">
            <v>750000</v>
          </cell>
          <cell r="FI123">
            <v>900000</v>
          </cell>
          <cell r="FM123">
            <v>0</v>
          </cell>
          <cell r="FN123">
            <v>0</v>
          </cell>
          <cell r="FO123">
            <v>0</v>
          </cell>
          <cell r="FP123">
            <v>0</v>
          </cell>
          <cell r="FQ123">
            <v>0</v>
          </cell>
          <cell r="FR123">
            <v>0</v>
          </cell>
          <cell r="FS123">
            <v>0</v>
          </cell>
          <cell r="FT123">
            <v>0</v>
          </cell>
          <cell r="FU123">
            <v>0</v>
          </cell>
          <cell r="FV123">
            <v>0</v>
          </cell>
          <cell r="FW123">
            <v>100000</v>
          </cell>
          <cell r="FX123">
            <v>120000</v>
          </cell>
          <cell r="GB123">
            <v>0</v>
          </cell>
          <cell r="GC123">
            <v>0</v>
          </cell>
          <cell r="GD123">
            <v>0</v>
          </cell>
          <cell r="GE123">
            <v>0</v>
          </cell>
          <cell r="GF123">
            <v>0</v>
          </cell>
          <cell r="GG123">
            <v>0</v>
          </cell>
          <cell r="GH123">
            <v>0</v>
          </cell>
          <cell r="GI123">
            <v>0</v>
          </cell>
          <cell r="GJ123">
            <v>0</v>
          </cell>
          <cell r="GK123">
            <v>0</v>
          </cell>
          <cell r="GL123">
            <v>150000</v>
          </cell>
          <cell r="GM123">
            <v>180000</v>
          </cell>
        </row>
        <row r="124">
          <cell r="A124" t="str">
            <v>EBITDA Items</v>
          </cell>
          <cell r="C124">
            <v>1202.5649699999997</v>
          </cell>
          <cell r="D124">
            <v>0</v>
          </cell>
          <cell r="E124">
            <v>1202.5649699999997</v>
          </cell>
          <cell r="F124" t="str">
            <v>n/a</v>
          </cell>
          <cell r="G124">
            <v>931.17386932920328</v>
          </cell>
          <cell r="H124">
            <v>855.55625043500004</v>
          </cell>
          <cell r="J124">
            <v>1057.5768902899995</v>
          </cell>
          <cell r="K124">
            <v>0</v>
          </cell>
          <cell r="L124">
            <v>1057.5768902899995</v>
          </cell>
          <cell r="M124" t="str">
            <v>n/a</v>
          </cell>
          <cell r="N124">
            <v>828.78859044047147</v>
          </cell>
          <cell r="O124">
            <v>684.08206167499998</v>
          </cell>
          <cell r="Q124">
            <v>75.963495870000045</v>
          </cell>
          <cell r="R124">
            <v>0</v>
          </cell>
          <cell r="S124">
            <v>75.963495870000045</v>
          </cell>
          <cell r="T124" t="str">
            <v>n/a</v>
          </cell>
          <cell r="U124">
            <v>50.664214888919886</v>
          </cell>
          <cell r="V124">
            <v>15.788316934999987</v>
          </cell>
          <cell r="X124">
            <v>69.024583839999977</v>
          </cell>
          <cell r="Y124">
            <v>0</v>
          </cell>
          <cell r="Z124">
            <v>69.024583839999977</v>
          </cell>
          <cell r="AA124" t="str">
            <v>n/a</v>
          </cell>
          <cell r="AB124">
            <v>51.721063999811953</v>
          </cell>
          <cell r="AC124">
            <v>155.68587182499999</v>
          </cell>
          <cell r="AD124">
            <v>1141.5321386422529</v>
          </cell>
          <cell r="AE124">
            <v>1722.7856540349999</v>
          </cell>
          <cell r="AH124">
            <v>19005.486489999967</v>
          </cell>
          <cell r="AI124">
            <v>52455.527509999956</v>
          </cell>
          <cell r="AJ124">
            <v>302239.80621999985</v>
          </cell>
          <cell r="AK124">
            <v>444993.87932999991</v>
          </cell>
          <cell r="AL124">
            <v>584783.57399999979</v>
          </cell>
          <cell r="AM124">
            <v>887551.89606999955</v>
          </cell>
          <cell r="AN124">
            <v>978902.85366999952</v>
          </cell>
          <cell r="AO124">
            <v>1057576.8902899995</v>
          </cell>
          <cell r="AP124">
            <v>1057576.8902899995</v>
          </cell>
          <cell r="AQ124">
            <v>1057576.8902899995</v>
          </cell>
          <cell r="AR124">
            <v>1057576.8902899995</v>
          </cell>
          <cell r="AS124">
            <v>1057576.8902899995</v>
          </cell>
          <cell r="AW124">
            <v>25710.812819999992</v>
          </cell>
          <cell r="AX124">
            <v>20725.725199999993</v>
          </cell>
          <cell r="AY124">
            <v>61296.852690000007</v>
          </cell>
          <cell r="AZ124">
            <v>95212.328380000006</v>
          </cell>
          <cell r="BA124">
            <v>97726.849610000019</v>
          </cell>
          <cell r="BB124">
            <v>94827.076840000038</v>
          </cell>
          <cell r="BC124">
            <v>84530.820740000039</v>
          </cell>
          <cell r="BD124">
            <v>75963.495870000042</v>
          </cell>
          <cell r="BE124">
            <v>75963.495870000042</v>
          </cell>
          <cell r="BF124">
            <v>75963.495870000042</v>
          </cell>
          <cell r="BG124">
            <v>75963.495870000042</v>
          </cell>
          <cell r="BH124">
            <v>75963.495870000042</v>
          </cell>
          <cell r="BL124">
            <v>39839.74738999999</v>
          </cell>
          <cell r="BM124">
            <v>33752.872290000014</v>
          </cell>
          <cell r="BN124">
            <v>-16918.05030999997</v>
          </cell>
          <cell r="BO124">
            <v>-68047.751509999973</v>
          </cell>
          <cell r="BP124">
            <v>-43850.702609999978</v>
          </cell>
          <cell r="BQ124">
            <v>57051.306089999991</v>
          </cell>
          <cell r="BR124">
            <v>52498.324789999984</v>
          </cell>
          <cell r="BS124">
            <v>69024.583839999977</v>
          </cell>
          <cell r="BT124">
            <v>69024.583839999977</v>
          </cell>
          <cell r="BU124">
            <v>69024.583839999977</v>
          </cell>
          <cell r="BV124">
            <v>69024.583839999977</v>
          </cell>
          <cell r="BW124">
            <v>69024.583839999977</v>
          </cell>
          <cell r="CP124">
            <v>48762.931459738822</v>
          </cell>
          <cell r="CQ124">
            <v>116009.56659623721</v>
          </cell>
          <cell r="CR124">
            <v>268562.77715604351</v>
          </cell>
          <cell r="CS124">
            <v>446609.20155298908</v>
          </cell>
          <cell r="CT124">
            <v>492380.32469345006</v>
          </cell>
          <cell r="CU124">
            <v>660768.18960159342</v>
          </cell>
          <cell r="CV124">
            <v>894459.76336123201</v>
          </cell>
          <cell r="CW124">
            <v>1006847.7220069421</v>
          </cell>
          <cell r="DE124">
            <v>4561.1610657715055</v>
          </cell>
          <cell r="DF124">
            <v>70445.200310329703</v>
          </cell>
          <cell r="DG124">
            <v>60535.442288017737</v>
          </cell>
          <cell r="DH124">
            <v>108954.2433069978</v>
          </cell>
          <cell r="DI124">
            <v>106766.37440923885</v>
          </cell>
          <cell r="DJ124">
            <v>115750.97536246745</v>
          </cell>
          <cell r="DK124">
            <v>104858.58988317382</v>
          </cell>
          <cell r="DL124">
            <v>108374.44744135556</v>
          </cell>
          <cell r="DT124">
            <v>29775.10410729143</v>
          </cell>
          <cell r="DU124">
            <v>24245.30645755049</v>
          </cell>
          <cell r="DV124">
            <v>-17902.195581607644</v>
          </cell>
          <cell r="DW124">
            <v>-57524.980135767575</v>
          </cell>
          <cell r="DX124">
            <v>14646.758535244477</v>
          </cell>
          <cell r="DY124">
            <v>30596.855734191449</v>
          </cell>
          <cell r="DZ124">
            <v>70929.750134503745</v>
          </cell>
          <cell r="EA124">
            <v>72953.697417954041</v>
          </cell>
          <cell r="EX124">
            <v>59066.941740000024</v>
          </cell>
          <cell r="EY124">
            <v>81018.287685000047</v>
          </cell>
          <cell r="EZ124">
            <v>337338.05731500016</v>
          </cell>
          <cell r="FA124">
            <v>394918.41717500018</v>
          </cell>
          <cell r="FB124">
            <v>563988.64262499998</v>
          </cell>
          <cell r="FC124">
            <v>807757.4540250001</v>
          </cell>
          <cell r="FD124">
            <v>717526.24417500012</v>
          </cell>
          <cell r="FE124">
            <v>674576.71257500001</v>
          </cell>
          <cell r="FF124">
            <v>684082.061675</v>
          </cell>
          <cell r="FG124">
            <v>707143.46431499999</v>
          </cell>
          <cell r="FH124">
            <v>1188951.268745</v>
          </cell>
          <cell r="FI124">
            <v>1352974.17432</v>
          </cell>
          <cell r="FM124">
            <v>10914.703275</v>
          </cell>
          <cell r="FN124">
            <v>24860.004035000002</v>
          </cell>
          <cell r="FO124">
            <v>50442.860229999991</v>
          </cell>
          <cell r="FP124">
            <v>46726.541054999987</v>
          </cell>
          <cell r="FQ124">
            <v>38287.323744999987</v>
          </cell>
          <cell r="FR124">
            <v>20171.277324999988</v>
          </cell>
          <cell r="FS124">
            <v>7522.9624349999867</v>
          </cell>
          <cell r="FT124">
            <v>5780.5476349999863</v>
          </cell>
          <cell r="FU124">
            <v>15788.316934999988</v>
          </cell>
          <cell r="FV124">
            <v>16481.431169999989</v>
          </cell>
          <cell r="FW124">
            <v>70768.820334999997</v>
          </cell>
          <cell r="FX124">
            <v>86640.843459999989</v>
          </cell>
          <cell r="GB124">
            <v>-10638.184055000018</v>
          </cell>
          <cell r="GC124">
            <v>-5370.2795150000165</v>
          </cell>
          <cell r="GD124">
            <v>34600.175589999984</v>
          </cell>
          <cell r="GE124">
            <v>41938.896905000001</v>
          </cell>
          <cell r="GF124">
            <v>95214.613665000012</v>
          </cell>
          <cell r="GG124">
            <v>141672.985185</v>
          </cell>
          <cell r="GH124">
            <v>178387.486725</v>
          </cell>
          <cell r="GI124">
            <v>167907.852125</v>
          </cell>
          <cell r="GJ124">
            <v>155685.87182500001</v>
          </cell>
          <cell r="GK124">
            <v>129976.80815000001</v>
          </cell>
          <cell r="GL124">
            <v>241271.342355</v>
          </cell>
          <cell r="GM124">
            <v>283170.63625500002</v>
          </cell>
        </row>
        <row r="126">
          <cell r="A126" t="str">
            <v>Net Income After Tax</v>
          </cell>
          <cell r="C126">
            <v>1257.4669999999981</v>
          </cell>
          <cell r="D126">
            <v>0</v>
          </cell>
          <cell r="E126">
            <v>1257.4669999999981</v>
          </cell>
          <cell r="F126" t="str">
            <v>n/a</v>
          </cell>
          <cell r="G126">
            <v>702.78190952251146</v>
          </cell>
          <cell r="H126">
            <v>543.8879195649979</v>
          </cell>
          <cell r="J126">
            <v>1184.9499047100003</v>
          </cell>
          <cell r="K126">
            <v>0</v>
          </cell>
          <cell r="L126">
            <v>1184.9499047100003</v>
          </cell>
          <cell r="M126" t="str">
            <v>n/a</v>
          </cell>
          <cell r="N126">
            <v>438.04492744377706</v>
          </cell>
          <cell r="O126">
            <v>472.35835832500106</v>
          </cell>
          <cell r="Q126">
            <v>85.355540130000108</v>
          </cell>
          <cell r="R126">
            <v>0</v>
          </cell>
          <cell r="S126">
            <v>85.355540130000108</v>
          </cell>
          <cell r="T126" t="str">
            <v>n/a</v>
          </cell>
          <cell r="U126">
            <v>253.9859610940286</v>
          </cell>
          <cell r="V126">
            <v>-15.868382935000097</v>
          </cell>
          <cell r="X126">
            <v>-12.838444840000079</v>
          </cell>
          <cell r="Y126">
            <v>0</v>
          </cell>
          <cell r="Z126">
            <v>-12.838444840000079</v>
          </cell>
          <cell r="AA126" t="str">
            <v>n/a</v>
          </cell>
          <cell r="AB126">
            <v>10.7510209847051</v>
          </cell>
          <cell r="AC126">
            <v>87.397944174999964</v>
          </cell>
          <cell r="AD126">
            <v>849.64821015998814</v>
          </cell>
          <cell r="AE126">
            <v>-294.87107403499886</v>
          </cell>
          <cell r="AH126">
            <v>-18016.659489999831</v>
          </cell>
          <cell r="AI126">
            <v>15289.679490000213</v>
          </cell>
          <cell r="AJ126">
            <v>328806.72977999988</v>
          </cell>
          <cell r="AK126">
            <v>488154.32566999912</v>
          </cell>
          <cell r="AL126">
            <v>643808.2360000005</v>
          </cell>
          <cell r="AM126">
            <v>1034122.3389300008</v>
          </cell>
          <cell r="AN126">
            <v>1120273.2893300005</v>
          </cell>
          <cell r="AO126">
            <v>1184949.9047099981</v>
          </cell>
          <cell r="AP126">
            <v>1184949.9047099981</v>
          </cell>
          <cell r="AQ126">
            <v>1184949.9047099981</v>
          </cell>
          <cell r="AR126">
            <v>1184949.9047099981</v>
          </cell>
          <cell r="AS126">
            <v>1184949.9047099981</v>
          </cell>
          <cell r="AW126">
            <v>33381.611180000007</v>
          </cell>
          <cell r="AX126">
            <v>26985.018799999998</v>
          </cell>
          <cell r="AY126">
            <v>82057.97231000007</v>
          </cell>
          <cell r="AZ126">
            <v>127616.00761999997</v>
          </cell>
          <cell r="BA126">
            <v>127720.32139000007</v>
          </cell>
          <cell r="BB126">
            <v>119972.67915999975</v>
          </cell>
          <cell r="BC126">
            <v>101547.91726000003</v>
          </cell>
          <cell r="BD126">
            <v>85355.540129999979</v>
          </cell>
          <cell r="BE126">
            <v>85355.540129999979</v>
          </cell>
          <cell r="BF126">
            <v>85355.540129999979</v>
          </cell>
          <cell r="BG126">
            <v>85355.540129999979</v>
          </cell>
          <cell r="BH126">
            <v>85355.540129999979</v>
          </cell>
          <cell r="BL126">
            <v>42765.311609999975</v>
          </cell>
          <cell r="BM126">
            <v>23899.996710000007</v>
          </cell>
          <cell r="BN126">
            <v>-63232.300690000025</v>
          </cell>
          <cell r="BO126">
            <v>-150953.09949000002</v>
          </cell>
          <cell r="BP126">
            <v>-130581.99838999994</v>
          </cell>
          <cell r="BQ126">
            <v>100.0929100000285</v>
          </cell>
          <cell r="BR126">
            <v>-21008.295790000037</v>
          </cell>
          <cell r="BS126">
            <v>-12838.444840000098</v>
          </cell>
          <cell r="BT126">
            <v>-12838.444840000098</v>
          </cell>
          <cell r="BU126">
            <v>-12838.444840000098</v>
          </cell>
          <cell r="BV126">
            <v>-12838.444840000098</v>
          </cell>
          <cell r="BW126">
            <v>-12838.444840000098</v>
          </cell>
          <cell r="CP126">
            <v>15002.541730708814</v>
          </cell>
          <cell r="CQ126">
            <v>66332.968581644149</v>
          </cell>
          <cell r="CR126">
            <v>270632.07137624937</v>
          </cell>
          <cell r="CS126">
            <v>480612.93245681876</v>
          </cell>
          <cell r="CT126">
            <v>500096.03075366601</v>
          </cell>
          <cell r="CU126">
            <v>663281.79590319516</v>
          </cell>
          <cell r="CV126">
            <v>987207.0485869908</v>
          </cell>
          <cell r="CW126">
            <v>1103327.089440173</v>
          </cell>
          <cell r="DE126">
            <v>537.19450609663818</v>
          </cell>
          <cell r="DF126">
            <v>90759.442376854015</v>
          </cell>
          <cell r="DG126">
            <v>77225.084424423665</v>
          </cell>
          <cell r="DH126">
            <v>143551.97866962512</v>
          </cell>
          <cell r="DI126">
            <v>137117.36766878713</v>
          </cell>
          <cell r="DJ126">
            <v>146499.22702262265</v>
          </cell>
          <cell r="DK126">
            <v>127204.97134754405</v>
          </cell>
          <cell r="DL126">
            <v>128617.1250028162</v>
          </cell>
          <cell r="DT126">
            <v>36052.129378418635</v>
          </cell>
          <cell r="DU126">
            <v>13497.00724298261</v>
          </cell>
          <cell r="DV126">
            <v>-57309.44373844294</v>
          </cell>
          <cell r="DW126">
            <v>-128580.22354226926</v>
          </cell>
          <cell r="DX126">
            <v>-38904.265534262631</v>
          </cell>
          <cell r="DY126">
            <v>-30431.755660853742</v>
          </cell>
          <cell r="DZ126">
            <v>13046.884412893603</v>
          </cell>
          <cell r="EA126">
            <v>1365.8338387990952</v>
          </cell>
          <cell r="EX126">
            <v>78573.663260000045</v>
          </cell>
          <cell r="EY126">
            <v>107735.10731499988</v>
          </cell>
          <cell r="EZ126">
            <v>508475.46268499951</v>
          </cell>
          <cell r="FA126">
            <v>612767.58782500029</v>
          </cell>
          <cell r="FB126">
            <v>854176.17737499962</v>
          </cell>
          <cell r="FC126">
            <v>1150429.8159750004</v>
          </cell>
          <cell r="FD126">
            <v>966319.67582500027</v>
          </cell>
          <cell r="FE126">
            <v>867984.7374250018</v>
          </cell>
          <cell r="FF126">
            <v>800870.91832500068</v>
          </cell>
          <cell r="FG126">
            <v>801791.43468500045</v>
          </cell>
          <cell r="FH126">
            <v>347596.99525500229</v>
          </cell>
          <cell r="FI126">
            <v>309821.31968000252</v>
          </cell>
          <cell r="FM126">
            <v>17956.539725000006</v>
          </cell>
          <cell r="FN126">
            <v>41697.704964999997</v>
          </cell>
          <cell r="FO126">
            <v>79519.46577000001</v>
          </cell>
          <cell r="FP126">
            <v>79608.035945000011</v>
          </cell>
          <cell r="FQ126">
            <v>72223.412255000003</v>
          </cell>
          <cell r="FR126">
            <v>45735.336675000013</v>
          </cell>
          <cell r="FS126">
            <v>24360.981564999995</v>
          </cell>
          <cell r="FT126">
            <v>24926.25636500003</v>
          </cell>
          <cell r="FU126">
            <v>45043.627065000044</v>
          </cell>
          <cell r="FV126">
            <v>68418.173829999985</v>
          </cell>
          <cell r="FW126">
            <v>19030.739665000059</v>
          </cell>
          <cell r="FX126">
            <v>24797.774540000028</v>
          </cell>
          <cell r="GB126">
            <v>-18947.393944999967</v>
          </cell>
          <cell r="GC126">
            <v>-10233.394484999946</v>
          </cell>
          <cell r="GD126">
            <v>111146.13841000009</v>
          </cell>
          <cell r="GE126">
            <v>136016.20109500005</v>
          </cell>
          <cell r="GF126">
            <v>243444.19033500011</v>
          </cell>
          <cell r="GG126">
            <v>366142.00081500004</v>
          </cell>
          <cell r="GH126">
            <v>455434.62927499996</v>
          </cell>
          <cell r="GI126">
            <v>494204.00387500017</v>
          </cell>
          <cell r="GJ126">
            <v>480669.73417499999</v>
          </cell>
          <cell r="GK126">
            <v>525290.60785000003</v>
          </cell>
          <cell r="GL126">
            <v>474218.46364499989</v>
          </cell>
          <cell r="GM126">
            <v>499899.47174499952</v>
          </cell>
        </row>
        <row r="128">
          <cell r="A128" t="str">
            <v>Current Month FTE Staffing</v>
          </cell>
          <cell r="C128">
            <v>63.270019273207183</v>
          </cell>
          <cell r="J128">
            <v>43.13221875</v>
          </cell>
          <cell r="Q128">
            <v>4.6236369930190966</v>
          </cell>
          <cell r="X128">
            <v>5.8856562500000003</v>
          </cell>
          <cell r="AH128">
            <v>94.616536142762371</v>
          </cell>
          <cell r="AI128">
            <v>98.222077583222742</v>
          </cell>
          <cell r="AJ128">
            <v>103.74253269053251</v>
          </cell>
          <cell r="AK128">
            <v>114.22919563996423</v>
          </cell>
          <cell r="AL128">
            <v>116.41780523401893</v>
          </cell>
          <cell r="AM128">
            <v>105.10592475876939</v>
          </cell>
          <cell r="AN128">
            <v>94.235230902757735</v>
          </cell>
          <cell r="AO128">
            <v>88.146290610035763</v>
          </cell>
          <cell r="AP128">
            <v>43.13221875</v>
          </cell>
          <cell r="AQ128">
            <v>0</v>
          </cell>
          <cell r="AR128">
            <v>0</v>
          </cell>
          <cell r="AS128">
            <v>0</v>
          </cell>
          <cell r="AW128">
            <v>10.5</v>
          </cell>
          <cell r="AX128">
            <v>12.157978617377259</v>
          </cell>
          <cell r="AY128">
            <v>14.550086947585532</v>
          </cell>
          <cell r="AZ128">
            <v>15.816762491345989</v>
          </cell>
          <cell r="BA128">
            <v>14.678705998673051</v>
          </cell>
          <cell r="BB128">
            <v>12.140251572145619</v>
          </cell>
          <cell r="BC128">
            <v>10.546673974499509</v>
          </cell>
          <cell r="BD128">
            <v>9.7841112329083249</v>
          </cell>
          <cell r="BE128">
            <v>4.6236369930190966</v>
          </cell>
          <cell r="BF128">
            <v>0</v>
          </cell>
          <cell r="BG128">
            <v>0</v>
          </cell>
          <cell r="BH128">
            <v>0</v>
          </cell>
          <cell r="BL128">
            <v>13.4883875</v>
          </cell>
          <cell r="BM128">
            <v>13.816881602290428</v>
          </cell>
          <cell r="BN128">
            <v>14.903487469710957</v>
          </cell>
          <cell r="BO128">
            <v>16.342085968239772</v>
          </cell>
          <cell r="BP128">
            <v>16.736971765923382</v>
          </cell>
          <cell r="BQ128">
            <v>16.046828019529222</v>
          </cell>
          <cell r="BR128">
            <v>14.569970339453644</v>
          </cell>
          <cell r="BS128">
            <v>12.702852735028559</v>
          </cell>
          <cell r="BT128">
            <v>5.8856562500000003</v>
          </cell>
          <cell r="BU128">
            <v>0</v>
          </cell>
          <cell r="BV128">
            <v>0</v>
          </cell>
          <cell r="BW128">
            <v>0</v>
          </cell>
          <cell r="CP128">
            <v>0</v>
          </cell>
          <cell r="DE128">
            <v>0</v>
          </cell>
          <cell r="DT128">
            <v>0</v>
          </cell>
          <cell r="EX128">
            <v>0</v>
          </cell>
          <cell r="EY128">
            <v>0</v>
          </cell>
          <cell r="EZ128">
            <v>0</v>
          </cell>
          <cell r="FA128">
            <v>0</v>
          </cell>
          <cell r="FB128">
            <v>0</v>
          </cell>
          <cell r="FC128">
            <v>0</v>
          </cell>
          <cell r="FD128">
            <v>0</v>
          </cell>
          <cell r="FE128">
            <v>0</v>
          </cell>
          <cell r="FF128">
            <v>0</v>
          </cell>
          <cell r="FG128">
            <v>0</v>
          </cell>
          <cell r="FH128">
            <v>0</v>
          </cell>
          <cell r="FI128">
            <v>0</v>
          </cell>
          <cell r="FM128">
            <v>0</v>
          </cell>
          <cell r="FN128">
            <v>0</v>
          </cell>
          <cell r="FO128">
            <v>0</v>
          </cell>
          <cell r="FP128">
            <v>0</v>
          </cell>
          <cell r="FQ128">
            <v>0</v>
          </cell>
          <cell r="FR128">
            <v>0</v>
          </cell>
          <cell r="FS128">
            <v>0</v>
          </cell>
          <cell r="FT128">
            <v>0</v>
          </cell>
          <cell r="FU128">
            <v>0</v>
          </cell>
          <cell r="FV128">
            <v>0</v>
          </cell>
          <cell r="FW128">
            <v>0</v>
          </cell>
          <cell r="FX128">
            <v>0</v>
          </cell>
          <cell r="GB128">
            <v>0</v>
          </cell>
          <cell r="GC128">
            <v>0</v>
          </cell>
          <cell r="GD128">
            <v>0</v>
          </cell>
          <cell r="GE128">
            <v>0</v>
          </cell>
          <cell r="GF128">
            <v>0</v>
          </cell>
          <cell r="GG128">
            <v>0</v>
          </cell>
          <cell r="GH128">
            <v>0</v>
          </cell>
          <cell r="GI128">
            <v>0</v>
          </cell>
          <cell r="GJ128">
            <v>0</v>
          </cell>
          <cell r="GK128">
            <v>0</v>
          </cell>
          <cell r="GL128">
            <v>0</v>
          </cell>
          <cell r="GM128">
            <v>0</v>
          </cell>
        </row>
        <row r="129">
          <cell r="A129" t="str">
            <v>YTD Average Staffing</v>
          </cell>
          <cell r="C129">
            <v>138.60206876113003</v>
          </cell>
          <cell r="J129">
            <v>95.316423590229292</v>
          </cell>
          <cell r="Q129">
            <v>11.644245314172709</v>
          </cell>
          <cell r="X129">
            <v>13.832569072241773</v>
          </cell>
          <cell r="AH129">
            <v>94.616536142762371</v>
          </cell>
          <cell r="AI129">
            <v>96.419306862992556</v>
          </cell>
          <cell r="AJ129">
            <v>98.860382138839213</v>
          </cell>
          <cell r="AK129">
            <v>102.70258551412047</v>
          </cell>
          <cell r="AL129">
            <v>105.44562945810017</v>
          </cell>
          <cell r="AM129">
            <v>105.38901200821169</v>
          </cell>
          <cell r="AN129">
            <v>103.79561470743256</v>
          </cell>
          <cell r="AO129">
            <v>101.83944919525796</v>
          </cell>
          <cell r="AP129">
            <v>95.316423590229292</v>
          </cell>
          <cell r="AQ129">
            <v>85.784781231206367</v>
          </cell>
          <cell r="AR129">
            <v>77.98616475564215</v>
          </cell>
          <cell r="AS129">
            <v>71.487317692671965</v>
          </cell>
          <cell r="AW129">
            <v>10.5</v>
          </cell>
          <cell r="AX129">
            <v>11.32898930868863</v>
          </cell>
          <cell r="AY129">
            <v>12.402688521654264</v>
          </cell>
          <cell r="AZ129">
            <v>13.256207014077196</v>
          </cell>
          <cell r="BA129">
            <v>13.540706810996365</v>
          </cell>
          <cell r="BB129">
            <v>13.30729760452124</v>
          </cell>
          <cell r="BC129">
            <v>12.912922800232423</v>
          </cell>
          <cell r="BD129">
            <v>12.521821354316911</v>
          </cell>
          <cell r="BE129">
            <v>11.644245314172709</v>
          </cell>
          <cell r="BF129">
            <v>10.479820782755437</v>
          </cell>
          <cell r="BG129">
            <v>9.5271098025049437</v>
          </cell>
          <cell r="BH129">
            <v>8.7331839856295321</v>
          </cell>
          <cell r="BL129">
            <v>13.4883875</v>
          </cell>
          <cell r="BM129">
            <v>13.652634551145214</v>
          </cell>
          <cell r="BN129">
            <v>14.069585524000461</v>
          </cell>
          <cell r="BO129">
            <v>14.637710635060289</v>
          </cell>
          <cell r="BP129">
            <v>15.057562861232906</v>
          </cell>
          <cell r="BQ129">
            <v>15.222440387615626</v>
          </cell>
          <cell r="BR129">
            <v>15.129230380735342</v>
          </cell>
          <cell r="BS129">
            <v>14.825933175021994</v>
          </cell>
          <cell r="BT129">
            <v>13.832569072241773</v>
          </cell>
          <cell r="BU129">
            <v>12.449312165017595</v>
          </cell>
          <cell r="BV129">
            <v>11.317556513652359</v>
          </cell>
          <cell r="BW129">
            <v>10.374426804181329</v>
          </cell>
          <cell r="CP129">
            <v>0</v>
          </cell>
          <cell r="CQ129" t="e">
            <v>#DIV/0!</v>
          </cell>
          <cell r="CR129" t="e">
            <v>#DIV/0!</v>
          </cell>
          <cell r="CS129" t="e">
            <v>#DIV/0!</v>
          </cell>
          <cell r="CT129" t="e">
            <v>#DIV/0!</v>
          </cell>
          <cell r="CU129" t="e">
            <v>#DIV/0!</v>
          </cell>
          <cell r="CV129" t="e">
            <v>#DIV/0!</v>
          </cell>
          <cell r="CW129" t="e">
            <v>#DIV/0!</v>
          </cell>
          <cell r="DE129">
            <v>0</v>
          </cell>
          <cell r="DF129" t="e">
            <v>#DIV/0!</v>
          </cell>
          <cell r="DG129" t="e">
            <v>#DIV/0!</v>
          </cell>
          <cell r="DH129" t="e">
            <v>#DIV/0!</v>
          </cell>
          <cell r="DI129" t="e">
            <v>#DIV/0!</v>
          </cell>
          <cell r="DJ129" t="e">
            <v>#DIV/0!</v>
          </cell>
          <cell r="DK129" t="e">
            <v>#DIV/0!</v>
          </cell>
          <cell r="DL129" t="e">
            <v>#DIV/0!</v>
          </cell>
          <cell r="DT129">
            <v>0</v>
          </cell>
          <cell r="DU129" t="e">
            <v>#DIV/0!</v>
          </cell>
          <cell r="DV129" t="e">
            <v>#DIV/0!</v>
          </cell>
          <cell r="DW129" t="e">
            <v>#DIV/0!</v>
          </cell>
          <cell r="DX129" t="e">
            <v>#DIV/0!</v>
          </cell>
          <cell r="DY129" t="e">
            <v>#DIV/0!</v>
          </cell>
          <cell r="DZ129" t="e">
            <v>#DIV/0!</v>
          </cell>
          <cell r="EA129" t="e">
            <v>#DIV/0!</v>
          </cell>
          <cell r="EX129">
            <v>0</v>
          </cell>
          <cell r="EY129">
            <v>0</v>
          </cell>
          <cell r="EZ129">
            <v>0</v>
          </cell>
          <cell r="FA129">
            <v>0</v>
          </cell>
          <cell r="FB129">
            <v>0</v>
          </cell>
          <cell r="FC129">
            <v>0</v>
          </cell>
          <cell r="FD129">
            <v>0</v>
          </cell>
          <cell r="FE129">
            <v>0</v>
          </cell>
          <cell r="FF129">
            <v>0</v>
          </cell>
          <cell r="FG129">
            <v>0</v>
          </cell>
          <cell r="FH129">
            <v>0</v>
          </cell>
          <cell r="FI129">
            <v>0</v>
          </cell>
          <cell r="FM129">
            <v>0</v>
          </cell>
          <cell r="FN129">
            <v>0</v>
          </cell>
          <cell r="FO129">
            <v>0</v>
          </cell>
          <cell r="FP129">
            <v>0</v>
          </cell>
          <cell r="FQ129">
            <v>0</v>
          </cell>
          <cell r="FR129">
            <v>0</v>
          </cell>
          <cell r="FS129">
            <v>0</v>
          </cell>
          <cell r="FT129">
            <v>0</v>
          </cell>
          <cell r="FU129">
            <v>0</v>
          </cell>
          <cell r="FV129">
            <v>0</v>
          </cell>
          <cell r="FW129">
            <v>0</v>
          </cell>
          <cell r="FX129">
            <v>0</v>
          </cell>
          <cell r="GB129">
            <v>0</v>
          </cell>
          <cell r="GC129">
            <v>0</v>
          </cell>
          <cell r="GD129">
            <v>0</v>
          </cell>
          <cell r="GE129">
            <v>0</v>
          </cell>
          <cell r="GF129">
            <v>0</v>
          </cell>
          <cell r="GG129">
            <v>0</v>
          </cell>
          <cell r="GH129">
            <v>0</v>
          </cell>
          <cell r="GI129">
            <v>0</v>
          </cell>
          <cell r="GJ129">
            <v>0</v>
          </cell>
          <cell r="GK129">
            <v>0</v>
          </cell>
          <cell r="GL129">
            <v>0</v>
          </cell>
          <cell r="GM129">
            <v>0</v>
          </cell>
        </row>
        <row r="131">
          <cell r="A131" t="str">
            <v>Note:  Corporate staffing is not allocated to divisions but is included in GTS Total column.</v>
          </cell>
        </row>
        <row r="134">
          <cell r="AH134">
            <v>1</v>
          </cell>
          <cell r="AI134">
            <v>2</v>
          </cell>
          <cell r="AJ134">
            <v>3</v>
          </cell>
          <cell r="AK134">
            <v>4</v>
          </cell>
          <cell r="AL134">
            <v>5</v>
          </cell>
          <cell r="AM134">
            <v>6</v>
          </cell>
          <cell r="AN134">
            <v>7</v>
          </cell>
          <cell r="AO134">
            <v>8</v>
          </cell>
          <cell r="AP134">
            <v>9</v>
          </cell>
          <cell r="AQ134">
            <v>10</v>
          </cell>
          <cell r="AR134">
            <v>11</v>
          </cell>
          <cell r="AS134">
            <v>12</v>
          </cell>
          <cell r="AW134">
            <v>1</v>
          </cell>
          <cell r="AX134">
            <v>2</v>
          </cell>
          <cell r="AY134">
            <v>3</v>
          </cell>
          <cell r="AZ134">
            <v>4</v>
          </cell>
          <cell r="BA134">
            <v>5</v>
          </cell>
          <cell r="BB134">
            <v>6</v>
          </cell>
          <cell r="BC134">
            <v>7</v>
          </cell>
          <cell r="BD134">
            <v>8</v>
          </cell>
          <cell r="BE134">
            <v>9</v>
          </cell>
          <cell r="BF134">
            <v>10</v>
          </cell>
          <cell r="BG134">
            <v>11</v>
          </cell>
          <cell r="BH134">
            <v>12</v>
          </cell>
          <cell r="BL134">
            <v>1</v>
          </cell>
          <cell r="BM134">
            <v>2</v>
          </cell>
          <cell r="BN134">
            <v>3</v>
          </cell>
          <cell r="BO134">
            <v>4</v>
          </cell>
          <cell r="BP134">
            <v>5</v>
          </cell>
          <cell r="BQ134">
            <v>6</v>
          </cell>
          <cell r="BR134">
            <v>7</v>
          </cell>
          <cell r="BS134">
            <v>8</v>
          </cell>
          <cell r="BT134">
            <v>9</v>
          </cell>
          <cell r="BU134">
            <v>10</v>
          </cell>
          <cell r="BV134">
            <v>11</v>
          </cell>
          <cell r="BW134">
            <v>12</v>
          </cell>
        </row>
        <row r="135">
          <cell r="AH135">
            <v>209359.80961718416</v>
          </cell>
          <cell r="AI135">
            <v>231859.80961718416</v>
          </cell>
          <cell r="AJ135">
            <v>258609.80961718416</v>
          </cell>
          <cell r="AK135">
            <v>349609.80961718416</v>
          </cell>
          <cell r="AL135">
            <v>446609.80961718416</v>
          </cell>
          <cell r="AM135">
            <v>413859.80961718416</v>
          </cell>
          <cell r="AN135">
            <v>358109.80961718416</v>
          </cell>
          <cell r="AO135">
            <v>298109.80961718416</v>
          </cell>
          <cell r="AP135">
            <v>248109.80961718419</v>
          </cell>
          <cell r="AQ135">
            <v>215109.80961718419</v>
          </cell>
          <cell r="AR135">
            <v>165109.80961718419</v>
          </cell>
          <cell r="AS135">
            <v>141109.80961718419</v>
          </cell>
          <cell r="AW135">
            <v>25500</v>
          </cell>
          <cell r="AX135">
            <v>27500</v>
          </cell>
          <cell r="AY135">
            <v>21000</v>
          </cell>
          <cell r="AZ135">
            <v>33750</v>
          </cell>
          <cell r="BA135">
            <v>18750</v>
          </cell>
          <cell r="BB135">
            <v>18750</v>
          </cell>
          <cell r="BC135">
            <v>23000</v>
          </cell>
          <cell r="BD135">
            <v>29000</v>
          </cell>
          <cell r="BE135">
            <v>29000</v>
          </cell>
          <cell r="BF135">
            <v>29250</v>
          </cell>
          <cell r="BG135">
            <v>29250</v>
          </cell>
          <cell r="BH135">
            <v>25500</v>
          </cell>
          <cell r="BL135">
            <v>0</v>
          </cell>
          <cell r="BM135">
            <v>0</v>
          </cell>
          <cell r="BN135">
            <v>0</v>
          </cell>
          <cell r="BO135">
            <v>0</v>
          </cell>
          <cell r="BP135">
            <v>0</v>
          </cell>
          <cell r="BQ135">
            <v>0</v>
          </cell>
          <cell r="BR135">
            <v>0</v>
          </cell>
          <cell r="BS135">
            <v>0</v>
          </cell>
          <cell r="BT135">
            <v>0</v>
          </cell>
          <cell r="BU135">
            <v>0</v>
          </cell>
          <cell r="BV135">
            <v>0</v>
          </cell>
          <cell r="BW135">
            <v>0</v>
          </cell>
        </row>
        <row r="136">
          <cell r="AH136">
            <v>662273.68921258766</v>
          </cell>
          <cell r="AI136">
            <v>666773.68921258766</v>
          </cell>
          <cell r="AJ136">
            <v>683773.68921258766</v>
          </cell>
          <cell r="AK136">
            <v>695043.68921258778</v>
          </cell>
          <cell r="AL136">
            <v>612043.68921258766</v>
          </cell>
          <cell r="AM136">
            <v>676043.68921258766</v>
          </cell>
          <cell r="AN136">
            <v>598713.68921258778</v>
          </cell>
          <cell r="AO136">
            <v>636713.68921258778</v>
          </cell>
          <cell r="AP136">
            <v>696713.68921258778</v>
          </cell>
          <cell r="AQ136">
            <v>642813.68921258778</v>
          </cell>
          <cell r="AR136">
            <v>603813.68921258778</v>
          </cell>
          <cell r="AS136">
            <v>623813.68921258778</v>
          </cell>
          <cell r="AW136">
            <v>106374.32621047054</v>
          </cell>
          <cell r="AX136">
            <v>144374.32621047055</v>
          </cell>
          <cell r="AY136">
            <v>148374.32621047055</v>
          </cell>
          <cell r="AZ136">
            <v>125484.32621047055</v>
          </cell>
          <cell r="BA136">
            <v>132624.32621047055</v>
          </cell>
          <cell r="BB136">
            <v>148484.32621047055</v>
          </cell>
          <cell r="BC136">
            <v>186434.32621047055</v>
          </cell>
          <cell r="BD136">
            <v>192434.32621047055</v>
          </cell>
          <cell r="BE136">
            <v>183434.32621047055</v>
          </cell>
          <cell r="BF136">
            <v>151464.32621047055</v>
          </cell>
          <cell r="BG136">
            <v>168464.32621047055</v>
          </cell>
          <cell r="BH136">
            <v>161214.32621047055</v>
          </cell>
          <cell r="BL136">
            <v>0</v>
          </cell>
          <cell r="BM136">
            <v>0</v>
          </cell>
          <cell r="BN136">
            <v>0</v>
          </cell>
          <cell r="BO136">
            <v>0</v>
          </cell>
          <cell r="BP136">
            <v>0</v>
          </cell>
          <cell r="BQ136">
            <v>0</v>
          </cell>
          <cell r="BR136">
            <v>0</v>
          </cell>
          <cell r="BS136">
            <v>0</v>
          </cell>
          <cell r="BT136">
            <v>0</v>
          </cell>
          <cell r="BU136">
            <v>0</v>
          </cell>
          <cell r="BV136">
            <v>0</v>
          </cell>
          <cell r="BW136">
            <v>0</v>
          </cell>
        </row>
        <row r="137">
          <cell r="AH137">
            <v>0</v>
          </cell>
          <cell r="AI137">
            <v>0</v>
          </cell>
          <cell r="AJ137">
            <v>0</v>
          </cell>
          <cell r="AK137">
            <v>0</v>
          </cell>
          <cell r="AL137">
            <v>0</v>
          </cell>
          <cell r="AM137">
            <v>0</v>
          </cell>
          <cell r="AN137">
            <v>0</v>
          </cell>
          <cell r="AO137">
            <v>0</v>
          </cell>
          <cell r="AP137">
            <v>0</v>
          </cell>
          <cell r="AQ137">
            <v>0</v>
          </cell>
          <cell r="AR137">
            <v>0</v>
          </cell>
          <cell r="AS137">
            <v>0</v>
          </cell>
          <cell r="AW137">
            <v>0</v>
          </cell>
          <cell r="AX137">
            <v>0</v>
          </cell>
          <cell r="AY137">
            <v>0</v>
          </cell>
          <cell r="AZ137">
            <v>0</v>
          </cell>
          <cell r="BA137">
            <v>0</v>
          </cell>
          <cell r="BB137">
            <v>0</v>
          </cell>
          <cell r="BC137">
            <v>0</v>
          </cell>
          <cell r="BD137">
            <v>0</v>
          </cell>
          <cell r="BE137">
            <v>0</v>
          </cell>
          <cell r="BF137">
            <v>0</v>
          </cell>
          <cell r="BG137">
            <v>0</v>
          </cell>
          <cell r="BH137">
            <v>0</v>
          </cell>
          <cell r="BL137">
            <v>173902.17495975754</v>
          </cell>
          <cell r="BM137">
            <v>159902.17495975757</v>
          </cell>
          <cell r="BN137">
            <v>162902.17495975754</v>
          </cell>
          <cell r="BO137">
            <v>183732.17495975754</v>
          </cell>
          <cell r="BP137">
            <v>175732.17495975754</v>
          </cell>
          <cell r="BQ137">
            <v>165732.17495975754</v>
          </cell>
          <cell r="BR137">
            <v>166227.17495975751</v>
          </cell>
          <cell r="BS137">
            <v>170227.17495975754</v>
          </cell>
          <cell r="BT137">
            <v>171227.17495975754</v>
          </cell>
          <cell r="BU137">
            <v>184107.17495975751</v>
          </cell>
          <cell r="BV137">
            <v>242107.17495975751</v>
          </cell>
          <cell r="BW137">
            <v>200107.17495975751</v>
          </cell>
        </row>
        <row r="138">
          <cell r="AH138">
            <v>5000</v>
          </cell>
          <cell r="AI138">
            <v>5000</v>
          </cell>
          <cell r="AJ138">
            <v>5000</v>
          </cell>
          <cell r="AK138">
            <v>5000</v>
          </cell>
          <cell r="AL138">
            <v>5000</v>
          </cell>
          <cell r="AM138">
            <v>5000</v>
          </cell>
          <cell r="AN138">
            <v>5000</v>
          </cell>
          <cell r="AO138">
            <v>5000</v>
          </cell>
          <cell r="AP138">
            <v>5000</v>
          </cell>
          <cell r="AQ138">
            <v>5000</v>
          </cell>
          <cell r="AR138">
            <v>5000</v>
          </cell>
          <cell r="AS138">
            <v>5000</v>
          </cell>
          <cell r="AW138">
            <v>0</v>
          </cell>
          <cell r="AX138">
            <v>0</v>
          </cell>
          <cell r="AY138">
            <v>0</v>
          </cell>
          <cell r="AZ138">
            <v>0</v>
          </cell>
          <cell r="BA138">
            <v>0</v>
          </cell>
          <cell r="BB138">
            <v>0</v>
          </cell>
          <cell r="BC138">
            <v>0</v>
          </cell>
          <cell r="BD138">
            <v>0</v>
          </cell>
          <cell r="BE138">
            <v>0</v>
          </cell>
          <cell r="BF138">
            <v>0</v>
          </cell>
          <cell r="BG138">
            <v>0</v>
          </cell>
          <cell r="BH138">
            <v>0</v>
          </cell>
          <cell r="BL138">
            <v>0</v>
          </cell>
          <cell r="BM138">
            <v>0</v>
          </cell>
          <cell r="BN138">
            <v>0</v>
          </cell>
          <cell r="BO138">
            <v>0</v>
          </cell>
          <cell r="BP138">
            <v>0</v>
          </cell>
          <cell r="BQ138">
            <v>0</v>
          </cell>
          <cell r="BR138">
            <v>0</v>
          </cell>
          <cell r="BS138">
            <v>0</v>
          </cell>
          <cell r="BT138">
            <v>0</v>
          </cell>
          <cell r="BU138">
            <v>0</v>
          </cell>
          <cell r="BV138">
            <v>0</v>
          </cell>
          <cell r="BW138">
            <v>0</v>
          </cell>
        </row>
        <row r="139">
          <cell r="AH139">
            <v>22352.680186835281</v>
          </cell>
          <cell r="AI139">
            <v>22352.680186835281</v>
          </cell>
          <cell r="AJ139">
            <v>22352.680186835281</v>
          </cell>
          <cell r="AK139">
            <v>-40979.913675864686</v>
          </cell>
          <cell r="AL139">
            <v>-40979.913675864686</v>
          </cell>
          <cell r="AM139">
            <v>-40979.913675864686</v>
          </cell>
          <cell r="AN139">
            <v>-94626.346124269359</v>
          </cell>
          <cell r="AO139">
            <v>-93881.256784708181</v>
          </cell>
          <cell r="AP139">
            <v>-86430.363389096427</v>
          </cell>
          <cell r="AQ139">
            <v>110273.22225505406</v>
          </cell>
          <cell r="AR139">
            <v>110273.22225505406</v>
          </cell>
          <cell r="AS139">
            <v>110273.22225505406</v>
          </cell>
          <cell r="AW139">
            <v>2780.4125627820981</v>
          </cell>
          <cell r="AX139">
            <v>2780.4125627820981</v>
          </cell>
          <cell r="AY139">
            <v>2780.4125627820981</v>
          </cell>
          <cell r="AZ139">
            <v>-5097.42303176718</v>
          </cell>
          <cell r="BA139">
            <v>-5097.42303176718</v>
          </cell>
          <cell r="BB139">
            <v>-5097.42303176718</v>
          </cell>
          <cell r="BC139">
            <v>-11770.413182444216</v>
          </cell>
          <cell r="BD139">
            <v>-11677.732763684813</v>
          </cell>
          <cell r="BE139">
            <v>-10750.928576090781</v>
          </cell>
          <cell r="BF139">
            <v>13716.701976391685</v>
          </cell>
          <cell r="BG139">
            <v>13716.701976391685</v>
          </cell>
          <cell r="BH139">
            <v>13716.701976391685</v>
          </cell>
          <cell r="BL139">
            <v>4866.9072503826201</v>
          </cell>
          <cell r="BM139">
            <v>4866.9072503826201</v>
          </cell>
          <cell r="BN139">
            <v>4866.9072503826201</v>
          </cell>
          <cell r="BO139">
            <v>-8922.6632923681373</v>
          </cell>
          <cell r="BP139">
            <v>-8922.6632923681373</v>
          </cell>
          <cell r="BQ139">
            <v>-8922.6632923681373</v>
          </cell>
          <cell r="BR139">
            <v>-20603.240693286425</v>
          </cell>
          <cell r="BS139">
            <v>-20441.010451607006</v>
          </cell>
          <cell r="BT139">
            <v>-18818.7080348128</v>
          </cell>
          <cell r="BU139">
            <v>24010.075768554259</v>
          </cell>
          <cell r="BV139">
            <v>24010.075768554259</v>
          </cell>
          <cell r="BW139">
            <v>24010.075768554259</v>
          </cell>
        </row>
        <row r="142">
          <cell r="AH142">
            <v>898986.179016607</v>
          </cell>
          <cell r="AI142">
            <v>925986.179016607</v>
          </cell>
          <cell r="AJ142">
            <v>969736.179016607</v>
          </cell>
          <cell r="AK142">
            <v>1008673.5851539073</v>
          </cell>
          <cell r="AL142">
            <v>1022673.5851539071</v>
          </cell>
          <cell r="AM142">
            <v>1053923.5851539071</v>
          </cell>
          <cell r="AN142">
            <v>867197.1527055027</v>
          </cell>
          <cell r="AO142">
            <v>845942.24204506376</v>
          </cell>
          <cell r="AP142">
            <v>863393.13544067554</v>
          </cell>
          <cell r="AQ142">
            <v>973196.72108482604</v>
          </cell>
          <cell r="AR142">
            <v>884196.72108482604</v>
          </cell>
          <cell r="AS142">
            <v>880196.72108482604</v>
          </cell>
          <cell r="AW142">
            <v>134654.73877325261</v>
          </cell>
          <cell r="AX142">
            <v>174654.73877325264</v>
          </cell>
          <cell r="AY142">
            <v>172154.73877325264</v>
          </cell>
          <cell r="AZ142">
            <v>154136.90317870336</v>
          </cell>
          <cell r="BA142">
            <v>146276.90317870336</v>
          </cell>
          <cell r="BB142">
            <v>162136.90317870336</v>
          </cell>
          <cell r="BC142">
            <v>197663.91302802635</v>
          </cell>
          <cell r="BD142">
            <v>209756.59344678573</v>
          </cell>
          <cell r="BE142">
            <v>201683.39763437977</v>
          </cell>
          <cell r="BF142">
            <v>194431.02818686224</v>
          </cell>
          <cell r="BG142">
            <v>211431.02818686224</v>
          </cell>
          <cell r="BH142">
            <v>200431.02818686224</v>
          </cell>
          <cell r="BL142">
            <v>178769.08221014016</v>
          </cell>
          <cell r="BM142">
            <v>164769.08221014019</v>
          </cell>
          <cell r="BN142">
            <v>167769.08221014016</v>
          </cell>
          <cell r="BO142">
            <v>174809.51166738939</v>
          </cell>
          <cell r="BP142">
            <v>166809.51166738939</v>
          </cell>
          <cell r="BQ142">
            <v>156809.51166738939</v>
          </cell>
          <cell r="BR142">
            <v>145623.93426647107</v>
          </cell>
          <cell r="BS142">
            <v>149786.16450815054</v>
          </cell>
          <cell r="BT142">
            <v>152408.46692494475</v>
          </cell>
          <cell r="BU142">
            <v>208117.25072831177</v>
          </cell>
          <cell r="BV142">
            <v>266117.25072831177</v>
          </cell>
          <cell r="BW142">
            <v>224117.25072831177</v>
          </cell>
        </row>
        <row r="144">
          <cell r="AH144">
            <v>31815.645957501529</v>
          </cell>
          <cell r="AI144">
            <v>33209.565957501523</v>
          </cell>
          <cell r="AJ144">
            <v>34692.765957501528</v>
          </cell>
          <cell r="AK144">
            <v>38110.404357501538</v>
          </cell>
          <cell r="AL144">
            <v>38503.697157501527</v>
          </cell>
          <cell r="AM144">
            <v>39766.404357501531</v>
          </cell>
          <cell r="AN144">
            <v>33299.227238989391</v>
          </cell>
          <cell r="AO144">
            <v>32677.147238989397</v>
          </cell>
          <cell r="AP144">
            <v>32919.067238989395</v>
          </cell>
          <cell r="AQ144">
            <v>34258.541476013677</v>
          </cell>
          <cell r="AR144">
            <v>31378.541476013677</v>
          </cell>
          <cell r="AS144">
            <v>31113.581476013682</v>
          </cell>
          <cell r="AW144">
            <v>0</v>
          </cell>
          <cell r="AX144">
            <v>0</v>
          </cell>
          <cell r="AY144">
            <v>0</v>
          </cell>
          <cell r="AZ144">
            <v>0</v>
          </cell>
          <cell r="BA144">
            <v>0</v>
          </cell>
          <cell r="BB144">
            <v>0</v>
          </cell>
          <cell r="BC144">
            <v>-306.35908597511553</v>
          </cell>
          <cell r="BD144">
            <v>-306.35908597511553</v>
          </cell>
          <cell r="BE144">
            <v>-306.35908597511553</v>
          </cell>
          <cell r="BF144">
            <v>306.35908597511553</v>
          </cell>
          <cell r="BG144">
            <v>306.35908597511553</v>
          </cell>
          <cell r="BH144">
            <v>306.35908597511553</v>
          </cell>
          <cell r="BL144">
            <v>0</v>
          </cell>
          <cell r="BM144">
            <v>0</v>
          </cell>
          <cell r="BN144">
            <v>0</v>
          </cell>
          <cell r="BO144">
            <v>0</v>
          </cell>
          <cell r="BP144">
            <v>0</v>
          </cell>
          <cell r="BQ144">
            <v>0</v>
          </cell>
          <cell r="BR144">
            <v>-339.56459551274162</v>
          </cell>
          <cell r="BS144">
            <v>-339.56459551274162</v>
          </cell>
          <cell r="BT144">
            <v>-339.56459551274162</v>
          </cell>
          <cell r="BU144">
            <v>339.56459551274162</v>
          </cell>
          <cell r="BV144">
            <v>339.56459551274162</v>
          </cell>
          <cell r="BW144">
            <v>339.56459551274162</v>
          </cell>
        </row>
        <row r="146">
          <cell r="AH146">
            <v>34610.837932202587</v>
          </cell>
          <cell r="AI146">
            <v>36447.896755731999</v>
          </cell>
          <cell r="AJ146">
            <v>38960.896755731999</v>
          </cell>
          <cell r="AK146">
            <v>46195.108520437891</v>
          </cell>
          <cell r="AL146">
            <v>51223.579108673177</v>
          </cell>
          <cell r="AM146">
            <v>50541.637932202582</v>
          </cell>
          <cell r="AN146">
            <v>40197.742107231374</v>
          </cell>
          <cell r="AO146">
            <v>36710.683283701961</v>
          </cell>
          <cell r="AP146">
            <v>34604.800930760786</v>
          </cell>
          <cell r="AQ146">
            <v>38421.839639526748</v>
          </cell>
          <cell r="AR146">
            <v>33520.663168938518</v>
          </cell>
          <cell r="AS146">
            <v>32261.369051291465</v>
          </cell>
          <cell r="AW146">
            <v>0</v>
          </cell>
          <cell r="AX146">
            <v>0</v>
          </cell>
          <cell r="AY146">
            <v>0</v>
          </cell>
          <cell r="AZ146">
            <v>0</v>
          </cell>
          <cell r="BA146">
            <v>0</v>
          </cell>
          <cell r="BB146">
            <v>0</v>
          </cell>
          <cell r="BC146">
            <v>-510.59847662519252</v>
          </cell>
          <cell r="BD146">
            <v>-510.59847662519252</v>
          </cell>
          <cell r="BE146">
            <v>-510.59847662519252</v>
          </cell>
          <cell r="BF146">
            <v>510.59847662519252</v>
          </cell>
          <cell r="BG146">
            <v>510.59847662519252</v>
          </cell>
          <cell r="BH146">
            <v>510.59847662519252</v>
          </cell>
          <cell r="BL146">
            <v>1739.0217495975755</v>
          </cell>
          <cell r="BM146">
            <v>1599.0217495975758</v>
          </cell>
          <cell r="BN146">
            <v>3258.0434991951511</v>
          </cell>
          <cell r="BO146">
            <v>3674.643499195151</v>
          </cell>
          <cell r="BP146">
            <v>5271.965248792726</v>
          </cell>
          <cell r="BQ146">
            <v>4971.965248792726</v>
          </cell>
          <cell r="BR146">
            <v>6083.1460058690645</v>
          </cell>
          <cell r="BS146">
            <v>6243.1460058690664</v>
          </cell>
          <cell r="BT146">
            <v>7995.4177554666412</v>
          </cell>
          <cell r="BU146">
            <v>9771.2997405091119</v>
          </cell>
          <cell r="BV146">
            <v>15092.371490106687</v>
          </cell>
          <cell r="BW146">
            <v>12572.371490106687</v>
          </cell>
        </row>
        <row r="147">
          <cell r="AH147">
            <v>42872</v>
          </cell>
          <cell r="AI147">
            <v>37280</v>
          </cell>
          <cell r="AJ147">
            <v>47168</v>
          </cell>
          <cell r="AK147">
            <v>48048</v>
          </cell>
          <cell r="AL147">
            <v>42872</v>
          </cell>
          <cell r="AM147">
            <v>45360</v>
          </cell>
          <cell r="AN147">
            <v>29325.923681487857</v>
          </cell>
          <cell r="AO147">
            <v>30765.923681487857</v>
          </cell>
          <cell r="AP147">
            <v>32045.923681487857</v>
          </cell>
          <cell r="AQ147">
            <v>32346.076318512143</v>
          </cell>
          <cell r="AR147">
            <v>18546.076318512143</v>
          </cell>
          <cell r="AS147">
            <v>14786.076318512143</v>
          </cell>
          <cell r="AW147">
            <v>16560</v>
          </cell>
          <cell r="AX147">
            <v>14400</v>
          </cell>
          <cell r="AY147">
            <v>15840</v>
          </cell>
          <cell r="AZ147">
            <v>15120</v>
          </cell>
          <cell r="BA147">
            <v>16560</v>
          </cell>
          <cell r="BB147">
            <v>0</v>
          </cell>
          <cell r="BC147">
            <v>-306.35908597511553</v>
          </cell>
          <cell r="BD147">
            <v>-306.35908597511553</v>
          </cell>
          <cell r="BE147">
            <v>-306.35908597511553</v>
          </cell>
          <cell r="BF147">
            <v>306.35908597511553</v>
          </cell>
          <cell r="BG147">
            <v>306.35908597511553</v>
          </cell>
          <cell r="BH147">
            <v>306.35908597511553</v>
          </cell>
          <cell r="BL147">
            <v>38957.021960358739</v>
          </cell>
          <cell r="BM147">
            <v>27821.581199628854</v>
          </cell>
          <cell r="BN147">
            <v>37043.118079608284</v>
          </cell>
          <cell r="BO147">
            <v>31967.79297038187</v>
          </cell>
          <cell r="BP147">
            <v>21876.299780970407</v>
          </cell>
          <cell r="BQ147">
            <v>23616.212399834454</v>
          </cell>
          <cell r="BR147">
            <v>35542.161811003796</v>
          </cell>
          <cell r="BS147">
            <v>24058.7385265011</v>
          </cell>
          <cell r="BT147">
            <v>24232.729788387507</v>
          </cell>
          <cell r="BU147">
            <v>32372.604289102008</v>
          </cell>
          <cell r="BV147">
            <v>42464.097478513468</v>
          </cell>
          <cell r="BW147">
            <v>35156.464479284477</v>
          </cell>
        </row>
        <row r="148">
          <cell r="AH148">
            <v>77482.837932202587</v>
          </cell>
          <cell r="AI148">
            <v>73727.896755731999</v>
          </cell>
          <cell r="AJ148">
            <v>86128.896755731999</v>
          </cell>
          <cell r="AK148">
            <v>94243.108520437891</v>
          </cell>
          <cell r="AL148">
            <v>94095.579108673177</v>
          </cell>
          <cell r="AM148">
            <v>95901.637932202575</v>
          </cell>
          <cell r="AN148">
            <v>69523.665788719227</v>
          </cell>
          <cell r="AO148">
            <v>67476.606965189814</v>
          </cell>
          <cell r="AP148">
            <v>66650.724612248639</v>
          </cell>
          <cell r="AQ148">
            <v>70767.915958038895</v>
          </cell>
          <cell r="AR148">
            <v>52066.739487450657</v>
          </cell>
          <cell r="AS148">
            <v>47047.445369803609</v>
          </cell>
          <cell r="AW148">
            <v>16560</v>
          </cell>
          <cell r="AX148">
            <v>14400</v>
          </cell>
          <cell r="AY148">
            <v>15840</v>
          </cell>
          <cell r="AZ148">
            <v>15120</v>
          </cell>
          <cell r="BA148">
            <v>16560</v>
          </cell>
          <cell r="BB148">
            <v>0</v>
          </cell>
          <cell r="BC148">
            <v>-816.95756260030805</v>
          </cell>
          <cell r="BD148">
            <v>-816.95756260030805</v>
          </cell>
          <cell r="BE148">
            <v>-816.95756260030805</v>
          </cell>
          <cell r="BF148">
            <v>816.95756260030805</v>
          </cell>
          <cell r="BG148">
            <v>816.95756260030805</v>
          </cell>
          <cell r="BH148">
            <v>816.95756260030805</v>
          </cell>
          <cell r="BL148">
            <v>40696.043709956313</v>
          </cell>
          <cell r="BM148">
            <v>29420.602949226428</v>
          </cell>
          <cell r="BN148">
            <v>40301.161578803432</v>
          </cell>
          <cell r="BO148">
            <v>35642.43646957702</v>
          </cell>
          <cell r="BP148">
            <v>27148.265029763133</v>
          </cell>
          <cell r="BQ148">
            <v>28588.177648627181</v>
          </cell>
          <cell r="BR148">
            <v>41625.307816872861</v>
          </cell>
          <cell r="BS148">
            <v>30301.884532370168</v>
          </cell>
          <cell r="BT148">
            <v>32228.147543854149</v>
          </cell>
          <cell r="BU148">
            <v>42143.90402961112</v>
          </cell>
          <cell r="BV148">
            <v>57556.468968620153</v>
          </cell>
          <cell r="BW148">
            <v>47728.835969391163</v>
          </cell>
        </row>
        <row r="150">
          <cell r="AH150">
            <v>789687.69512690289</v>
          </cell>
          <cell r="AI150">
            <v>819048.71630337345</v>
          </cell>
          <cell r="AJ150">
            <v>848914.5163033735</v>
          </cell>
          <cell r="AK150">
            <v>876320.07227596792</v>
          </cell>
          <cell r="AL150">
            <v>890074.30888773245</v>
          </cell>
          <cell r="AM150">
            <v>918255.54286420299</v>
          </cell>
          <cell r="AN150">
            <v>764374.25967779406</v>
          </cell>
          <cell r="AO150">
            <v>745788.4878408846</v>
          </cell>
          <cell r="AP150">
            <v>763823.34358943754</v>
          </cell>
          <cell r="AQ150">
            <v>868170.26365077344</v>
          </cell>
          <cell r="AR150">
            <v>800751.44012136164</v>
          </cell>
          <cell r="AS150">
            <v>802035.69423900882</v>
          </cell>
          <cell r="AW150">
            <v>118094.73877325261</v>
          </cell>
          <cell r="AX150">
            <v>160254.73877325264</v>
          </cell>
          <cell r="AY150">
            <v>156314.73877325264</v>
          </cell>
          <cell r="AZ150">
            <v>139016.90317870336</v>
          </cell>
          <cell r="BA150">
            <v>129716.90317870336</v>
          </cell>
          <cell r="BB150">
            <v>162136.90317870336</v>
          </cell>
          <cell r="BC150">
            <v>198787.2296766018</v>
          </cell>
          <cell r="BD150">
            <v>210879.91009536118</v>
          </cell>
          <cell r="BE150">
            <v>202806.71428295522</v>
          </cell>
          <cell r="BF150">
            <v>193307.71153828679</v>
          </cell>
          <cell r="BG150">
            <v>210307.71153828679</v>
          </cell>
          <cell r="BH150">
            <v>199307.71153828679</v>
          </cell>
          <cell r="BL150">
            <v>138073.03850018384</v>
          </cell>
          <cell r="BM150">
            <v>135348.47926091377</v>
          </cell>
          <cell r="BN150">
            <v>127467.92063133672</v>
          </cell>
          <cell r="BO150">
            <v>139167.07519781237</v>
          </cell>
          <cell r="BP150">
            <v>139661.24663762626</v>
          </cell>
          <cell r="BQ150">
            <v>128221.33401876221</v>
          </cell>
          <cell r="BR150">
            <v>104338.19104511096</v>
          </cell>
          <cell r="BS150">
            <v>119823.84457129313</v>
          </cell>
          <cell r="BT150">
            <v>120519.88397660335</v>
          </cell>
          <cell r="BU150">
            <v>165633.7821031879</v>
          </cell>
          <cell r="BV150">
            <v>208221.21716417887</v>
          </cell>
          <cell r="BW150">
            <v>176048.85016340786</v>
          </cell>
        </row>
        <row r="152">
          <cell r="AH152">
            <v>259385.45974488006</v>
          </cell>
          <cell r="AI152">
            <v>225552.57369119997</v>
          </cell>
          <cell r="AJ152">
            <v>248107.83106031996</v>
          </cell>
          <cell r="AK152">
            <v>236830.20237575998</v>
          </cell>
          <cell r="AL152">
            <v>259385.45974488006</v>
          </cell>
          <cell r="AM152">
            <v>236830.20237575998</v>
          </cell>
          <cell r="AN152">
            <v>248107.83106031996</v>
          </cell>
          <cell r="AO152">
            <v>259385.45974488006</v>
          </cell>
          <cell r="AP152">
            <v>225552.57369119997</v>
          </cell>
          <cell r="AQ152">
            <v>259385.45974488006</v>
          </cell>
          <cell r="AR152">
            <v>248107.83106031996</v>
          </cell>
          <cell r="AS152">
            <v>236830.20237575998</v>
          </cell>
          <cell r="AW152">
            <v>29440.475630127694</v>
          </cell>
          <cell r="AX152">
            <v>25600.413591415385</v>
          </cell>
          <cell r="AY152">
            <v>28160.454950556923</v>
          </cell>
          <cell r="AZ152">
            <v>26880.434270986152</v>
          </cell>
          <cell r="BA152">
            <v>29440.475630127694</v>
          </cell>
          <cell r="BB152">
            <v>26880.434270986152</v>
          </cell>
          <cell r="BC152">
            <v>28160.454950556923</v>
          </cell>
          <cell r="BD152">
            <v>29440.475630127694</v>
          </cell>
          <cell r="BE152">
            <v>25600.413591415385</v>
          </cell>
          <cell r="BF152">
            <v>29440.475630127694</v>
          </cell>
          <cell r="BG152">
            <v>28160.454950556923</v>
          </cell>
          <cell r="BH152">
            <v>26880.434270986152</v>
          </cell>
          <cell r="BL152">
            <v>29949.71493654</v>
          </cell>
          <cell r="BM152">
            <v>26043.230379600001</v>
          </cell>
          <cell r="BN152">
            <v>28647.553417560004</v>
          </cell>
          <cell r="BO152">
            <v>27345.391898579997</v>
          </cell>
          <cell r="BP152">
            <v>29949.71493654</v>
          </cell>
          <cell r="BQ152">
            <v>27345.391898579997</v>
          </cell>
          <cell r="BR152">
            <v>28647.553417560004</v>
          </cell>
          <cell r="BS152">
            <v>29949.71493654</v>
          </cell>
          <cell r="BT152">
            <v>26043.230379600001</v>
          </cell>
          <cell r="BU152">
            <v>29949.71493654</v>
          </cell>
          <cell r="BV152">
            <v>28647.553417560004</v>
          </cell>
          <cell r="BW152">
            <v>27345.391898579997</v>
          </cell>
        </row>
        <row r="153">
          <cell r="AH153">
            <v>56311.967011860012</v>
          </cell>
          <cell r="AI153">
            <v>48966.927836399998</v>
          </cell>
          <cell r="AJ153">
            <v>53863.620620040005</v>
          </cell>
          <cell r="AK153">
            <v>51415.274228220005</v>
          </cell>
          <cell r="AL153">
            <v>56311.967011860012</v>
          </cell>
          <cell r="AM153">
            <v>51415.274228220005</v>
          </cell>
          <cell r="AN153">
            <v>53863.620620040005</v>
          </cell>
          <cell r="AO153">
            <v>56311.967011860012</v>
          </cell>
          <cell r="AP153">
            <v>48966.927836399998</v>
          </cell>
          <cell r="AQ153">
            <v>56311.967011860012</v>
          </cell>
          <cell r="AR153">
            <v>53863.620620040005</v>
          </cell>
          <cell r="AS153">
            <v>51415.274228220005</v>
          </cell>
          <cell r="AW153">
            <v>15869.336687819998</v>
          </cell>
          <cell r="AX153">
            <v>13799.4232068</v>
          </cell>
          <cell r="AY153">
            <v>15179.36552748</v>
          </cell>
          <cell r="AZ153">
            <v>14489.394367140001</v>
          </cell>
          <cell r="BA153">
            <v>15869.336687819998</v>
          </cell>
          <cell r="BB153">
            <v>14489.394367140001</v>
          </cell>
          <cell r="BC153">
            <v>15179.36552748</v>
          </cell>
          <cell r="BD153">
            <v>15869.336687819998</v>
          </cell>
          <cell r="BE153">
            <v>13799.4232068</v>
          </cell>
          <cell r="BF153">
            <v>15869.336687819998</v>
          </cell>
          <cell r="BG153">
            <v>15179.36552748</v>
          </cell>
          <cell r="BH153">
            <v>14489.394367140001</v>
          </cell>
          <cell r="BL153">
            <v>10735.139124359999</v>
          </cell>
          <cell r="BM153">
            <v>9334.9035863999998</v>
          </cell>
          <cell r="BN153">
            <v>10268.393945040001</v>
          </cell>
          <cell r="BO153">
            <v>9801.6487657199996</v>
          </cell>
          <cell r="BP153">
            <v>10735.139124359999</v>
          </cell>
          <cell r="BQ153">
            <v>9801.6487657199996</v>
          </cell>
          <cell r="BR153">
            <v>10268.393945040001</v>
          </cell>
          <cell r="BS153">
            <v>10735.139124359999</v>
          </cell>
          <cell r="BT153">
            <v>9334.9035863999998</v>
          </cell>
          <cell r="BU153">
            <v>10735.139124359999</v>
          </cell>
          <cell r="BV153">
            <v>10268.393945040001</v>
          </cell>
          <cell r="BW153">
            <v>9801.6487657199996</v>
          </cell>
        </row>
        <row r="154">
          <cell r="AH154">
            <v>42580.546645602997</v>
          </cell>
          <cell r="AI154">
            <v>43617.077320183635</v>
          </cell>
          <cell r="AJ154">
            <v>45479.191982452059</v>
          </cell>
          <cell r="AK154">
            <v>50783.61739248818</v>
          </cell>
          <cell r="AL154">
            <v>53770.301106323976</v>
          </cell>
          <cell r="AM154">
            <v>54034.37872798372</v>
          </cell>
          <cell r="AN154">
            <v>51186.879396882585</v>
          </cell>
          <cell r="AO154">
            <v>52579.527551160514</v>
          </cell>
          <cell r="AP154">
            <v>50749.29979926558</v>
          </cell>
          <cell r="AQ154">
            <v>48377.553785594027</v>
          </cell>
          <cell r="AR154">
            <v>48077.442304107128</v>
          </cell>
          <cell r="AS154">
            <v>44831.789601890974</v>
          </cell>
          <cell r="AW154">
            <v>14375.502952043633</v>
          </cell>
          <cell r="AX154">
            <v>12772.176480037942</v>
          </cell>
          <cell r="AY154">
            <v>13841.060794708403</v>
          </cell>
          <cell r="AZ154">
            <v>13306.618637373173</v>
          </cell>
          <cell r="BA154">
            <v>14375.502952043633</v>
          </cell>
          <cell r="BB154">
            <v>13306.618637373173</v>
          </cell>
          <cell r="BC154">
            <v>13841.060794708403</v>
          </cell>
          <cell r="BD154">
            <v>14375.502952043633</v>
          </cell>
          <cell r="BE154">
            <v>12772.176480037942</v>
          </cell>
          <cell r="BF154">
            <v>14375.502952043633</v>
          </cell>
          <cell r="BG154">
            <v>13841.060794708403</v>
          </cell>
          <cell r="BH154">
            <v>13306.618637373173</v>
          </cell>
          <cell r="BL154">
            <v>39649.624211312919</v>
          </cell>
          <cell r="BM154">
            <v>34477.934096793841</v>
          </cell>
          <cell r="BN154">
            <v>37925.727506473224</v>
          </cell>
          <cell r="BO154">
            <v>36201.830801633529</v>
          </cell>
          <cell r="BP154">
            <v>39649.624211312919</v>
          </cell>
          <cell r="BQ154">
            <v>36201.830801633529</v>
          </cell>
          <cell r="BR154">
            <v>37925.727506473224</v>
          </cell>
          <cell r="BS154">
            <v>39649.624211312919</v>
          </cell>
          <cell r="BT154">
            <v>34477.934096793841</v>
          </cell>
          <cell r="BU154">
            <v>39649.624211312919</v>
          </cell>
          <cell r="BV154">
            <v>37925.727506473224</v>
          </cell>
          <cell r="BW154">
            <v>36201.830801633529</v>
          </cell>
        </row>
        <row r="155">
          <cell r="AH155">
            <v>28729.947861086919</v>
          </cell>
          <cell r="AI155">
            <v>25270.192239452597</v>
          </cell>
          <cell r="AJ155">
            <v>37678.972326936848</v>
          </cell>
          <cell r="AK155">
            <v>34852.855756880374</v>
          </cell>
          <cell r="AL155">
            <v>31644.61213295806</v>
          </cell>
          <cell r="AM155">
            <v>38548.671862116091</v>
          </cell>
          <cell r="AN155">
            <v>18889.16697244603</v>
          </cell>
          <cell r="AO155">
            <v>18788.371834307971</v>
          </cell>
          <cell r="AP155">
            <v>20427.010290066708</v>
          </cell>
          <cell r="AQ155">
            <v>17671.112943630258</v>
          </cell>
          <cell r="AR155">
            <v>7693.1601652192921</v>
          </cell>
          <cell r="AS155">
            <v>6945.3883008192952</v>
          </cell>
          <cell r="AW155">
            <v>589.51077898777385</v>
          </cell>
          <cell r="AX155">
            <v>531.46659125285726</v>
          </cell>
          <cell r="AY155">
            <v>609.36818497478021</v>
          </cell>
          <cell r="AZ155">
            <v>541.73286153631466</v>
          </cell>
          <cell r="BA155">
            <v>473.04072093594209</v>
          </cell>
          <cell r="BB155">
            <v>470.16128413917801</v>
          </cell>
          <cell r="BC155">
            <v>134.21976696836998</v>
          </cell>
          <cell r="BD155">
            <v>129.58051186409764</v>
          </cell>
          <cell r="BE155">
            <v>61.994665797372647</v>
          </cell>
          <cell r="BF155">
            <v>668.02543068671434</v>
          </cell>
          <cell r="BG155">
            <v>656.23299878068451</v>
          </cell>
          <cell r="BH155">
            <v>607.23098352952888</v>
          </cell>
          <cell r="BL155">
            <v>344.16921159171727</v>
          </cell>
          <cell r="BM155">
            <v>310.28175263039066</v>
          </cell>
          <cell r="BN155">
            <v>355.76239700308429</v>
          </cell>
          <cell r="BO155">
            <v>316.27542446029679</v>
          </cell>
          <cell r="BP155">
            <v>276.17145907806594</v>
          </cell>
          <cell r="BQ155">
            <v>274.49038126321733</v>
          </cell>
          <cell r="BR155">
            <v>-82.345080846857343</v>
          </cell>
          <cell r="BS155">
            <v>-85.053578856600041</v>
          </cell>
          <cell r="BT155">
            <v>-124.51166543388777</v>
          </cell>
          <cell r="BU155">
            <v>550.71327193283935</v>
          </cell>
          <cell r="BV155">
            <v>543.82859376153237</v>
          </cell>
          <cell r="BW155">
            <v>515.22015171683597</v>
          </cell>
        </row>
        <row r="156">
          <cell r="AH156">
            <v>55788.408776438737</v>
          </cell>
          <cell r="AI156">
            <v>51292.569069029858</v>
          </cell>
          <cell r="AJ156">
            <v>55454.571322520496</v>
          </cell>
          <cell r="AK156">
            <v>54267.122612230989</v>
          </cell>
          <cell r="AL156">
            <v>57110.445796932094</v>
          </cell>
          <cell r="AM156">
            <v>54920.36009174108</v>
          </cell>
          <cell r="AN156">
            <v>54487.412224957414</v>
          </cell>
          <cell r="AO156">
            <v>56034.384866716035</v>
          </cell>
          <cell r="AP156">
            <v>51746.395150682773</v>
          </cell>
          <cell r="AQ156">
            <v>55117.933905504149</v>
          </cell>
          <cell r="AR156">
            <v>52742.188466141495</v>
          </cell>
          <cell r="AS156">
            <v>50953.324173365152</v>
          </cell>
          <cell r="AW156">
            <v>7821.6521588335017</v>
          </cell>
          <cell r="AX156">
            <v>7047.5613162014979</v>
          </cell>
          <cell r="AY156">
            <v>7566.4870947769214</v>
          </cell>
          <cell r="AZ156">
            <v>7304.9278808933605</v>
          </cell>
          <cell r="BA156">
            <v>7813.1402858306719</v>
          </cell>
          <cell r="BB156">
            <v>7299.6972818226059</v>
          </cell>
          <cell r="BC156">
            <v>7554.1516209005058</v>
          </cell>
          <cell r="BD156">
            <v>7810.428858933974</v>
          </cell>
          <cell r="BE156">
            <v>7035.6406921543276</v>
          </cell>
          <cell r="BF156">
            <v>7805.0008158068049</v>
          </cell>
          <cell r="BG156">
            <v>7547.5227160635259</v>
          </cell>
          <cell r="BH156">
            <v>7287.3252629240205</v>
          </cell>
          <cell r="BL156">
            <v>10601.74851165992</v>
          </cell>
          <cell r="BM156">
            <v>9526.3324057259015</v>
          </cell>
          <cell r="BN156">
            <v>10244.549906046692</v>
          </cell>
          <cell r="BO156">
            <v>9884.5094560659199</v>
          </cell>
          <cell r="BP156">
            <v>10597.965456991995</v>
          </cell>
          <cell r="BQ156">
            <v>9882.1847453678074</v>
          </cell>
          <cell r="BR156">
            <v>10239.06747321273</v>
          </cell>
          <cell r="BS156">
            <v>10596.76037837124</v>
          </cell>
          <cell r="BT156">
            <v>9521.0343505938272</v>
          </cell>
          <cell r="BU156">
            <v>10594.347914759164</v>
          </cell>
          <cell r="BV156">
            <v>10236.121293285183</v>
          </cell>
          <cell r="BW156">
            <v>9876.6860703017701</v>
          </cell>
        </row>
        <row r="157">
          <cell r="AH157">
            <v>88556.239093265613</v>
          </cell>
          <cell r="AI157">
            <v>89214.652566136574</v>
          </cell>
          <cell r="AJ157">
            <v>89910.266039007533</v>
          </cell>
          <cell r="AK157">
            <v>91411.895511878494</v>
          </cell>
          <cell r="AL157">
            <v>91653.380984749427</v>
          </cell>
          <cell r="AM157">
            <v>92567.576349104216</v>
          </cell>
          <cell r="AN157">
            <v>93430.36237389782</v>
          </cell>
          <cell r="AO157">
            <v>93559.229738252601</v>
          </cell>
          <cell r="AP157">
            <v>97152.63601744562</v>
          </cell>
          <cell r="AQ157">
            <v>100731.80497576098</v>
          </cell>
          <cell r="AR157">
            <v>99609.418448631928</v>
          </cell>
          <cell r="AS157">
            <v>99576.631921502893</v>
          </cell>
          <cell r="AW157">
            <v>15157.965745691225</v>
          </cell>
          <cell r="AX157">
            <v>15167.619955978662</v>
          </cell>
          <cell r="AY157">
            <v>15177.274166266101</v>
          </cell>
          <cell r="AZ157">
            <v>15186.928376553538</v>
          </cell>
          <cell r="BA157">
            <v>15196.582586840976</v>
          </cell>
          <cell r="BB157">
            <v>15244.853638278166</v>
          </cell>
          <cell r="BC157">
            <v>15567.144270955951</v>
          </cell>
          <cell r="BD157">
            <v>15615.415322393141</v>
          </cell>
          <cell r="BE157">
            <v>16049.854785327843</v>
          </cell>
          <cell r="BF157">
            <v>16669.655085781349</v>
          </cell>
          <cell r="BG157">
            <v>16679.309296068783</v>
          </cell>
          <cell r="BH157">
            <v>16688.963506356224</v>
          </cell>
          <cell r="BL157">
            <v>12162.914310002132</v>
          </cell>
          <cell r="BM157">
            <v>12179.713293510405</v>
          </cell>
          <cell r="BN157">
            <v>12196.612277018678</v>
          </cell>
          <cell r="BO157">
            <v>12213.511260526953</v>
          </cell>
          <cell r="BP157">
            <v>12230.410244035225</v>
          </cell>
          <cell r="BQ157">
            <v>12314.905161576589</v>
          </cell>
          <cell r="BR157">
            <v>12603.869837438533</v>
          </cell>
          <cell r="BS157">
            <v>12688.364754979901</v>
          </cell>
          <cell r="BT157">
            <v>13448.819012852184</v>
          </cell>
          <cell r="BU157">
            <v>14533.733754083309</v>
          </cell>
          <cell r="BV157">
            <v>14550.632737591584</v>
          </cell>
          <cell r="BW157">
            <v>14567.531721099856</v>
          </cell>
        </row>
        <row r="158">
          <cell r="AH158">
            <v>531352.56913313433</v>
          </cell>
          <cell r="AI158">
            <v>483913.99272240268</v>
          </cell>
          <cell r="AJ158">
            <v>530494.45335127693</v>
          </cell>
          <cell r="AK158">
            <v>519560.96787745802</v>
          </cell>
          <cell r="AL158">
            <v>549876.16677770368</v>
          </cell>
          <cell r="AM158">
            <v>528316.46363492508</v>
          </cell>
          <cell r="AN158">
            <v>519965.27264854382</v>
          </cell>
          <cell r="AO158">
            <v>536658.94074717723</v>
          </cell>
          <cell r="AP158">
            <v>494594.84278506064</v>
          </cell>
          <cell r="AQ158">
            <v>537595.83236722951</v>
          </cell>
          <cell r="AR158">
            <v>510093.66106445977</v>
          </cell>
          <cell r="AS158">
            <v>490552.61060155829</v>
          </cell>
          <cell r="AW158">
            <v>83254.443953503811</v>
          </cell>
          <cell r="AX158">
            <v>74918.661141686345</v>
          </cell>
          <cell r="AY158">
            <v>80534.010718763137</v>
          </cell>
          <cell r="AZ158">
            <v>77710.036394482551</v>
          </cell>
          <cell r="BA158">
            <v>83168.078863598901</v>
          </cell>
          <cell r="BB158">
            <v>77691.159479739275</v>
          </cell>
          <cell r="BC158">
            <v>80436.396931570154</v>
          </cell>
          <cell r="BD158">
            <v>83240.739963182525</v>
          </cell>
          <cell r="BE158">
            <v>75319.503421532878</v>
          </cell>
          <cell r="BF158">
            <v>84827.996602266183</v>
          </cell>
          <cell r="BG158">
            <v>82063.946283658326</v>
          </cell>
          <cell r="BH158">
            <v>79259.967028309111</v>
          </cell>
          <cell r="BL158">
            <v>103443.31030546669</v>
          </cell>
          <cell r="BM158">
            <v>91872.395514660529</v>
          </cell>
          <cell r="BN158">
            <v>99638.599449141693</v>
          </cell>
          <cell r="BO158">
            <v>95763.167606986695</v>
          </cell>
          <cell r="BP158">
            <v>103439.0254323182</v>
          </cell>
          <cell r="BQ158">
            <v>95820.451754141133</v>
          </cell>
          <cell r="BR158">
            <v>99602.267098877623</v>
          </cell>
          <cell r="BS158">
            <v>103534.54982670746</v>
          </cell>
          <cell r="BT158">
            <v>92701.409760805953</v>
          </cell>
          <cell r="BU158">
            <v>106013.27321298822</v>
          </cell>
          <cell r="BV158">
            <v>102172.25749371153</v>
          </cell>
          <cell r="BW158">
            <v>98308.309409051988</v>
          </cell>
        </row>
        <row r="160">
          <cell r="AH160">
            <v>60516.880881750985</v>
          </cell>
          <cell r="AI160">
            <v>56024.373909961258</v>
          </cell>
          <cell r="AJ160">
            <v>60523.39524326456</v>
          </cell>
          <cell r="AK160">
            <v>60593.080736049145</v>
          </cell>
          <cell r="AL160">
            <v>63567.092468023169</v>
          </cell>
          <cell r="AM160">
            <v>60440.187777097439</v>
          </cell>
          <cell r="AN160">
            <v>64208.314744698604</v>
          </cell>
          <cell r="AO160">
            <v>66440.598674900786</v>
          </cell>
          <cell r="AP160">
            <v>59943.563304333475</v>
          </cell>
          <cell r="AQ160">
            <v>62853.672203963753</v>
          </cell>
          <cell r="AR160">
            <v>60207.727865950626</v>
          </cell>
          <cell r="AS160">
            <v>56825.796895834952</v>
          </cell>
          <cell r="AW160">
            <v>4065.661154292512</v>
          </cell>
          <cell r="AX160">
            <v>3776.434607709446</v>
          </cell>
          <cell r="AY160">
            <v>4071.4975523961803</v>
          </cell>
          <cell r="AZ160">
            <v>4173.6780791637339</v>
          </cell>
          <cell r="BA160">
            <v>4513.776572445774</v>
          </cell>
          <cell r="BB160">
            <v>4303.8611211853895</v>
          </cell>
          <cell r="BC160">
            <v>4300.0729640715535</v>
          </cell>
          <cell r="BD160">
            <v>4466.0897361107127</v>
          </cell>
          <cell r="BE160">
            <v>4062.0582887111086</v>
          </cell>
          <cell r="BF160">
            <v>4297.8135475995541</v>
          </cell>
          <cell r="BG160">
            <v>4175.5495254258267</v>
          </cell>
          <cell r="BH160">
            <v>3935.3255926527995</v>
          </cell>
          <cell r="BL160">
            <v>4506.3281898593359</v>
          </cell>
          <cell r="BM160">
            <v>4185.7530876408782</v>
          </cell>
          <cell r="BN160">
            <v>4512.7971808312059</v>
          </cell>
          <cell r="BO160">
            <v>4626.052804148746</v>
          </cell>
          <cell r="BP160">
            <v>5003.0137385314429</v>
          </cell>
          <cell r="BQ160">
            <v>4770.3460666318833</v>
          </cell>
          <cell r="BR160">
            <v>4766.1473204644435</v>
          </cell>
          <cell r="BS160">
            <v>4950.1582430273447</v>
          </cell>
          <cell r="BT160">
            <v>4502.3348185188315</v>
          </cell>
          <cell r="BU160">
            <v>4763.6430113855495</v>
          </cell>
          <cell r="BV160">
            <v>4628.1270918787422</v>
          </cell>
          <cell r="BW160">
            <v>4361.8658765310156</v>
          </cell>
        </row>
        <row r="161">
          <cell r="AH161">
            <v>7218.1094996746315</v>
          </cell>
          <cell r="AI161">
            <v>6729.3414789109556</v>
          </cell>
          <cell r="AJ161">
            <v>7194.3083694902616</v>
          </cell>
          <cell r="AK161">
            <v>7176.3505689484628</v>
          </cell>
          <cell r="AL161">
            <v>7500.2540714048091</v>
          </cell>
          <cell r="AM161">
            <v>7162.2079702454284</v>
          </cell>
          <cell r="AN161">
            <v>7535.163423372911</v>
          </cell>
          <cell r="AO161">
            <v>7766.0533955409892</v>
          </cell>
          <cell r="AP161">
            <v>7091.8664978903862</v>
          </cell>
          <cell r="AQ161">
            <v>7434.2626969793137</v>
          </cell>
          <cell r="AR161">
            <v>7165.1091370887225</v>
          </cell>
          <cell r="AS161">
            <v>6827.8768137286479</v>
          </cell>
          <cell r="AW161">
            <v>470.86570547716497</v>
          </cell>
          <cell r="AX161">
            <v>438.40804978224156</v>
          </cell>
          <cell r="AY161">
            <v>469.5041722564244</v>
          </cell>
          <cell r="AZ161">
            <v>477.05447093709324</v>
          </cell>
          <cell r="BA161">
            <v>512.31638165634172</v>
          </cell>
          <cell r="BB161">
            <v>489.09640232409629</v>
          </cell>
          <cell r="BC161">
            <v>490.64739783639635</v>
          </cell>
          <cell r="BD161">
            <v>507.90534929534846</v>
          </cell>
          <cell r="BE161">
            <v>464.82824027489534</v>
          </cell>
          <cell r="BF161">
            <v>492.33980185806632</v>
          </cell>
          <cell r="BG161">
            <v>479.12897976166664</v>
          </cell>
          <cell r="BH161">
            <v>455.00686593483175</v>
          </cell>
          <cell r="BL161">
            <v>521.90168381088097</v>
          </cell>
          <cell r="BM161">
            <v>485.92602246479078</v>
          </cell>
          <cell r="BN161">
            <v>520.39257734548471</v>
          </cell>
          <cell r="BO161">
            <v>528.76123437206286</v>
          </cell>
          <cell r="BP161">
            <v>567.84509706305084</v>
          </cell>
          <cell r="BQ161">
            <v>542.10836115175312</v>
          </cell>
          <cell r="BR161">
            <v>543.82746526155915</v>
          </cell>
          <cell r="BS161">
            <v>562.95596372892169</v>
          </cell>
          <cell r="BT161">
            <v>515.20983257100147</v>
          </cell>
          <cell r="BU161">
            <v>545.70330480205575</v>
          </cell>
          <cell r="BV161">
            <v>531.06059411738181</v>
          </cell>
          <cell r="BW161">
            <v>504.32394356742287</v>
          </cell>
        </row>
        <row r="162">
          <cell r="AH162">
            <v>23239.107810558584</v>
          </cell>
          <cell r="AI162">
            <v>32180.179885292695</v>
          </cell>
          <cell r="AJ162">
            <v>21003.839791875056</v>
          </cell>
          <cell r="AK162">
            <v>21003.839791875056</v>
          </cell>
          <cell r="AL162">
            <v>21003.839791875056</v>
          </cell>
          <cell r="AM162">
            <v>21003.839791875056</v>
          </cell>
          <cell r="AN162">
            <v>26441.072074734115</v>
          </cell>
          <cell r="AO162">
            <v>26441.072074734115</v>
          </cell>
          <cell r="AP162">
            <v>26441.072074734115</v>
          </cell>
          <cell r="AQ162">
            <v>26441.072074734115</v>
          </cell>
          <cell r="AR162">
            <v>26441.072074734115</v>
          </cell>
          <cell r="AS162">
            <v>35323.438065392351</v>
          </cell>
          <cell r="AW162">
            <v>1149.2371926166009</v>
          </cell>
          <cell r="AX162">
            <v>2261.4022177294405</v>
          </cell>
          <cell r="AY162">
            <v>871.19593633839088</v>
          </cell>
          <cell r="AZ162">
            <v>871.19593633839088</v>
          </cell>
          <cell r="BA162">
            <v>871.19593633839088</v>
          </cell>
          <cell r="BB162">
            <v>871.19593633839088</v>
          </cell>
          <cell r="BC162">
            <v>1112.1650251128394</v>
          </cell>
          <cell r="BD162">
            <v>1112.1650251128394</v>
          </cell>
          <cell r="BE162">
            <v>1112.1650251128394</v>
          </cell>
          <cell r="BF162">
            <v>1112.1650251128394</v>
          </cell>
          <cell r="BG162">
            <v>1112.1650251128394</v>
          </cell>
          <cell r="BH162">
            <v>973.1443969737345</v>
          </cell>
          <cell r="BL162">
            <v>2011.6549968248162</v>
          </cell>
          <cell r="BM162">
            <v>3958.4178969778645</v>
          </cell>
          <cell r="BN162">
            <v>1524.9642717865543</v>
          </cell>
          <cell r="BO162">
            <v>1524.9642717865543</v>
          </cell>
          <cell r="BP162">
            <v>1524.9642717865543</v>
          </cell>
          <cell r="BQ162">
            <v>1524.9642717865543</v>
          </cell>
          <cell r="BR162">
            <v>1946.7629001530481</v>
          </cell>
          <cell r="BS162">
            <v>1946.7629001530481</v>
          </cell>
          <cell r="BT162">
            <v>1946.7629001530481</v>
          </cell>
          <cell r="BU162">
            <v>1946.7629001530481</v>
          </cell>
          <cell r="BV162">
            <v>1946.7629001530481</v>
          </cell>
          <cell r="BW162">
            <v>1703.4175376339169</v>
          </cell>
        </row>
        <row r="163">
          <cell r="AH163">
            <v>90974.098191984202</v>
          </cell>
          <cell r="AI163">
            <v>94933.895274164912</v>
          </cell>
          <cell r="AJ163">
            <v>88721.543404629876</v>
          </cell>
          <cell r="AK163">
            <v>88773.271096872661</v>
          </cell>
          <cell r="AL163">
            <v>92071.186331303034</v>
          </cell>
          <cell r="AM163">
            <v>88606.235539217931</v>
          </cell>
          <cell r="AN163">
            <v>98184.550242805621</v>
          </cell>
          <cell r="AO163">
            <v>100647.72414517589</v>
          </cell>
          <cell r="AP163">
            <v>93476.501876957976</v>
          </cell>
          <cell r="AQ163">
            <v>96729.006975677185</v>
          </cell>
          <cell r="AR163">
            <v>93813.909077773453</v>
          </cell>
          <cell r="AS163">
            <v>98977.111774955949</v>
          </cell>
          <cell r="AW163">
            <v>5685.7640523862774</v>
          </cell>
          <cell r="AX163">
            <v>6476.2448752211276</v>
          </cell>
          <cell r="AY163">
            <v>5412.1976609909962</v>
          </cell>
          <cell r="AZ163">
            <v>5521.9284864392184</v>
          </cell>
          <cell r="BA163">
            <v>5897.2888904405072</v>
          </cell>
          <cell r="BB163">
            <v>5664.1534598478765</v>
          </cell>
          <cell r="BC163">
            <v>5902.8853870207895</v>
          </cell>
          <cell r="BD163">
            <v>6086.1601105189002</v>
          </cell>
          <cell r="BE163">
            <v>5639.0515540988436</v>
          </cell>
          <cell r="BF163">
            <v>5902.31837457046</v>
          </cell>
          <cell r="BG163">
            <v>5766.8435303003325</v>
          </cell>
          <cell r="BH163">
            <v>5363.4768555613664</v>
          </cell>
          <cell r="BL163">
            <v>7039.8848704950333</v>
          </cell>
          <cell r="BM163">
            <v>8630.0970070835338</v>
          </cell>
          <cell r="BN163">
            <v>6558.1540299632452</v>
          </cell>
          <cell r="BO163">
            <v>6679.7783103073634</v>
          </cell>
          <cell r="BP163">
            <v>7095.8231073810484</v>
          </cell>
          <cell r="BQ163">
            <v>6837.4186995701912</v>
          </cell>
          <cell r="BR163">
            <v>7256.7376858790503</v>
          </cell>
          <cell r="BS163">
            <v>7459.8771069093145</v>
          </cell>
          <cell r="BT163">
            <v>6964.3075512428804</v>
          </cell>
          <cell r="BU163">
            <v>7256.1092163406538</v>
          </cell>
          <cell r="BV163">
            <v>7105.9505861491725</v>
          </cell>
          <cell r="BW163">
            <v>6569.6073577323559</v>
          </cell>
        </row>
        <row r="165">
          <cell r="AH165">
            <v>56942.621598597842</v>
          </cell>
          <cell r="AI165">
            <v>52853.92585597172</v>
          </cell>
          <cell r="AJ165">
            <v>56730.710303469401</v>
          </cell>
          <cell r="AK165">
            <v>57603.356681587051</v>
          </cell>
          <cell r="AL165">
            <v>61987.111823357984</v>
          </cell>
          <cell r="AM165">
            <v>59068.843152938891</v>
          </cell>
          <cell r="AN165">
            <v>59303.811748112363</v>
          </cell>
          <cell r="AO165">
            <v>61450.295257810394</v>
          </cell>
          <cell r="AP165">
            <v>56069.226665550457</v>
          </cell>
          <cell r="AQ165">
            <v>59555.989564195304</v>
          </cell>
          <cell r="AR165">
            <v>57902.036126129526</v>
          </cell>
          <cell r="AS165">
            <v>54920.193506334603</v>
          </cell>
          <cell r="AW165">
            <v>7410.5029513227837</v>
          </cell>
          <cell r="AX165">
            <v>6878.400792743244</v>
          </cell>
          <cell r="AY165">
            <v>7382.9248519328767</v>
          </cell>
          <cell r="AZ165">
            <v>7496.4909010355623</v>
          </cell>
          <cell r="BA165">
            <v>8066.9920389173103</v>
          </cell>
          <cell r="BB165">
            <v>7687.209057597287</v>
          </cell>
          <cell r="BC165">
            <v>7717.7878300372977</v>
          </cell>
          <cell r="BD165">
            <v>7997.1308236864461</v>
          </cell>
          <cell r="BE165">
            <v>7296.83948541068</v>
          </cell>
          <cell r="BF165">
            <v>7750.6062075175987</v>
          </cell>
          <cell r="BG165">
            <v>7535.3609924213079</v>
          </cell>
          <cell r="BH165">
            <v>7147.304508297042</v>
          </cell>
          <cell r="BL165">
            <v>8213.7091811805858</v>
          </cell>
          <cell r="BM165">
            <v>7623.9337753870259</v>
          </cell>
          <cell r="BN165">
            <v>8183.1419592732045</v>
          </cell>
          <cell r="BO165">
            <v>8309.0171537522292</v>
          </cell>
          <cell r="BP165">
            <v>8941.3535099852215</v>
          </cell>
          <cell r="BQ165">
            <v>8520.4067832900255</v>
          </cell>
          <cell r="BR165">
            <v>8554.2999138358973</v>
          </cell>
          <cell r="BS165">
            <v>8863.9202090717172</v>
          </cell>
          <cell r="BT165">
            <v>8087.726011123229</v>
          </cell>
          <cell r="BU165">
            <v>8590.6753947164871</v>
          </cell>
          <cell r="BV165">
            <v>8352.1002789578451</v>
          </cell>
          <cell r="BW165">
            <v>7921.983304792253</v>
          </cell>
        </row>
        <row r="166">
          <cell r="AH166">
            <v>7611.1604483099945</v>
          </cell>
          <cell r="AI166">
            <v>7151.7943088002648</v>
          </cell>
          <cell r="AJ166">
            <v>7570.3545031374297</v>
          </cell>
          <cell r="AK166">
            <v>7616.8155100598669</v>
          </cell>
          <cell r="AL166">
            <v>8060.3975063717189</v>
          </cell>
          <cell r="AM166">
            <v>7741.6939424174707</v>
          </cell>
          <cell r="AN166">
            <v>7783.1816343367918</v>
          </cell>
          <cell r="AO166">
            <v>8005.2061822592559</v>
          </cell>
          <cell r="AP166">
            <v>7424.8718604926453</v>
          </cell>
          <cell r="AQ166">
            <v>7818.9007271843921</v>
          </cell>
          <cell r="AR166">
            <v>7639.9834684443395</v>
          </cell>
          <cell r="AS166">
            <v>7332.6844854365818</v>
          </cell>
          <cell r="AW166">
            <v>990.51510769538072</v>
          </cell>
          <cell r="AX166">
            <v>930.73327754763716</v>
          </cell>
          <cell r="AY166">
            <v>985.20462903030545</v>
          </cell>
          <cell r="AZ166">
            <v>991.25105645591987</v>
          </cell>
          <cell r="BA166">
            <v>1048.9787409309104</v>
          </cell>
          <cell r="BB166">
            <v>1007.5027140993989</v>
          </cell>
          <cell r="BC166">
            <v>1012.9019151684848</v>
          </cell>
          <cell r="BD166">
            <v>1041.7961515323061</v>
          </cell>
          <cell r="BE166">
            <v>966.27154301461064</v>
          </cell>
          <cell r="BF166">
            <v>1017.550391749553</v>
          </cell>
          <cell r="BG166">
            <v>994.26613056322947</v>
          </cell>
          <cell r="BH166">
            <v>954.27429392862052</v>
          </cell>
          <cell r="BL166">
            <v>1097.8746095396095</v>
          </cell>
          <cell r="BM166">
            <v>1031.6131735240351</v>
          </cell>
          <cell r="BN166">
            <v>1091.9885411236992</v>
          </cell>
          <cell r="BO166">
            <v>1098.6903259803189</v>
          </cell>
          <cell r="BP166">
            <v>1162.6749725144502</v>
          </cell>
          <cell r="BQ166">
            <v>1116.7034609149484</v>
          </cell>
          <cell r="BR166">
            <v>1122.6878681385194</v>
          </cell>
          <cell r="BS166">
            <v>1154.713879876678</v>
          </cell>
          <cell r="BT166">
            <v>1071.0033443756924</v>
          </cell>
          <cell r="BU166">
            <v>1127.8401816890603</v>
          </cell>
          <cell r="BV166">
            <v>1102.0321965712656</v>
          </cell>
          <cell r="BW166">
            <v>1057.7057429019735</v>
          </cell>
        </row>
        <row r="167">
          <cell r="AH167">
            <v>21518.765255173865</v>
          </cell>
          <cell r="AI167">
            <v>20300.523232296087</v>
          </cell>
          <cell r="AJ167">
            <v>20300.523232296087</v>
          </cell>
          <cell r="AK167">
            <v>21518.765255173865</v>
          </cell>
          <cell r="AL167">
            <v>20300.523232296091</v>
          </cell>
          <cell r="AM167">
            <v>20300.523232296087</v>
          </cell>
          <cell r="AN167">
            <v>28097.272178713909</v>
          </cell>
          <cell r="AO167">
            <v>26472.949481543536</v>
          </cell>
          <cell r="AP167">
            <v>23630.384761495356</v>
          </cell>
          <cell r="AQ167">
            <v>24848.626784373144</v>
          </cell>
          <cell r="AR167">
            <v>23630.384761495359</v>
          </cell>
          <cell r="AS167">
            <v>35000.643641688031</v>
          </cell>
          <cell r="AW167">
            <v>2193.2389031597759</v>
          </cell>
          <cell r="AX167">
            <v>2063.1967598725996</v>
          </cell>
          <cell r="AY167">
            <v>2063.1967598726005</v>
          </cell>
          <cell r="AZ167">
            <v>2193.2389031597759</v>
          </cell>
          <cell r="BA167">
            <v>2063.1967598725978</v>
          </cell>
          <cell r="BB167">
            <v>2063.1967598725987</v>
          </cell>
          <cell r="BC167">
            <v>2895.466476910527</v>
          </cell>
          <cell r="BD167">
            <v>2722.0769525276264</v>
          </cell>
          <cell r="BE167">
            <v>2418.6452848575495</v>
          </cell>
          <cell r="BF167">
            <v>2548.6874281447231</v>
          </cell>
          <cell r="BG167">
            <v>2418.64528485755</v>
          </cell>
          <cell r="BH167">
            <v>3632.3719555378625</v>
          </cell>
          <cell r="BL167">
            <v>3887.9958416663594</v>
          </cell>
          <cell r="BM167">
            <v>3736.2800078313167</v>
          </cell>
          <cell r="BN167">
            <v>3736.2800078313167</v>
          </cell>
          <cell r="BO167">
            <v>3887.9958416663594</v>
          </cell>
          <cell r="BP167">
            <v>3736.2800078313185</v>
          </cell>
          <cell r="BQ167">
            <v>3736.280007831318</v>
          </cell>
          <cell r="BR167">
            <v>4707.2613443755672</v>
          </cell>
          <cell r="BS167">
            <v>4504.9735659288508</v>
          </cell>
          <cell r="BT167">
            <v>4150.9699536470907</v>
          </cell>
          <cell r="BU167">
            <v>4302.6857874821308</v>
          </cell>
          <cell r="BV167">
            <v>4150.9699536470898</v>
          </cell>
          <cell r="BW167">
            <v>5566.9844027741219</v>
          </cell>
        </row>
        <row r="168">
          <cell r="AH168">
            <v>86072.547302081701</v>
          </cell>
          <cell r="AI168">
            <v>80306.243397068072</v>
          </cell>
          <cell r="AJ168">
            <v>84601.588038902919</v>
          </cell>
          <cell r="AK168">
            <v>86738.937446820782</v>
          </cell>
          <cell r="AL168">
            <v>90348.032562025794</v>
          </cell>
          <cell r="AM168">
            <v>87111.060327652434</v>
          </cell>
          <cell r="AN168">
            <v>95184.265561163076</v>
          </cell>
          <cell r="AO168">
            <v>95928.450921613185</v>
          </cell>
          <cell r="AP168">
            <v>87124.48328753846</v>
          </cell>
          <cell r="AQ168">
            <v>92223.517075752839</v>
          </cell>
          <cell r="AR168">
            <v>89172.404356069223</v>
          </cell>
          <cell r="AS168">
            <v>97253.521633459226</v>
          </cell>
          <cell r="AW168">
            <v>10594.25696217794</v>
          </cell>
          <cell r="AX168">
            <v>9872.3308301634806</v>
          </cell>
          <cell r="AY168">
            <v>10431.326240835782</v>
          </cell>
          <cell r="AZ168">
            <v>10680.980860651258</v>
          </cell>
          <cell r="BA168">
            <v>11179.16753972082</v>
          </cell>
          <cell r="BB168">
            <v>10757.908531569285</v>
          </cell>
          <cell r="BC168">
            <v>11626.156222116309</v>
          </cell>
          <cell r="BD168">
            <v>11761.003927746378</v>
          </cell>
          <cell r="BE168">
            <v>10681.75631328284</v>
          </cell>
          <cell r="BF168">
            <v>11316.844027411875</v>
          </cell>
          <cell r="BG168">
            <v>10948.272407842087</v>
          </cell>
          <cell r="BH168">
            <v>11733.950757763525</v>
          </cell>
          <cell r="BL168">
            <v>13199.579632386554</v>
          </cell>
          <cell r="BM168">
            <v>12391.826956742378</v>
          </cell>
          <cell r="BN168">
            <v>13011.410508228219</v>
          </cell>
          <cell r="BO168">
            <v>13295.703321398907</v>
          </cell>
          <cell r="BP168">
            <v>13840.30849033099</v>
          </cell>
          <cell r="BQ168">
            <v>13373.390252036292</v>
          </cell>
          <cell r="BR168">
            <v>14384.249126349983</v>
          </cell>
          <cell r="BS168">
            <v>14523.607654877245</v>
          </cell>
          <cell r="BT168">
            <v>13309.699309146012</v>
          </cell>
          <cell r="BU168">
            <v>14021.201363887678</v>
          </cell>
          <cell r="BV168">
            <v>13605.102429176201</v>
          </cell>
          <cell r="BW168">
            <v>14546.673450468348</v>
          </cell>
        </row>
        <row r="171">
          <cell r="AH171">
            <v>81288.480499702666</v>
          </cell>
          <cell r="AI171">
            <v>159894.58490973781</v>
          </cell>
          <cell r="AJ171">
            <v>145096.93150856381</v>
          </cell>
          <cell r="AK171">
            <v>181246.89585481642</v>
          </cell>
          <cell r="AL171">
            <v>157778.92321669994</v>
          </cell>
          <cell r="AM171">
            <v>214221.78336240753</v>
          </cell>
          <cell r="AN171">
            <v>51040.171225281549</v>
          </cell>
          <cell r="AO171">
            <v>12553.372026918296</v>
          </cell>
          <cell r="AP171">
            <v>88627.515639880468</v>
          </cell>
          <cell r="AQ171">
            <v>141621.90723211391</v>
          </cell>
          <cell r="AR171">
            <v>107671.46562305919</v>
          </cell>
          <cell r="AS171">
            <v>115252.45022903537</v>
          </cell>
          <cell r="AW171">
            <v>18560.273805184581</v>
          </cell>
          <cell r="AX171">
            <v>68987.501926181678</v>
          </cell>
          <cell r="AY171">
            <v>59937.204152662729</v>
          </cell>
          <cell r="AZ171">
            <v>45103.957437130332</v>
          </cell>
          <cell r="BA171">
            <v>29472.367884943134</v>
          </cell>
          <cell r="BB171">
            <v>68023.68170754693</v>
          </cell>
          <cell r="BC171">
            <v>100821.79113589456</v>
          </cell>
          <cell r="BD171">
            <v>109792.00609391337</v>
          </cell>
          <cell r="BE171">
            <v>111166.40299404066</v>
          </cell>
          <cell r="BF171">
            <v>91260.552534038274</v>
          </cell>
          <cell r="BG171">
            <v>111528.64931648604</v>
          </cell>
          <cell r="BH171">
            <v>102950.31689665279</v>
          </cell>
          <cell r="BL171">
            <v>14390.263691835571</v>
          </cell>
          <cell r="BM171">
            <v>22454.159782427327</v>
          </cell>
          <cell r="BN171">
            <v>8259.7566440035589</v>
          </cell>
          <cell r="BO171">
            <v>23428.425959119413</v>
          </cell>
          <cell r="BP171">
            <v>15286.089607596019</v>
          </cell>
          <cell r="BQ171">
            <v>12190.073313014595</v>
          </cell>
          <cell r="BR171">
            <v>-16905.0628659957</v>
          </cell>
          <cell r="BS171">
            <v>-5694.19001720089</v>
          </cell>
          <cell r="BT171">
            <v>7544.4673554085039</v>
          </cell>
          <cell r="BU171">
            <v>38343.19830997134</v>
          </cell>
          <cell r="BV171">
            <v>85337.906655141967</v>
          </cell>
          <cell r="BW171">
            <v>56624.259946155165</v>
          </cell>
        </row>
        <row r="173">
          <cell r="AH173">
            <v>20444.795883110324</v>
          </cell>
          <cell r="AI173">
            <v>17502.870571959742</v>
          </cell>
          <cell r="AJ173">
            <v>20225.692821689045</v>
          </cell>
          <cell r="AK173">
            <v>19333.430525266507</v>
          </cell>
          <cell r="AL173">
            <v>20756.00895028466</v>
          </cell>
          <cell r="AM173">
            <v>19423.216418141408</v>
          </cell>
          <cell r="AN173">
            <v>19379.246698993622</v>
          </cell>
          <cell r="AO173">
            <v>20267.296504633428</v>
          </cell>
          <cell r="AP173">
            <v>17752.301266162744</v>
          </cell>
          <cell r="AQ173">
            <v>19736.536819582059</v>
          </cell>
          <cell r="AR173">
            <v>17953.141287130289</v>
          </cell>
          <cell r="AS173">
            <v>17210.437292951992</v>
          </cell>
          <cell r="AW173">
            <v>-33677.668233452539</v>
          </cell>
          <cell r="AX173">
            <v>-31404.844066191181</v>
          </cell>
          <cell r="AY173">
            <v>-34538.907917365395</v>
          </cell>
          <cell r="AZ173">
            <v>-34567.945620942861</v>
          </cell>
          <cell r="BA173">
            <v>-36051.384732294544</v>
          </cell>
          <cell r="BB173">
            <v>-35188.793344040525</v>
          </cell>
          <cell r="BC173">
            <v>-34239.619049335837</v>
          </cell>
          <cell r="BD173">
            <v>-35024.972286643315</v>
          </cell>
          <cell r="BE173">
            <v>-32520.875904283406</v>
          </cell>
          <cell r="BF173">
            <v>-33318.012601591952</v>
          </cell>
          <cell r="BG173">
            <v>-30815.515925250955</v>
          </cell>
          <cell r="BH173">
            <v>-29921.913074961885</v>
          </cell>
          <cell r="BL173">
            <v>-2093.2276496577801</v>
          </cell>
          <cell r="BM173">
            <v>-1953.1265057685571</v>
          </cell>
          <cell r="BN173">
            <v>-1982.9849043236441</v>
          </cell>
          <cell r="BO173">
            <v>-2191.2849043236442</v>
          </cell>
          <cell r="BP173">
            <v>-2111.22421799011</v>
          </cell>
          <cell r="BQ173">
            <v>-2011.1230741008867</v>
          </cell>
          <cell r="BR173">
            <v>-2016.4776496577797</v>
          </cell>
          <cell r="BS173">
            <v>-2056.1742179901103</v>
          </cell>
          <cell r="BT173">
            <v>-2066.2753618793336</v>
          </cell>
          <cell r="BU173">
            <v>-2194.9742179901095</v>
          </cell>
          <cell r="BV173">
            <v>-2775.0753618793333</v>
          </cell>
          <cell r="BW173">
            <v>-2354.97421799011</v>
          </cell>
        </row>
        <row r="175">
          <cell r="AH175">
            <v>101733.276382813</v>
          </cell>
          <cell r="AI175">
            <v>177397.45548169754</v>
          </cell>
          <cell r="AJ175">
            <v>165322.62433025285</v>
          </cell>
          <cell r="AK175">
            <v>200580.32638008293</v>
          </cell>
          <cell r="AL175">
            <v>178534.9321669846</v>
          </cell>
          <cell r="AM175">
            <v>233644.99978054894</v>
          </cell>
          <cell r="AN175">
            <v>70419.417924275171</v>
          </cell>
          <cell r="AO175">
            <v>32820.668531551724</v>
          </cell>
          <cell r="AP175">
            <v>106379.81690604321</v>
          </cell>
          <cell r="AQ175">
            <v>161358.44405169596</v>
          </cell>
          <cell r="AR175">
            <v>125624.60691018948</v>
          </cell>
          <cell r="AS175">
            <v>132462.88752198737</v>
          </cell>
          <cell r="AW175">
            <v>-15117.394428267959</v>
          </cell>
          <cell r="AX175">
            <v>37582.657859990497</v>
          </cell>
          <cell r="AY175">
            <v>25398.296235297334</v>
          </cell>
          <cell r="AZ175">
            <v>10536.011816187471</v>
          </cell>
          <cell r="BA175">
            <v>-6579.0168473514095</v>
          </cell>
          <cell r="BB175">
            <v>32834.888363506405</v>
          </cell>
          <cell r="BC175">
            <v>66582.172086558712</v>
          </cell>
          <cell r="BD175">
            <v>74767.033807270054</v>
          </cell>
          <cell r="BE175">
            <v>78645.527089757263</v>
          </cell>
          <cell r="BF175">
            <v>57942.539932446321</v>
          </cell>
          <cell r="BG175">
            <v>80713.133391235082</v>
          </cell>
          <cell r="BH175">
            <v>73028.40382169091</v>
          </cell>
          <cell r="BL175">
            <v>12297.036042177791</v>
          </cell>
          <cell r="BM175">
            <v>20501.033276658771</v>
          </cell>
          <cell r="BN175">
            <v>6276.7717396799144</v>
          </cell>
          <cell r="BO175">
            <v>21237.141054795768</v>
          </cell>
          <cell r="BP175">
            <v>13174.86538960591</v>
          </cell>
          <cell r="BQ175">
            <v>10178.950238913709</v>
          </cell>
          <cell r="BR175">
            <v>-18921.54051565348</v>
          </cell>
          <cell r="BS175">
            <v>-7750.3642351910003</v>
          </cell>
          <cell r="BT175">
            <v>5478.1919935291698</v>
          </cell>
          <cell r="BU175">
            <v>36148.224091981232</v>
          </cell>
          <cell r="BV175">
            <v>82562.831293262629</v>
          </cell>
          <cell r="BW175">
            <v>54269.285728165058</v>
          </cell>
        </row>
        <row r="177">
          <cell r="AH177">
            <v>0</v>
          </cell>
          <cell r="AI177">
            <v>0</v>
          </cell>
          <cell r="AJ177">
            <v>0</v>
          </cell>
          <cell r="AK177">
            <v>0</v>
          </cell>
          <cell r="AL177">
            <v>0</v>
          </cell>
          <cell r="AM177">
            <v>0</v>
          </cell>
          <cell r="AN177">
            <v>0</v>
          </cell>
          <cell r="AO177">
            <v>0</v>
          </cell>
          <cell r="AP177">
            <v>0</v>
          </cell>
          <cell r="AQ177">
            <v>0</v>
          </cell>
          <cell r="AR177">
            <v>0</v>
          </cell>
          <cell r="AS177">
            <v>0</v>
          </cell>
          <cell r="AW177">
            <v>0</v>
          </cell>
          <cell r="AX177">
            <v>0</v>
          </cell>
          <cell r="AY177">
            <v>0</v>
          </cell>
          <cell r="AZ177">
            <v>0</v>
          </cell>
          <cell r="BA177">
            <v>0</v>
          </cell>
          <cell r="BB177">
            <v>0</v>
          </cell>
          <cell r="BC177">
            <v>0</v>
          </cell>
          <cell r="BD177">
            <v>0</v>
          </cell>
          <cell r="BE177">
            <v>0</v>
          </cell>
          <cell r="BF177">
            <v>0</v>
          </cell>
          <cell r="BG177">
            <v>0</v>
          </cell>
          <cell r="BH177">
            <v>0</v>
          </cell>
          <cell r="BL177">
            <v>0</v>
          </cell>
          <cell r="BM177">
            <v>0</v>
          </cell>
          <cell r="BN177">
            <v>0</v>
          </cell>
          <cell r="BO177">
            <v>0</v>
          </cell>
          <cell r="BP177">
            <v>0</v>
          </cell>
          <cell r="BQ177">
            <v>0</v>
          </cell>
          <cell r="BR177">
            <v>0</v>
          </cell>
          <cell r="BS177">
            <v>0</v>
          </cell>
          <cell r="BT177">
            <v>0</v>
          </cell>
          <cell r="BU177">
            <v>0</v>
          </cell>
          <cell r="BV177">
            <v>0</v>
          </cell>
          <cell r="BW177">
            <v>0</v>
          </cell>
        </row>
        <row r="178">
          <cell r="AH178">
            <v>30692.209581344679</v>
          </cell>
          <cell r="AI178">
            <v>67973.705379248771</v>
          </cell>
          <cell r="AJ178">
            <v>61274.063130186245</v>
          </cell>
          <cell r="AK178">
            <v>74216.602823031222</v>
          </cell>
          <cell r="AL178">
            <v>63386.379143976665</v>
          </cell>
          <cell r="AM178">
            <v>88472.195523789487</v>
          </cell>
          <cell r="AN178">
            <v>27720.119490799101</v>
          </cell>
          <cell r="AO178">
            <v>13567.634088810344</v>
          </cell>
          <cell r="AP178">
            <v>42190.354067480293</v>
          </cell>
          <cell r="AQ178">
            <v>59201.543765413779</v>
          </cell>
          <cell r="AR178">
            <v>47831.084184353182</v>
          </cell>
          <cell r="AS178">
            <v>49380.024169837765</v>
          </cell>
          <cell r="AW178">
            <v>-12615.068014750561</v>
          </cell>
          <cell r="AX178">
            <v>2457.1123074671218</v>
          </cell>
          <cell r="AY178">
            <v>-917.76082812639015</v>
          </cell>
          <cell r="AZ178">
            <v>-5595.7147216973735</v>
          </cell>
          <cell r="BA178">
            <v>-10918.799851385342</v>
          </cell>
          <cell r="BB178">
            <v>2668.0326560527997</v>
          </cell>
          <cell r="BC178">
            <v>10221.115566541845</v>
          </cell>
          <cell r="BD178">
            <v>12216.371593684356</v>
          </cell>
          <cell r="BE178">
            <v>13894.268911853538</v>
          </cell>
          <cell r="BF178">
            <v>10070.78325186383</v>
          </cell>
          <cell r="BG178">
            <v>15998.066576570704</v>
          </cell>
          <cell r="BH178">
            <v>14004.547089088856</v>
          </cell>
          <cell r="BL178">
            <v>3105.7937009511634</v>
          </cell>
          <cell r="BM178">
            <v>6438.7302045841006</v>
          </cell>
          <cell r="BN178">
            <v>592.6682097511798</v>
          </cell>
          <cell r="BO178">
            <v>6715.7606138255178</v>
          </cell>
          <cell r="BP178">
            <v>3399.5685759745252</v>
          </cell>
          <cell r="BQ178">
            <v>2162.312223841795</v>
          </cell>
          <cell r="BR178">
            <v>-9781.2758754281313</v>
          </cell>
          <cell r="BS178">
            <v>-5211.7526155616697</v>
          </cell>
          <cell r="BT178">
            <v>49.243442957980733</v>
          </cell>
          <cell r="BU178">
            <v>12526.903849488575</v>
          </cell>
          <cell r="BV178">
            <v>31542.77803734233</v>
          </cell>
          <cell r="BW178">
            <v>19931.765340529171</v>
          </cell>
        </row>
        <row r="179">
          <cell r="AH179">
            <v>38337.436358737701</v>
          </cell>
          <cell r="AI179">
            <v>38943.875374257761</v>
          </cell>
          <cell r="AJ179">
            <v>39225.449850343743</v>
          </cell>
          <cell r="AK179">
            <v>39439.344214047625</v>
          </cell>
          <cell r="AL179">
            <v>39653.238577751508</v>
          </cell>
          <cell r="AM179">
            <v>39833.292885264345</v>
          </cell>
          <cell r="AN179">
            <v>40081.027305159281</v>
          </cell>
          <cell r="AO179">
            <v>40294.921668863171</v>
          </cell>
          <cell r="AP179">
            <v>43486.740977379413</v>
          </cell>
          <cell r="AQ179">
            <v>45392.638150635787</v>
          </cell>
          <cell r="AR179">
            <v>45674.212626721768</v>
          </cell>
          <cell r="AS179">
            <v>45888.106990425651</v>
          </cell>
          <cell r="AW179">
            <v>4187.8564089924812</v>
          </cell>
          <cell r="AX179">
            <v>4253.7558047086713</v>
          </cell>
          <cell r="AY179">
            <v>4284.9772955482813</v>
          </cell>
          <cell r="AZ179">
            <v>4308.974222871936</v>
          </cell>
          <cell r="BA179">
            <v>4332.9711501955917</v>
          </cell>
          <cell r="BB179">
            <v>4353.3557957612693</v>
          </cell>
          <cell r="BC179">
            <v>4380.9650048429021</v>
          </cell>
          <cell r="BD179">
            <v>4404.9619321665577</v>
          </cell>
          <cell r="BE179">
            <v>4746.8396541921993</v>
          </cell>
          <cell r="BF179">
            <v>4951.4506694147112</v>
          </cell>
          <cell r="BG179">
            <v>4982.6721602543212</v>
          </cell>
          <cell r="BH179">
            <v>5006.6690875779759</v>
          </cell>
          <cell r="BL179">
            <v>4721.9294544920394</v>
          </cell>
          <cell r="BM179">
            <v>4796.8132654780102</v>
          </cell>
          <cell r="BN179">
            <v>4831.2395207746385</v>
          </cell>
          <cell r="BO179">
            <v>4857.237118635986</v>
          </cell>
          <cell r="BP179">
            <v>4883.2347164973326</v>
          </cell>
          <cell r="BQ179">
            <v>4905.0179856410405</v>
          </cell>
          <cell r="BR179">
            <v>4935.2299122200275</v>
          </cell>
          <cell r="BS179">
            <v>4961.2275100813758</v>
          </cell>
          <cell r="BT179">
            <v>5358.0860350950416</v>
          </cell>
          <cell r="BU179">
            <v>5594.8000688383881</v>
          </cell>
          <cell r="BV179">
            <v>5629.2263241350156</v>
          </cell>
          <cell r="BW179">
            <v>5655.2239219963631</v>
          </cell>
        </row>
        <row r="180">
          <cell r="AH180">
            <v>0</v>
          </cell>
          <cell r="AI180">
            <v>0</v>
          </cell>
          <cell r="AJ180">
            <v>0</v>
          </cell>
          <cell r="AK180">
            <v>0</v>
          </cell>
          <cell r="AL180">
            <v>0</v>
          </cell>
          <cell r="AM180">
            <v>0</v>
          </cell>
          <cell r="AN180">
            <v>0</v>
          </cell>
          <cell r="AO180">
            <v>0</v>
          </cell>
          <cell r="AP180">
            <v>0</v>
          </cell>
          <cell r="AQ180">
            <v>0</v>
          </cell>
          <cell r="AR180">
            <v>0</v>
          </cell>
          <cell r="AS180">
            <v>0</v>
          </cell>
          <cell r="AW180">
            <v>0</v>
          </cell>
          <cell r="AX180">
            <v>0</v>
          </cell>
          <cell r="AY180">
            <v>0</v>
          </cell>
          <cell r="AZ180">
            <v>0</v>
          </cell>
          <cell r="BA180">
            <v>0</v>
          </cell>
          <cell r="BB180">
            <v>0</v>
          </cell>
          <cell r="BC180">
            <v>0</v>
          </cell>
          <cell r="BD180">
            <v>0</v>
          </cell>
          <cell r="BE180">
            <v>0</v>
          </cell>
          <cell r="BF180">
            <v>0</v>
          </cell>
          <cell r="BG180">
            <v>0</v>
          </cell>
          <cell r="BH180">
            <v>0</v>
          </cell>
          <cell r="BL180">
            <v>0</v>
          </cell>
          <cell r="BM180">
            <v>0</v>
          </cell>
          <cell r="BN180">
            <v>0</v>
          </cell>
          <cell r="BO180">
            <v>0</v>
          </cell>
          <cell r="BP180">
            <v>0</v>
          </cell>
          <cell r="BQ180">
            <v>0</v>
          </cell>
          <cell r="BR180">
            <v>0</v>
          </cell>
          <cell r="BS180">
            <v>0</v>
          </cell>
          <cell r="BT180">
            <v>0</v>
          </cell>
          <cell r="BU180">
            <v>0</v>
          </cell>
          <cell r="BV180">
            <v>0</v>
          </cell>
          <cell r="BW180">
            <v>0</v>
          </cell>
        </row>
        <row r="181">
          <cell r="AH181">
            <v>69029.645940082381</v>
          </cell>
          <cell r="AI181">
            <v>106917.58075350654</v>
          </cell>
          <cell r="AJ181">
            <v>100499.51298052998</v>
          </cell>
          <cell r="AK181">
            <v>113655.94703707885</v>
          </cell>
          <cell r="AL181">
            <v>103039.61772172817</v>
          </cell>
          <cell r="AM181">
            <v>128305.48840905383</v>
          </cell>
          <cell r="AN181">
            <v>67801.146795958382</v>
          </cell>
          <cell r="AO181">
            <v>53862.555757673515</v>
          </cell>
          <cell r="AP181">
            <v>85677.095044859714</v>
          </cell>
          <cell r="AQ181">
            <v>104594.18191604957</v>
          </cell>
          <cell r="AR181">
            <v>93505.29681107495</v>
          </cell>
          <cell r="AS181">
            <v>95268.131160263409</v>
          </cell>
          <cell r="AW181">
            <v>-8427.2116057580788</v>
          </cell>
          <cell r="AX181">
            <v>6710.8681121757927</v>
          </cell>
          <cell r="AY181">
            <v>3367.2164674218911</v>
          </cell>
          <cell r="AZ181">
            <v>-1286.7404988254375</v>
          </cell>
          <cell r="BA181">
            <v>-6585.8287011897501</v>
          </cell>
          <cell r="BB181">
            <v>7021.3884518140694</v>
          </cell>
          <cell r="BC181">
            <v>14602.080571384748</v>
          </cell>
          <cell r="BD181">
            <v>16621.333525850914</v>
          </cell>
          <cell r="BE181">
            <v>18641.108566045739</v>
          </cell>
          <cell r="BF181">
            <v>15022.233921278541</v>
          </cell>
          <cell r="BG181">
            <v>20980.738736825024</v>
          </cell>
          <cell r="BH181">
            <v>19011.216176666832</v>
          </cell>
          <cell r="BL181">
            <v>7827.7231554432028</v>
          </cell>
          <cell r="BM181">
            <v>11235.543470062112</v>
          </cell>
          <cell r="BN181">
            <v>5423.9077305258179</v>
          </cell>
          <cell r="BO181">
            <v>11572.997732461503</v>
          </cell>
          <cell r="BP181">
            <v>8282.8032924718573</v>
          </cell>
          <cell r="BQ181">
            <v>7067.3302094828359</v>
          </cell>
          <cell r="BR181">
            <v>-4846.0459632081038</v>
          </cell>
          <cell r="BS181">
            <v>-250.52510548029386</v>
          </cell>
          <cell r="BT181">
            <v>5407.3294780530223</v>
          </cell>
          <cell r="BU181">
            <v>18121.703918326963</v>
          </cell>
          <cell r="BV181">
            <v>37172.004361477346</v>
          </cell>
          <cell r="BW181">
            <v>25586.989262525534</v>
          </cell>
        </row>
        <row r="183">
          <cell r="AH183">
            <v>32703.630442730617</v>
          </cell>
          <cell r="AI183">
            <v>70479.874728191004</v>
          </cell>
          <cell r="AJ183">
            <v>64823.111349722865</v>
          </cell>
          <cell r="AK183">
            <v>86924.379343004082</v>
          </cell>
          <cell r="AL183">
            <v>75495.31444525643</v>
          </cell>
          <cell r="AM183">
            <v>105339.51137149511</v>
          </cell>
          <cell r="AN183">
            <v>2618.2711283167882</v>
          </cell>
          <cell r="AO183">
            <v>-21041.887226121791</v>
          </cell>
          <cell r="AP183">
            <v>20702.721861183498</v>
          </cell>
          <cell r="AQ183">
            <v>56764.262135646393</v>
          </cell>
          <cell r="AR183">
            <v>32119.310099114533</v>
          </cell>
          <cell r="AS183">
            <v>37194.756361723965</v>
          </cell>
          <cell r="AW183">
            <v>-6690.1828225098798</v>
          </cell>
          <cell r="AX183">
            <v>30871.789747814706</v>
          </cell>
          <cell r="AY183">
            <v>22031.079767875442</v>
          </cell>
          <cell r="AZ183">
            <v>11822.752315012909</v>
          </cell>
          <cell r="BA183">
            <v>6.8118538383405394</v>
          </cell>
          <cell r="BB183">
            <v>25813.499911692335</v>
          </cell>
          <cell r="BC183">
            <v>51980.091515173961</v>
          </cell>
          <cell r="BD183">
            <v>58145.700281419136</v>
          </cell>
          <cell r="BE183">
            <v>60004.418523711523</v>
          </cell>
          <cell r="BF183">
            <v>42920.306011167777</v>
          </cell>
          <cell r="BG183">
            <v>59732.394654410062</v>
          </cell>
          <cell r="BH183">
            <v>54017.187645024082</v>
          </cell>
          <cell r="BL183">
            <v>4469.3128867345886</v>
          </cell>
          <cell r="BM183">
            <v>9265.489806596659</v>
          </cell>
          <cell r="BN183">
            <v>852.86400915409649</v>
          </cell>
          <cell r="BO183">
            <v>9664.1433223342647</v>
          </cell>
          <cell r="BP183">
            <v>4892.0620971340522</v>
          </cell>
          <cell r="BQ183">
            <v>3111.6200294308728</v>
          </cell>
          <cell r="BR183">
            <v>-14075.494552445376</v>
          </cell>
          <cell r="BS183">
            <v>-7499.8391297107064</v>
          </cell>
          <cell r="BT183">
            <v>70.862515476147564</v>
          </cell>
          <cell r="BU183">
            <v>18026.520173654269</v>
          </cell>
          <cell r="BV183">
            <v>45390.826931785283</v>
          </cell>
          <cell r="BW183">
            <v>28682.296465639523</v>
          </cell>
        </row>
        <row r="186">
          <cell r="AH186" t="e">
            <v>#DIV/0!</v>
          </cell>
          <cell r="AI186" t="e">
            <v>#DIV/0!</v>
          </cell>
          <cell r="AJ186" t="e">
            <v>#DIV/0!</v>
          </cell>
          <cell r="AK186" t="e">
            <v>#DIV/0!</v>
          </cell>
          <cell r="AL186" t="e">
            <v>#DIV/0!</v>
          </cell>
          <cell r="AM186" t="e">
            <v>#DIV/0!</v>
          </cell>
          <cell r="AN186" t="e">
            <v>#DIV/0!</v>
          </cell>
          <cell r="AO186" t="e">
            <v>#DIV/0!</v>
          </cell>
          <cell r="AP186" t="e">
            <v>#DIV/0!</v>
          </cell>
          <cell r="AQ186" t="e">
            <v>#DIV/0!</v>
          </cell>
          <cell r="AR186" t="e">
            <v>#DIV/0!</v>
          </cell>
          <cell r="AS186" t="e">
            <v>#DIV/0!</v>
          </cell>
          <cell r="AW186" t="e">
            <v>#DIV/0!</v>
          </cell>
          <cell r="AX186" t="e">
            <v>#DIV/0!</v>
          </cell>
          <cell r="AY186" t="e">
            <v>#DIV/0!</v>
          </cell>
          <cell r="AZ186" t="e">
            <v>#DIV/0!</v>
          </cell>
          <cell r="BA186" t="e">
            <v>#DIV/0!</v>
          </cell>
          <cell r="BB186" t="e">
            <v>#DIV/0!</v>
          </cell>
          <cell r="BC186" t="e">
            <v>#DIV/0!</v>
          </cell>
          <cell r="BD186" t="e">
            <v>#DIV/0!</v>
          </cell>
          <cell r="BE186" t="e">
            <v>#DIV/0!</v>
          </cell>
          <cell r="BF186" t="e">
            <v>#DIV/0!</v>
          </cell>
          <cell r="BG186" t="e">
            <v>#DIV/0!</v>
          </cell>
          <cell r="BH186" t="e">
            <v>#DIV/0!</v>
          </cell>
          <cell r="BL186" t="e">
            <v>#DIV/0!</v>
          </cell>
          <cell r="BM186" t="e">
            <v>#DIV/0!</v>
          </cell>
          <cell r="BN186" t="e">
            <v>#DIV/0!</v>
          </cell>
          <cell r="BO186" t="e">
            <v>#DIV/0!</v>
          </cell>
          <cell r="BP186" t="e">
            <v>#DIV/0!</v>
          </cell>
          <cell r="BQ186" t="e">
            <v>#DIV/0!</v>
          </cell>
          <cell r="BR186" t="e">
            <v>#DIV/0!</v>
          </cell>
          <cell r="BS186" t="e">
            <v>#DIV/0!</v>
          </cell>
          <cell r="BT186" t="e">
            <v>#DIV/0!</v>
          </cell>
          <cell r="BU186" t="e">
            <v>#DIV/0!</v>
          </cell>
          <cell r="BV186" t="e">
            <v>#DIV/0!</v>
          </cell>
          <cell r="BW186" t="e">
            <v>#DIV/0!</v>
          </cell>
        </row>
        <row r="200">
          <cell r="AH200">
            <v>1</v>
          </cell>
          <cell r="AI200">
            <v>2</v>
          </cell>
          <cell r="AJ200">
            <v>3</v>
          </cell>
          <cell r="AK200">
            <v>4</v>
          </cell>
          <cell r="AL200">
            <v>5</v>
          </cell>
          <cell r="AM200">
            <v>6</v>
          </cell>
          <cell r="AN200">
            <v>7</v>
          </cell>
          <cell r="AO200">
            <v>8</v>
          </cell>
          <cell r="AP200">
            <v>9</v>
          </cell>
          <cell r="AQ200">
            <v>10</v>
          </cell>
          <cell r="AR200">
            <v>11</v>
          </cell>
          <cell r="AS200">
            <v>12</v>
          </cell>
          <cell r="AW200">
            <v>1</v>
          </cell>
          <cell r="AX200">
            <v>2</v>
          </cell>
          <cell r="AY200">
            <v>3</v>
          </cell>
          <cell r="AZ200">
            <v>4</v>
          </cell>
          <cell r="BA200">
            <v>5</v>
          </cell>
          <cell r="BB200">
            <v>6</v>
          </cell>
          <cell r="BC200">
            <v>7</v>
          </cell>
          <cell r="BD200">
            <v>8</v>
          </cell>
          <cell r="BE200">
            <v>9</v>
          </cell>
          <cell r="BF200">
            <v>10</v>
          </cell>
          <cell r="BG200">
            <v>11</v>
          </cell>
          <cell r="BH200">
            <v>12</v>
          </cell>
          <cell r="BL200">
            <v>1</v>
          </cell>
          <cell r="BM200">
            <v>2</v>
          </cell>
          <cell r="BN200">
            <v>3</v>
          </cell>
          <cell r="BO200">
            <v>4</v>
          </cell>
          <cell r="BP200">
            <v>5</v>
          </cell>
          <cell r="BQ200">
            <v>6</v>
          </cell>
          <cell r="BR200">
            <v>7</v>
          </cell>
          <cell r="BS200">
            <v>8</v>
          </cell>
          <cell r="BT200">
            <v>9</v>
          </cell>
          <cell r="BU200">
            <v>10</v>
          </cell>
          <cell r="BV200">
            <v>11</v>
          </cell>
          <cell r="BW200">
            <v>12</v>
          </cell>
        </row>
        <row r="201">
          <cell r="AH201">
            <v>209359.80961718416</v>
          </cell>
          <cell r="AI201">
            <v>441219.61923436832</v>
          </cell>
          <cell r="AJ201">
            <v>699829.42885155254</v>
          </cell>
          <cell r="AK201">
            <v>1049439.2384687366</v>
          </cell>
          <cell r="AL201">
            <v>1496049.0480859207</v>
          </cell>
          <cell r="AM201">
            <v>1909908.8577031048</v>
          </cell>
          <cell r="AN201">
            <v>2268018.6673202892</v>
          </cell>
          <cell r="AO201">
            <v>2566128.4769374733</v>
          </cell>
          <cell r="AP201">
            <v>2814238.2865546574</v>
          </cell>
          <cell r="AQ201">
            <v>3029348.0961718415</v>
          </cell>
          <cell r="AR201">
            <v>3194457.9057890256</v>
          </cell>
          <cell r="AS201">
            <v>3335567.7154062097</v>
          </cell>
          <cell r="AW201">
            <v>25500</v>
          </cell>
          <cell r="AX201">
            <v>53000</v>
          </cell>
          <cell r="AY201">
            <v>74000</v>
          </cell>
          <cell r="AZ201">
            <v>107750</v>
          </cell>
          <cell r="BA201">
            <v>126500</v>
          </cell>
          <cell r="BB201">
            <v>145250</v>
          </cell>
          <cell r="BC201">
            <v>168250</v>
          </cell>
          <cell r="BD201">
            <v>197250</v>
          </cell>
          <cell r="BE201">
            <v>226250</v>
          </cell>
          <cell r="BF201">
            <v>255500</v>
          </cell>
          <cell r="BG201">
            <v>284750</v>
          </cell>
          <cell r="BH201">
            <v>310250</v>
          </cell>
          <cell r="BL201">
            <v>0</v>
          </cell>
          <cell r="BM201">
            <v>0</v>
          </cell>
          <cell r="BN201">
            <v>0</v>
          </cell>
          <cell r="BO201">
            <v>0</v>
          </cell>
          <cell r="BP201">
            <v>0</v>
          </cell>
          <cell r="BQ201">
            <v>0</v>
          </cell>
          <cell r="BR201">
            <v>0</v>
          </cell>
          <cell r="BS201">
            <v>0</v>
          </cell>
          <cell r="BT201">
            <v>0</v>
          </cell>
          <cell r="BU201">
            <v>0</v>
          </cell>
          <cell r="BV201">
            <v>0</v>
          </cell>
          <cell r="BW201">
            <v>0</v>
          </cell>
        </row>
        <row r="202">
          <cell r="AH202">
            <v>662273.68921258766</v>
          </cell>
          <cell r="AI202">
            <v>1329047.3784251753</v>
          </cell>
          <cell r="AJ202">
            <v>2012821.067637763</v>
          </cell>
          <cell r="AK202">
            <v>2707864.7568503506</v>
          </cell>
          <cell r="AL202">
            <v>3319908.4460629383</v>
          </cell>
          <cell r="AM202">
            <v>3995952.135275526</v>
          </cell>
          <cell r="AN202">
            <v>4594665.8244881136</v>
          </cell>
          <cell r="AO202">
            <v>5231379.5137007013</v>
          </cell>
          <cell r="AP202">
            <v>5928093.202913289</v>
          </cell>
          <cell r="AQ202">
            <v>6570906.8921258766</v>
          </cell>
          <cell r="AR202">
            <v>7174720.5813384643</v>
          </cell>
          <cell r="AS202">
            <v>7798534.2705510519</v>
          </cell>
          <cell r="AW202">
            <v>106374.32621047054</v>
          </cell>
          <cell r="AX202">
            <v>250748.6524209411</v>
          </cell>
          <cell r="AY202">
            <v>399122.97863141168</v>
          </cell>
          <cell r="AZ202">
            <v>524607.3048418822</v>
          </cell>
          <cell r="BA202">
            <v>657231.63105235272</v>
          </cell>
          <cell r="BB202">
            <v>805715.95726282324</v>
          </cell>
          <cell r="BC202">
            <v>992150.28347329376</v>
          </cell>
          <cell r="BD202">
            <v>1184584.6096837644</v>
          </cell>
          <cell r="BE202">
            <v>1368018.935894235</v>
          </cell>
          <cell r="BF202">
            <v>1519483.2621047057</v>
          </cell>
          <cell r="BG202">
            <v>1687947.5883151763</v>
          </cell>
          <cell r="BH202">
            <v>1849161.9145256469</v>
          </cell>
          <cell r="BL202">
            <v>0</v>
          </cell>
          <cell r="BM202">
            <v>0</v>
          </cell>
          <cell r="BN202">
            <v>0</v>
          </cell>
          <cell r="BO202">
            <v>0</v>
          </cell>
          <cell r="BP202">
            <v>0</v>
          </cell>
          <cell r="BQ202">
            <v>0</v>
          </cell>
          <cell r="BR202">
            <v>0</v>
          </cell>
          <cell r="BS202">
            <v>0</v>
          </cell>
          <cell r="BT202">
            <v>0</v>
          </cell>
          <cell r="BU202">
            <v>0</v>
          </cell>
          <cell r="BV202">
            <v>0</v>
          </cell>
          <cell r="BW202">
            <v>0</v>
          </cell>
        </row>
        <row r="203">
          <cell r="AH203">
            <v>0</v>
          </cell>
          <cell r="AI203">
            <v>0</v>
          </cell>
          <cell r="AJ203">
            <v>0</v>
          </cell>
          <cell r="AK203">
            <v>0</v>
          </cell>
          <cell r="AL203">
            <v>0</v>
          </cell>
          <cell r="AM203">
            <v>0</v>
          </cell>
          <cell r="AN203">
            <v>0</v>
          </cell>
          <cell r="AO203">
            <v>0</v>
          </cell>
          <cell r="AP203">
            <v>0</v>
          </cell>
          <cell r="AQ203">
            <v>0</v>
          </cell>
          <cell r="AR203">
            <v>0</v>
          </cell>
          <cell r="AS203">
            <v>0</v>
          </cell>
          <cell r="AW203">
            <v>0</v>
          </cell>
          <cell r="AX203">
            <v>0</v>
          </cell>
          <cell r="AY203">
            <v>0</v>
          </cell>
          <cell r="AZ203">
            <v>0</v>
          </cell>
          <cell r="BA203">
            <v>0</v>
          </cell>
          <cell r="BB203">
            <v>0</v>
          </cell>
          <cell r="BC203">
            <v>0</v>
          </cell>
          <cell r="BD203">
            <v>0</v>
          </cell>
          <cell r="BE203">
            <v>0</v>
          </cell>
          <cell r="BF203">
            <v>0</v>
          </cell>
          <cell r="BG203">
            <v>0</v>
          </cell>
          <cell r="BH203">
            <v>0</v>
          </cell>
          <cell r="BL203">
            <v>173902.17495975754</v>
          </cell>
          <cell r="BM203">
            <v>333804.34991951508</v>
          </cell>
          <cell r="BN203">
            <v>496706.52487927262</v>
          </cell>
          <cell r="BO203">
            <v>680438.69983903016</v>
          </cell>
          <cell r="BP203">
            <v>856170.87479878776</v>
          </cell>
          <cell r="BQ203">
            <v>1021903.0497585454</v>
          </cell>
          <cell r="BR203">
            <v>1188130.224718303</v>
          </cell>
          <cell r="BS203">
            <v>1358357.3996780606</v>
          </cell>
          <cell r="BT203">
            <v>1529584.5746378182</v>
          </cell>
          <cell r="BU203">
            <v>1713691.7495975757</v>
          </cell>
          <cell r="BV203">
            <v>1955798.9245573333</v>
          </cell>
          <cell r="BW203">
            <v>2155906.0995170907</v>
          </cell>
        </row>
        <row r="204">
          <cell r="AH204">
            <v>5000</v>
          </cell>
          <cell r="AI204">
            <v>10000</v>
          </cell>
          <cell r="AJ204">
            <v>15000</v>
          </cell>
          <cell r="AK204">
            <v>20000</v>
          </cell>
          <cell r="AL204">
            <v>25000</v>
          </cell>
          <cell r="AM204">
            <v>30000</v>
          </cell>
          <cell r="AN204">
            <v>35000</v>
          </cell>
          <cell r="AO204">
            <v>40000</v>
          </cell>
          <cell r="AP204">
            <v>45000</v>
          </cell>
          <cell r="AQ204">
            <v>50000</v>
          </cell>
          <cell r="AR204">
            <v>55000</v>
          </cell>
          <cell r="AS204">
            <v>60000</v>
          </cell>
          <cell r="AW204">
            <v>0</v>
          </cell>
          <cell r="AX204">
            <v>0</v>
          </cell>
          <cell r="AY204">
            <v>0</v>
          </cell>
          <cell r="AZ204">
            <v>0</v>
          </cell>
          <cell r="BA204">
            <v>0</v>
          </cell>
          <cell r="BB204">
            <v>0</v>
          </cell>
          <cell r="BC204">
            <v>0</v>
          </cell>
          <cell r="BD204">
            <v>0</v>
          </cell>
          <cell r="BE204">
            <v>0</v>
          </cell>
          <cell r="BF204">
            <v>0</v>
          </cell>
          <cell r="BG204">
            <v>0</v>
          </cell>
          <cell r="BH204">
            <v>0</v>
          </cell>
          <cell r="BL204">
            <v>0</v>
          </cell>
          <cell r="BM204">
            <v>0</v>
          </cell>
          <cell r="BN204">
            <v>0</v>
          </cell>
          <cell r="BO204">
            <v>0</v>
          </cell>
          <cell r="BP204">
            <v>0</v>
          </cell>
          <cell r="BQ204">
            <v>0</v>
          </cell>
          <cell r="BR204">
            <v>0</v>
          </cell>
          <cell r="BS204">
            <v>0</v>
          </cell>
          <cell r="BT204">
            <v>0</v>
          </cell>
          <cell r="BU204">
            <v>0</v>
          </cell>
          <cell r="BV204">
            <v>0</v>
          </cell>
          <cell r="BW204">
            <v>0</v>
          </cell>
        </row>
        <row r="205">
          <cell r="AH205">
            <v>22352.680186835281</v>
          </cell>
          <cell r="AI205">
            <v>44705.360373670563</v>
          </cell>
          <cell r="AJ205">
            <v>67058.040560505848</v>
          </cell>
          <cell r="AK205">
            <v>26078.126884641162</v>
          </cell>
          <cell r="AL205">
            <v>-14901.786791223523</v>
          </cell>
          <cell r="AM205">
            <v>-55881.700467088209</v>
          </cell>
          <cell r="AN205">
            <v>-150508.04659135756</v>
          </cell>
          <cell r="AO205">
            <v>-244389.30337606574</v>
          </cell>
          <cell r="AP205">
            <v>-330819.66676516214</v>
          </cell>
          <cell r="AQ205">
            <v>-220546.44451010809</v>
          </cell>
          <cell r="AR205">
            <v>-110273.22225505403</v>
          </cell>
          <cell r="AS205">
            <v>0</v>
          </cell>
          <cell r="AW205">
            <v>2780.4125627820981</v>
          </cell>
          <cell r="AX205">
            <v>5560.8251255641962</v>
          </cell>
          <cell r="AY205">
            <v>8341.2376883462948</v>
          </cell>
          <cell r="AZ205">
            <v>3243.8146565791149</v>
          </cell>
          <cell r="BA205">
            <v>-1853.6083751880651</v>
          </cell>
          <cell r="BB205">
            <v>-6951.0314069552451</v>
          </cell>
          <cell r="BC205">
            <v>-18721.44458939946</v>
          </cell>
          <cell r="BD205">
            <v>-30399.177353084273</v>
          </cell>
          <cell r="BE205">
            <v>-41150.105929175057</v>
          </cell>
          <cell r="BF205">
            <v>-27433.403952783374</v>
          </cell>
          <cell r="BG205">
            <v>-13716.701976391689</v>
          </cell>
          <cell r="BH205">
            <v>0</v>
          </cell>
          <cell r="BL205">
            <v>4866.9072503826201</v>
          </cell>
          <cell r="BM205">
            <v>9733.8145007652402</v>
          </cell>
          <cell r="BN205">
            <v>14600.721751147859</v>
          </cell>
          <cell r="BO205">
            <v>5678.0584587797221</v>
          </cell>
          <cell r="BP205">
            <v>-3244.6048335884152</v>
          </cell>
          <cell r="BQ205">
            <v>-12167.268125956552</v>
          </cell>
          <cell r="BR205">
            <v>-32770.508819242976</v>
          </cell>
          <cell r="BS205">
            <v>-53211.519270849982</v>
          </cell>
          <cell r="BT205">
            <v>-72030.227305662789</v>
          </cell>
          <cell r="BU205">
            <v>-48020.151537108526</v>
          </cell>
          <cell r="BV205">
            <v>-24010.075768554267</v>
          </cell>
          <cell r="BW205">
            <v>0</v>
          </cell>
        </row>
        <row r="206">
          <cell r="AH206">
            <v>0</v>
          </cell>
          <cell r="AI206">
            <v>0</v>
          </cell>
          <cell r="AJ206">
            <v>0</v>
          </cell>
          <cell r="AK206">
            <v>0</v>
          </cell>
          <cell r="AL206">
            <v>0</v>
          </cell>
          <cell r="AM206">
            <v>0</v>
          </cell>
          <cell r="AN206">
            <v>0</v>
          </cell>
          <cell r="AO206">
            <v>0</v>
          </cell>
          <cell r="AP206">
            <v>0</v>
          </cell>
          <cell r="AQ206">
            <v>0</v>
          </cell>
          <cell r="AR206">
            <v>0</v>
          </cell>
          <cell r="AS206">
            <v>0</v>
          </cell>
          <cell r="AW206">
            <v>0</v>
          </cell>
          <cell r="AX206">
            <v>0</v>
          </cell>
          <cell r="AY206">
            <v>0</v>
          </cell>
          <cell r="AZ206">
            <v>0</v>
          </cell>
          <cell r="BA206">
            <v>0</v>
          </cell>
          <cell r="BB206">
            <v>0</v>
          </cell>
          <cell r="BC206">
            <v>0</v>
          </cell>
          <cell r="BD206">
            <v>0</v>
          </cell>
          <cell r="BE206">
            <v>0</v>
          </cell>
          <cell r="BF206">
            <v>0</v>
          </cell>
          <cell r="BG206">
            <v>0</v>
          </cell>
          <cell r="BH206">
            <v>0</v>
          </cell>
          <cell r="BL206">
            <v>0</v>
          </cell>
          <cell r="BM206">
            <v>0</v>
          </cell>
          <cell r="BN206">
            <v>0</v>
          </cell>
          <cell r="BO206">
            <v>0</v>
          </cell>
          <cell r="BP206">
            <v>0</v>
          </cell>
          <cell r="BQ206">
            <v>0</v>
          </cell>
          <cell r="BR206">
            <v>0</v>
          </cell>
          <cell r="BS206">
            <v>0</v>
          </cell>
          <cell r="BT206">
            <v>0</v>
          </cell>
          <cell r="BU206">
            <v>0</v>
          </cell>
          <cell r="BV206">
            <v>0</v>
          </cell>
          <cell r="BW206">
            <v>0</v>
          </cell>
        </row>
        <row r="207">
          <cell r="AH207">
            <v>0</v>
          </cell>
          <cell r="AI207">
            <v>0</v>
          </cell>
          <cell r="AJ207">
            <v>0</v>
          </cell>
          <cell r="AK207">
            <v>0</v>
          </cell>
          <cell r="AL207">
            <v>0</v>
          </cell>
          <cell r="AM207">
            <v>0</v>
          </cell>
          <cell r="AN207">
            <v>0</v>
          </cell>
          <cell r="AO207">
            <v>0</v>
          </cell>
          <cell r="AP207">
            <v>0</v>
          </cell>
          <cell r="AQ207">
            <v>0</v>
          </cell>
          <cell r="AR207">
            <v>0</v>
          </cell>
          <cell r="AS207">
            <v>0</v>
          </cell>
          <cell r="AW207">
            <v>0</v>
          </cell>
          <cell r="AX207">
            <v>0</v>
          </cell>
          <cell r="AY207">
            <v>0</v>
          </cell>
          <cell r="AZ207">
            <v>0</v>
          </cell>
          <cell r="BA207">
            <v>0</v>
          </cell>
          <cell r="BB207">
            <v>0</v>
          </cell>
          <cell r="BC207">
            <v>0</v>
          </cell>
          <cell r="BD207">
            <v>0</v>
          </cell>
          <cell r="BE207">
            <v>0</v>
          </cell>
          <cell r="BF207">
            <v>0</v>
          </cell>
          <cell r="BG207">
            <v>0</v>
          </cell>
          <cell r="BH207">
            <v>0</v>
          </cell>
          <cell r="BL207">
            <v>0</v>
          </cell>
          <cell r="BM207">
            <v>0</v>
          </cell>
          <cell r="BN207">
            <v>0</v>
          </cell>
          <cell r="BO207">
            <v>0</v>
          </cell>
          <cell r="BP207">
            <v>0</v>
          </cell>
          <cell r="BQ207">
            <v>0</v>
          </cell>
          <cell r="BR207">
            <v>0</v>
          </cell>
          <cell r="BS207">
            <v>0</v>
          </cell>
          <cell r="BT207">
            <v>0</v>
          </cell>
          <cell r="BU207">
            <v>0</v>
          </cell>
          <cell r="BV207">
            <v>0</v>
          </cell>
          <cell r="BW207">
            <v>0</v>
          </cell>
        </row>
        <row r="208">
          <cell r="AH208">
            <v>898986.179016607</v>
          </cell>
          <cell r="AI208">
            <v>1824972.358033214</v>
          </cell>
          <cell r="AJ208">
            <v>2794708.5370498211</v>
          </cell>
          <cell r="AK208">
            <v>3803382.1222037282</v>
          </cell>
          <cell r="AL208">
            <v>4826055.7073576357</v>
          </cell>
          <cell r="AM208">
            <v>5879979.2925115423</v>
          </cell>
          <cell r="AN208">
            <v>6747176.445217046</v>
          </cell>
          <cell r="AO208">
            <v>7593118.6872621085</v>
          </cell>
          <cell r="AP208">
            <v>8456511.8227027841</v>
          </cell>
          <cell r="AQ208">
            <v>9429708.5437876098</v>
          </cell>
          <cell r="AR208">
            <v>10313905.264872435</v>
          </cell>
          <cell r="AS208">
            <v>11194101.985957261</v>
          </cell>
          <cell r="AW208">
            <v>134654.73877325261</v>
          </cell>
          <cell r="AX208">
            <v>309309.47754650528</v>
          </cell>
          <cell r="AY208">
            <v>481464.21631975798</v>
          </cell>
          <cell r="AZ208">
            <v>635601.11949846137</v>
          </cell>
          <cell r="BA208">
            <v>781878.02267716464</v>
          </cell>
          <cell r="BB208">
            <v>944014.92585586803</v>
          </cell>
          <cell r="BC208">
            <v>1141678.8388838943</v>
          </cell>
          <cell r="BD208">
            <v>1351435.4323306801</v>
          </cell>
          <cell r="BE208">
            <v>1553118.8299650599</v>
          </cell>
          <cell r="BF208">
            <v>1747549.8581519222</v>
          </cell>
          <cell r="BG208">
            <v>1958980.8863387846</v>
          </cell>
          <cell r="BH208">
            <v>2159411.9145256467</v>
          </cell>
          <cell r="BL208">
            <v>178769.08221014016</v>
          </cell>
          <cell r="BM208">
            <v>343538.16442028031</v>
          </cell>
          <cell r="BN208">
            <v>511307.2466304205</v>
          </cell>
          <cell r="BO208">
            <v>686116.75829780987</v>
          </cell>
          <cell r="BP208">
            <v>852926.26996519929</v>
          </cell>
          <cell r="BQ208">
            <v>1009735.7816325888</v>
          </cell>
          <cell r="BR208">
            <v>1155359.71589906</v>
          </cell>
          <cell r="BS208">
            <v>1305145.8804072107</v>
          </cell>
          <cell r="BT208">
            <v>1457554.3473321553</v>
          </cell>
          <cell r="BU208">
            <v>1665671.5980604673</v>
          </cell>
          <cell r="BV208">
            <v>1931788.848788779</v>
          </cell>
          <cell r="BW208">
            <v>2155906.0995170907</v>
          </cell>
        </row>
        <row r="210">
          <cell r="AH210">
            <v>31815.645957501529</v>
          </cell>
          <cell r="AI210">
            <v>65025.211915003048</v>
          </cell>
          <cell r="AJ210">
            <v>99717.977872504576</v>
          </cell>
          <cell r="AK210">
            <v>137828.3822300061</v>
          </cell>
          <cell r="AL210">
            <v>176332.07938750763</v>
          </cell>
          <cell r="AM210">
            <v>216098.48374500917</v>
          </cell>
          <cell r="AN210">
            <v>249397.71098399855</v>
          </cell>
          <cell r="AO210">
            <v>282074.85822298797</v>
          </cell>
          <cell r="AP210">
            <v>314993.92546197737</v>
          </cell>
          <cell r="AQ210">
            <v>349252.46693799103</v>
          </cell>
          <cell r="AR210">
            <v>380631.0084140047</v>
          </cell>
          <cell r="AS210">
            <v>411744.5898900184</v>
          </cell>
          <cell r="AW210">
            <v>0</v>
          </cell>
          <cell r="AX210">
            <v>0</v>
          </cell>
          <cell r="AY210">
            <v>0</v>
          </cell>
          <cell r="AZ210">
            <v>0</v>
          </cell>
          <cell r="BA210">
            <v>0</v>
          </cell>
          <cell r="BB210">
            <v>0</v>
          </cell>
          <cell r="BC210">
            <v>-306.35908597511553</v>
          </cell>
          <cell r="BD210">
            <v>-612.71817195023107</v>
          </cell>
          <cell r="BE210">
            <v>-919.07725792534666</v>
          </cell>
          <cell r="BF210">
            <v>-612.71817195023118</v>
          </cell>
          <cell r="BG210">
            <v>-306.35908597511565</v>
          </cell>
          <cell r="BH210">
            <v>0</v>
          </cell>
          <cell r="BL210">
            <v>0</v>
          </cell>
          <cell r="BM210">
            <v>0</v>
          </cell>
          <cell r="BN210">
            <v>0</v>
          </cell>
          <cell r="BO210">
            <v>0</v>
          </cell>
          <cell r="BP210">
            <v>0</v>
          </cell>
          <cell r="BQ210">
            <v>0</v>
          </cell>
          <cell r="BR210">
            <v>-339.56459551274162</v>
          </cell>
          <cell r="BS210">
            <v>-679.12919102548324</v>
          </cell>
          <cell r="BT210">
            <v>-1018.6937865382249</v>
          </cell>
          <cell r="BU210">
            <v>-679.12919102548335</v>
          </cell>
          <cell r="BV210">
            <v>-339.56459551274173</v>
          </cell>
          <cell r="BW210">
            <v>0</v>
          </cell>
        </row>
        <row r="212">
          <cell r="AH212">
            <v>34610.837932202587</v>
          </cell>
          <cell r="AI212">
            <v>71058.734687934586</v>
          </cell>
          <cell r="AJ212">
            <v>110019.63144366659</v>
          </cell>
          <cell r="AK212">
            <v>156214.73996410449</v>
          </cell>
          <cell r="AL212">
            <v>207438.31907277767</v>
          </cell>
          <cell r="AM212">
            <v>257979.95700498024</v>
          </cell>
          <cell r="AN212">
            <v>298177.69911221159</v>
          </cell>
          <cell r="AO212">
            <v>334888.38239591353</v>
          </cell>
          <cell r="AP212">
            <v>369493.18332667433</v>
          </cell>
          <cell r="AQ212">
            <v>407915.02296620107</v>
          </cell>
          <cell r="AR212">
            <v>441435.68613513961</v>
          </cell>
          <cell r="AS212">
            <v>473697.0551864311</v>
          </cell>
          <cell r="AW212">
            <v>0</v>
          </cell>
          <cell r="AX212">
            <v>0</v>
          </cell>
          <cell r="AY212">
            <v>0</v>
          </cell>
          <cell r="AZ212">
            <v>0</v>
          </cell>
          <cell r="BA212">
            <v>0</v>
          </cell>
          <cell r="BB212">
            <v>0</v>
          </cell>
          <cell r="BC212">
            <v>-510.59847662519252</v>
          </cell>
          <cell r="BD212">
            <v>-1021.196953250385</v>
          </cell>
          <cell r="BE212">
            <v>-1531.7954298755776</v>
          </cell>
          <cell r="BF212">
            <v>-1021.1969532503851</v>
          </cell>
          <cell r="BG212">
            <v>-510.59847662519263</v>
          </cell>
          <cell r="BH212">
            <v>0</v>
          </cell>
          <cell r="BL212">
            <v>1739.0217495975755</v>
          </cell>
          <cell r="BM212">
            <v>3338.0434991951515</v>
          </cell>
          <cell r="BN212">
            <v>6596.0869983903031</v>
          </cell>
          <cell r="BO212">
            <v>10270.730497585453</v>
          </cell>
          <cell r="BP212">
            <v>15542.69574637818</v>
          </cell>
          <cell r="BQ212">
            <v>20514.660995170907</v>
          </cell>
          <cell r="BR212">
            <v>26597.807001039972</v>
          </cell>
          <cell r="BS212">
            <v>32840.95300690904</v>
          </cell>
          <cell r="BT212">
            <v>40836.370762375678</v>
          </cell>
          <cell r="BU212">
            <v>50607.670502884794</v>
          </cell>
          <cell r="BV212">
            <v>65700.041992991479</v>
          </cell>
          <cell r="BW212">
            <v>78272.413483098164</v>
          </cell>
        </row>
        <row r="213">
          <cell r="AH213">
            <v>42872</v>
          </cell>
          <cell r="AI213">
            <v>80152</v>
          </cell>
          <cell r="AJ213">
            <v>127320</v>
          </cell>
          <cell r="AK213">
            <v>175368</v>
          </cell>
          <cell r="AL213">
            <v>218240</v>
          </cell>
          <cell r="AM213">
            <v>263600</v>
          </cell>
          <cell r="AN213">
            <v>292925.92368148785</v>
          </cell>
          <cell r="AO213">
            <v>323691.84736297571</v>
          </cell>
          <cell r="AP213">
            <v>355737.77104446356</v>
          </cell>
          <cell r="AQ213">
            <v>388083.84736297571</v>
          </cell>
          <cell r="AR213">
            <v>406629.92368148785</v>
          </cell>
          <cell r="AS213">
            <v>421416</v>
          </cell>
          <cell r="AW213">
            <v>16560</v>
          </cell>
          <cell r="AX213">
            <v>30960</v>
          </cell>
          <cell r="AY213">
            <v>46800</v>
          </cell>
          <cell r="AZ213">
            <v>61920</v>
          </cell>
          <cell r="BA213">
            <v>78480</v>
          </cell>
          <cell r="BB213">
            <v>78480</v>
          </cell>
          <cell r="BC213">
            <v>78173.640914024887</v>
          </cell>
          <cell r="BD213">
            <v>77867.281828049774</v>
          </cell>
          <cell r="BE213">
            <v>77560.922742074661</v>
          </cell>
          <cell r="BF213">
            <v>77867.281828049774</v>
          </cell>
          <cell r="BG213">
            <v>78173.640914024887</v>
          </cell>
          <cell r="BH213">
            <v>78480</v>
          </cell>
          <cell r="BL213">
            <v>38957.021960358739</v>
          </cell>
          <cell r="BM213">
            <v>66778.603159987601</v>
          </cell>
          <cell r="BN213">
            <v>103821.72123959588</v>
          </cell>
          <cell r="BO213">
            <v>135789.51420997776</v>
          </cell>
          <cell r="BP213">
            <v>157665.81399094817</v>
          </cell>
          <cell r="BQ213">
            <v>181282.02639078262</v>
          </cell>
          <cell r="BR213">
            <v>216824.18820178643</v>
          </cell>
          <cell r="BS213">
            <v>240882.92672828754</v>
          </cell>
          <cell r="BT213">
            <v>265115.65651667502</v>
          </cell>
          <cell r="BU213">
            <v>297488.26080577704</v>
          </cell>
          <cell r="BV213">
            <v>339952.35828429053</v>
          </cell>
          <cell r="BW213">
            <v>375108.82276357501</v>
          </cell>
        </row>
        <row r="214">
          <cell r="AH214">
            <v>77482.837932202587</v>
          </cell>
          <cell r="AI214">
            <v>151210.73468793457</v>
          </cell>
          <cell r="AJ214">
            <v>237339.63144366659</v>
          </cell>
          <cell r="AK214">
            <v>331582.73996410449</v>
          </cell>
          <cell r="AL214">
            <v>425678.31907277764</v>
          </cell>
          <cell r="AM214">
            <v>521579.95700498024</v>
          </cell>
          <cell r="AN214">
            <v>591103.62279369938</v>
          </cell>
          <cell r="AO214">
            <v>658580.22975888918</v>
          </cell>
          <cell r="AP214">
            <v>725230.95437113789</v>
          </cell>
          <cell r="AQ214">
            <v>795998.87032917677</v>
          </cell>
          <cell r="AR214">
            <v>848065.60981662746</v>
          </cell>
          <cell r="AS214">
            <v>895113.05518643116</v>
          </cell>
          <cell r="AW214">
            <v>16560</v>
          </cell>
          <cell r="AX214">
            <v>30960</v>
          </cell>
          <cell r="AY214">
            <v>46800</v>
          </cell>
          <cell r="AZ214">
            <v>61920</v>
          </cell>
          <cell r="BA214">
            <v>78480</v>
          </cell>
          <cell r="BB214">
            <v>78480</v>
          </cell>
          <cell r="BC214">
            <v>77663.042437399694</v>
          </cell>
          <cell r="BD214">
            <v>76846.084874799388</v>
          </cell>
          <cell r="BE214">
            <v>76029.127312199082</v>
          </cell>
          <cell r="BF214">
            <v>76846.084874799388</v>
          </cell>
          <cell r="BG214">
            <v>77663.042437399694</v>
          </cell>
          <cell r="BH214">
            <v>78480</v>
          </cell>
          <cell r="BL214">
            <v>40696.043709956313</v>
          </cell>
          <cell r="BM214">
            <v>70116.646659182748</v>
          </cell>
          <cell r="BN214">
            <v>110417.80823798617</v>
          </cell>
          <cell r="BO214">
            <v>146060.24470756322</v>
          </cell>
          <cell r="BP214">
            <v>173208.50973732636</v>
          </cell>
          <cell r="BQ214">
            <v>201796.68738595353</v>
          </cell>
          <cell r="BR214">
            <v>243421.99520282639</v>
          </cell>
          <cell r="BS214">
            <v>273723.87973519659</v>
          </cell>
          <cell r="BT214">
            <v>305952.02727905067</v>
          </cell>
          <cell r="BU214">
            <v>348095.93130866182</v>
          </cell>
          <cell r="BV214">
            <v>405652.40027728199</v>
          </cell>
          <cell r="BW214">
            <v>453381.23624667316</v>
          </cell>
        </row>
        <row r="216">
          <cell r="AH216">
            <v>789687.69512690289</v>
          </cell>
          <cell r="AI216">
            <v>1608736.4114302762</v>
          </cell>
          <cell r="AJ216">
            <v>2457650.92773365</v>
          </cell>
          <cell r="AK216">
            <v>3333971.0000096178</v>
          </cell>
          <cell r="AL216">
            <v>4224045.3088973509</v>
          </cell>
          <cell r="AM216">
            <v>5142300.8517615525</v>
          </cell>
          <cell r="AN216">
            <v>5906675.1114393482</v>
          </cell>
          <cell r="AO216">
            <v>6652463.5992802316</v>
          </cell>
          <cell r="AP216">
            <v>7416286.9428696688</v>
          </cell>
          <cell r="AQ216">
            <v>8284457.2065204419</v>
          </cell>
          <cell r="AR216">
            <v>9085208.6466418039</v>
          </cell>
          <cell r="AS216">
            <v>9887244.3408808112</v>
          </cell>
          <cell r="AW216">
            <v>118094.73877325261</v>
          </cell>
          <cell r="AX216">
            <v>278349.47754650528</v>
          </cell>
          <cell r="AY216">
            <v>434664.21631975798</v>
          </cell>
          <cell r="AZ216">
            <v>573681.11949846137</v>
          </cell>
          <cell r="BA216">
            <v>703398.02267716464</v>
          </cell>
          <cell r="BB216">
            <v>865534.92585586803</v>
          </cell>
          <cell r="BC216">
            <v>1064322.1555324697</v>
          </cell>
          <cell r="BD216">
            <v>1275202.0656278308</v>
          </cell>
          <cell r="BE216">
            <v>1478008.7799107863</v>
          </cell>
          <cell r="BF216">
            <v>1671316.491449073</v>
          </cell>
          <cell r="BG216">
            <v>1881624.2029873601</v>
          </cell>
          <cell r="BH216">
            <v>2080931.9145256467</v>
          </cell>
          <cell r="BL216">
            <v>138073.03850018384</v>
          </cell>
          <cell r="BM216">
            <v>273421.51776109758</v>
          </cell>
          <cell r="BN216">
            <v>400889.43839243433</v>
          </cell>
          <cell r="BO216">
            <v>540056.51359024667</v>
          </cell>
          <cell r="BP216">
            <v>679717.76022787299</v>
          </cell>
          <cell r="BQ216">
            <v>807939.09424663533</v>
          </cell>
          <cell r="BR216">
            <v>912277.28529174649</v>
          </cell>
          <cell r="BS216">
            <v>1032101.1298630395</v>
          </cell>
          <cell r="BT216">
            <v>1152621.013839643</v>
          </cell>
          <cell r="BU216">
            <v>1318254.7959428309</v>
          </cell>
          <cell r="BV216">
            <v>1526476.0131070097</v>
          </cell>
          <cell r="BW216">
            <v>1702524.8632704176</v>
          </cell>
        </row>
        <row r="218">
          <cell r="AH218">
            <v>259385.45974488006</v>
          </cell>
          <cell r="AI218">
            <v>484938.03343608003</v>
          </cell>
          <cell r="AJ218">
            <v>733045.8644964</v>
          </cell>
          <cell r="AK218">
            <v>969876.06687215995</v>
          </cell>
          <cell r="AL218">
            <v>1229261.5266170399</v>
          </cell>
          <cell r="AM218">
            <v>1466091.7289928</v>
          </cell>
          <cell r="AN218">
            <v>1714199.5600531199</v>
          </cell>
          <cell r="AO218">
            <v>1973585.0197979999</v>
          </cell>
          <cell r="AP218">
            <v>2199137.5934891999</v>
          </cell>
          <cell r="AQ218">
            <v>2458523.0532340799</v>
          </cell>
          <cell r="AR218">
            <v>2706630.8842944</v>
          </cell>
          <cell r="AS218">
            <v>2943461.0866701598</v>
          </cell>
          <cell r="AW218">
            <v>29440.475630127694</v>
          </cell>
          <cell r="AX218">
            <v>55040.889221543082</v>
          </cell>
          <cell r="AY218">
            <v>83201.344172100013</v>
          </cell>
          <cell r="AZ218">
            <v>110081.77844308616</v>
          </cell>
          <cell r="BA218">
            <v>139522.25407321384</v>
          </cell>
          <cell r="BB218">
            <v>166402.6883442</v>
          </cell>
          <cell r="BC218">
            <v>194563.14329475691</v>
          </cell>
          <cell r="BD218">
            <v>224003.61892488459</v>
          </cell>
          <cell r="BE218">
            <v>249604.03251629998</v>
          </cell>
          <cell r="BF218">
            <v>279044.50814642769</v>
          </cell>
          <cell r="BG218">
            <v>307204.9630969846</v>
          </cell>
          <cell r="BH218">
            <v>334085.39736797079</v>
          </cell>
          <cell r="BL218">
            <v>29949.71493654</v>
          </cell>
          <cell r="BM218">
            <v>55992.945316140002</v>
          </cell>
          <cell r="BN218">
            <v>84640.498733700006</v>
          </cell>
          <cell r="BO218">
            <v>111985.89063228</v>
          </cell>
          <cell r="BP218">
            <v>141935.60556882</v>
          </cell>
          <cell r="BQ218">
            <v>169280.99746739998</v>
          </cell>
          <cell r="BR218">
            <v>197928.55088495999</v>
          </cell>
          <cell r="BS218">
            <v>227878.26582149998</v>
          </cell>
          <cell r="BT218">
            <v>253921.49620109997</v>
          </cell>
          <cell r="BU218">
            <v>283871.21113764</v>
          </cell>
          <cell r="BV218">
            <v>312518.7645552</v>
          </cell>
          <cell r="BW218">
            <v>339864.15645378001</v>
          </cell>
        </row>
        <row r="219">
          <cell r="AH219">
            <v>56311.967011860012</v>
          </cell>
          <cell r="AI219">
            <v>105278.89484826001</v>
          </cell>
          <cell r="AJ219">
            <v>159142.51546830003</v>
          </cell>
          <cell r="AK219">
            <v>210557.78969652002</v>
          </cell>
          <cell r="AL219">
            <v>266869.75670838001</v>
          </cell>
          <cell r="AM219">
            <v>318285.0309366</v>
          </cell>
          <cell r="AN219">
            <v>372148.65155663999</v>
          </cell>
          <cell r="AO219">
            <v>428460.61856849998</v>
          </cell>
          <cell r="AP219">
            <v>477427.54640489997</v>
          </cell>
          <cell r="AQ219">
            <v>533739.51341676002</v>
          </cell>
          <cell r="AR219">
            <v>587603.13403680001</v>
          </cell>
          <cell r="AS219">
            <v>639018.40826502</v>
          </cell>
          <cell r="AW219">
            <v>15869.336687819998</v>
          </cell>
          <cell r="AX219">
            <v>29668.759894619998</v>
          </cell>
          <cell r="AY219">
            <v>44848.125422099998</v>
          </cell>
          <cell r="AZ219">
            <v>59337.519789240003</v>
          </cell>
          <cell r="BA219">
            <v>75206.856477060006</v>
          </cell>
          <cell r="BB219">
            <v>89696.250844200011</v>
          </cell>
          <cell r="BC219">
            <v>104875.61637168001</v>
          </cell>
          <cell r="BD219">
            <v>120744.95305950001</v>
          </cell>
          <cell r="BE219">
            <v>134544.37626630001</v>
          </cell>
          <cell r="BF219">
            <v>150413.71295412001</v>
          </cell>
          <cell r="BG219">
            <v>165593.07848160001</v>
          </cell>
          <cell r="BH219">
            <v>180082.47284874</v>
          </cell>
          <cell r="BL219">
            <v>10735.139124359999</v>
          </cell>
          <cell r="BM219">
            <v>20070.042710759997</v>
          </cell>
          <cell r="BN219">
            <v>30338.436655799997</v>
          </cell>
          <cell r="BO219">
            <v>40140.085421519994</v>
          </cell>
          <cell r="BP219">
            <v>50875.224545879995</v>
          </cell>
          <cell r="BQ219">
            <v>60676.873311599993</v>
          </cell>
          <cell r="BR219">
            <v>70945.26725664</v>
          </cell>
          <cell r="BS219">
            <v>81680.406380999993</v>
          </cell>
          <cell r="BT219">
            <v>91015.309967399997</v>
          </cell>
          <cell r="BU219">
            <v>101750.44909175999</v>
          </cell>
          <cell r="BV219">
            <v>112018.8430368</v>
          </cell>
          <cell r="BW219">
            <v>121820.49180252</v>
          </cell>
        </row>
        <row r="220">
          <cell r="AH220">
            <v>42580.546645602997</v>
          </cell>
          <cell r="AI220">
            <v>86197.623965786624</v>
          </cell>
          <cell r="AJ220">
            <v>131676.81594823868</v>
          </cell>
          <cell r="AK220">
            <v>182460.43334072686</v>
          </cell>
          <cell r="AL220">
            <v>236230.73444705084</v>
          </cell>
          <cell r="AM220">
            <v>290265.11317503458</v>
          </cell>
          <cell r="AN220">
            <v>341451.99257191719</v>
          </cell>
          <cell r="AO220">
            <v>394031.52012307767</v>
          </cell>
          <cell r="AP220">
            <v>444780.81992234325</v>
          </cell>
          <cell r="AQ220">
            <v>493158.37370793725</v>
          </cell>
          <cell r="AR220">
            <v>541235.81601204444</v>
          </cell>
          <cell r="AS220">
            <v>586067.60561393539</v>
          </cell>
          <cell r="AW220">
            <v>14375.502952043633</v>
          </cell>
          <cell r="AX220">
            <v>27147.679432081575</v>
          </cell>
          <cell r="AY220">
            <v>40988.740226789974</v>
          </cell>
          <cell r="AZ220">
            <v>54295.35886416315</v>
          </cell>
          <cell r="BA220">
            <v>68670.861816206787</v>
          </cell>
          <cell r="BB220">
            <v>81977.480453579963</v>
          </cell>
          <cell r="BC220">
            <v>95818.541248288369</v>
          </cell>
          <cell r="BD220">
            <v>110194.04420033201</v>
          </cell>
          <cell r="BE220">
            <v>122966.22068036995</v>
          </cell>
          <cell r="BF220">
            <v>137341.72363241357</v>
          </cell>
          <cell r="BG220">
            <v>151182.78442712198</v>
          </cell>
          <cell r="BH220">
            <v>164489.40306449516</v>
          </cell>
          <cell r="BL220">
            <v>39649.624211312919</v>
          </cell>
          <cell r="BM220">
            <v>74127.55830810676</v>
          </cell>
          <cell r="BN220">
            <v>112053.28581457998</v>
          </cell>
          <cell r="BO220">
            <v>148255.11661621352</v>
          </cell>
          <cell r="BP220">
            <v>187904.74082752643</v>
          </cell>
          <cell r="BQ220">
            <v>224106.57162915997</v>
          </cell>
          <cell r="BR220">
            <v>262032.29913563319</v>
          </cell>
          <cell r="BS220">
            <v>301681.92334694613</v>
          </cell>
          <cell r="BT220">
            <v>336159.85744373995</v>
          </cell>
          <cell r="BU220">
            <v>375809.48165505286</v>
          </cell>
          <cell r="BV220">
            <v>413735.20916152606</v>
          </cell>
          <cell r="BW220">
            <v>449937.03996315959</v>
          </cell>
        </row>
        <row r="221">
          <cell r="AH221">
            <v>28729.947861086919</v>
          </cell>
          <cell r="AI221">
            <v>54000.140100539516</v>
          </cell>
          <cell r="AJ221">
            <v>91679.112427476357</v>
          </cell>
          <cell r="AK221">
            <v>126531.96818435672</v>
          </cell>
          <cell r="AL221">
            <v>158176.58031731477</v>
          </cell>
          <cell r="AM221">
            <v>196725.25217943086</v>
          </cell>
          <cell r="AN221">
            <v>215614.41915187688</v>
          </cell>
          <cell r="AO221">
            <v>234402.79098618485</v>
          </cell>
          <cell r="AP221">
            <v>254829.80127625156</v>
          </cell>
          <cell r="AQ221">
            <v>272500.91421988182</v>
          </cell>
          <cell r="AR221">
            <v>280194.07438510109</v>
          </cell>
          <cell r="AS221">
            <v>287139.46268592041</v>
          </cell>
          <cell r="AW221">
            <v>589.51077898777385</v>
          </cell>
          <cell r="AX221">
            <v>1120.977370240631</v>
          </cell>
          <cell r="AY221">
            <v>1730.3455552154112</v>
          </cell>
          <cell r="AZ221">
            <v>2272.0784167517259</v>
          </cell>
          <cell r="BA221">
            <v>2745.1191376876677</v>
          </cell>
          <cell r="BB221">
            <v>3215.2804218268457</v>
          </cell>
          <cell r="BC221">
            <v>3349.5001887952158</v>
          </cell>
          <cell r="BD221">
            <v>3479.0807006593136</v>
          </cell>
          <cell r="BE221">
            <v>3541.0753664566864</v>
          </cell>
          <cell r="BF221">
            <v>4209.100797143401</v>
          </cell>
          <cell r="BG221">
            <v>4865.3337959240853</v>
          </cell>
          <cell r="BH221">
            <v>5472.5647794536144</v>
          </cell>
          <cell r="BL221">
            <v>344.16921159171727</v>
          </cell>
          <cell r="BM221">
            <v>654.45096422210793</v>
          </cell>
          <cell r="BN221">
            <v>1010.2133612251922</v>
          </cell>
          <cell r="BO221">
            <v>1326.4887856854889</v>
          </cell>
          <cell r="BP221">
            <v>1602.6602447635548</v>
          </cell>
          <cell r="BQ221">
            <v>1877.1506260267722</v>
          </cell>
          <cell r="BR221">
            <v>1794.8055451799148</v>
          </cell>
          <cell r="BS221">
            <v>1709.7519663233147</v>
          </cell>
          <cell r="BT221">
            <v>1585.2403008894269</v>
          </cell>
          <cell r="BU221">
            <v>2135.9535728222663</v>
          </cell>
          <cell r="BV221">
            <v>2679.7821665837987</v>
          </cell>
          <cell r="BW221">
            <v>3195.0023183006347</v>
          </cell>
        </row>
        <row r="222">
          <cell r="AH222">
            <v>55788.408776438737</v>
          </cell>
          <cell r="AI222">
            <v>107080.97784546859</v>
          </cell>
          <cell r="AJ222">
            <v>162535.54916798908</v>
          </cell>
          <cell r="AK222">
            <v>216802.67178022006</v>
          </cell>
          <cell r="AL222">
            <v>273913.11757715215</v>
          </cell>
          <cell r="AM222">
            <v>328833.47766889323</v>
          </cell>
          <cell r="AN222">
            <v>383320.88989385066</v>
          </cell>
          <cell r="AO222">
            <v>439355.27476056671</v>
          </cell>
          <cell r="AP222">
            <v>491101.66991124948</v>
          </cell>
          <cell r="AQ222">
            <v>546219.6038167536</v>
          </cell>
          <cell r="AR222">
            <v>598961.79228289507</v>
          </cell>
          <cell r="AS222">
            <v>649915.11645626021</v>
          </cell>
          <cell r="AW222">
            <v>7821.6521588335017</v>
          </cell>
          <cell r="AX222">
            <v>14869.213475035</v>
          </cell>
          <cell r="AY222">
            <v>22435.700569811921</v>
          </cell>
          <cell r="AZ222">
            <v>29740.628450705281</v>
          </cell>
          <cell r="BA222">
            <v>37553.768736535952</v>
          </cell>
          <cell r="BB222">
            <v>44853.466018358558</v>
          </cell>
          <cell r="BC222">
            <v>52407.617639259064</v>
          </cell>
          <cell r="BD222">
            <v>60218.046498193042</v>
          </cell>
          <cell r="BE222">
            <v>67253.687190347366</v>
          </cell>
          <cell r="BF222">
            <v>75058.688006154174</v>
          </cell>
          <cell r="BG222">
            <v>82606.2107222177</v>
          </cell>
          <cell r="BH222">
            <v>89893.535985141716</v>
          </cell>
          <cell r="BL222">
            <v>10601.74851165992</v>
          </cell>
          <cell r="BM222">
            <v>20128.080917385822</v>
          </cell>
          <cell r="BN222">
            <v>30372.630823432512</v>
          </cell>
          <cell r="BO222">
            <v>40257.140279498431</v>
          </cell>
          <cell r="BP222">
            <v>50855.105736490426</v>
          </cell>
          <cell r="BQ222">
            <v>60737.290481858232</v>
          </cell>
          <cell r="BR222">
            <v>70976.357955070969</v>
          </cell>
          <cell r="BS222">
            <v>81573.118333442209</v>
          </cell>
          <cell r="BT222">
            <v>91094.152684036031</v>
          </cell>
          <cell r="BU222">
            <v>101688.50059879519</v>
          </cell>
          <cell r="BV222">
            <v>111924.62189208037</v>
          </cell>
          <cell r="BW222">
            <v>121801.30796238214</v>
          </cell>
        </row>
        <row r="223">
          <cell r="AH223">
            <v>88556.239093265613</v>
          </cell>
          <cell r="AI223">
            <v>177770.89165940217</v>
          </cell>
          <cell r="AJ223">
            <v>267681.15769840969</v>
          </cell>
          <cell r="AK223">
            <v>359093.05321028817</v>
          </cell>
          <cell r="AL223">
            <v>450746.43419503758</v>
          </cell>
          <cell r="AM223">
            <v>543314.01054414175</v>
          </cell>
          <cell r="AN223">
            <v>636744.37291803956</v>
          </cell>
          <cell r="AO223">
            <v>730303.60265629215</v>
          </cell>
          <cell r="AP223">
            <v>827456.23867373774</v>
          </cell>
          <cell r="AQ223">
            <v>928188.04364949872</v>
          </cell>
          <cell r="AR223">
            <v>1027797.4620981306</v>
          </cell>
          <cell r="AS223">
            <v>1127374.0940196335</v>
          </cell>
          <cell r="AW223">
            <v>15157.965745691225</v>
          </cell>
          <cell r="AX223">
            <v>30325.585701669886</v>
          </cell>
          <cell r="AY223">
            <v>45502.859867935986</v>
          </cell>
          <cell r="AZ223">
            <v>60689.788244489522</v>
          </cell>
          <cell r="BA223">
            <v>75886.370831330496</v>
          </cell>
          <cell r="BB223">
            <v>91131.224469608656</v>
          </cell>
          <cell r="BC223">
            <v>106698.36874056461</v>
          </cell>
          <cell r="BD223">
            <v>122313.78406295774</v>
          </cell>
          <cell r="BE223">
            <v>138363.6388482856</v>
          </cell>
          <cell r="BF223">
            <v>155033.29393406695</v>
          </cell>
          <cell r="BG223">
            <v>171712.60323013575</v>
          </cell>
          <cell r="BH223">
            <v>188401.56673649198</v>
          </cell>
          <cell r="BL223">
            <v>12162.914310002132</v>
          </cell>
          <cell r="BM223">
            <v>24342.627603512537</v>
          </cell>
          <cell r="BN223">
            <v>36539.239880531211</v>
          </cell>
          <cell r="BO223">
            <v>48752.751141058165</v>
          </cell>
          <cell r="BP223">
            <v>60983.161385093394</v>
          </cell>
          <cell r="BQ223">
            <v>73298.066546669987</v>
          </cell>
          <cell r="BR223">
            <v>85901.936384108514</v>
          </cell>
          <cell r="BS223">
            <v>98590.30113908842</v>
          </cell>
          <cell r="BT223">
            <v>112039.1201519406</v>
          </cell>
          <cell r="BU223">
            <v>126572.85390602391</v>
          </cell>
          <cell r="BV223">
            <v>141123.4866436155</v>
          </cell>
          <cell r="BW223">
            <v>155691.01836471536</v>
          </cell>
        </row>
        <row r="224">
          <cell r="AH224">
            <v>531352.56913313433</v>
          </cell>
          <cell r="AI224">
            <v>1015266.561855537</v>
          </cell>
          <cell r="AJ224">
            <v>1545761.0152068138</v>
          </cell>
          <cell r="AK224">
            <v>2065321.9830842717</v>
          </cell>
          <cell r="AL224">
            <v>2615198.1498619751</v>
          </cell>
          <cell r="AM224">
            <v>3143514.6134969001</v>
          </cell>
          <cell r="AN224">
            <v>3663479.8861454446</v>
          </cell>
          <cell r="AO224">
            <v>4200138.8268926209</v>
          </cell>
          <cell r="AP224">
            <v>4694733.6696776822</v>
          </cell>
          <cell r="AQ224">
            <v>5232329.5020449106</v>
          </cell>
          <cell r="AR224">
            <v>5742423.1631093714</v>
          </cell>
          <cell r="AS224">
            <v>6232975.7737109298</v>
          </cell>
          <cell r="AW224">
            <v>83254.443953503811</v>
          </cell>
          <cell r="AX224">
            <v>158173.10509519017</v>
          </cell>
          <cell r="AY224">
            <v>238707.11581395328</v>
          </cell>
          <cell r="AZ224">
            <v>316417.15220843587</v>
          </cell>
          <cell r="BA224">
            <v>399585.23107203475</v>
          </cell>
          <cell r="BB224">
            <v>477276.39055177406</v>
          </cell>
          <cell r="BC224">
            <v>557712.7874833442</v>
          </cell>
          <cell r="BD224">
            <v>640953.5274465268</v>
          </cell>
          <cell r="BE224">
            <v>716273.03086805949</v>
          </cell>
          <cell r="BF224">
            <v>801101.02747032582</v>
          </cell>
          <cell r="BG224">
            <v>883164.97375398409</v>
          </cell>
          <cell r="BH224">
            <v>962424.94078229321</v>
          </cell>
          <cell r="BL224">
            <v>103443.31030546669</v>
          </cell>
          <cell r="BM224">
            <v>195315.70582012724</v>
          </cell>
          <cell r="BN224">
            <v>294954.30526926887</v>
          </cell>
          <cell r="BO224">
            <v>390717.47287625563</v>
          </cell>
          <cell r="BP224">
            <v>494156.49830857379</v>
          </cell>
          <cell r="BQ224">
            <v>589976.95006271498</v>
          </cell>
          <cell r="BR224">
            <v>689579.21716159245</v>
          </cell>
          <cell r="BS224">
            <v>793113.76698830014</v>
          </cell>
          <cell r="BT224">
            <v>885815.17674910615</v>
          </cell>
          <cell r="BU224">
            <v>991828.44996209431</v>
          </cell>
          <cell r="BV224">
            <v>1094000.7074558057</v>
          </cell>
          <cell r="BW224">
            <v>1192309.0168648576</v>
          </cell>
        </row>
        <row r="226">
          <cell r="AH226">
            <v>60516.880881750985</v>
          </cell>
          <cell r="AI226">
            <v>116541.25479171224</v>
          </cell>
          <cell r="AJ226">
            <v>177064.6500349768</v>
          </cell>
          <cell r="AK226">
            <v>237657.73077102593</v>
          </cell>
          <cell r="AL226">
            <v>301224.82323904912</v>
          </cell>
          <cell r="AM226">
            <v>361665.01101614657</v>
          </cell>
          <cell r="AN226">
            <v>425873.32576084515</v>
          </cell>
          <cell r="AO226">
            <v>492313.92443574592</v>
          </cell>
          <cell r="AP226">
            <v>552257.48774007941</v>
          </cell>
          <cell r="AQ226">
            <v>615111.15994404315</v>
          </cell>
          <cell r="AR226">
            <v>675318.88780999382</v>
          </cell>
          <cell r="AS226">
            <v>732144.68470582878</v>
          </cell>
          <cell r="AW226">
            <v>4065.661154292512</v>
          </cell>
          <cell r="AX226">
            <v>7842.0957620019581</v>
          </cell>
          <cell r="AY226">
            <v>11913.593314398138</v>
          </cell>
          <cell r="AZ226">
            <v>16087.271393561872</v>
          </cell>
          <cell r="BA226">
            <v>20601.047966007645</v>
          </cell>
          <cell r="BB226">
            <v>24904.909087193035</v>
          </cell>
          <cell r="BC226">
            <v>29204.982051264589</v>
          </cell>
          <cell r="BD226">
            <v>33671.071787375302</v>
          </cell>
          <cell r="BE226">
            <v>37733.130076086411</v>
          </cell>
          <cell r="BF226">
            <v>42030.943623685962</v>
          </cell>
          <cell r="BG226">
            <v>46206.49314911179</v>
          </cell>
          <cell r="BH226">
            <v>50141.81874176459</v>
          </cell>
          <cell r="BL226">
            <v>4506.3281898593359</v>
          </cell>
          <cell r="BM226">
            <v>8692.0812775002141</v>
          </cell>
          <cell r="BN226">
            <v>13204.878458331419</v>
          </cell>
          <cell r="BO226">
            <v>17830.931262480164</v>
          </cell>
          <cell r="BP226">
            <v>22833.945001011605</v>
          </cell>
          <cell r="BQ226">
            <v>27604.291067643488</v>
          </cell>
          <cell r="BR226">
            <v>32370.43838810793</v>
          </cell>
          <cell r="BS226">
            <v>37320.596631135275</v>
          </cell>
          <cell r="BT226">
            <v>41822.931449654105</v>
          </cell>
          <cell r="BU226">
            <v>46586.57446103965</v>
          </cell>
          <cell r="BV226">
            <v>51214.701552918392</v>
          </cell>
          <cell r="BW226">
            <v>55576.567429449409</v>
          </cell>
        </row>
        <row r="227">
          <cell r="AH227">
            <v>7218.1094996746315</v>
          </cell>
          <cell r="AI227">
            <v>13947.450978585588</v>
          </cell>
          <cell r="AJ227">
            <v>21141.759348075851</v>
          </cell>
          <cell r="AK227">
            <v>28318.109917024314</v>
          </cell>
          <cell r="AL227">
            <v>35818.363988429126</v>
          </cell>
          <cell r="AM227">
            <v>42980.571958674554</v>
          </cell>
          <cell r="AN227">
            <v>50515.735382047467</v>
          </cell>
          <cell r="AO227">
            <v>58281.788777588459</v>
          </cell>
          <cell r="AP227">
            <v>65373.655275478843</v>
          </cell>
          <cell r="AQ227">
            <v>72807.917972458163</v>
          </cell>
          <cell r="AR227">
            <v>79973.027109546878</v>
          </cell>
          <cell r="AS227">
            <v>86800.903923275531</v>
          </cell>
          <cell r="AW227">
            <v>470.86570547716497</v>
          </cell>
          <cell r="AX227">
            <v>909.27375525940647</v>
          </cell>
          <cell r="AY227">
            <v>1378.7779275158309</v>
          </cell>
          <cell r="AZ227">
            <v>1855.8323984529243</v>
          </cell>
          <cell r="BA227">
            <v>2368.1487801092662</v>
          </cell>
          <cell r="BB227">
            <v>2857.2451824333625</v>
          </cell>
          <cell r="BC227">
            <v>3347.892580269759</v>
          </cell>
          <cell r="BD227">
            <v>3855.7979295651076</v>
          </cell>
          <cell r="BE227">
            <v>4320.6261698400031</v>
          </cell>
          <cell r="BF227">
            <v>4812.9659716980696</v>
          </cell>
          <cell r="BG227">
            <v>5292.094951459736</v>
          </cell>
          <cell r="BH227">
            <v>5747.1018173945677</v>
          </cell>
          <cell r="BL227">
            <v>521.90168381088097</v>
          </cell>
          <cell r="BM227">
            <v>1007.8277062756717</v>
          </cell>
          <cell r="BN227">
            <v>1528.2202836211563</v>
          </cell>
          <cell r="BO227">
            <v>2056.9815179932193</v>
          </cell>
          <cell r="BP227">
            <v>2624.8266150562704</v>
          </cell>
          <cell r="BQ227">
            <v>3166.9349762080237</v>
          </cell>
          <cell r="BR227">
            <v>3710.7624414695829</v>
          </cell>
          <cell r="BS227">
            <v>4273.7184051985041</v>
          </cell>
          <cell r="BT227">
            <v>4788.9282377695054</v>
          </cell>
          <cell r="BU227">
            <v>5334.6315425715611</v>
          </cell>
          <cell r="BV227">
            <v>5865.6921366889428</v>
          </cell>
          <cell r="BW227">
            <v>6370.016080256366</v>
          </cell>
        </row>
        <row r="228">
          <cell r="AH228">
            <v>23239.107810558584</v>
          </cell>
          <cell r="AI228">
            <v>55419.287695851279</v>
          </cell>
          <cell r="AJ228">
            <v>76423.127487726335</v>
          </cell>
          <cell r="AK228">
            <v>97426.967279601391</v>
          </cell>
          <cell r="AL228">
            <v>118430.80707147645</v>
          </cell>
          <cell r="AM228">
            <v>139434.64686335152</v>
          </cell>
          <cell r="AN228">
            <v>165875.71893808563</v>
          </cell>
          <cell r="AO228">
            <v>192316.79101281974</v>
          </cell>
          <cell r="AP228">
            <v>218757.86308755385</v>
          </cell>
          <cell r="AQ228">
            <v>245198.93516228796</v>
          </cell>
          <cell r="AR228">
            <v>271640.0072370221</v>
          </cell>
          <cell r="AS228">
            <v>306963.44530241448</v>
          </cell>
          <cell r="AW228">
            <v>1149.2371926166009</v>
          </cell>
          <cell r="AX228">
            <v>3410.6394103460416</v>
          </cell>
          <cell r="AY228">
            <v>4281.8353466844328</v>
          </cell>
          <cell r="AZ228">
            <v>5153.031283022824</v>
          </cell>
          <cell r="BA228">
            <v>6024.2272193612152</v>
          </cell>
          <cell r="BB228">
            <v>6895.4231556996065</v>
          </cell>
          <cell r="BC228">
            <v>8007.5881808124459</v>
          </cell>
          <cell r="BD228">
            <v>9119.7532059252844</v>
          </cell>
          <cell r="BE228">
            <v>10231.918231038124</v>
          </cell>
          <cell r="BF228">
            <v>11344.083256150963</v>
          </cell>
          <cell r="BG228">
            <v>12456.248281263803</v>
          </cell>
          <cell r="BH228">
            <v>13429.392678237537</v>
          </cell>
          <cell r="BL228">
            <v>2011.6549968248162</v>
          </cell>
          <cell r="BM228">
            <v>5970.0728938026805</v>
          </cell>
          <cell r="BN228">
            <v>7495.037165589235</v>
          </cell>
          <cell r="BO228">
            <v>9020.0014373757895</v>
          </cell>
          <cell r="BP228">
            <v>10544.965709162343</v>
          </cell>
          <cell r="BQ228">
            <v>12069.929980948897</v>
          </cell>
          <cell r="BR228">
            <v>14016.692881101944</v>
          </cell>
          <cell r="BS228">
            <v>15963.455781254992</v>
          </cell>
          <cell r="BT228">
            <v>17910.218681408041</v>
          </cell>
          <cell r="BU228">
            <v>19856.981581561089</v>
          </cell>
          <cell r="BV228">
            <v>21803.744481714137</v>
          </cell>
          <cell r="BW228">
            <v>23507.162019348052</v>
          </cell>
        </row>
        <row r="229">
          <cell r="AH229">
            <v>90974.098191984202</v>
          </cell>
          <cell r="AI229">
            <v>185907.99346614911</v>
          </cell>
          <cell r="AJ229">
            <v>274629.536870779</v>
          </cell>
          <cell r="AK229">
            <v>363402.80796765164</v>
          </cell>
          <cell r="AL229">
            <v>455473.99429895473</v>
          </cell>
          <cell r="AM229">
            <v>544080.22983817267</v>
          </cell>
          <cell r="AN229">
            <v>642264.78008097829</v>
          </cell>
          <cell r="AO229">
            <v>742912.50422615407</v>
          </cell>
          <cell r="AP229">
            <v>836389.00610311213</v>
          </cell>
          <cell r="AQ229">
            <v>933118.01307878923</v>
          </cell>
          <cell r="AR229">
            <v>1026931.9221565628</v>
          </cell>
          <cell r="AS229">
            <v>1125909.0339315189</v>
          </cell>
          <cell r="AW229">
            <v>5685.7640523862774</v>
          </cell>
          <cell r="AX229">
            <v>12162.008927607407</v>
          </cell>
          <cell r="AY229">
            <v>17574.206588598405</v>
          </cell>
          <cell r="AZ229">
            <v>23096.135075037622</v>
          </cell>
          <cell r="BA229">
            <v>28993.423965478127</v>
          </cell>
          <cell r="BB229">
            <v>34657.577425326002</v>
          </cell>
          <cell r="BC229">
            <v>40560.462812346792</v>
          </cell>
          <cell r="BD229">
            <v>46646.622922865696</v>
          </cell>
          <cell r="BE229">
            <v>52285.674476964537</v>
          </cell>
          <cell r="BF229">
            <v>58187.992851534989</v>
          </cell>
          <cell r="BG229">
            <v>63954.836381835332</v>
          </cell>
          <cell r="BH229">
            <v>69318.313237396695</v>
          </cell>
          <cell r="BL229">
            <v>7039.8848704950333</v>
          </cell>
          <cell r="BM229">
            <v>15669.981877578566</v>
          </cell>
          <cell r="BN229">
            <v>22228.135907541811</v>
          </cell>
          <cell r="BO229">
            <v>28907.914217849175</v>
          </cell>
          <cell r="BP229">
            <v>36003.73732523022</v>
          </cell>
          <cell r="BQ229">
            <v>42841.15602480041</v>
          </cell>
          <cell r="BR229">
            <v>50097.893710679462</v>
          </cell>
          <cell r="BS229">
            <v>57557.770817588767</v>
          </cell>
          <cell r="BT229">
            <v>64522.078368831651</v>
          </cell>
          <cell r="BU229">
            <v>71778.187585172302</v>
          </cell>
          <cell r="BV229">
            <v>78884.13817132148</v>
          </cell>
          <cell r="BW229">
            <v>85453.74552905382</v>
          </cell>
        </row>
        <row r="231">
          <cell r="AH231">
            <v>56942.621598597842</v>
          </cell>
          <cell r="AI231">
            <v>109796.54745456956</v>
          </cell>
          <cell r="AJ231">
            <v>166527.25775803896</v>
          </cell>
          <cell r="AK231">
            <v>224130.61443962602</v>
          </cell>
          <cell r="AL231">
            <v>286117.72626298398</v>
          </cell>
          <cell r="AM231">
            <v>345186.56941592286</v>
          </cell>
          <cell r="AN231">
            <v>404490.38116403524</v>
          </cell>
          <cell r="AO231">
            <v>465940.67642184562</v>
          </cell>
          <cell r="AP231">
            <v>522009.90308739606</v>
          </cell>
          <cell r="AQ231">
            <v>581565.89265159133</v>
          </cell>
          <cell r="AR231">
            <v>639467.9287777209</v>
          </cell>
          <cell r="AS231">
            <v>694388.12228405545</v>
          </cell>
          <cell r="AW231">
            <v>7410.5029513227837</v>
          </cell>
          <cell r="AX231">
            <v>14288.903744066029</v>
          </cell>
          <cell r="AY231">
            <v>21671.828595998904</v>
          </cell>
          <cell r="AZ231">
            <v>29168.319497034467</v>
          </cell>
          <cell r="BA231">
            <v>37235.311535951776</v>
          </cell>
          <cell r="BB231">
            <v>44922.520593549067</v>
          </cell>
          <cell r="BC231">
            <v>52640.308423586364</v>
          </cell>
          <cell r="BD231">
            <v>60637.439247272807</v>
          </cell>
          <cell r="BE231">
            <v>67934.27873268348</v>
          </cell>
          <cell r="BF231">
            <v>75684.884940201082</v>
          </cell>
          <cell r="BG231">
            <v>83220.245932622391</v>
          </cell>
          <cell r="BH231">
            <v>90367.55044091944</v>
          </cell>
          <cell r="BL231">
            <v>8213.7091811805858</v>
          </cell>
          <cell r="BM231">
            <v>15837.642956567612</v>
          </cell>
          <cell r="BN231">
            <v>24020.784915840817</v>
          </cell>
          <cell r="BO231">
            <v>32329.802069593046</v>
          </cell>
          <cell r="BP231">
            <v>41271.15557957827</v>
          </cell>
          <cell r="BQ231">
            <v>49791.562362868295</v>
          </cell>
          <cell r="BR231">
            <v>58345.862276704196</v>
          </cell>
          <cell r="BS231">
            <v>67209.782485775911</v>
          </cell>
          <cell r="BT231">
            <v>75297.508496899143</v>
          </cell>
          <cell r="BU231">
            <v>83888.183891615627</v>
          </cell>
          <cell r="BV231">
            <v>92240.284170573475</v>
          </cell>
          <cell r="BW231">
            <v>100162.26747536573</v>
          </cell>
        </row>
        <row r="232">
          <cell r="AH232">
            <v>7611.1604483099945</v>
          </cell>
          <cell r="AI232">
            <v>14762.954757110259</v>
          </cell>
          <cell r="AJ232">
            <v>22333.30926024769</v>
          </cell>
          <cell r="AK232">
            <v>29950.124770307557</v>
          </cell>
          <cell r="AL232">
            <v>38010.522276679272</v>
          </cell>
          <cell r="AM232">
            <v>45752.216219096743</v>
          </cell>
          <cell r="AN232">
            <v>53535.397853433533</v>
          </cell>
          <cell r="AO232">
            <v>61540.604035692792</v>
          </cell>
          <cell r="AP232">
            <v>68965.475896185439</v>
          </cell>
          <cell r="AQ232">
            <v>76784.376623369826</v>
          </cell>
          <cell r="AR232">
            <v>84424.36009181416</v>
          </cell>
          <cell r="AS232">
            <v>91757.044577250737</v>
          </cell>
          <cell r="AW232">
            <v>990.51510769538072</v>
          </cell>
          <cell r="AX232">
            <v>1921.2483852430178</v>
          </cell>
          <cell r="AY232">
            <v>2906.4530142733233</v>
          </cell>
          <cell r="AZ232">
            <v>3897.7040707292431</v>
          </cell>
          <cell r="BA232">
            <v>4946.6828116601537</v>
          </cell>
          <cell r="BB232">
            <v>5954.1855257595525</v>
          </cell>
          <cell r="BC232">
            <v>6967.0874409280377</v>
          </cell>
          <cell r="BD232">
            <v>8008.8835924603436</v>
          </cell>
          <cell r="BE232">
            <v>8975.1551354749536</v>
          </cell>
          <cell r="BF232">
            <v>9992.705527224507</v>
          </cell>
          <cell r="BG232">
            <v>10986.971657787737</v>
          </cell>
          <cell r="BH232">
            <v>11941.245951716357</v>
          </cell>
          <cell r="BL232">
            <v>1097.8746095396095</v>
          </cell>
          <cell r="BM232">
            <v>2129.4877830636447</v>
          </cell>
          <cell r="BN232">
            <v>3221.4763241873438</v>
          </cell>
          <cell r="BO232">
            <v>4320.1666501676627</v>
          </cell>
          <cell r="BP232">
            <v>5482.8416226821128</v>
          </cell>
          <cell r="BQ232">
            <v>6599.5450835970614</v>
          </cell>
          <cell r="BR232">
            <v>7722.2329517355811</v>
          </cell>
          <cell r="BS232">
            <v>8876.9468316122584</v>
          </cell>
          <cell r="BT232">
            <v>9947.9501759879513</v>
          </cell>
          <cell r="BU232">
            <v>11075.790357677011</v>
          </cell>
          <cell r="BV232">
            <v>12177.822554248276</v>
          </cell>
          <cell r="BW232">
            <v>13235.528297150249</v>
          </cell>
        </row>
        <row r="233">
          <cell r="AH233">
            <v>21518.765255173865</v>
          </cell>
          <cell r="AI233">
            <v>41819.288487469952</v>
          </cell>
          <cell r="AJ233">
            <v>62119.811719766039</v>
          </cell>
          <cell r="AK233">
            <v>83638.576974939904</v>
          </cell>
          <cell r="AL233">
            <v>103939.100207236</v>
          </cell>
          <cell r="AM233">
            <v>124239.62343953209</v>
          </cell>
          <cell r="AN233">
            <v>152336.895618246</v>
          </cell>
          <cell r="AO233">
            <v>178809.84509978953</v>
          </cell>
          <cell r="AP233">
            <v>202440.2298612849</v>
          </cell>
          <cell r="AQ233">
            <v>227288.85664565803</v>
          </cell>
          <cell r="AR233">
            <v>250919.2414071534</v>
          </cell>
          <cell r="AS233">
            <v>285919.88504884142</v>
          </cell>
          <cell r="AW233">
            <v>2193.2389031597759</v>
          </cell>
          <cell r="AX233">
            <v>4256.4356630323755</v>
          </cell>
          <cell r="AY233">
            <v>6319.632422904976</v>
          </cell>
          <cell r="AZ233">
            <v>8512.8713260647528</v>
          </cell>
          <cell r="BA233">
            <v>10576.06808593735</v>
          </cell>
          <cell r="BB233">
            <v>12639.264845809948</v>
          </cell>
          <cell r="BC233">
            <v>15534.731322720476</v>
          </cell>
          <cell r="BD233">
            <v>18256.808275248102</v>
          </cell>
          <cell r="BE233">
            <v>20675.453560105652</v>
          </cell>
          <cell r="BF233">
            <v>23224.140988250376</v>
          </cell>
          <cell r="BG233">
            <v>25642.786273107926</v>
          </cell>
          <cell r="BH233">
            <v>29275.158228645789</v>
          </cell>
          <cell r="BL233">
            <v>3887.9958416663594</v>
          </cell>
          <cell r="BM233">
            <v>7624.2758494976761</v>
          </cell>
          <cell r="BN233">
            <v>11360.555857328993</v>
          </cell>
          <cell r="BO233">
            <v>15248.551698995352</v>
          </cell>
          <cell r="BP233">
            <v>18984.83170682667</v>
          </cell>
          <cell r="BQ233">
            <v>22721.111714657989</v>
          </cell>
          <cell r="BR233">
            <v>27428.373059033554</v>
          </cell>
          <cell r="BS233">
            <v>31933.346624962403</v>
          </cell>
          <cell r="BT233">
            <v>36084.316578609491</v>
          </cell>
          <cell r="BU233">
            <v>40387.002366091619</v>
          </cell>
          <cell r="BV233">
            <v>44537.972319738707</v>
          </cell>
          <cell r="BW233">
            <v>50104.956722512827</v>
          </cell>
        </row>
        <row r="234">
          <cell r="AH234">
            <v>86072.547302081701</v>
          </cell>
          <cell r="AI234">
            <v>166378.79069914977</v>
          </cell>
          <cell r="AJ234">
            <v>250980.37873805268</v>
          </cell>
          <cell r="AK234">
            <v>337719.31618487346</v>
          </cell>
          <cell r="AL234">
            <v>428067.34874689928</v>
          </cell>
          <cell r="AM234">
            <v>515178.40907455166</v>
          </cell>
          <cell r="AN234">
            <v>610362.67463571485</v>
          </cell>
          <cell r="AO234">
            <v>706291.12555732799</v>
          </cell>
          <cell r="AP234">
            <v>793415.60884486628</v>
          </cell>
          <cell r="AQ234">
            <v>885639.12592061923</v>
          </cell>
          <cell r="AR234">
            <v>974811.53027668851</v>
          </cell>
          <cell r="AS234">
            <v>1072065.0519101475</v>
          </cell>
          <cell r="AW234">
            <v>10594.25696217794</v>
          </cell>
          <cell r="AX234">
            <v>20466.587792341423</v>
          </cell>
          <cell r="AY234">
            <v>30897.914033177203</v>
          </cell>
          <cell r="AZ234">
            <v>41578.894893828459</v>
          </cell>
          <cell r="BA234">
            <v>52758.062433549276</v>
          </cell>
          <cell r="BB234">
            <v>63515.970965118569</v>
          </cell>
          <cell r="BC234">
            <v>75142.127187234873</v>
          </cell>
          <cell r="BD234">
            <v>86903.131114981254</v>
          </cell>
          <cell r="BE234">
            <v>97584.88742826409</v>
          </cell>
          <cell r="BF234">
            <v>108901.73145567597</v>
          </cell>
          <cell r="BG234">
            <v>119850.00386351805</v>
          </cell>
          <cell r="BH234">
            <v>131583.95462128159</v>
          </cell>
          <cell r="BL234">
            <v>13199.579632386554</v>
          </cell>
          <cell r="BM234">
            <v>25591.406589128932</v>
          </cell>
          <cell r="BN234">
            <v>38602.817097357154</v>
          </cell>
          <cell r="BO234">
            <v>51898.520418756067</v>
          </cell>
          <cell r="BP234">
            <v>65738.828909087053</v>
          </cell>
          <cell r="BQ234">
            <v>79112.219161123343</v>
          </cell>
          <cell r="BR234">
            <v>93496.468287473341</v>
          </cell>
          <cell r="BS234">
            <v>108020.07594235058</v>
          </cell>
          <cell r="BT234">
            <v>121329.77525149658</v>
          </cell>
          <cell r="BU234">
            <v>135350.97661538425</v>
          </cell>
          <cell r="BV234">
            <v>148956.07904456047</v>
          </cell>
          <cell r="BW234">
            <v>163502.75249502881</v>
          </cell>
        </row>
        <row r="237">
          <cell r="AH237">
            <v>81288.480499702666</v>
          </cell>
          <cell r="AI237">
            <v>241183.06540944037</v>
          </cell>
          <cell r="AJ237">
            <v>386279.99691800447</v>
          </cell>
          <cell r="AK237">
            <v>567526.89277282101</v>
          </cell>
          <cell r="AL237">
            <v>725305.8159895218</v>
          </cell>
          <cell r="AM237">
            <v>939527.5993519281</v>
          </cell>
          <cell r="AN237">
            <v>990567.77057721047</v>
          </cell>
          <cell r="AO237">
            <v>1003121.1426041286</v>
          </cell>
          <cell r="AP237">
            <v>1091748.6582440082</v>
          </cell>
          <cell r="AQ237">
            <v>1233370.5654761228</v>
          </cell>
          <cell r="AR237">
            <v>1341042.0310991809</v>
          </cell>
          <cell r="AS237">
            <v>1456294.481328215</v>
          </cell>
          <cell r="AW237">
            <v>18560.273805184581</v>
          </cell>
          <cell r="AX237">
            <v>87547.775731366273</v>
          </cell>
          <cell r="AY237">
            <v>147484.9798840291</v>
          </cell>
          <cell r="AZ237">
            <v>192588.93732115941</v>
          </cell>
          <cell r="BA237">
            <v>222061.30520610249</v>
          </cell>
          <cell r="BB237">
            <v>290084.98691364942</v>
          </cell>
          <cell r="BC237">
            <v>390906.77804954385</v>
          </cell>
          <cell r="BD237">
            <v>500698.78414345707</v>
          </cell>
          <cell r="BE237">
            <v>611865.18713749817</v>
          </cell>
          <cell r="BF237">
            <v>703125.73967153626</v>
          </cell>
          <cell r="BG237">
            <v>814654.38898802269</v>
          </cell>
          <cell r="BH237">
            <v>917604.70588467515</v>
          </cell>
          <cell r="BL237">
            <v>14390.263691835571</v>
          </cell>
          <cell r="BM237">
            <v>36844.423474262832</v>
          </cell>
          <cell r="BN237">
            <v>45104.180118266493</v>
          </cell>
          <cell r="BO237">
            <v>68532.606077385804</v>
          </cell>
          <cell r="BP237">
            <v>83818.69568498194</v>
          </cell>
          <cell r="BQ237">
            <v>96008.768997996594</v>
          </cell>
          <cell r="BR237">
            <v>79103.706132001244</v>
          </cell>
          <cell r="BS237">
            <v>73409.516114799975</v>
          </cell>
          <cell r="BT237">
            <v>80953.983470208594</v>
          </cell>
          <cell r="BU237">
            <v>119297.18178017999</v>
          </cell>
          <cell r="BV237">
            <v>204635.08843532202</v>
          </cell>
          <cell r="BW237">
            <v>261259.34838147726</v>
          </cell>
        </row>
        <row r="239">
          <cell r="AH239">
            <v>20444.795883110324</v>
          </cell>
          <cell r="AI239">
            <v>37947.666455070066</v>
          </cell>
          <cell r="AJ239">
            <v>58173.359276759111</v>
          </cell>
          <cell r="AK239">
            <v>77506.789802025625</v>
          </cell>
          <cell r="AL239">
            <v>98262.798752310278</v>
          </cell>
          <cell r="AM239">
            <v>117686.01517045169</v>
          </cell>
          <cell r="AN239">
            <v>137065.26186944533</v>
          </cell>
          <cell r="AO239">
            <v>157332.55837407877</v>
          </cell>
          <cell r="AP239">
            <v>175084.85964024151</v>
          </cell>
          <cell r="AQ239">
            <v>194821.39645982356</v>
          </cell>
          <cell r="AR239">
            <v>212774.53774695384</v>
          </cell>
          <cell r="AS239">
            <v>229984.97503990584</v>
          </cell>
          <cell r="AW239">
            <v>-33677.668233452539</v>
          </cell>
          <cell r="AX239">
            <v>-65082.51229964372</v>
          </cell>
          <cell r="AY239">
            <v>-99621.420217009116</v>
          </cell>
          <cell r="AZ239">
            <v>-134189.36583795198</v>
          </cell>
          <cell r="BA239">
            <v>-170240.75057024651</v>
          </cell>
          <cell r="BB239">
            <v>-205429.54391428703</v>
          </cell>
          <cell r="BC239">
            <v>-239669.16296362286</v>
          </cell>
          <cell r="BD239">
            <v>-274694.13525026618</v>
          </cell>
          <cell r="BE239">
            <v>-307215.0111545496</v>
          </cell>
          <cell r="BF239">
            <v>-340533.02375614154</v>
          </cell>
          <cell r="BG239">
            <v>-371348.53968139249</v>
          </cell>
          <cell r="BH239">
            <v>-401270.45275635435</v>
          </cell>
          <cell r="BL239">
            <v>-2093.2276496577801</v>
          </cell>
          <cell r="BM239">
            <v>-4046.3541554263375</v>
          </cell>
          <cell r="BN239">
            <v>-6029.339059749982</v>
          </cell>
          <cell r="BO239">
            <v>-8220.6239640736258</v>
          </cell>
          <cell r="BP239">
            <v>-10331.848182063735</v>
          </cell>
          <cell r="BQ239">
            <v>-12342.971256164623</v>
          </cell>
          <cell r="BR239">
            <v>-14359.448905822403</v>
          </cell>
          <cell r="BS239">
            <v>-16415.623123812511</v>
          </cell>
          <cell r="BT239">
            <v>-18481.898485691843</v>
          </cell>
          <cell r="BU239">
            <v>-20676.872703681955</v>
          </cell>
          <cell r="BV239">
            <v>-23451.948065561286</v>
          </cell>
          <cell r="BW239">
            <v>-25806.922283551397</v>
          </cell>
        </row>
        <row r="241">
          <cell r="AH241">
            <v>101733.276382813</v>
          </cell>
          <cell r="AI241">
            <v>279130.73186451045</v>
          </cell>
          <cell r="AJ241">
            <v>444453.35619476356</v>
          </cell>
          <cell r="AK241">
            <v>645033.68257484667</v>
          </cell>
          <cell r="AL241">
            <v>823568.61474183202</v>
          </cell>
          <cell r="AM241">
            <v>1057213.6145223798</v>
          </cell>
          <cell r="AN241">
            <v>1127633.0324466559</v>
          </cell>
          <cell r="AO241">
            <v>1160453.7009782074</v>
          </cell>
          <cell r="AP241">
            <v>1266833.5178842498</v>
          </cell>
          <cell r="AQ241">
            <v>1428191.9619359463</v>
          </cell>
          <cell r="AR241">
            <v>1553816.5688461347</v>
          </cell>
          <cell r="AS241">
            <v>1686279.4563681209</v>
          </cell>
          <cell r="AW241">
            <v>-15117.394428267959</v>
          </cell>
          <cell r="AX241">
            <v>22465.263431722553</v>
          </cell>
          <cell r="AY241">
            <v>47863.559667019988</v>
          </cell>
          <cell r="AZ241">
            <v>58399.57148320743</v>
          </cell>
          <cell r="BA241">
            <v>51820.55463585598</v>
          </cell>
          <cell r="BB241">
            <v>84655.442999362393</v>
          </cell>
          <cell r="BC241">
            <v>151237.61508592099</v>
          </cell>
          <cell r="BD241">
            <v>226004.6488931909</v>
          </cell>
          <cell r="BE241">
            <v>304650.17598294857</v>
          </cell>
          <cell r="BF241">
            <v>362592.71591539471</v>
          </cell>
          <cell r="BG241">
            <v>443305.8493066302</v>
          </cell>
          <cell r="BH241">
            <v>516334.25312832079</v>
          </cell>
          <cell r="BL241">
            <v>12297.036042177791</v>
          </cell>
          <cell r="BM241">
            <v>32798.069318836497</v>
          </cell>
          <cell r="BN241">
            <v>39074.841058516511</v>
          </cell>
          <cell r="BO241">
            <v>60311.98211331218</v>
          </cell>
          <cell r="BP241">
            <v>73486.847502918201</v>
          </cell>
          <cell r="BQ241">
            <v>83665.797741831979</v>
          </cell>
          <cell r="BR241">
            <v>64744.257226178845</v>
          </cell>
          <cell r="BS241">
            <v>56993.892990987464</v>
          </cell>
          <cell r="BT241">
            <v>62472.084984516754</v>
          </cell>
          <cell r="BU241">
            <v>98620.30907649803</v>
          </cell>
          <cell r="BV241">
            <v>181183.14036976075</v>
          </cell>
          <cell r="BW241">
            <v>235452.42609792587</v>
          </cell>
        </row>
        <row r="243">
          <cell r="AH243">
            <v>0</v>
          </cell>
          <cell r="AI243">
            <v>0</v>
          </cell>
          <cell r="AJ243">
            <v>0</v>
          </cell>
          <cell r="AK243">
            <v>0</v>
          </cell>
          <cell r="AL243">
            <v>0</v>
          </cell>
          <cell r="AM243">
            <v>0</v>
          </cell>
          <cell r="AN243">
            <v>0</v>
          </cell>
          <cell r="AO243">
            <v>0</v>
          </cell>
          <cell r="AP243">
            <v>0</v>
          </cell>
          <cell r="AQ243">
            <v>0</v>
          </cell>
          <cell r="AR243">
            <v>0</v>
          </cell>
          <cell r="AS243">
            <v>0</v>
          </cell>
          <cell r="AW243">
            <v>0</v>
          </cell>
          <cell r="AX243">
            <v>0</v>
          </cell>
          <cell r="AY243">
            <v>0</v>
          </cell>
          <cell r="AZ243">
            <v>0</v>
          </cell>
          <cell r="BA243">
            <v>0</v>
          </cell>
          <cell r="BB243">
            <v>0</v>
          </cell>
          <cell r="BC243">
            <v>0</v>
          </cell>
          <cell r="BD243">
            <v>0</v>
          </cell>
          <cell r="BE243">
            <v>0</v>
          </cell>
          <cell r="BF243">
            <v>0</v>
          </cell>
          <cell r="BG243">
            <v>0</v>
          </cell>
          <cell r="BH243">
            <v>0</v>
          </cell>
          <cell r="BL243">
            <v>0</v>
          </cell>
          <cell r="BM243">
            <v>0</v>
          </cell>
          <cell r="BN243">
            <v>0</v>
          </cell>
          <cell r="BO243">
            <v>0</v>
          </cell>
          <cell r="BP243">
            <v>0</v>
          </cell>
          <cell r="BQ243">
            <v>0</v>
          </cell>
          <cell r="BR243">
            <v>0</v>
          </cell>
          <cell r="BS243">
            <v>0</v>
          </cell>
          <cell r="BT243">
            <v>0</v>
          </cell>
          <cell r="BU243">
            <v>0</v>
          </cell>
          <cell r="BV243">
            <v>0</v>
          </cell>
          <cell r="BW243">
            <v>0</v>
          </cell>
        </row>
        <row r="244">
          <cell r="AH244">
            <v>30692.209581344679</v>
          </cell>
          <cell r="AI244">
            <v>98665.914960593451</v>
          </cell>
          <cell r="AJ244">
            <v>159939.97809077968</v>
          </cell>
          <cell r="AK244">
            <v>234156.5809138109</v>
          </cell>
          <cell r="AL244">
            <v>297542.9600577876</v>
          </cell>
          <cell r="AM244">
            <v>386015.1555815771</v>
          </cell>
          <cell r="AN244">
            <v>413735.27507237619</v>
          </cell>
          <cell r="AO244">
            <v>427302.90916118654</v>
          </cell>
          <cell r="AP244">
            <v>469493.26322866685</v>
          </cell>
          <cell r="AQ244">
            <v>528694.80699408066</v>
          </cell>
          <cell r="AR244">
            <v>576525.89117843378</v>
          </cell>
          <cell r="AS244">
            <v>625905.91534827161</v>
          </cell>
          <cell r="AW244">
            <v>-12615.068014750561</v>
          </cell>
          <cell r="AX244">
            <v>-10157.95570728344</v>
          </cell>
          <cell r="AY244">
            <v>-11075.716535409829</v>
          </cell>
          <cell r="AZ244">
            <v>-16671.431257107201</v>
          </cell>
          <cell r="BA244">
            <v>-27590.231108492542</v>
          </cell>
          <cell r="BB244">
            <v>-24922.198452439741</v>
          </cell>
          <cell r="BC244">
            <v>-14701.082885897897</v>
          </cell>
          <cell r="BD244">
            <v>-2484.7112922135402</v>
          </cell>
          <cell r="BE244">
            <v>11409.557619639998</v>
          </cell>
          <cell r="BF244">
            <v>21480.340871503828</v>
          </cell>
          <cell r="BG244">
            <v>37478.407448074533</v>
          </cell>
          <cell r="BH244">
            <v>51482.954537163387</v>
          </cell>
          <cell r="BL244">
            <v>3105.7937009511634</v>
          </cell>
          <cell r="BM244">
            <v>9544.5239055352649</v>
          </cell>
          <cell r="BN244">
            <v>10137.192115286445</v>
          </cell>
          <cell r="BO244">
            <v>16852.952729111963</v>
          </cell>
          <cell r="BP244">
            <v>20252.521305086488</v>
          </cell>
          <cell r="BQ244">
            <v>22414.833528928284</v>
          </cell>
          <cell r="BR244">
            <v>12633.557653500153</v>
          </cell>
          <cell r="BS244">
            <v>7421.8050379384831</v>
          </cell>
          <cell r="BT244">
            <v>7471.0484808964638</v>
          </cell>
          <cell r="BU244">
            <v>19997.95233038504</v>
          </cell>
          <cell r="BV244">
            <v>51540.730367727374</v>
          </cell>
          <cell r="BW244">
            <v>71472.495708256552</v>
          </cell>
        </row>
        <row r="245">
          <cell r="AH245">
            <v>38337.436358737701</v>
          </cell>
          <cell r="AI245">
            <v>77281.311732995469</v>
          </cell>
          <cell r="AJ245">
            <v>116506.76158333922</v>
          </cell>
          <cell r="AK245">
            <v>155946.10579738684</v>
          </cell>
          <cell r="AL245">
            <v>195599.34437513835</v>
          </cell>
          <cell r="AM245">
            <v>235432.6372604027</v>
          </cell>
          <cell r="AN245">
            <v>275513.66456556198</v>
          </cell>
          <cell r="AO245">
            <v>315808.58623442514</v>
          </cell>
          <cell r="AP245">
            <v>359295.32721180457</v>
          </cell>
          <cell r="AQ245">
            <v>404687.96536244033</v>
          </cell>
          <cell r="AR245">
            <v>450362.1779891621</v>
          </cell>
          <cell r="AS245">
            <v>496250.28497958777</v>
          </cell>
          <cell r="AW245">
            <v>4187.8564089924812</v>
          </cell>
          <cell r="AX245">
            <v>8441.6122137011516</v>
          </cell>
          <cell r="AY245">
            <v>12726.589509249432</v>
          </cell>
          <cell r="AZ245">
            <v>17035.563732121369</v>
          </cell>
          <cell r="BA245">
            <v>21368.534882316962</v>
          </cell>
          <cell r="BB245">
            <v>25721.890678078231</v>
          </cell>
          <cell r="BC245">
            <v>30102.855682921134</v>
          </cell>
          <cell r="BD245">
            <v>34507.81761508769</v>
          </cell>
          <cell r="BE245">
            <v>39254.657269279887</v>
          </cell>
          <cell r="BF245">
            <v>44206.1079386946</v>
          </cell>
          <cell r="BG245">
            <v>49188.780098948919</v>
          </cell>
          <cell r="BH245">
            <v>54195.449186526894</v>
          </cell>
          <cell r="BL245">
            <v>4721.9294544920394</v>
          </cell>
          <cell r="BM245">
            <v>9518.7427199700505</v>
          </cell>
          <cell r="BN245">
            <v>14349.982240744688</v>
          </cell>
          <cell r="BO245">
            <v>19207.219359380673</v>
          </cell>
          <cell r="BP245">
            <v>24090.454075878006</v>
          </cell>
          <cell r="BQ245">
            <v>28995.472061519045</v>
          </cell>
          <cell r="BR245">
            <v>33930.701973739073</v>
          </cell>
          <cell r="BS245">
            <v>38891.929483820451</v>
          </cell>
          <cell r="BT245">
            <v>44250.01551891549</v>
          </cell>
          <cell r="BU245">
            <v>49844.815587753881</v>
          </cell>
          <cell r="BV245">
            <v>55474.041911888897</v>
          </cell>
          <cell r="BW245">
            <v>61129.265833885263</v>
          </cell>
        </row>
        <row r="246">
          <cell r="AH246">
            <v>0</v>
          </cell>
          <cell r="AI246">
            <v>0</v>
          </cell>
          <cell r="AJ246">
            <v>0</v>
          </cell>
          <cell r="AK246">
            <v>0</v>
          </cell>
          <cell r="AL246">
            <v>0</v>
          </cell>
          <cell r="AM246">
            <v>0</v>
          </cell>
          <cell r="AN246">
            <v>0</v>
          </cell>
          <cell r="AO246">
            <v>0</v>
          </cell>
          <cell r="AP246">
            <v>0</v>
          </cell>
          <cell r="AQ246">
            <v>0</v>
          </cell>
          <cell r="AR246">
            <v>0</v>
          </cell>
          <cell r="AS246">
            <v>0</v>
          </cell>
          <cell r="AW246">
            <v>0</v>
          </cell>
          <cell r="AX246">
            <v>0</v>
          </cell>
          <cell r="AY246">
            <v>0</v>
          </cell>
          <cell r="AZ246">
            <v>0</v>
          </cell>
          <cell r="BA246">
            <v>0</v>
          </cell>
          <cell r="BB246">
            <v>0</v>
          </cell>
          <cell r="BC246">
            <v>0</v>
          </cell>
          <cell r="BD246">
            <v>0</v>
          </cell>
          <cell r="BE246">
            <v>0</v>
          </cell>
          <cell r="BF246">
            <v>0</v>
          </cell>
          <cell r="BG246">
            <v>0</v>
          </cell>
          <cell r="BH246">
            <v>0</v>
          </cell>
          <cell r="BL246">
            <v>0</v>
          </cell>
          <cell r="BM246">
            <v>0</v>
          </cell>
          <cell r="BN246">
            <v>0</v>
          </cell>
          <cell r="BO246">
            <v>0</v>
          </cell>
          <cell r="BP246">
            <v>0</v>
          </cell>
          <cell r="BQ246">
            <v>0</v>
          </cell>
          <cell r="BR246">
            <v>0</v>
          </cell>
          <cell r="BS246">
            <v>0</v>
          </cell>
          <cell r="BT246">
            <v>0</v>
          </cell>
          <cell r="BU246">
            <v>0</v>
          </cell>
          <cell r="BV246">
            <v>0</v>
          </cell>
          <cell r="BW246">
            <v>0</v>
          </cell>
        </row>
        <row r="247">
          <cell r="AH247">
            <v>69029.645940082381</v>
          </cell>
          <cell r="AI247">
            <v>175947.22669358892</v>
          </cell>
          <cell r="AJ247">
            <v>276446.73967411893</v>
          </cell>
          <cell r="AK247">
            <v>390102.68671119772</v>
          </cell>
          <cell r="AL247">
            <v>493142.30443292594</v>
          </cell>
          <cell r="AM247">
            <v>621447.79284197977</v>
          </cell>
          <cell r="AN247">
            <v>689248.93963793817</v>
          </cell>
          <cell r="AO247">
            <v>743111.49539561174</v>
          </cell>
          <cell r="AP247">
            <v>828788.59044047142</v>
          </cell>
          <cell r="AQ247">
            <v>933382.77235652099</v>
          </cell>
          <cell r="AR247">
            <v>1026888.0691675958</v>
          </cell>
          <cell r="AS247">
            <v>1122156.2003278593</v>
          </cell>
          <cell r="AW247">
            <v>-8427.2116057580788</v>
          </cell>
          <cell r="AX247">
            <v>-1716.3434935822879</v>
          </cell>
          <cell r="AY247">
            <v>1650.8729738396032</v>
          </cell>
          <cell r="AZ247">
            <v>364.13247501416845</v>
          </cell>
          <cell r="BA247">
            <v>-6221.6962261755798</v>
          </cell>
          <cell r="BB247">
            <v>799.69222563848962</v>
          </cell>
          <cell r="BC247">
            <v>15401.772797023237</v>
          </cell>
          <cell r="BD247">
            <v>32023.106322874148</v>
          </cell>
          <cell r="BE247">
            <v>50664.214888919887</v>
          </cell>
          <cell r="BF247">
            <v>65686.448810198432</v>
          </cell>
          <cell r="BG247">
            <v>86667.187547023452</v>
          </cell>
          <cell r="BH247">
            <v>105678.40372369028</v>
          </cell>
          <cell r="BL247">
            <v>7827.7231554432028</v>
          </cell>
          <cell r="BM247">
            <v>19063.266625505315</v>
          </cell>
          <cell r="BN247">
            <v>24487.174356031133</v>
          </cell>
          <cell r="BO247">
            <v>36060.172088492633</v>
          </cell>
          <cell r="BP247">
            <v>44342.97538096449</v>
          </cell>
          <cell r="BQ247">
            <v>51410.305590447329</v>
          </cell>
          <cell r="BR247">
            <v>46564.259627239226</v>
          </cell>
          <cell r="BS247">
            <v>46313.734521758932</v>
          </cell>
          <cell r="BT247">
            <v>51721.063999811951</v>
          </cell>
          <cell r="BU247">
            <v>69842.767918138925</v>
          </cell>
          <cell r="BV247">
            <v>107014.77227961627</v>
          </cell>
          <cell r="BW247">
            <v>132601.76154214182</v>
          </cell>
        </row>
        <row r="249">
          <cell r="AH249">
            <v>32703.630442730617</v>
          </cell>
          <cell r="AI249">
            <v>103183.50517092153</v>
          </cell>
          <cell r="AJ249">
            <v>168006.61652064463</v>
          </cell>
          <cell r="AK249">
            <v>254930.99586364895</v>
          </cell>
          <cell r="AL249">
            <v>330426.31030890608</v>
          </cell>
          <cell r="AM249">
            <v>435765.82168040005</v>
          </cell>
          <cell r="AN249">
            <v>438384.09280871775</v>
          </cell>
          <cell r="AO249">
            <v>417342.20558259566</v>
          </cell>
          <cell r="AP249">
            <v>438044.92744377838</v>
          </cell>
          <cell r="AQ249">
            <v>494809.18957942526</v>
          </cell>
          <cell r="AR249">
            <v>526928.49967853888</v>
          </cell>
          <cell r="AS249">
            <v>564123.25604026159</v>
          </cell>
          <cell r="AW249">
            <v>-6690.1828225098798</v>
          </cell>
          <cell r="AX249">
            <v>24181.606925304841</v>
          </cell>
          <cell r="AY249">
            <v>46212.686693180382</v>
          </cell>
          <cell r="AZ249">
            <v>58035.439008193265</v>
          </cell>
          <cell r="BA249">
            <v>58042.250862031564</v>
          </cell>
          <cell r="BB249">
            <v>83855.750773723907</v>
          </cell>
          <cell r="BC249">
            <v>135835.84228889775</v>
          </cell>
          <cell r="BD249">
            <v>193981.54257031676</v>
          </cell>
          <cell r="BE249">
            <v>253985.96109402867</v>
          </cell>
          <cell r="BF249">
            <v>296906.26710519625</v>
          </cell>
          <cell r="BG249">
            <v>356638.66175960674</v>
          </cell>
          <cell r="BH249">
            <v>410655.84940463048</v>
          </cell>
          <cell r="BL249">
            <v>4469.3128867345886</v>
          </cell>
          <cell r="BM249">
            <v>13734.802693331181</v>
          </cell>
          <cell r="BN249">
            <v>14587.666702485378</v>
          </cell>
          <cell r="BO249">
            <v>24251.810024819548</v>
          </cell>
          <cell r="BP249">
            <v>29143.872121953711</v>
          </cell>
          <cell r="BQ249">
            <v>32255.492151384649</v>
          </cell>
          <cell r="BR249">
            <v>18179.997598939619</v>
          </cell>
          <cell r="BS249">
            <v>10680.158469228532</v>
          </cell>
          <cell r="BT249">
            <v>10751.020984704803</v>
          </cell>
          <cell r="BU249">
            <v>28777.541158359105</v>
          </cell>
          <cell r="BV249">
            <v>74168.368090144475</v>
          </cell>
          <cell r="BW249">
            <v>102850.66455578405</v>
          </cell>
        </row>
        <row r="251">
          <cell r="AH251">
            <v>0</v>
          </cell>
          <cell r="AI251">
            <v>0</v>
          </cell>
          <cell r="AJ251">
            <v>0</v>
          </cell>
          <cell r="AK251">
            <v>0</v>
          </cell>
          <cell r="AL251">
            <v>0</v>
          </cell>
          <cell r="AM251">
            <v>0</v>
          </cell>
          <cell r="AN251">
            <v>0</v>
          </cell>
          <cell r="AO251">
            <v>0</v>
          </cell>
          <cell r="AP251">
            <v>0</v>
          </cell>
          <cell r="AQ251">
            <v>0</v>
          </cell>
          <cell r="AR251">
            <v>0</v>
          </cell>
          <cell r="AS251">
            <v>0</v>
          </cell>
          <cell r="AW251">
            <v>0</v>
          </cell>
          <cell r="AX251">
            <v>0</v>
          </cell>
          <cell r="AY251">
            <v>0</v>
          </cell>
          <cell r="AZ251">
            <v>0</v>
          </cell>
          <cell r="BA251">
            <v>0</v>
          </cell>
          <cell r="BB251">
            <v>0</v>
          </cell>
          <cell r="BC251">
            <v>0</v>
          </cell>
          <cell r="BD251">
            <v>0</v>
          </cell>
          <cell r="BE251">
            <v>0</v>
          </cell>
          <cell r="BF251">
            <v>0</v>
          </cell>
          <cell r="BG251">
            <v>0</v>
          </cell>
          <cell r="BH251">
            <v>0</v>
          </cell>
          <cell r="BL251">
            <v>0</v>
          </cell>
          <cell r="BM251">
            <v>0</v>
          </cell>
          <cell r="BN251">
            <v>0</v>
          </cell>
          <cell r="BO251">
            <v>0</v>
          </cell>
          <cell r="BP251">
            <v>0</v>
          </cell>
          <cell r="BQ251">
            <v>0</v>
          </cell>
          <cell r="BR251">
            <v>0</v>
          </cell>
          <cell r="BS251">
            <v>0</v>
          </cell>
          <cell r="BT251">
            <v>0</v>
          </cell>
          <cell r="BU251">
            <v>0</v>
          </cell>
          <cell r="BV251">
            <v>0</v>
          </cell>
          <cell r="BW251">
            <v>0</v>
          </cell>
        </row>
        <row r="252">
          <cell r="AH252">
            <v>0</v>
          </cell>
          <cell r="AI252">
            <v>0</v>
          </cell>
          <cell r="AJ252">
            <v>0</v>
          </cell>
          <cell r="AK252">
            <v>0</v>
          </cell>
          <cell r="AL252">
            <v>0</v>
          </cell>
          <cell r="AM252">
            <v>0</v>
          </cell>
          <cell r="AN252">
            <v>0</v>
          </cell>
          <cell r="AO252">
            <v>0</v>
          </cell>
          <cell r="AP252">
            <v>0</v>
          </cell>
          <cell r="AQ252">
            <v>0</v>
          </cell>
          <cell r="AR252">
            <v>0</v>
          </cell>
          <cell r="AS252">
            <v>0</v>
          </cell>
          <cell r="AW252">
            <v>0</v>
          </cell>
          <cell r="AX252">
            <v>0</v>
          </cell>
          <cell r="AY252">
            <v>0</v>
          </cell>
          <cell r="AZ252">
            <v>0</v>
          </cell>
          <cell r="BA252">
            <v>0</v>
          </cell>
          <cell r="BB252">
            <v>0</v>
          </cell>
          <cell r="BC252">
            <v>0</v>
          </cell>
          <cell r="BD252">
            <v>0</v>
          </cell>
          <cell r="BE252">
            <v>0</v>
          </cell>
          <cell r="BF252">
            <v>0</v>
          </cell>
          <cell r="BG252">
            <v>0</v>
          </cell>
          <cell r="BH252">
            <v>0</v>
          </cell>
          <cell r="BL252">
            <v>0</v>
          </cell>
          <cell r="BM252">
            <v>0</v>
          </cell>
          <cell r="BN252">
            <v>0</v>
          </cell>
          <cell r="BO252">
            <v>0</v>
          </cell>
          <cell r="BP252">
            <v>0</v>
          </cell>
          <cell r="BQ252">
            <v>0</v>
          </cell>
          <cell r="BR252">
            <v>0</v>
          </cell>
          <cell r="BS252">
            <v>0</v>
          </cell>
          <cell r="BT252">
            <v>0</v>
          </cell>
          <cell r="BU252">
            <v>0</v>
          </cell>
          <cell r="BV252">
            <v>0</v>
          </cell>
          <cell r="BW252">
            <v>0</v>
          </cell>
        </row>
      </sheetData>
      <sheetData sheetId="5">
        <row r="46">
          <cell r="F46" t="str">
            <v>The GTS Companies</v>
          </cell>
        </row>
        <row r="47">
          <cell r="F47" t="str">
            <v>Company Summary</v>
          </cell>
        </row>
        <row r="48">
          <cell r="F48" t="str">
            <v>For the Fiscal Year Ended June 30, 2001</v>
          </cell>
        </row>
        <row r="50">
          <cell r="A50" t="str">
            <v>Monthly Cost of Sales</v>
          </cell>
          <cell r="G50" t="str">
            <v>Monthly S&amp;M and G&amp;A Expenses</v>
          </cell>
        </row>
        <row r="70">
          <cell r="A70" t="str">
            <v>Cumulative Cost of Sales</v>
          </cell>
          <cell r="G70" t="str">
            <v>Cumulative S&amp;M and G&amp;A Expenses</v>
          </cell>
        </row>
      </sheetData>
      <sheetData sheetId="6"/>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BS"/>
      <sheetName val="PL"/>
      <sheetName val="Sch 1-3"/>
      <sheetName val="Sch 4"/>
      <sheetName val="Dep-It"/>
      <sheetName val="Sch 5-12"/>
      <sheetName val="Annx 1"/>
      <sheetName val="Annx 2"/>
      <sheetName val="Abstract"/>
      <sheetName val="269SS"/>
      <sheetName val="Closing stock"/>
      <sheetName val="Taxation"/>
    </sheetNames>
    <sheetDataSet>
      <sheetData sheetId="0">
        <row r="1">
          <cell r="B1" t="str">
            <v>KMA AUTO COMPONENTS PVT LTD</v>
          </cell>
        </row>
        <row r="2">
          <cell r="B2" t="str">
            <v>NO. 83 , 3rd  MAIN ROAD , AMBATTUR INDUSTRIAL ESTATE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1"/>
      <sheetName val="BASIC RATES"/>
      <sheetName val="#REF"/>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ful Lives"/>
      <sheetName val="WDV"/>
      <sheetName val="Sheet1"/>
      <sheetName val="FORMULAS CHECK"/>
      <sheetName val="INSTRUCTIONS"/>
      <sheetName val="FA Schedule (8)"/>
    </sheetNames>
    <sheetDataSet>
      <sheetData sheetId="0">
        <row r="4">
          <cell r="D4" t="str">
            <v>(a)  Buildings (other than factory buildings) RCC Frame Structure</v>
          </cell>
        </row>
        <row r="5">
          <cell r="D5" t="str">
            <v>(b)  Buildings (other than factory buildings) other than RCC Frame Structure</v>
          </cell>
        </row>
        <row r="6">
          <cell r="D6" t="str">
            <v>(c)  Factory buildings</v>
          </cell>
        </row>
        <row r="7">
          <cell r="D7" t="str">
            <v>(d)  Fences, wells, tube wells</v>
          </cell>
        </row>
        <row r="8">
          <cell r="D8" t="str">
            <v>(e)  Others (including temporary structure, etc.)</v>
          </cell>
        </row>
        <row r="9">
          <cell r="D9" t="str">
            <v>II. Bridges, culverts, bunders, etc. [NESD]</v>
          </cell>
        </row>
        <row r="10">
          <cell r="D10" t="str">
            <v>  (i)  Carpeted Roads—RCC</v>
          </cell>
        </row>
        <row r="11">
          <cell r="D11" t="str">
            <v>(ii)  Carpeted Roads—other than RCC</v>
          </cell>
        </row>
        <row r="12">
          <cell r="D12" t="str">
            <v>(b)  Non-carpeted roads</v>
          </cell>
        </row>
        <row r="13">
          <cell r="D13" t="str">
            <v>(a)  Plant and Machinery other than continuous process plant not covered under specific industries</v>
          </cell>
        </row>
        <row r="14">
          <cell r="D14" t="str">
            <v>4[(b) Continuous process plant for which no special rate has been prescribed under (ii) below [NESD]</v>
          </cell>
        </row>
        <row r="15">
          <cell r="D15" t="str">
            <v> 1.    Cinematograph films—Machinery used in the production and exhibition of cinematograph films, recording and reproducing equipments, developing machines, printing machines, editing machines, synchronizers and studio lights except bulbs</v>
          </cell>
        </row>
        <row r="16">
          <cell r="D16" t="str">
            <v> 2.    Projecting equipment for exhibition of films</v>
          </cell>
        </row>
        <row r="17">
          <cell r="D17" t="str">
            <v>1. Recuperative and regenerative glass melting furnaces</v>
          </cell>
        </row>
        <row r="18">
          <cell r="D18" t="str">
            <v>2. Plant and Machinery except direct fire glass melting furnaces — Moulds [NESD]</v>
          </cell>
        </row>
        <row r="19">
          <cell r="D19" t="str">
            <v>3. Float Glass Melting Furnaces [NESD]</v>
          </cell>
        </row>
        <row r="20">
          <cell r="D20" t="str">
            <v>(c)  Plant and Machinery used in mines and quarries—Portable under ground machinery and earth moving machinery used in open cast mining [NESD]</v>
          </cell>
        </row>
        <row r="21">
          <cell r="D21" t="str">
            <v>1. Towers</v>
          </cell>
        </row>
        <row r="22">
          <cell r="D22" t="str">
            <v>2. Telecom transreceivers, switching centres, transmission and other network equipment</v>
          </cell>
        </row>
        <row r="23">
          <cell r="D23" t="str">
            <v>3. Telecom—Ducts, Cables and optical fibre</v>
          </cell>
        </row>
        <row r="24">
          <cell r="D24" t="str">
            <v>4. Satellites</v>
          </cell>
        </row>
        <row r="25">
          <cell r="D25" t="str">
            <v>1. Refineries</v>
          </cell>
        </row>
        <row r="26">
          <cell r="D26" t="str">
            <v>2. Oil and gas assets (including wells), processing plant and facilities</v>
          </cell>
        </row>
        <row r="27">
          <cell r="D27" t="str">
            <v>3. Petrochemical Plant</v>
          </cell>
        </row>
        <row r="28">
          <cell r="D28" t="str">
            <v>4. Storage tanks and related equipment</v>
          </cell>
        </row>
        <row r="29">
          <cell r="D29" t="str">
            <v>5. Pipelines</v>
          </cell>
        </row>
        <row r="30">
          <cell r="D30" t="str">
            <v>6. Drilling Rig</v>
          </cell>
        </row>
        <row r="31">
          <cell r="D31" t="str">
            <v>7. Field operations (above ground) Portable boilers, drilling tools, well-head tanks, etc.</v>
          </cell>
        </row>
        <row r="32">
          <cell r="D32" t="str">
            <v>8. Loggers</v>
          </cell>
        </row>
        <row r="33">
          <cell r="D33" t="str">
            <v>1. Thermal/Gas/Combined Cycle Power Generation Plant</v>
          </cell>
        </row>
        <row r="34">
          <cell r="D34" t="str">
            <v>2. Hydro Power Generation Plant</v>
          </cell>
        </row>
        <row r="35">
          <cell r="D35" t="str">
            <v>3. Nuclear Power Generation Plant</v>
          </cell>
        </row>
        <row r="36">
          <cell r="D36" t="str">
            <v>4. Transmission lines, cables and other network assets</v>
          </cell>
        </row>
        <row r="37">
          <cell r="D37" t="str">
            <v>5. Wind Power Generation Plant</v>
          </cell>
        </row>
        <row r="38">
          <cell r="D38" t="str">
            <v>6. Electric Distribution Plant</v>
          </cell>
        </row>
        <row r="39">
          <cell r="D39" t="str">
            <v>7. Gas Storage and Distribution Plant</v>
          </cell>
        </row>
        <row r="40">
          <cell r="D40" t="str">
            <v>8. Water Distribution Plant including pipelines</v>
          </cell>
        </row>
        <row r="41">
          <cell r="D41" t="str">
            <v>1. Sinter Plant</v>
          </cell>
        </row>
        <row r="42">
          <cell r="D42" t="str">
            <v>2. Blast Furnace</v>
          </cell>
        </row>
        <row r="43">
          <cell r="D43" t="str">
            <v>3. Coke ovens</v>
          </cell>
        </row>
        <row r="44">
          <cell r="D44" t="str">
            <v>4. Rolling mill in steel plant</v>
          </cell>
        </row>
        <row r="45">
          <cell r="D45" t="str">
            <v>5. Basic oxygen Furnace Converter</v>
          </cell>
        </row>
        <row r="46">
          <cell r="D46" t="str">
            <v>1. Metal pot line [NESD]</v>
          </cell>
        </row>
        <row r="47">
          <cell r="D47" t="str">
            <v>2. Bauxite crushing and grinding section [NESD]</v>
          </cell>
        </row>
        <row r="48">
          <cell r="D48" t="str">
            <v>3. Digester section [NESD]</v>
          </cell>
        </row>
        <row r="49">
          <cell r="D49" t="str">
            <v>4. Turbine [NESD]</v>
          </cell>
        </row>
        <row r="50">
          <cell r="D50" t="str">
            <v>5. Equipments for Calcination [NESD]</v>
          </cell>
        </row>
        <row r="51">
          <cell r="D51" t="str">
            <v>6. Copper Smelter [NESD]</v>
          </cell>
        </row>
        <row r="52">
          <cell r="D52" t="str">
            <v>7. Roll Grinder</v>
          </cell>
        </row>
        <row r="53">
          <cell r="D53" t="str">
            <v>8. Soaking Pit</v>
          </cell>
        </row>
        <row r="54">
          <cell r="D54" t="str">
            <v>9. Annealing Furnace</v>
          </cell>
        </row>
        <row r="55">
          <cell r="D55" t="str">
            <v>10. Rolling Mills</v>
          </cell>
        </row>
        <row r="56">
          <cell r="D56" t="str">
            <v>11. Equipments for Scalping, Slitting, etc. [NESD]</v>
          </cell>
        </row>
        <row r="57">
          <cell r="D57" t="str">
            <v>12. Surface Miner, Ripper Dozer, etc., used in mines</v>
          </cell>
        </row>
        <row r="58">
          <cell r="D58" t="str">
            <v>13. Copper refining plant [NESD]</v>
          </cell>
        </row>
        <row r="59">
          <cell r="D59" t="str">
            <v>1. Electrical Machinery, X-ray and electrotherapeutic apparatus and accessories thereto, medical, diagnostic equipments, namely, Cat- Scan, Ultrasound Machines, ECG Monitors, etc.</v>
          </cell>
        </row>
        <row r="60">
          <cell r="D60" t="str">
            <v>2. Other Equipments.</v>
          </cell>
        </row>
        <row r="61">
          <cell r="D61" t="str">
            <v>1. Reactors</v>
          </cell>
        </row>
        <row r="62">
          <cell r="D62" t="str">
            <v>2. Distillation Columns</v>
          </cell>
        </row>
        <row r="63">
          <cell r="D63" t="str">
            <v>3. Drying equipments/Centrifuges and Decanters</v>
          </cell>
        </row>
        <row r="64">
          <cell r="D64" t="str">
            <v>4. Vessel/storage tanks</v>
          </cell>
        </row>
        <row r="65">
          <cell r="D65" t="str">
            <v>1. Concreting, Crushing, Piling Equipments and Road Making Equipments</v>
          </cell>
        </row>
        <row r="66">
          <cell r="D66" t="str">
            <v>2a. Heavy Lift Equipments—Cranes with capacity of more than 100 tons</v>
          </cell>
        </row>
        <row r="67">
          <cell r="D67" t="str">
            <v>2b. Heavy Lift Equipments—Cranes with capacity of less than 100 tons</v>
          </cell>
        </row>
        <row r="68">
          <cell r="D68" t="str">
            <v>3. Transmission line, Tunneling Equipments [NESD]</v>
          </cell>
        </row>
        <row r="69">
          <cell r="D69" t="str">
            <v>4. Earth-moving equipments</v>
          </cell>
        </row>
        <row r="70">
          <cell r="D70" t="str">
            <v>5. Others including Material Handling /Pipeline/Welding Equipments [NESD]</v>
          </cell>
        </row>
        <row r="71">
          <cell r="D71" t="str">
            <v>(l)  Plant and Machinery used in salt works [NESD]</v>
          </cell>
        </row>
        <row r="72">
          <cell r="D72" t="str">
            <v>  (i)  General furniture and fittings</v>
          </cell>
        </row>
        <row r="73">
          <cell r="D73" t="str">
            <v>(ii)  Furniture and fittings used in HOTELS, restaurants and boarding houses, schools, colleges and other educational institutions, libraries; welfare centres; meeting halls, cinema houses; theatres and circuses; and furniture and fittings let out on hire</v>
          </cell>
        </row>
        <row r="74">
          <cell r="D74" t="str">
            <v>1. Motor cycles, scooters and other mopeds</v>
          </cell>
        </row>
        <row r="75">
          <cell r="D75" t="str">
            <v>2.  Motor buses, motor lorries, motor cars and motor taxies used in a business of running them on hire</v>
          </cell>
        </row>
        <row r="76">
          <cell r="D76" t="str">
            <v>3. Motor buses, motor lorries and motor cars other than those used in a business of running them on hire</v>
          </cell>
        </row>
        <row r="77">
          <cell r="D77" t="str">
            <v>4. Motor tractors, harvesting combines and heavy vehicles</v>
          </cell>
        </row>
        <row r="78">
          <cell r="D78" t="str">
            <v>5. Electrically operated vehicles including battery powered or fuel cell powered vehicles</v>
          </cell>
        </row>
        <row r="79">
          <cell r="D79" t="str">
            <v> (i)  Bulk Carriers and liner vessels</v>
          </cell>
        </row>
        <row r="80">
          <cell r="D80" t="str">
            <v>(ii)  Crude tankers, product carriers and easy chemical carriers with or without conventional tank coatings</v>
          </cell>
        </row>
        <row r="81">
          <cell r="D81" t="str">
            <v>(iii)  Chemicals and Acid Carriers :</v>
          </cell>
        </row>
        <row r="82">
          <cell r="D82" t="str">
            <v>(a)  With Stainless steel tanks</v>
          </cell>
        </row>
        <row r="83">
          <cell r="D83" t="str">
            <v>(b)  With other tanks</v>
          </cell>
        </row>
        <row r="84">
          <cell r="D84" t="str">
            <v>(iv)  Liquified gas carriers</v>
          </cell>
        </row>
        <row r="85">
          <cell r="D85" t="str">
            <v>(v)  Conventional large passenger vessels which are used for cruise purpose also</v>
          </cell>
        </row>
        <row r="86">
          <cell r="D86" t="str">
            <v>(vi)  Coastal service ships of all categories</v>
          </cell>
        </row>
        <row r="87">
          <cell r="D87" t="str">
            <v>(vii)  Offshore supply and support vessels</v>
          </cell>
        </row>
        <row r="88">
          <cell r="D88" t="str">
            <v>(viii)  Catamarans and other high speed passenger for ships or boats</v>
          </cell>
        </row>
        <row r="89">
          <cell r="D89" t="str">
            <v>(ix)  Drill ships</v>
          </cell>
        </row>
        <row r="90">
          <cell r="D90" t="str">
            <v>(x)  Hovercrafts</v>
          </cell>
        </row>
        <row r="91">
          <cell r="D91" t="str">
            <v>(xi)  Fishing vessels with wooden hull</v>
          </cell>
        </row>
        <row r="92">
          <cell r="D92" t="str">
            <v>(xii)  Dredgers, tugs, barges, survey launches and other similar ships used mainly for dredging purposes</v>
          </cell>
        </row>
        <row r="93">
          <cell r="D93" t="str">
            <v>  (i)  Speed boats</v>
          </cell>
        </row>
        <row r="94">
          <cell r="D94" t="str">
            <v>(ii)  Other vessels</v>
          </cell>
        </row>
        <row r="95">
          <cell r="D95" t="str">
            <v>VIII. Aircrafts or Helicopters [NESD]</v>
          </cell>
        </row>
        <row r="96">
          <cell r="D96" t="str">
            <v>IX. Railways sidings, locomotives, rolling stocks, tramways and railways used by concerns, excluding railway concerns [NESD]</v>
          </cell>
        </row>
        <row r="97">
          <cell r="D97" t="str">
            <v>X. Ropeway structures [NESD]</v>
          </cell>
        </row>
        <row r="98">
          <cell r="D98" t="str">
            <v>XI. Office equipment [NESD]</v>
          </cell>
        </row>
        <row r="99">
          <cell r="D99" t="str">
            <v>XII. Computers and data processing units [NESD]</v>
          </cell>
        </row>
        <row r="100">
          <cell r="D100" t="str">
            <v>  (i)  Servers and networks</v>
          </cell>
        </row>
        <row r="101">
          <cell r="D101" t="str">
            <v>(ii)  End user devices, such as, desktops, laptops, etc.</v>
          </cell>
        </row>
        <row r="102">
          <cell r="D102" t="str">
            <v>  (i)  General laboratory equipment</v>
          </cell>
        </row>
        <row r="103">
          <cell r="D103" t="str">
            <v>(ii)  Laboratory equipments used in educational institutions</v>
          </cell>
        </row>
        <row r="104">
          <cell r="D104" t="str">
            <v>XIV. Electrical Installations and Equipment [NESD]</v>
          </cell>
        </row>
        <row r="105">
          <cell r="D105" t="str">
            <v>XV. Hydraulic works, pipelines and sluices [NESD]</v>
          </cell>
        </row>
      </sheetData>
      <sheetData sheetId="1">
        <row r="5">
          <cell r="Z5">
            <v>14106737</v>
          </cell>
        </row>
      </sheetData>
      <sheetData sheetId="2" refreshError="1"/>
      <sheetData sheetId="3"/>
      <sheetData sheetId="4"/>
      <sheetData sheetId="5"/>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Page"/>
      <sheetName val="DR"/>
      <sheetName val="DR-Anx"/>
      <sheetName val="AR"/>
      <sheetName val="CARO"/>
      <sheetName val="CAROApp"/>
      <sheetName val="BS"/>
      <sheetName val="PL"/>
      <sheetName val="FundFlow"/>
      <sheetName val="Instructions"/>
      <sheetName val="BSSch"/>
      <sheetName val="FASch"/>
      <sheetName val="PLSch"/>
      <sheetName val="Notes"/>
      <sheetName val="PartIV"/>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IT"/>
      <sheetName val="Mas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C3" t="str">
            <v>Portalplayer (India) Private Limited</v>
          </cell>
        </row>
        <row r="4">
          <cell r="C4" t="str">
            <v>Plot No:249, Prashasan Nagar,Road No:72, Jubilee Hills,Hyderabad-500 034.</v>
          </cell>
        </row>
        <row r="7">
          <cell r="C7" t="str">
            <v>Private Limited Company</v>
          </cell>
        </row>
        <row r="11">
          <cell r="C11" t="str">
            <v>AABCP7418F</v>
          </cell>
        </row>
        <row r="16">
          <cell r="C16" t="str">
            <v>Partner</v>
          </cell>
        </row>
        <row r="19">
          <cell r="C19" t="str">
            <v>Deloitte Haskins &amp; Sells</v>
          </cell>
        </row>
        <row r="20">
          <cell r="C20" t="str">
            <v>P.R. Ramesh</v>
          </cell>
        </row>
        <row r="23">
          <cell r="C23" t="str">
            <v>M.No: 70928</v>
          </cell>
        </row>
        <row r="24">
          <cell r="C24" t="str">
            <v>Chartered Accountants,7th Floor, Amrutha Estates,Lingapur House,Himayathnagar,Hyderabad-500 029.</v>
          </cell>
        </row>
        <row r="28">
          <cell r="C28" t="str">
            <v>31-03-2006</v>
          </cell>
        </row>
        <row r="34">
          <cell r="C34" t="str">
            <v>2006-07</v>
          </cell>
        </row>
        <row r="40">
          <cell r="C40" t="str">
            <v>August 5, 2006</v>
          </cell>
        </row>
        <row r="43">
          <cell r="C43" t="str">
            <v>Hyderabad</v>
          </cell>
        </row>
        <row r="45">
          <cell r="C45" t="str">
            <v>Software Development</v>
          </cell>
        </row>
        <row r="46">
          <cell r="C46" t="str">
            <v>Mercantile</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9 Schedule"/>
      <sheetName val="Schedule Qty"/>
      <sheetName val="BOQ Distribution"/>
      <sheetName val="Summary"/>
      <sheetName val="Bill No__1"/>
      <sheetName val="Bill No__2"/>
      <sheetName val="Bill No__3"/>
      <sheetName val="Bill No__4"/>
      <sheetName val="Bill No__5"/>
      <sheetName val="Bill No__6"/>
      <sheetName val="Bill No__7"/>
      <sheetName val="Bill No__8"/>
      <sheetName val="Bill No__9"/>
      <sheetName val="Bill No__10"/>
      <sheetName val="Bill No__11"/>
      <sheetName val="Bill No__12"/>
      <sheetName val="Bill No__13"/>
    </sheetNames>
    <sheetDataSet>
      <sheetData sheetId="0">
        <row r="5">
          <cell r="A5" t="str">
            <v>CLEARING &amp; GRUBBING</v>
          </cell>
        </row>
      </sheetData>
      <sheetData sheetId="1"/>
      <sheetData sheetId="2" refreshError="1">
        <row r="5">
          <cell r="A5" t="str">
            <v>CLEARING &amp; GRUBBING</v>
          </cell>
          <cell r="C5">
            <v>1.01</v>
          </cell>
          <cell r="D5" t="str">
            <v>HCT</v>
          </cell>
          <cell r="E5">
            <v>47</v>
          </cell>
          <cell r="F5">
            <v>27339.165000000001</v>
          </cell>
          <cell r="G5">
            <v>1284940.7550000001</v>
          </cell>
        </row>
        <row r="6">
          <cell r="A6" t="str">
            <v>EXCAVATION</v>
          </cell>
          <cell r="C6">
            <v>2.0099999999999998</v>
          </cell>
          <cell r="D6" t="str">
            <v>CUM</v>
          </cell>
          <cell r="E6">
            <v>123000</v>
          </cell>
          <cell r="F6">
            <v>34.11</v>
          </cell>
          <cell r="G6">
            <v>4195530</v>
          </cell>
        </row>
        <row r="7">
          <cell r="A7" t="str">
            <v>EARTHWORK IN EMBANKMENT</v>
          </cell>
          <cell r="C7" t="str">
            <v>2.02 + 2.03</v>
          </cell>
          <cell r="D7" t="str">
            <v>CUM</v>
          </cell>
          <cell r="E7">
            <v>355000</v>
          </cell>
          <cell r="F7">
            <v>124.69633802816901</v>
          </cell>
          <cell r="G7">
            <v>44267200</v>
          </cell>
        </row>
        <row r="8">
          <cell r="A8" t="str">
            <v>EARTHWORK IN SUBGRADE</v>
          </cell>
          <cell r="C8">
            <v>2.04</v>
          </cell>
          <cell r="D8" t="str">
            <v>CUM</v>
          </cell>
          <cell r="E8">
            <v>156000</v>
          </cell>
          <cell r="F8">
            <v>164.86500000000001</v>
          </cell>
          <cell r="G8">
            <v>25718940</v>
          </cell>
        </row>
        <row r="9">
          <cell r="A9" t="str">
            <v>MEDIAN FILLING</v>
          </cell>
          <cell r="C9">
            <v>2.06</v>
          </cell>
          <cell r="D9" t="str">
            <v>CUM</v>
          </cell>
          <cell r="E9">
            <v>48000</v>
          </cell>
          <cell r="F9">
            <v>145.91499999999999</v>
          </cell>
          <cell r="G9">
            <v>7003920</v>
          </cell>
        </row>
        <row r="10">
          <cell r="A10" t="str">
            <v>GRANULAR SUB BASE COURSE</v>
          </cell>
          <cell r="C10">
            <v>3.01</v>
          </cell>
          <cell r="D10" t="str">
            <v>CUM</v>
          </cell>
          <cell r="E10">
            <v>60000</v>
          </cell>
          <cell r="F10">
            <v>1338.8175000000001</v>
          </cell>
          <cell r="G10">
            <v>80329050</v>
          </cell>
        </row>
        <row r="11">
          <cell r="A11" t="str">
            <v>WET MIX MACADAM</v>
          </cell>
          <cell r="C11">
            <v>3.02</v>
          </cell>
          <cell r="D11" t="str">
            <v>CUM</v>
          </cell>
          <cell r="E11">
            <v>14000</v>
          </cell>
          <cell r="F11">
            <v>1438.3050000000001</v>
          </cell>
          <cell r="G11">
            <v>20136270</v>
          </cell>
        </row>
        <row r="12">
          <cell r="A12" t="str">
            <v>PROFILE CORRECTIVE COURSE</v>
          </cell>
          <cell r="C12">
            <v>4.03</v>
          </cell>
          <cell r="D12" t="str">
            <v>CUM</v>
          </cell>
          <cell r="E12">
            <v>3384</v>
          </cell>
          <cell r="F12">
            <v>3808.95</v>
          </cell>
          <cell r="G12">
            <v>12889486.799999999</v>
          </cell>
        </row>
        <row r="13">
          <cell r="A13" t="str">
            <v>DENSE BITUMINOUS MACADAM</v>
          </cell>
          <cell r="C13">
            <v>4.04</v>
          </cell>
          <cell r="D13" t="str">
            <v>CUM</v>
          </cell>
          <cell r="E13">
            <v>25742</v>
          </cell>
          <cell r="F13">
            <v>4469.3575000000001</v>
          </cell>
          <cell r="G13">
            <v>115050200.765</v>
          </cell>
        </row>
        <row r="14">
          <cell r="A14" t="str">
            <v>BITUMINOUS CONCRETE</v>
          </cell>
          <cell r="C14">
            <v>4.05</v>
          </cell>
          <cell r="D14" t="str">
            <v>CUM</v>
          </cell>
          <cell r="E14">
            <v>10175</v>
          </cell>
          <cell r="F14">
            <v>5341.0574999999999</v>
          </cell>
          <cell r="G14">
            <v>54345260.0625</v>
          </cell>
        </row>
        <row r="15">
          <cell r="A15" t="str">
            <v>BITUMENOUS MACADAM</v>
          </cell>
          <cell r="C15">
            <v>4.0599999999999996</v>
          </cell>
          <cell r="D15" t="str">
            <v>CUM</v>
          </cell>
          <cell r="E15">
            <v>16701</v>
          </cell>
          <cell r="F15">
            <v>3808.95</v>
          </cell>
          <cell r="G15">
            <v>63613273.949999996</v>
          </cell>
        </row>
        <row r="16">
          <cell r="A16" t="str">
            <v>SEMI DENSE BITUMENOUS COURSE</v>
          </cell>
          <cell r="C16">
            <v>4.07</v>
          </cell>
          <cell r="D16" t="str">
            <v>CUM</v>
          </cell>
          <cell r="E16">
            <v>227</v>
          </cell>
          <cell r="F16">
            <v>4497.7825000000003</v>
          </cell>
          <cell r="G16">
            <v>1020996.6275000001</v>
          </cell>
        </row>
        <row r="17">
          <cell r="A17" t="str">
            <v>DRY LEAN CONCRETE</v>
          </cell>
          <cell r="C17">
            <v>4.09</v>
          </cell>
          <cell r="D17" t="str">
            <v>CUM</v>
          </cell>
          <cell r="E17">
            <v>30697</v>
          </cell>
          <cell r="F17">
            <v>2346.0100000000007</v>
          </cell>
          <cell r="G17">
            <v>72015468.970000014</v>
          </cell>
        </row>
        <row r="18">
          <cell r="A18" t="str">
            <v>PAVEMENT QUALITY CONCRETE</v>
          </cell>
          <cell r="C18">
            <v>4.0999999999999996</v>
          </cell>
          <cell r="D18" t="str">
            <v>CUM</v>
          </cell>
          <cell r="E18">
            <v>55538</v>
          </cell>
          <cell r="F18">
            <v>4585.8999999999996</v>
          </cell>
          <cell r="G18">
            <v>254691714.19999999</v>
          </cell>
        </row>
        <row r="19">
          <cell r="A19" t="str">
            <v>MEDIAN KERB</v>
          </cell>
          <cell r="C19">
            <v>9.09</v>
          </cell>
          <cell r="D19" t="str">
            <v>LM</v>
          </cell>
          <cell r="E19">
            <v>42434</v>
          </cell>
          <cell r="F19">
            <v>144.9675</v>
          </cell>
          <cell r="G19">
            <v>6151550.8950000005</v>
          </cell>
        </row>
        <row r="20">
          <cell r="A20" t="str">
            <v>TURFING</v>
          </cell>
          <cell r="C20">
            <v>2.08</v>
          </cell>
          <cell r="D20" t="str">
            <v>SQM</v>
          </cell>
          <cell r="E20">
            <v>129000</v>
          </cell>
          <cell r="F20">
            <v>10.422499999999999</v>
          </cell>
          <cell r="G20">
            <v>1344502.5</v>
          </cell>
        </row>
        <row r="21">
          <cell r="A21" t="str">
            <v>DRAINAGE &amp; PROTECTION WORK</v>
          </cell>
          <cell r="C21" t="str">
            <v>Bill No. 8</v>
          </cell>
          <cell r="D21" t="str">
            <v>%</v>
          </cell>
          <cell r="E21">
            <v>1</v>
          </cell>
          <cell r="F21">
            <v>228818.54962500001</v>
          </cell>
          <cell r="G21">
            <v>22881854.962500002</v>
          </cell>
        </row>
        <row r="22">
          <cell r="A22" t="str">
            <v>ROAD MARKING</v>
          </cell>
          <cell r="C22" t="str">
            <v>Bill No. 9 - 9.09</v>
          </cell>
          <cell r="D22" t="str">
            <v>%</v>
          </cell>
          <cell r="E22">
            <v>1</v>
          </cell>
          <cell r="F22">
            <v>202729.24135000003</v>
          </cell>
          <cell r="G22">
            <v>20272924.135000002</v>
          </cell>
        </row>
        <row r="23">
          <cell r="A23" t="str">
            <v>JUNCTIONS</v>
          </cell>
          <cell r="C23" t="str">
            <v>Bill No. 10</v>
          </cell>
          <cell r="D23" t="str">
            <v>%</v>
          </cell>
          <cell r="E23">
            <v>1</v>
          </cell>
          <cell r="F23">
            <v>37511.998749999999</v>
          </cell>
          <cell r="G23">
            <v>3751199.875</v>
          </cell>
        </row>
        <row r="24">
          <cell r="A24" t="str">
            <v>MISC ROAD WORKS</v>
          </cell>
          <cell r="C24" t="str">
            <v>Bill No 1+2+3+4+8+9+10-(All Above Items)</v>
          </cell>
          <cell r="D24" t="str">
            <v>%</v>
          </cell>
          <cell r="E24">
            <v>1</v>
          </cell>
          <cell r="F24">
            <v>222351.53997500063</v>
          </cell>
          <cell r="G24">
            <v>22235153.997500062</v>
          </cell>
        </row>
        <row r="27">
          <cell r="A27" t="str">
            <v>EXCAVATION</v>
          </cell>
          <cell r="C27">
            <v>5.01</v>
          </cell>
          <cell r="D27" t="str">
            <v>CUM</v>
          </cell>
          <cell r="E27">
            <v>2852</v>
          </cell>
          <cell r="F27">
            <v>60.64</v>
          </cell>
          <cell r="G27">
            <v>172945.28</v>
          </cell>
        </row>
        <row r="28">
          <cell r="A28" t="str">
            <v>REINFORCEMENT</v>
          </cell>
          <cell r="C28">
            <v>5.09</v>
          </cell>
          <cell r="D28" t="str">
            <v>MT</v>
          </cell>
          <cell r="E28">
            <v>316</v>
          </cell>
          <cell r="F28">
            <v>40111.465000000004</v>
          </cell>
          <cell r="G28">
            <v>12675222.940000001</v>
          </cell>
        </row>
        <row r="29">
          <cell r="A29" t="str">
            <v>LEVELLING COURSE  / PCC</v>
          </cell>
          <cell r="C29">
            <v>5.04</v>
          </cell>
          <cell r="D29" t="str">
            <v>CUM</v>
          </cell>
          <cell r="E29">
            <v>585</v>
          </cell>
          <cell r="F29">
            <v>2871.8724999999999</v>
          </cell>
          <cell r="G29">
            <v>1680045.4124999999</v>
          </cell>
        </row>
        <row r="30">
          <cell r="A30" t="str">
            <v>CONCRETE WORKS - RCC</v>
          </cell>
          <cell r="C30" t="str">
            <v>5.05+5.06+5.07+5.08</v>
          </cell>
          <cell r="D30" t="str">
            <v>CUM</v>
          </cell>
          <cell r="E30">
            <v>4154</v>
          </cell>
          <cell r="F30">
            <v>3929.8420131198845</v>
          </cell>
          <cell r="G30">
            <v>16324563.7225</v>
          </cell>
        </row>
        <row r="31">
          <cell r="A31" t="str">
            <v>BACK FILLING</v>
          </cell>
          <cell r="C31" t="str">
            <v>5.02 + 5.03</v>
          </cell>
          <cell r="D31" t="str">
            <v>CUM</v>
          </cell>
          <cell r="E31">
            <v>3086</v>
          </cell>
          <cell r="F31">
            <v>575.54085223590414</v>
          </cell>
          <cell r="G31">
            <v>1776119.07</v>
          </cell>
        </row>
        <row r="32">
          <cell r="A32" t="str">
            <v>MISCELLENIOUS - CULVERTS</v>
          </cell>
          <cell r="C32" t="str">
            <v>Bill No. - 5 - (All above Items)</v>
          </cell>
          <cell r="D32" t="str">
            <v>%</v>
          </cell>
          <cell r="E32">
            <v>1</v>
          </cell>
          <cell r="F32">
            <v>89572.452574999959</v>
          </cell>
          <cell r="G32">
            <v>8957245.2574999966</v>
          </cell>
        </row>
        <row r="35">
          <cell r="A35" t="str">
            <v>EXCAVATION</v>
          </cell>
          <cell r="C35">
            <v>6.01</v>
          </cell>
          <cell r="D35" t="str">
            <v>CUM</v>
          </cell>
          <cell r="E35">
            <v>30989</v>
          </cell>
          <cell r="F35">
            <v>60.64</v>
          </cell>
          <cell r="G35">
            <v>1879172.96</v>
          </cell>
        </row>
        <row r="36">
          <cell r="A36" t="str">
            <v>LEVELLING COURSE  / PCC</v>
          </cell>
          <cell r="C36" t="str">
            <v>6.02 a) + 6.03 a)</v>
          </cell>
          <cell r="D36" t="str">
            <v>CUM</v>
          </cell>
          <cell r="E36">
            <v>2500</v>
          </cell>
          <cell r="F36">
            <v>3199.2011560000001</v>
          </cell>
          <cell r="G36">
            <v>7998002.8900000006</v>
          </cell>
        </row>
        <row r="37">
          <cell r="A37" t="str">
            <v>FOUNDATION CONCRETE</v>
          </cell>
          <cell r="C37" t="str">
            <v>6.02 b) + 6.02 c) + 6.03 b) + 6.03 c)</v>
          </cell>
          <cell r="D37" t="str">
            <v>CUM</v>
          </cell>
          <cell r="E37">
            <v>4094</v>
          </cell>
          <cell r="F37">
            <v>3637.8447844406446</v>
          </cell>
          <cell r="G37">
            <v>14893336.547499999</v>
          </cell>
        </row>
        <row r="38">
          <cell r="A38" t="str">
            <v>REINFORCEMENT</v>
          </cell>
          <cell r="C38">
            <v>6.07</v>
          </cell>
          <cell r="D38" t="str">
            <v>MT</v>
          </cell>
          <cell r="E38">
            <v>1809</v>
          </cell>
          <cell r="F38">
            <v>40111.465000000004</v>
          </cell>
          <cell r="G38">
            <v>72561640.185000002</v>
          </cell>
        </row>
        <row r="39">
          <cell r="A39" t="str">
            <v>WELL FOUNDATION KERB</v>
          </cell>
          <cell r="C39" t="str">
            <v>6.23 a)</v>
          </cell>
          <cell r="D39" t="str">
            <v>CUM</v>
          </cell>
          <cell r="E39">
            <v>39</v>
          </cell>
          <cell r="F39">
            <v>4692.9674999999997</v>
          </cell>
          <cell r="G39">
            <v>183025.73249999998</v>
          </cell>
        </row>
        <row r="40">
          <cell r="A40" t="str">
            <v>WELL FOUNDATION STEINING</v>
          </cell>
          <cell r="C40" t="str">
            <v>6.23 b)</v>
          </cell>
          <cell r="D40" t="str">
            <v>CUM</v>
          </cell>
          <cell r="E40">
            <v>488</v>
          </cell>
          <cell r="F40">
            <v>8351.2649999999994</v>
          </cell>
          <cell r="G40">
            <v>4075417.32</v>
          </cell>
        </row>
        <row r="41">
          <cell r="A41" t="str">
            <v>WELL FOUNDATION CAP</v>
          </cell>
          <cell r="C41" t="str">
            <v>6.23 c)</v>
          </cell>
          <cell r="D41" t="str">
            <v>CUM</v>
          </cell>
          <cell r="E41">
            <v>66</v>
          </cell>
          <cell r="F41">
            <v>4964.8999999999996</v>
          </cell>
          <cell r="G41">
            <v>327683.39999999997</v>
          </cell>
        </row>
        <row r="42">
          <cell r="A42" t="str">
            <v>WELL FOUNDATION BOTTOM PLUG</v>
          </cell>
          <cell r="C42" t="str">
            <v>6.23 d)</v>
          </cell>
          <cell r="D42" t="str">
            <v>CUM</v>
          </cell>
          <cell r="E42">
            <v>128</v>
          </cell>
          <cell r="F42">
            <v>4175.6324999999997</v>
          </cell>
          <cell r="G42">
            <v>534480.96</v>
          </cell>
        </row>
        <row r="43">
          <cell r="A43" t="str">
            <v>WELL FOUNDATION TOP PLUG</v>
          </cell>
          <cell r="C43" t="str">
            <v>6.23 e)</v>
          </cell>
          <cell r="D43" t="str">
            <v>CUM</v>
          </cell>
          <cell r="E43">
            <v>21</v>
          </cell>
          <cell r="F43">
            <v>4692.9674999999997</v>
          </cell>
          <cell r="G43">
            <v>98552.31749999999</v>
          </cell>
        </row>
        <row r="44">
          <cell r="A44" t="str">
            <v>SUPER STRUCTURE CONCRETE</v>
          </cell>
          <cell r="C44" t="str">
            <v>6.05 + 6.13</v>
          </cell>
          <cell r="D44" t="str">
            <v>CUM</v>
          </cell>
          <cell r="E44">
            <v>7675</v>
          </cell>
          <cell r="F44">
            <v>6815.5018166123773</v>
          </cell>
          <cell r="G44">
            <v>52308976.442499995</v>
          </cell>
        </row>
        <row r="45">
          <cell r="A45" t="str">
            <v>BACK FILLING</v>
          </cell>
          <cell r="C45" t="str">
            <v>6.16+6.17</v>
          </cell>
          <cell r="D45" t="str">
            <v>CUM</v>
          </cell>
          <cell r="E45">
            <v>6567</v>
          </cell>
          <cell r="F45">
            <v>417.7162033653114</v>
          </cell>
          <cell r="G45">
            <v>2743142.3075000001</v>
          </cell>
        </row>
        <row r="46">
          <cell r="A46" t="str">
            <v>MISCELLENIOUS - BRIDGES</v>
          </cell>
          <cell r="C46" t="str">
            <v>Bill No. - 6 - (All above Items)</v>
          </cell>
          <cell r="D46" t="str">
            <v>%</v>
          </cell>
          <cell r="E46">
            <v>1</v>
          </cell>
          <cell r="F46">
            <v>1653005.5343250013</v>
          </cell>
          <cell r="G46">
            <v>165300553.43250012</v>
          </cell>
        </row>
        <row r="47">
          <cell r="A47" t="str">
            <v>REHABILISATION OF STRUCTURES</v>
          </cell>
          <cell r="C47" t="str">
            <v>Bill No. - 7</v>
          </cell>
          <cell r="D47" t="str">
            <v>%</v>
          </cell>
          <cell r="E47">
            <v>1</v>
          </cell>
          <cell r="F47">
            <v>87740.94455</v>
          </cell>
          <cell r="G47">
            <v>8774094.4550000001</v>
          </cell>
        </row>
        <row r="50">
          <cell r="A50" t="str">
            <v>ROAD MAINTENANCE</v>
          </cell>
          <cell r="C50" t="str">
            <v>Bill No. 12</v>
          </cell>
          <cell r="D50" t="str">
            <v>%</v>
          </cell>
          <cell r="E50">
            <v>1</v>
          </cell>
          <cell r="F50">
            <v>17955341.977499999</v>
          </cell>
          <cell r="G50">
            <v>17955341.977499999</v>
          </cell>
        </row>
        <row r="51">
          <cell r="A51" t="str">
            <v>MISCELLANIOUS</v>
          </cell>
          <cell r="C51" t="str">
            <v>Bill No. 11</v>
          </cell>
          <cell r="D51" t="str">
            <v>%</v>
          </cell>
          <cell r="E51">
            <v>1</v>
          </cell>
          <cell r="F51">
            <v>25929246.152499996</v>
          </cell>
          <cell r="G51">
            <v>25929246.152499996</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N"/>
      <sheetName val="PMO ALL"/>
      <sheetName val="370 entries"/>
      <sheetName val="Consolidated TB"/>
      <sheetName val="BS before PMO"/>
      <sheetName val="BS afterPMO"/>
      <sheetName val="BalanceSheetAssets"/>
      <sheetName val="ReadMeFirst"/>
      <sheetName val="Title"/>
      <sheetName val="jun94"/>
    </sheetNames>
    <sheetDataSet>
      <sheetData sheetId="0"/>
      <sheetData sheetId="1"/>
      <sheetData sheetId="2"/>
      <sheetData sheetId="3"/>
      <sheetData sheetId="4">
        <row r="1">
          <cell r="C1" t="str">
            <v>SCHEDULES TO THE BALANCE SHEET AS AT</v>
          </cell>
          <cell r="I1" t="str">
            <v>SCHEDULES TO THE BALANCE SHEET AS AT</v>
          </cell>
          <cell r="U1" t="str">
            <v>HCL INFOSYSTEMS LIMITED</v>
          </cell>
          <cell r="Z1" t="str">
            <v>HCL INFOSYSTEMS LIMITED</v>
          </cell>
        </row>
        <row r="2">
          <cell r="U2" t="str">
            <v>FRONTLINE DIVISION</v>
          </cell>
          <cell r="Z2" t="str">
            <v>FRONTLINE DIVISION</v>
          </cell>
        </row>
        <row r="3">
          <cell r="C3" t="str">
            <v>6- INVENTORIES</v>
          </cell>
          <cell r="I3" t="str">
            <v>1- H.O. ACCOUNT</v>
          </cell>
        </row>
        <row r="5">
          <cell r="E5" t="str">
            <v>30.11.02</v>
          </cell>
          <cell r="G5" t="str">
            <v>31.03.02</v>
          </cell>
          <cell r="K5" t="str">
            <v>30.11.02</v>
          </cell>
          <cell r="L5" t="str">
            <v>31.03.02</v>
          </cell>
          <cell r="U5" t="str">
            <v>PROFIT AND LOSS ACCOUNT FOR THE PERIOD 1.4.02 TO 30.11.02</v>
          </cell>
          <cell r="Z5" t="str">
            <v>BALANCE SHEET AS AT NOVEMBER 30, 2002</v>
          </cell>
        </row>
        <row r="6">
          <cell r="E6" t="str">
            <v>Rs</v>
          </cell>
          <cell r="G6" t="str">
            <v>Rs</v>
          </cell>
          <cell r="K6" t="str">
            <v>Rs</v>
          </cell>
          <cell r="L6" t="str">
            <v>Rs</v>
          </cell>
          <cell r="Z6" t="str">
            <v>WITHOUT PMO OVERHEAD ALLOCATION DEBIT NOTE</v>
          </cell>
        </row>
        <row r="7">
          <cell r="V7" t="str">
            <v>SCHEDULE</v>
          </cell>
          <cell r="W7" t="str">
            <v>30.11.02</v>
          </cell>
          <cell r="X7" t="str">
            <v>31.03.02</v>
          </cell>
          <cell r="AA7" t="str">
            <v>SCHEDULE</v>
          </cell>
          <cell r="AC7" t="str">
            <v>30.11.02</v>
          </cell>
          <cell r="AD7">
            <v>1998</v>
          </cell>
          <cell r="BC7" t="str">
            <v>31.03.02</v>
          </cell>
        </row>
        <row r="8">
          <cell r="C8" t="str">
            <v>Stores and spares (Including in Transit)</v>
          </cell>
          <cell r="E8">
            <v>39500000</v>
          </cell>
          <cell r="G8">
            <v>33480207.09</v>
          </cell>
          <cell r="I8" t="str">
            <v>Interdivision Account</v>
          </cell>
          <cell r="W8" t="str">
            <v>Rs</v>
          </cell>
          <cell r="AB8" t="str">
            <v>Rs</v>
          </cell>
          <cell r="AC8" t="str">
            <v>Rs</v>
          </cell>
          <cell r="AD8" t="str">
            <v>Rs</v>
          </cell>
          <cell r="BC8" t="str">
            <v>Rs</v>
          </cell>
        </row>
        <row r="9">
          <cell r="C9" t="str">
            <v>Finished Goods (Including in Transit)</v>
          </cell>
          <cell r="E9">
            <v>100141379.05000001</v>
          </cell>
          <cell r="G9">
            <v>95268544.400000006</v>
          </cell>
          <cell r="I9" t="str">
            <v>Office Automation Division</v>
          </cell>
          <cell r="K9">
            <v>-489803.09</v>
          </cell>
          <cell r="L9">
            <v>3523128.9000000022</v>
          </cell>
        </row>
        <row r="10">
          <cell r="I10" t="str">
            <v>Insys Division</v>
          </cell>
          <cell r="K10">
            <v>603353266.28999996</v>
          </cell>
          <cell r="L10">
            <v>568328577.75999951</v>
          </cell>
          <cell r="U10" t="str">
            <v>INCOME</v>
          </cell>
          <cell r="Z10" t="str">
            <v>SOURCES OF FUNDS</v>
          </cell>
        </row>
        <row r="11">
          <cell r="I11" t="str">
            <v>Peripherals Division</v>
          </cell>
          <cell r="K11">
            <v>303219.00000000373</v>
          </cell>
          <cell r="L11">
            <v>589115.80000000377</v>
          </cell>
        </row>
        <row r="12">
          <cell r="E12">
            <v>139641379.05000001</v>
          </cell>
          <cell r="G12">
            <v>128748751.49000001</v>
          </cell>
          <cell r="U12" t="str">
            <v>Business Income</v>
          </cell>
          <cell r="V12">
            <v>12</v>
          </cell>
          <cell r="W12">
            <v>1289046833.6700001</v>
          </cell>
          <cell r="X12">
            <v>1475496195.2400002</v>
          </cell>
        </row>
        <row r="13">
          <cell r="U13" t="str">
            <v>Other Income</v>
          </cell>
          <cell r="V13">
            <v>13</v>
          </cell>
          <cell r="W13">
            <v>855527.87</v>
          </cell>
          <cell r="X13">
            <v>1246631.95</v>
          </cell>
          <cell r="Z13" t="str">
            <v>H.O. Account</v>
          </cell>
          <cell r="AA13">
            <v>1</v>
          </cell>
          <cell r="AC13">
            <v>603166682.19999993</v>
          </cell>
          <cell r="BC13">
            <v>572440822.45999944</v>
          </cell>
        </row>
        <row r="14">
          <cell r="C14" t="str">
            <v>7- SUNDRY DEBTORS (UNSECURED)</v>
          </cell>
          <cell r="K14">
            <v>603166682.19999993</v>
          </cell>
          <cell r="L14">
            <v>572440822.45999944</v>
          </cell>
          <cell r="U14">
            <v>572440576</v>
          </cell>
        </row>
        <row r="15">
          <cell r="Z15" t="str">
            <v>Secured Loans</v>
          </cell>
          <cell r="AA15">
            <v>3</v>
          </cell>
          <cell r="AC15">
            <v>37558798.519999743</v>
          </cell>
          <cell r="BC15">
            <v>42226884.470000029</v>
          </cell>
        </row>
        <row r="16">
          <cell r="I16" t="str">
            <v>2- RESERVE AND SURPLUS</v>
          </cell>
          <cell r="W16">
            <v>1289902361.54</v>
          </cell>
          <cell r="X16">
            <v>1476742827.1900003</v>
          </cell>
        </row>
        <row r="17">
          <cell r="E17" t="str">
            <v>30.11.02</v>
          </cell>
          <cell r="G17" t="str">
            <v>31.03.02</v>
          </cell>
          <cell r="Z17" t="str">
            <v>Unsecured Loans</v>
          </cell>
          <cell r="AA17">
            <v>4</v>
          </cell>
          <cell r="AC17">
            <v>0</v>
          </cell>
          <cell r="BC17">
            <v>844093.93</v>
          </cell>
        </row>
        <row r="18">
          <cell r="E18" t="str">
            <v>Rs</v>
          </cell>
          <cell r="G18" t="str">
            <v>Rs</v>
          </cell>
          <cell r="K18" t="str">
            <v>AS AT 1.4.02</v>
          </cell>
          <cell r="L18" t="str">
            <v>ADDITIONS</v>
          </cell>
          <cell r="M18" t="str">
            <v>DEDUCTIONS</v>
          </cell>
          <cell r="N18" t="str">
            <v>AS AT 30.11.02</v>
          </cell>
          <cell r="U18" t="str">
            <v>EXPENDITURE</v>
          </cell>
        </row>
        <row r="19">
          <cell r="K19" t="str">
            <v>Rs</v>
          </cell>
          <cell r="N19" t="str">
            <v>Rs</v>
          </cell>
          <cell r="Z19" t="str">
            <v>TOTAL</v>
          </cell>
          <cell r="AC19">
            <v>640725480.71999967</v>
          </cell>
          <cell r="BC19">
            <v>615511800.85999942</v>
          </cell>
        </row>
        <row r="20">
          <cell r="C20" t="str">
            <v>Debts Exceeding 6 months :</v>
          </cell>
          <cell r="U20" t="str">
            <v>Cost of Sales and Services</v>
          </cell>
          <cell r="V20">
            <v>14</v>
          </cell>
          <cell r="W20">
            <v>1209472641.573</v>
          </cell>
          <cell r="X20">
            <v>1386893096.1174033</v>
          </cell>
        </row>
        <row r="21">
          <cell r="C21" t="str">
            <v xml:space="preserve"> - Considered Good</v>
          </cell>
          <cell r="D21">
            <v>-6138741.8900000267</v>
          </cell>
          <cell r="G21">
            <v>18138472.36999999</v>
          </cell>
          <cell r="I21" t="str">
            <v>Profit and Loss Account (Loss)</v>
          </cell>
          <cell r="K21">
            <v>-343239419.19380897</v>
          </cell>
          <cell r="L21">
            <v>-54388237.342999697</v>
          </cell>
          <cell r="M21">
            <v>0</v>
          </cell>
          <cell r="N21">
            <v>-397627656.53680867</v>
          </cell>
          <cell r="U21" t="str">
            <v>Personnel</v>
          </cell>
          <cell r="V21">
            <v>15</v>
          </cell>
          <cell r="W21">
            <v>55975273.560000002</v>
          </cell>
          <cell r="X21">
            <v>80916667.329999998</v>
          </cell>
          <cell r="Z21" t="str">
            <v>APPLICATION OF FUNDS</v>
          </cell>
        </row>
        <row r="22">
          <cell r="C22" t="str">
            <v xml:space="preserve"> - Considered Doubtful</v>
          </cell>
          <cell r="D22">
            <v>7995663.75</v>
          </cell>
          <cell r="G22">
            <v>5948406.1500000004</v>
          </cell>
          <cell r="U22" t="str">
            <v>Administration, Selling and Distribution</v>
          </cell>
          <cell r="V22">
            <v>16</v>
          </cell>
          <cell r="W22">
            <v>74344931.109999999</v>
          </cell>
          <cell r="X22">
            <v>97478920.27058658</v>
          </cell>
        </row>
        <row r="23">
          <cell r="D23">
            <v>1856921.8599999733</v>
          </cell>
          <cell r="G23">
            <v>24086878.519999988</v>
          </cell>
          <cell r="K23">
            <v>-343239419.19380897</v>
          </cell>
          <cell r="L23">
            <v>-54388237.342999697</v>
          </cell>
          <cell r="M23">
            <v>0</v>
          </cell>
          <cell r="N23">
            <v>-397627656.53680867</v>
          </cell>
          <cell r="U23" t="str">
            <v>Repairs and Maintenance</v>
          </cell>
          <cell r="V23">
            <v>17</v>
          </cell>
          <cell r="W23">
            <v>1262722.5</v>
          </cell>
          <cell r="X23">
            <v>1799378.08</v>
          </cell>
          <cell r="Z23" t="str">
            <v>FIXED ASSETS</v>
          </cell>
          <cell r="AA23">
            <v>5</v>
          </cell>
        </row>
        <row r="24">
          <cell r="C24" t="str">
            <v>Less : Provision for Doubtful Debts</v>
          </cell>
          <cell r="D24">
            <v>7995663.75</v>
          </cell>
          <cell r="E24">
            <v>-6138741.8900000267</v>
          </cell>
          <cell r="G24">
            <v>5948406.1500000004</v>
          </cell>
          <cell r="I24" t="str">
            <v>Previous Year</v>
          </cell>
          <cell r="N24">
            <v>-343239419.19380897</v>
          </cell>
          <cell r="U24" t="str">
            <v>Finance Charges</v>
          </cell>
          <cell r="V24">
            <v>18</v>
          </cell>
          <cell r="W24">
            <v>668027.07000000007</v>
          </cell>
          <cell r="X24">
            <v>430639.98</v>
          </cell>
          <cell r="Z24" t="str">
            <v>Gross Block</v>
          </cell>
          <cell r="AB24">
            <v>28051915.640000001</v>
          </cell>
          <cell r="BB24">
            <v>27012993.800000001</v>
          </cell>
        </row>
        <row r="25">
          <cell r="U25" t="str">
            <v>Depreciation</v>
          </cell>
          <cell r="V25">
            <v>5</v>
          </cell>
          <cell r="W25">
            <v>2567003.0700000003</v>
          </cell>
          <cell r="X25">
            <v>4229984.71</v>
          </cell>
          <cell r="Z25" t="str">
            <v>Less : Depreciation</v>
          </cell>
          <cell r="AB25">
            <v>21636848.370000001</v>
          </cell>
          <cell r="BB25">
            <v>19570414.260586586</v>
          </cell>
        </row>
        <row r="26">
          <cell r="C26" t="str">
            <v>Other Debts - Considered Good</v>
          </cell>
          <cell r="E26">
            <v>286932724.09000009</v>
          </cell>
          <cell r="G26">
            <v>267384218.53000015</v>
          </cell>
          <cell r="I26" t="str">
            <v>3. SECURED LOANS</v>
          </cell>
          <cell r="Z26" t="str">
            <v>Net Block</v>
          </cell>
          <cell r="AB26">
            <v>6415067.2699999996</v>
          </cell>
          <cell r="BB26">
            <v>7442579.5394134149</v>
          </cell>
        </row>
        <row r="27">
          <cell r="W27">
            <v>1344290598.8829997</v>
          </cell>
          <cell r="X27">
            <v>1571748686.4879897</v>
          </cell>
          <cell r="Z27" t="str">
            <v>Capital Work in Progress (including Capital Advances)</v>
          </cell>
          <cell r="AB27">
            <v>0</v>
          </cell>
          <cell r="AC27">
            <v>6415067.2699999996</v>
          </cell>
          <cell r="BB27">
            <v>0</v>
          </cell>
          <cell r="BC27">
            <v>7442579.5394134149</v>
          </cell>
        </row>
        <row r="28">
          <cell r="E28">
            <v>280793982.20000005</v>
          </cell>
          <cell r="G28">
            <v>285522690.90000015</v>
          </cell>
          <cell r="K28" t="str">
            <v>30.11.02</v>
          </cell>
          <cell r="L28" t="str">
            <v>30.06.01</v>
          </cell>
        </row>
        <row r="29">
          <cell r="K29" t="str">
            <v>Rs</v>
          </cell>
          <cell r="L29" t="str">
            <v>Rs</v>
          </cell>
          <cell r="U29" t="str">
            <v>LOSS FOR THE PERIOD</v>
          </cell>
          <cell r="W29">
            <v>-54388237.342999697</v>
          </cell>
          <cell r="X29">
            <v>-95005859.297989368</v>
          </cell>
          <cell r="Z29" t="str">
            <v>CURRENT ASSETS, LOANS &amp; ADVANCES</v>
          </cell>
        </row>
        <row r="30">
          <cell r="C30" t="str">
            <v>8- CASH AND BANK BALANCES</v>
          </cell>
          <cell r="Z30" t="str">
            <v>Inventories</v>
          </cell>
          <cell r="AA30">
            <v>6</v>
          </cell>
          <cell r="AB30">
            <v>139641379.05000001</v>
          </cell>
          <cell r="BB30">
            <v>128748751.49000001</v>
          </cell>
        </row>
        <row r="31">
          <cell r="I31" t="str">
            <v>From Banks :</v>
          </cell>
          <cell r="U31" t="str">
            <v>LOSS AVAILABLE FOR APPROPRIATION</v>
          </cell>
          <cell r="W31">
            <v>-54388237.342999697</v>
          </cell>
          <cell r="X31">
            <v>-95005859.297989368</v>
          </cell>
          <cell r="Z31" t="str">
            <v>Sundry Debtors</v>
          </cell>
          <cell r="AA31">
            <v>7</v>
          </cell>
          <cell r="AB31">
            <v>280793982.20000005</v>
          </cell>
          <cell r="BB31">
            <v>285522690.90000015</v>
          </cell>
        </row>
        <row r="32">
          <cell r="E32" t="str">
            <v>30.11.02</v>
          </cell>
          <cell r="G32" t="str">
            <v>31.03.02</v>
          </cell>
          <cell r="Z32" t="str">
            <v>Cash and Bank Balances</v>
          </cell>
          <cell r="AA32">
            <v>8</v>
          </cell>
          <cell r="AB32">
            <v>870344.80999992788</v>
          </cell>
          <cell r="BB32">
            <v>11111999.689999949</v>
          </cell>
        </row>
        <row r="33">
          <cell r="E33" t="str">
            <v>Rs</v>
          </cell>
          <cell r="G33" t="str">
            <v>Rs</v>
          </cell>
          <cell r="I33" t="str">
            <v>Cash Credit</v>
          </cell>
          <cell r="K33">
            <v>37558798.519999743</v>
          </cell>
          <cell r="L33">
            <v>42226884.470000029</v>
          </cell>
          <cell r="U33" t="str">
            <v>ACCOUNTING POLICIES</v>
          </cell>
          <cell r="V33">
            <v>19</v>
          </cell>
          <cell r="Z33" t="str">
            <v>Other Current Assets</v>
          </cell>
          <cell r="AA33">
            <v>9</v>
          </cell>
          <cell r="AB33">
            <v>3938641.84</v>
          </cell>
          <cell r="BB33">
            <v>6228638.4399999995</v>
          </cell>
        </row>
        <row r="34">
          <cell r="U34" t="str">
            <v>NOTES TO ACCOUNTS</v>
          </cell>
          <cell r="V34">
            <v>20</v>
          </cell>
          <cell r="Z34" t="str">
            <v>Loans and Advances</v>
          </cell>
          <cell r="AA34">
            <v>10</v>
          </cell>
          <cell r="AB34">
            <v>14470080.970000003</v>
          </cell>
          <cell r="BB34">
            <v>10113685.030500002</v>
          </cell>
        </row>
        <row r="35">
          <cell r="C35" t="str">
            <v>Cash in Hand and in Transit</v>
          </cell>
          <cell r="E35">
            <v>541371.34000000358</v>
          </cell>
          <cell r="G35">
            <v>9431265.1700000055</v>
          </cell>
          <cell r="K35">
            <v>37558798.519999743</v>
          </cell>
          <cell r="L35">
            <v>42226884.470000029</v>
          </cell>
          <cell r="AB35">
            <v>439714428.87</v>
          </cell>
          <cell r="BB35">
            <v>441725765.55050009</v>
          </cell>
        </row>
        <row r="36">
          <cell r="C36" t="str">
            <v>(Includes Cheques in Hand : Rs 90.04  lacs ; Previous Year Rs. 88.70 lacs )</v>
          </cell>
          <cell r="Z36" t="str">
            <v>CURRENT LIABILITIES &amp; PROVISIONS</v>
          </cell>
          <cell r="AA36">
            <v>11</v>
          </cell>
        </row>
        <row r="37">
          <cell r="Z37" t="str">
            <v>Current Liabilities</v>
          </cell>
          <cell r="AB37">
            <v>196198842.95300007</v>
          </cell>
          <cell r="BB37">
            <v>172829112.42049998</v>
          </cell>
        </row>
        <row r="38">
          <cell r="C38" t="str">
            <v>Balances with Scheduled Banks</v>
          </cell>
          <cell r="Z38" t="str">
            <v>Provisions</v>
          </cell>
          <cell r="AB38">
            <v>6832829</v>
          </cell>
          <cell r="BB38">
            <v>4066851</v>
          </cell>
        </row>
        <row r="39">
          <cell r="C39" t="str">
            <v xml:space="preserve"> - On Current Accounts</v>
          </cell>
          <cell r="E39">
            <v>328973.4699999243</v>
          </cell>
          <cell r="G39">
            <v>1680734.5199999441</v>
          </cell>
          <cell r="AB39">
            <v>203031671.95300007</v>
          </cell>
          <cell r="BB39">
            <v>176895963.42049998</v>
          </cell>
        </row>
        <row r="40">
          <cell r="I40" t="str">
            <v>4. UNSECURED LOANS</v>
          </cell>
          <cell r="Z40" t="str">
            <v>NET CURRENT ASSETS</v>
          </cell>
          <cell r="AC40">
            <v>236682756.91699994</v>
          </cell>
          <cell r="BC40">
            <v>264829802.13000011</v>
          </cell>
        </row>
        <row r="42">
          <cell r="E42">
            <v>870344.80999992788</v>
          </cell>
          <cell r="G42">
            <v>11111999.689999949</v>
          </cell>
          <cell r="K42" t="str">
            <v>30.11.02</v>
          </cell>
          <cell r="L42" t="str">
            <v>30.06.01</v>
          </cell>
          <cell r="Z42" t="str">
            <v>ACCUMULATED LOSS</v>
          </cell>
          <cell r="AC42">
            <v>397627656.53680867</v>
          </cell>
          <cell r="BC42">
            <v>343239419.19380939</v>
          </cell>
        </row>
        <row r="43">
          <cell r="K43" t="str">
            <v>Rs</v>
          </cell>
          <cell r="L43" t="str">
            <v>Rs</v>
          </cell>
        </row>
        <row r="44">
          <cell r="C44" t="str">
            <v>9- OTHER CURRENT ASSETS</v>
          </cell>
        </row>
        <row r="45">
          <cell r="I45" t="str">
            <v>From Banks :</v>
          </cell>
          <cell r="Z45" t="str">
            <v>TOTAL</v>
          </cell>
          <cell r="AC45">
            <v>640725480.72380865</v>
          </cell>
          <cell r="BC45">
            <v>615511800.86322284</v>
          </cell>
        </row>
        <row r="46">
          <cell r="E46" t="str">
            <v>30.11.02</v>
          </cell>
          <cell r="G46" t="str">
            <v>31.03.02</v>
          </cell>
        </row>
        <row r="47">
          <cell r="E47" t="str">
            <v>Rs</v>
          </cell>
          <cell r="G47" t="str">
            <v>Rs</v>
          </cell>
          <cell r="I47" t="str">
            <v>Book Overdarft</v>
          </cell>
          <cell r="K47">
            <v>0</v>
          </cell>
          <cell r="L47">
            <v>844093.93</v>
          </cell>
          <cell r="Z47" t="str">
            <v>ACCOUNTING POLICIES</v>
          </cell>
          <cell r="AA47">
            <v>19</v>
          </cell>
        </row>
        <row r="48">
          <cell r="Z48" t="str">
            <v>NOTES TO ACCOUNTS</v>
          </cell>
          <cell r="AA48">
            <v>20</v>
          </cell>
        </row>
        <row r="49">
          <cell r="C49" t="str">
            <v>Deposits</v>
          </cell>
          <cell r="E49">
            <v>3029395</v>
          </cell>
          <cell r="G49">
            <v>4086250</v>
          </cell>
          <cell r="K49">
            <v>0</v>
          </cell>
          <cell r="L49">
            <v>844093.93</v>
          </cell>
        </row>
        <row r="50">
          <cell r="C50" t="str">
            <v>Prepaid Expenses</v>
          </cell>
          <cell r="E50">
            <v>909246.84</v>
          </cell>
          <cell r="G50">
            <v>2142388.44</v>
          </cell>
        </row>
        <row r="52">
          <cell r="E52">
            <v>3938641.84</v>
          </cell>
          <cell r="G52">
            <v>6228638.4399999995</v>
          </cell>
        </row>
        <row r="57">
          <cell r="C57" t="str">
            <v>SCHEDULES TO THE BALANCE SHEET AS AT</v>
          </cell>
        </row>
        <row r="59">
          <cell r="C59" t="str">
            <v>10- LOANS AND ADVANCES</v>
          </cell>
        </row>
        <row r="61">
          <cell r="E61" t="str">
            <v>30.11.02</v>
          </cell>
          <cell r="G61" t="str">
            <v>31.03.02</v>
          </cell>
        </row>
        <row r="62">
          <cell r="E62" t="str">
            <v>Rs</v>
          </cell>
          <cell r="G62" t="str">
            <v>Rs</v>
          </cell>
        </row>
        <row r="64">
          <cell r="C64" t="str">
            <v>Amount recoverable in cash or in kind or for</v>
          </cell>
        </row>
        <row r="65">
          <cell r="C65" t="str">
            <v xml:space="preserve">  value to be received</v>
          </cell>
        </row>
        <row r="66">
          <cell r="C66" t="str">
            <v xml:space="preserve"> - Unsecured considered good</v>
          </cell>
          <cell r="E66">
            <v>10652327.950000003</v>
          </cell>
          <cell r="G66">
            <v>8905263.3605000023</v>
          </cell>
        </row>
        <row r="67">
          <cell r="C67" t="str">
            <v xml:space="preserve"> - Advances and Loans to Subsidiaries</v>
          </cell>
          <cell r="E67">
            <v>2272745.04</v>
          </cell>
          <cell r="G67">
            <v>303649.17</v>
          </cell>
        </row>
        <row r="68">
          <cell r="C68" t="str">
            <v>Advance Tax</v>
          </cell>
        </row>
        <row r="69">
          <cell r="C69" t="str">
            <v xml:space="preserve"> - TDS Customers</v>
          </cell>
          <cell r="D69">
            <v>1545007.98</v>
          </cell>
          <cell r="G69">
            <v>904772.5</v>
          </cell>
        </row>
        <row r="70">
          <cell r="C70" t="str">
            <v xml:space="preserve"> - Withholding Tax</v>
          </cell>
          <cell r="D70">
            <v>0</v>
          </cell>
          <cell r="E70">
            <v>1545007.98</v>
          </cell>
          <cell r="G70">
            <v>0</v>
          </cell>
        </row>
        <row r="73">
          <cell r="E73">
            <v>14470080.970000003</v>
          </cell>
          <cell r="G73">
            <v>10113685.030500002</v>
          </cell>
        </row>
        <row r="75">
          <cell r="C75" t="str">
            <v>11- CURRENT LIABILITIES AND PROVISIONS</v>
          </cell>
        </row>
        <row r="77">
          <cell r="E77" t="str">
            <v>30.11.02</v>
          </cell>
          <cell r="G77" t="str">
            <v>31.03.02</v>
          </cell>
        </row>
        <row r="78">
          <cell r="E78" t="str">
            <v>Rs</v>
          </cell>
          <cell r="G78" t="str">
            <v>Rs</v>
          </cell>
        </row>
        <row r="80">
          <cell r="C80" t="str">
            <v>CURRENT LIABILITIES :</v>
          </cell>
        </row>
        <row r="82">
          <cell r="C82" t="str">
            <v>Acceptances</v>
          </cell>
          <cell r="E82">
            <v>73049759.287950739</v>
          </cell>
          <cell r="G82">
            <v>53777947.765499994</v>
          </cell>
        </row>
        <row r="83">
          <cell r="C83" t="str">
            <v>Sundry Creditors</v>
          </cell>
        </row>
        <row r="84">
          <cell r="C84" t="str">
            <v xml:space="preserve"> - Due to Subsidiaries</v>
          </cell>
          <cell r="D84">
            <v>0</v>
          </cell>
        </row>
        <row r="85">
          <cell r="C85" t="str">
            <v xml:space="preserve"> - Due to SSI Undertakings</v>
          </cell>
          <cell r="D85">
            <v>0</v>
          </cell>
          <cell r="G85">
            <v>0</v>
          </cell>
        </row>
        <row r="86">
          <cell r="C86" t="str">
            <v xml:space="preserve"> - Others </v>
          </cell>
          <cell r="D86">
            <v>58754625.235049292</v>
          </cell>
          <cell r="E86">
            <v>58754625.235049292</v>
          </cell>
          <cell r="G86">
            <v>47559159.185000002</v>
          </cell>
        </row>
        <row r="87">
          <cell r="C87" t="str">
            <v>Sundry Deposits</v>
          </cell>
          <cell r="E87">
            <v>12372730</v>
          </cell>
          <cell r="G87">
            <v>9934543</v>
          </cell>
        </row>
        <row r="88">
          <cell r="C88" t="str">
            <v>Advances from Customers</v>
          </cell>
          <cell r="E88">
            <v>8252499.9999999944</v>
          </cell>
          <cell r="G88">
            <v>19119064.130000003</v>
          </cell>
        </row>
        <row r="89">
          <cell r="C89" t="str">
            <v>Unaccrued Service Revenue</v>
          </cell>
          <cell r="E89">
            <v>6449274.9999999981</v>
          </cell>
          <cell r="G89">
            <v>9716408.3299999982</v>
          </cell>
        </row>
        <row r="90">
          <cell r="C90" t="str">
            <v>Interest Accrued bt not due</v>
          </cell>
          <cell r="E90">
            <v>116842</v>
          </cell>
          <cell r="G90">
            <v>0</v>
          </cell>
        </row>
        <row r="91">
          <cell r="C91" t="str">
            <v>Other Liabilities</v>
          </cell>
          <cell r="E91">
            <v>37203111.430000044</v>
          </cell>
          <cell r="G91">
            <v>32721990.00999999</v>
          </cell>
        </row>
        <row r="92">
          <cell r="E92">
            <v>196198842.95300007</v>
          </cell>
          <cell r="G92">
            <v>172829112.42049998</v>
          </cell>
        </row>
        <row r="94">
          <cell r="C94" t="str">
            <v>PROVISIONS :</v>
          </cell>
        </row>
        <row r="96">
          <cell r="C96" t="str">
            <v>For Warranty Liability</v>
          </cell>
          <cell r="E96">
            <v>3959558</v>
          </cell>
          <cell r="G96">
            <v>1538977</v>
          </cell>
        </row>
        <row r="97">
          <cell r="C97" t="str">
            <v>For Gratuity &amp; Other Employee Benefits</v>
          </cell>
          <cell r="E97">
            <v>2873271</v>
          </cell>
          <cell r="G97">
            <v>2527874</v>
          </cell>
        </row>
        <row r="98">
          <cell r="E98">
            <v>6832829</v>
          </cell>
          <cell r="G98">
            <v>4066851</v>
          </cell>
        </row>
        <row r="99">
          <cell r="E99">
            <v>203031671.95300007</v>
          </cell>
          <cell r="G99">
            <v>176895963.42049998</v>
          </cell>
        </row>
        <row r="102">
          <cell r="C102" t="str">
            <v>SCHEDULES TO THE PROFIT AND LOSS ACCOUNT FOR THE YEAR ENDED</v>
          </cell>
        </row>
        <row r="104">
          <cell r="C104" t="str">
            <v>12- BUSINESS INCOME</v>
          </cell>
        </row>
        <row r="106">
          <cell r="E106" t="str">
            <v>30.11.02</v>
          </cell>
          <cell r="G106" t="str">
            <v>31.03.02</v>
          </cell>
        </row>
        <row r="107">
          <cell r="E107" t="str">
            <v>Rs</v>
          </cell>
          <cell r="G107" t="str">
            <v>Rs</v>
          </cell>
        </row>
        <row r="109">
          <cell r="C109" t="str">
            <v>Sales and Related Income</v>
          </cell>
          <cell r="E109">
            <v>1267015239.48</v>
          </cell>
          <cell r="G109">
            <v>1433506215.8806126</v>
          </cell>
        </row>
        <row r="110">
          <cell r="C110" t="str">
            <v>Services</v>
          </cell>
          <cell r="E110">
            <v>22031594.189999998</v>
          </cell>
          <cell r="G110">
            <v>41989979.359387673</v>
          </cell>
        </row>
        <row r="112">
          <cell r="E112">
            <v>1289046833.6700001</v>
          </cell>
          <cell r="G112">
            <v>1475496195.2400002</v>
          </cell>
        </row>
        <row r="115">
          <cell r="C115" t="str">
            <v>13- OTHER INCOME</v>
          </cell>
        </row>
        <row r="117">
          <cell r="E117" t="str">
            <v>30.11.02</v>
          </cell>
          <cell r="G117" t="str">
            <v>31.03.02</v>
          </cell>
        </row>
        <row r="118">
          <cell r="E118" t="str">
            <v>Rs</v>
          </cell>
          <cell r="G118" t="str">
            <v>Rs</v>
          </cell>
        </row>
        <row r="120">
          <cell r="C120" t="str">
            <v>Liabilities no Longer Required Written Back</v>
          </cell>
          <cell r="E120">
            <v>651966.87</v>
          </cell>
          <cell r="G120">
            <v>739110.83</v>
          </cell>
        </row>
        <row r="121">
          <cell r="C121" t="str">
            <v>Miscellaneous Income (TDS : Nil ; Previous Year : Nil)</v>
          </cell>
          <cell r="E121">
            <v>203561</v>
          </cell>
          <cell r="G121">
            <v>507521.12</v>
          </cell>
        </row>
        <row r="124">
          <cell r="E124">
            <v>855527.87</v>
          </cell>
          <cell r="G124">
            <v>1246631.95</v>
          </cell>
        </row>
        <row r="127">
          <cell r="C127" t="str">
            <v>14- COST OF SALES AND SERVICES</v>
          </cell>
        </row>
        <row r="129">
          <cell r="E129" t="str">
            <v>30.11.02</v>
          </cell>
          <cell r="G129" t="str">
            <v>31.03.02</v>
          </cell>
        </row>
        <row r="130">
          <cell r="E130" t="str">
            <v>Rs</v>
          </cell>
          <cell r="G130" t="str">
            <v>Rs</v>
          </cell>
        </row>
        <row r="132">
          <cell r="C132" t="str">
            <v>Purchase of Finished Goods and Services</v>
          </cell>
          <cell r="E132">
            <v>1234353189.803</v>
          </cell>
          <cell r="G132">
            <v>1391074844.5474033</v>
          </cell>
        </row>
        <row r="133">
          <cell r="C133" t="str">
            <v>Telesupport / Indent Margin from Insys</v>
          </cell>
          <cell r="E133">
            <v>-40591546.32</v>
          </cell>
          <cell r="G133">
            <v>-53435861.659999996</v>
          </cell>
        </row>
        <row r="134">
          <cell r="C134" t="str">
            <v>Stores and Spares Consumed</v>
          </cell>
          <cell r="E134">
            <v>22508261.290000007</v>
          </cell>
          <cell r="G134">
            <v>58423524.819999993</v>
          </cell>
        </row>
        <row r="135">
          <cell r="C135" t="str">
            <v>Royalty</v>
          </cell>
          <cell r="E135">
            <v>2092867.36</v>
          </cell>
          <cell r="G135">
            <v>2360122.2000000002</v>
          </cell>
        </row>
        <row r="136">
          <cell r="E136">
            <v>1218362772.1329999</v>
          </cell>
          <cell r="G136">
            <v>1398422629.9074032</v>
          </cell>
        </row>
        <row r="138">
          <cell r="C138" t="str">
            <v>Closing Stock</v>
          </cell>
        </row>
        <row r="139">
          <cell r="C139" t="str">
            <v xml:space="preserve"> - Finished Goods (Including in Transit)</v>
          </cell>
          <cell r="E139">
            <v>100141379.05000001</v>
          </cell>
          <cell r="G139">
            <v>91251248.49000001</v>
          </cell>
        </row>
        <row r="141">
          <cell r="C141" t="str">
            <v>Opening Stock</v>
          </cell>
        </row>
        <row r="142">
          <cell r="C142" t="str">
            <v xml:space="preserve"> - Finished Goods (Including in Transit)</v>
          </cell>
          <cell r="E142">
            <v>91251248.49000001</v>
          </cell>
          <cell r="G142">
            <v>79721714.699999988</v>
          </cell>
        </row>
        <row r="144">
          <cell r="E144">
            <v>91251248.49000001</v>
          </cell>
          <cell r="G144">
            <v>79721714.699999988</v>
          </cell>
        </row>
        <row r="145">
          <cell r="E145">
            <v>-8890130.5600000024</v>
          </cell>
          <cell r="G145">
            <v>-11529533.790000021</v>
          </cell>
        </row>
        <row r="146">
          <cell r="E146">
            <v>1209472641.573</v>
          </cell>
          <cell r="G146">
            <v>1386893096.1174033</v>
          </cell>
        </row>
        <row r="148">
          <cell r="C148" t="str">
            <v>15- PERSONNEL</v>
          </cell>
        </row>
        <row r="150">
          <cell r="E150" t="str">
            <v>30.11.02</v>
          </cell>
          <cell r="G150" t="str">
            <v>31.03.02</v>
          </cell>
        </row>
        <row r="151">
          <cell r="E151" t="str">
            <v>Rs</v>
          </cell>
          <cell r="G151" t="str">
            <v>Rs</v>
          </cell>
        </row>
        <row r="153">
          <cell r="C153" t="str">
            <v>Salaries, Wages, Allowances, Bonus &amp; Gratuity</v>
          </cell>
          <cell r="E153">
            <v>52434833.100000001</v>
          </cell>
          <cell r="G153">
            <v>65908311.810000002</v>
          </cell>
        </row>
        <row r="154">
          <cell r="C154" t="str">
            <v>Contribution to Provident Fund &amp; Other Funds</v>
          </cell>
          <cell r="E154">
            <v>1341558.46</v>
          </cell>
          <cell r="G154">
            <v>2073067.67</v>
          </cell>
        </row>
        <row r="155">
          <cell r="C155" t="str">
            <v>Staff Welfare Expenses</v>
          </cell>
          <cell r="E155">
            <v>2198882</v>
          </cell>
          <cell r="G155">
            <v>3940632.85</v>
          </cell>
        </row>
        <row r="156">
          <cell r="C156" t="str">
            <v>Advance Equity Trust Written Off</v>
          </cell>
          <cell r="E156">
            <v>0</v>
          </cell>
          <cell r="G156">
            <v>8994655</v>
          </cell>
        </row>
        <row r="158">
          <cell r="E158">
            <v>55975273.560000002</v>
          </cell>
          <cell r="G158">
            <v>80916667.329999998</v>
          </cell>
        </row>
        <row r="160">
          <cell r="C160" t="str">
            <v>SCHEDULES TO THE PROFIT AND LOSS ACCOUNT FOR THE YEAR ENDED</v>
          </cell>
        </row>
        <row r="162">
          <cell r="C162" t="str">
            <v>16- ADMINISTRATION, SELLING AND DISTRIBUTION</v>
          </cell>
        </row>
        <row r="164">
          <cell r="E164" t="str">
            <v>30.11.02</v>
          </cell>
          <cell r="G164" t="str">
            <v>31.03.02</v>
          </cell>
        </row>
        <row r="165">
          <cell r="E165" t="str">
            <v>Rs</v>
          </cell>
          <cell r="G165" t="str">
            <v>Rs</v>
          </cell>
        </row>
        <row r="167">
          <cell r="C167" t="str">
            <v>Rent</v>
          </cell>
          <cell r="E167">
            <v>1475303.82</v>
          </cell>
          <cell r="G167">
            <v>14868432.989999998</v>
          </cell>
        </row>
        <row r="168">
          <cell r="C168" t="str">
            <v>Rates and Taxes</v>
          </cell>
          <cell r="E168">
            <v>455193.00000000017</v>
          </cell>
          <cell r="G168">
            <v>433469.74</v>
          </cell>
        </row>
        <row r="169">
          <cell r="C169" t="str">
            <v>Printing and Stationery</v>
          </cell>
          <cell r="E169">
            <v>1193668</v>
          </cell>
          <cell r="G169">
            <v>2040516.31</v>
          </cell>
        </row>
        <row r="170">
          <cell r="C170" t="str">
            <v>Communication</v>
          </cell>
          <cell r="E170">
            <v>6093102.0599999996</v>
          </cell>
          <cell r="G170">
            <v>10658680.939999999</v>
          </cell>
        </row>
        <row r="171">
          <cell r="C171" t="str">
            <v>Travelling and Conveyance</v>
          </cell>
          <cell r="E171">
            <v>10328096.940000001</v>
          </cell>
          <cell r="G171">
            <v>14347144.68</v>
          </cell>
        </row>
        <row r="172">
          <cell r="C172" t="str">
            <v>Packing, Freight and Forwarding</v>
          </cell>
          <cell r="E172">
            <v>22749341.900000002</v>
          </cell>
          <cell r="G172">
            <v>24986171.199999999</v>
          </cell>
        </row>
        <row r="173">
          <cell r="C173" t="str">
            <v>Legal and Professional</v>
          </cell>
          <cell r="E173">
            <v>4412526.68</v>
          </cell>
          <cell r="G173">
            <v>3863896.5</v>
          </cell>
        </row>
        <row r="174">
          <cell r="C174" t="str">
            <v>Traning and Conference</v>
          </cell>
          <cell r="E174">
            <v>788751.77</v>
          </cell>
          <cell r="G174">
            <v>1540784</v>
          </cell>
        </row>
        <row r="175">
          <cell r="C175" t="str">
            <v>Office Electricity and Water</v>
          </cell>
          <cell r="E175">
            <v>1828935.2</v>
          </cell>
          <cell r="G175">
            <v>2591698.6</v>
          </cell>
        </row>
        <row r="176">
          <cell r="C176" t="str">
            <v>Miscellaneous</v>
          </cell>
          <cell r="E176">
            <v>749752.85</v>
          </cell>
          <cell r="G176">
            <v>1570622.3905865857</v>
          </cell>
        </row>
        <row r="177">
          <cell r="C177" t="str">
            <v>Insurance</v>
          </cell>
          <cell r="E177">
            <v>1497265.85</v>
          </cell>
          <cell r="G177">
            <v>2221713.21</v>
          </cell>
        </row>
        <row r="178">
          <cell r="C178" t="str">
            <v>Advertisement, Publicity &amp; Entertainment</v>
          </cell>
          <cell r="E178">
            <v>17076979.490000002</v>
          </cell>
          <cell r="G178">
            <v>10980592.219999999</v>
          </cell>
        </row>
        <row r="179">
          <cell r="C179" t="str">
            <v>Computer Equipment &amp; Vehicle Hire Charges</v>
          </cell>
          <cell r="E179">
            <v>482399</v>
          </cell>
          <cell r="G179">
            <v>587217.05000000005</v>
          </cell>
        </row>
        <row r="180">
          <cell r="C180" t="str">
            <v>Loss on Foreign Exchange Fluctuation (Net)</v>
          </cell>
          <cell r="E180">
            <v>-1849624.69</v>
          </cell>
          <cell r="G180">
            <v>695478.92</v>
          </cell>
        </row>
        <row r="181">
          <cell r="C181" t="str">
            <v>Loss / Profit on Sale of Fixed Assets  (Net)</v>
          </cell>
          <cell r="E181">
            <v>0</v>
          </cell>
          <cell r="G181">
            <v>109211.09</v>
          </cell>
        </row>
        <row r="182">
          <cell r="C182" t="str">
            <v>Bank Charges</v>
          </cell>
          <cell r="E182">
            <v>4963239.24</v>
          </cell>
          <cell r="G182">
            <v>4483290.43</v>
          </cell>
        </row>
        <row r="183">
          <cell r="C183" t="str">
            <v>Provision for Doubtful Debts</v>
          </cell>
          <cell r="E183">
            <v>2100000</v>
          </cell>
          <cell r="G183">
            <v>1500000</v>
          </cell>
        </row>
        <row r="185">
          <cell r="E185">
            <v>74344931.109999999</v>
          </cell>
          <cell r="G185">
            <v>97478920.27058658</v>
          </cell>
        </row>
        <row r="188">
          <cell r="C188" t="str">
            <v>17- REPAIRS AND MAINTENANCE</v>
          </cell>
        </row>
        <row r="190">
          <cell r="E190" t="str">
            <v>30.11.02</v>
          </cell>
          <cell r="G190" t="str">
            <v>31.03.02</v>
          </cell>
        </row>
        <row r="191">
          <cell r="E191" t="str">
            <v>Rs</v>
          </cell>
          <cell r="G191" t="str">
            <v>Rs</v>
          </cell>
        </row>
        <row r="193">
          <cell r="C193" t="str">
            <v>Others</v>
          </cell>
          <cell r="E193">
            <v>1262722.5</v>
          </cell>
          <cell r="G193">
            <v>1799378.08</v>
          </cell>
        </row>
        <row r="195">
          <cell r="E195">
            <v>1262722.5</v>
          </cell>
          <cell r="G195">
            <v>1799378.08</v>
          </cell>
        </row>
        <row r="197">
          <cell r="C197" t="str">
            <v>18- FINANCE CHARGES</v>
          </cell>
        </row>
        <row r="198">
          <cell r="D198">
            <v>132250954.23999999</v>
          </cell>
        </row>
        <row r="199">
          <cell r="E199" t="str">
            <v>30.11.02</v>
          </cell>
          <cell r="G199" t="str">
            <v>31.03.02</v>
          </cell>
        </row>
        <row r="200">
          <cell r="E200" t="str">
            <v>Rs</v>
          </cell>
          <cell r="G200" t="str">
            <v>Rs</v>
          </cell>
        </row>
        <row r="202">
          <cell r="C202" t="str">
            <v>Others</v>
          </cell>
          <cell r="E202">
            <v>668027.07000000007</v>
          </cell>
          <cell r="G202">
            <v>430639.98</v>
          </cell>
        </row>
        <row r="203">
          <cell r="C203" t="str">
            <v>(Interest recovered from employees Rs. Nil ; Previous Year :  Rs. Nil lacs)</v>
          </cell>
        </row>
        <row r="204">
          <cell r="E204">
            <v>668027.07000000007</v>
          </cell>
          <cell r="G204">
            <v>430639.98</v>
          </cell>
        </row>
      </sheetData>
      <sheetData sheetId="5"/>
      <sheetData sheetId="6" refreshError="1"/>
      <sheetData sheetId="7" refreshError="1"/>
      <sheetData sheetId="8" refreshError="1"/>
      <sheetData sheetId="9"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Sch 1-6"/>
      <sheetName val="FA-cos"/>
      <sheetName val="Sch7-12"/>
      <sheetName val="IT dep"/>
      <sheetName val="Abstract"/>
      <sheetName val="Taxation"/>
      <sheetName val="chk"/>
    </sheetNames>
    <sheetDataSet>
      <sheetData sheetId="0" refreshError="1"/>
      <sheetData sheetId="1" refreshError="1"/>
      <sheetData sheetId="2">
        <row r="15">
          <cell r="D15">
            <v>1000000</v>
          </cell>
          <cell r="E15">
            <v>1000000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endix 2.2 variances"/>
      <sheetName val="appendix 2.5 final accounts"/>
      <sheetName val="appendix 2.8 provisions"/>
      <sheetName val="cashflow"/>
      <sheetName val="01"/>
      <sheetName val="Final VA"/>
      <sheetName val="Cum value"/>
      <sheetName val="doq"/>
      <sheetName val="Sheet1"/>
      <sheetName val="appendix_2_2_variances"/>
      <sheetName val="appendix_2_5_final_accounts"/>
      <sheetName val="appendix_2_8_provisions"/>
      <sheetName val="Final_VA"/>
      <sheetName val="appendix_2_2_variances1"/>
      <sheetName val="appendix_2_5_final_accounts1"/>
      <sheetName val="appendix_2_8_provisions1"/>
      <sheetName val="Final_VA1"/>
      <sheetName val="TBAL9697 -group wise  sdpl"/>
      <sheetName val="data"/>
      <sheetName val="master"/>
      <sheetName val="Rate Analysis"/>
      <sheetName val="S1BOQ"/>
    </sheetNames>
    <sheetDataSet>
      <sheetData sheetId="0">
        <row r="1">
          <cell r="A1" t="str">
            <v>Skanska Cementation India Limited</v>
          </cell>
        </row>
      </sheetData>
      <sheetData sheetId="1" refreshError="1">
        <row r="1">
          <cell r="A1" t="str">
            <v>Skanska Cementation India Limited</v>
          </cell>
        </row>
        <row r="2">
          <cell r="A2" t="str">
            <v>Business Unit II</v>
          </cell>
        </row>
        <row r="3">
          <cell r="A3" t="str">
            <v>Final account balances</v>
          </cell>
        </row>
        <row r="4">
          <cell r="A4" t="str">
            <v>Currency millions</v>
          </cell>
          <cell r="B4" t="str">
            <v>Please include projects where contract is complete and work in progress is over £1m (or local currency equivalent)</v>
          </cell>
        </row>
        <row r="5">
          <cell r="B5" t="str">
            <v>Final account outstanding</v>
          </cell>
          <cell r="F5" t="str">
            <v>Forecast to achieve</v>
          </cell>
          <cell r="L5" t="str">
            <v>Unagreed</v>
          </cell>
          <cell r="M5" t="str">
            <v>Unagreed items</v>
          </cell>
        </row>
        <row r="6">
          <cell r="A6" t="str">
            <v>Contract</v>
          </cell>
          <cell r="B6" t="str">
            <v>Commercial</v>
          </cell>
          <cell r="C6" t="str">
            <v>Cash</v>
          </cell>
          <cell r="F6">
            <v>2004</v>
          </cell>
          <cell r="G6">
            <v>2004</v>
          </cell>
          <cell r="H6">
            <v>2004</v>
          </cell>
          <cell r="I6">
            <v>2004</v>
          </cell>
          <cell r="J6">
            <v>2005</v>
          </cell>
          <cell r="K6">
            <v>2006</v>
          </cell>
          <cell r="L6" t="str">
            <v>items included</v>
          </cell>
          <cell r="M6" t="str">
            <v>included in</v>
          </cell>
          <cell r="N6" t="str">
            <v>Provisions</v>
          </cell>
        </row>
        <row r="7">
          <cell r="B7" t="str">
            <v>value</v>
          </cell>
          <cell r="C7" t="str">
            <v>rec'd</v>
          </cell>
          <cell r="D7" t="str">
            <v>Retention</v>
          </cell>
          <cell r="E7" t="str">
            <v>Net</v>
          </cell>
          <cell r="F7" t="str">
            <v>Mar</v>
          </cell>
          <cell r="G7" t="str">
            <v>Jun</v>
          </cell>
          <cell r="H7" t="str">
            <v>Sep</v>
          </cell>
          <cell r="I7" t="str">
            <v>Dec</v>
          </cell>
          <cell r="K7" t="str">
            <v>and later</v>
          </cell>
          <cell r="L7" t="str">
            <v>to date</v>
          </cell>
          <cell r="M7" t="str">
            <v>forecast</v>
          </cell>
        </row>
        <row r="8">
          <cell r="A8" t="str">
            <v xml:space="preserve">M K V D C - ARPHAL </v>
          </cell>
          <cell r="B8">
            <v>140</v>
          </cell>
          <cell r="D8">
            <v>19</v>
          </cell>
          <cell r="E8">
            <v>121</v>
          </cell>
          <cell r="F8">
            <v>110</v>
          </cell>
          <cell r="G8">
            <v>11</v>
          </cell>
          <cell r="K8">
            <v>0</v>
          </cell>
        </row>
        <row r="9">
          <cell r="A9" t="str">
            <v xml:space="preserve">D M R C - II - DELHI </v>
          </cell>
          <cell r="B9">
            <v>98</v>
          </cell>
          <cell r="D9">
            <v>0</v>
          </cell>
          <cell r="E9">
            <v>98</v>
          </cell>
          <cell r="F9">
            <v>89</v>
          </cell>
          <cell r="G9">
            <v>9</v>
          </cell>
          <cell r="K9">
            <v>0</v>
          </cell>
        </row>
        <row r="10">
          <cell r="A10" t="str">
            <v xml:space="preserve">NHAI - AP 4 A </v>
          </cell>
          <cell r="B10">
            <v>79</v>
          </cell>
          <cell r="D10">
            <v>4</v>
          </cell>
          <cell r="E10">
            <v>75</v>
          </cell>
          <cell r="F10">
            <v>41</v>
          </cell>
          <cell r="G10">
            <v>34</v>
          </cell>
          <cell r="K10">
            <v>0</v>
          </cell>
        </row>
        <row r="11">
          <cell r="A11" t="str">
            <v xml:space="preserve">NHAI - AP 4 B </v>
          </cell>
          <cell r="B11">
            <v>138</v>
          </cell>
          <cell r="D11">
            <v>21</v>
          </cell>
          <cell r="E11">
            <v>117</v>
          </cell>
          <cell r="F11">
            <v>75</v>
          </cell>
          <cell r="G11">
            <v>42</v>
          </cell>
          <cell r="K11">
            <v>0</v>
          </cell>
        </row>
        <row r="12">
          <cell r="E12">
            <v>0</v>
          </cell>
          <cell r="K12">
            <v>0</v>
          </cell>
        </row>
        <row r="13">
          <cell r="A13" t="str">
            <v>Total</v>
          </cell>
          <cell r="B13">
            <v>455</v>
          </cell>
          <cell r="C13">
            <v>0</v>
          </cell>
          <cell r="D13">
            <v>44</v>
          </cell>
          <cell r="E13">
            <v>411</v>
          </cell>
          <cell r="F13">
            <v>315</v>
          </cell>
          <cell r="G13">
            <v>96</v>
          </cell>
          <cell r="H13">
            <v>0</v>
          </cell>
          <cell r="K13">
            <v>0</v>
          </cell>
          <cell r="L13">
            <v>0</v>
          </cell>
          <cell r="M13">
            <v>0</v>
          </cell>
          <cell r="N13">
            <v>0</v>
          </cell>
        </row>
      </sheetData>
      <sheetData sheetId="2">
        <row r="1">
          <cell r="A1" t="str">
            <v>Skanska Cementation India Limited</v>
          </cell>
        </row>
      </sheetData>
      <sheetData sheetId="3"/>
      <sheetData sheetId="4" refreshError="1"/>
      <sheetData sheetId="5" refreshError="1"/>
      <sheetData sheetId="6" refreshError="1"/>
      <sheetData sheetId="7" refreshError="1"/>
      <sheetData sheetId="8" refreshError="1"/>
      <sheetData sheetId="9">
        <row r="1">
          <cell r="A1" t="str">
            <v>Skanska Cementation India Limited</v>
          </cell>
        </row>
      </sheetData>
      <sheetData sheetId="10">
        <row r="1">
          <cell r="A1" t="str">
            <v>Skanska Cementation India Limited</v>
          </cell>
        </row>
      </sheetData>
      <sheetData sheetId="11">
        <row r="1">
          <cell r="A1" t="str">
            <v>Skanska Cementation India Limited</v>
          </cell>
        </row>
      </sheetData>
      <sheetData sheetId="12">
        <row r="1">
          <cell r="A1" t="str">
            <v>Skanska Cementation India Limited</v>
          </cell>
        </row>
      </sheetData>
      <sheetData sheetId="13">
        <row r="1">
          <cell r="A1" t="str">
            <v>Skanska Cementation India Limited</v>
          </cell>
        </row>
      </sheetData>
      <sheetData sheetId="14" refreshError="1"/>
      <sheetData sheetId="15">
        <row r="1">
          <cell r="A1" t="str">
            <v>Skanska Cementation India Limited</v>
          </cell>
        </row>
      </sheetData>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Form 11"/>
      <sheetName val="S0 Key dates"/>
      <sheetName val="S1BOQ"/>
      <sheetName val="S2groupcode"/>
      <sheetName val="S3workplanqty"/>
      <sheetName val="S3workplanamt"/>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1MATqty-code"/>
      <sheetName val="S41MATProcurement"/>
      <sheetName val="S41-2MATexp-code"/>
      <sheetName val="S42HSE"/>
      <sheetName val="S43Tax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HINDUSTAN CONSTRUCTION CO. LTD</v>
          </cell>
        </row>
        <row r="3">
          <cell r="A3" t="str">
            <v>PROJECT BUDGET 2006-2010</v>
          </cell>
        </row>
      </sheetData>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Enero"/>
      <sheetName val="Febrero"/>
      <sheetName val="Marzo"/>
      <sheetName val="Abril"/>
      <sheetName val="Mayo"/>
      <sheetName val="Junio"/>
      <sheetName val="Julio"/>
      <sheetName val="Agosto"/>
      <sheetName val="Octubre"/>
      <sheetName val="noviembre"/>
      <sheetName val="Septiembre"/>
      <sheetName val="Sistema"/>
    </sheetNames>
    <sheetDataSet>
      <sheetData sheetId="0"/>
      <sheetData sheetId="1" refreshError="1">
        <row r="12">
          <cell r="P12">
            <v>0.01</v>
          </cell>
          <cell r="Q12">
            <v>341.35</v>
          </cell>
          <cell r="R12">
            <v>0</v>
          </cell>
          <cell r="U12">
            <v>0.01</v>
          </cell>
          <cell r="V12">
            <v>1217.26</v>
          </cell>
        </row>
        <row r="13">
          <cell r="P13">
            <v>341.36</v>
          </cell>
          <cell r="Q13">
            <v>2897.26</v>
          </cell>
          <cell r="R13">
            <v>10.24</v>
          </cell>
          <cell r="U13">
            <v>1217.27</v>
          </cell>
          <cell r="V13">
            <v>1792.32</v>
          </cell>
        </row>
        <row r="14">
          <cell r="P14">
            <v>2897.2700000000004</v>
          </cell>
          <cell r="Q14">
            <v>5091.68</v>
          </cell>
          <cell r="R14">
            <v>265.83</v>
          </cell>
          <cell r="U14">
            <v>1792.33</v>
          </cell>
          <cell r="V14">
            <v>1825.85</v>
          </cell>
        </row>
        <row r="15">
          <cell r="P15">
            <v>5091.6900000000005</v>
          </cell>
          <cell r="Q15">
            <v>5918.87</v>
          </cell>
          <cell r="R15">
            <v>638.88</v>
          </cell>
          <cell r="U15">
            <v>1825.86</v>
          </cell>
          <cell r="V15">
            <v>2389.7399999999998</v>
          </cell>
        </row>
        <row r="16">
          <cell r="P16">
            <v>5918.88</v>
          </cell>
          <cell r="Q16">
            <v>7086.49</v>
          </cell>
          <cell r="R16">
            <v>845.68</v>
          </cell>
          <cell r="U16">
            <v>2389.75</v>
          </cell>
          <cell r="V16">
            <v>2434.48</v>
          </cell>
        </row>
        <row r="17">
          <cell r="P17">
            <v>7086.5</v>
          </cell>
          <cell r="Q17">
            <v>14292.44</v>
          </cell>
          <cell r="R17">
            <v>1219.32</v>
          </cell>
          <cell r="U17">
            <v>2434.4900000000002</v>
          </cell>
          <cell r="V17">
            <v>2604.9</v>
          </cell>
        </row>
        <row r="18">
          <cell r="P18">
            <v>14292.45</v>
          </cell>
          <cell r="Q18">
            <v>41666.67</v>
          </cell>
          <cell r="R18">
            <v>3597.28</v>
          </cell>
          <cell r="U18">
            <v>2604.9100000000003</v>
          </cell>
          <cell r="V18">
            <v>3059.49</v>
          </cell>
        </row>
        <row r="19">
          <cell r="P19">
            <v>41666.68</v>
          </cell>
          <cell r="Q19">
            <v>125000</v>
          </cell>
          <cell r="R19">
            <v>12904.52</v>
          </cell>
          <cell r="U19">
            <v>3059.5</v>
          </cell>
          <cell r="V19">
            <v>3245.98</v>
          </cell>
        </row>
        <row r="20">
          <cell r="U20">
            <v>3245.9900000000002</v>
          </cell>
          <cell r="V20">
            <v>3671.41</v>
          </cell>
        </row>
        <row r="21">
          <cell r="U21">
            <v>3671.42</v>
          </cell>
          <cell r="V21">
            <v>4283.32</v>
          </cell>
        </row>
        <row r="22">
          <cell r="U22">
            <v>4283.33</v>
          </cell>
          <cell r="V22">
            <v>4895.2</v>
          </cell>
        </row>
        <row r="23">
          <cell r="U23">
            <v>4895.21</v>
          </cell>
          <cell r="V23">
            <v>5079.93</v>
          </cell>
        </row>
      </sheetData>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D"/>
      <sheetName val="PCD_N"/>
      <sheetName val="PCD_C"/>
      <sheetName val="DRS_PCDT"/>
      <sheetName val="DRS_SDCT"/>
      <sheetName val="cust_mas"/>
    </sheetNames>
    <sheetDataSet>
      <sheetData sheetId="0"/>
      <sheetData sheetId="1"/>
      <sheetData sheetId="2"/>
      <sheetData sheetId="3"/>
      <sheetData sheetId="4"/>
      <sheetData sheetId="5">
        <row r="1">
          <cell r="A1" t="str">
            <v>Customer account</v>
          </cell>
          <cell r="B1" t="str">
            <v>Address book type</v>
          </cell>
          <cell r="C1" t="str">
            <v>Name</v>
          </cell>
          <cell r="D1" t="str">
            <v>Terms of payment</v>
          </cell>
        </row>
        <row r="2">
          <cell r="A2" t="str">
            <v>C00000</v>
          </cell>
          <cell r="B2" t="str">
            <v>Organization</v>
          </cell>
          <cell r="C2" t="str">
            <v>SALES REVERSAL (YEAR END)</v>
          </cell>
          <cell r="D2" t="str">
            <v>0</v>
          </cell>
        </row>
        <row r="3">
          <cell r="A3" t="str">
            <v>C00001</v>
          </cell>
          <cell r="B3" t="str">
            <v>Organization</v>
          </cell>
          <cell r="C3" t="str">
            <v>CREDIT BALANCES IN DEBTORS ACCOUNT</v>
          </cell>
          <cell r="D3" t="str">
            <v>0</v>
          </cell>
        </row>
        <row r="4">
          <cell r="A4" t="str">
            <v>C10001</v>
          </cell>
          <cell r="B4" t="str">
            <v>Organization</v>
          </cell>
          <cell r="C4" t="str">
            <v>ABCD DRUMS &amp; BARRELS PVT.LTD.</v>
          </cell>
          <cell r="D4" t="str">
            <v>60</v>
          </cell>
        </row>
        <row r="5">
          <cell r="A5" t="str">
            <v>C10002</v>
          </cell>
          <cell r="B5" t="str">
            <v>Organization</v>
          </cell>
          <cell r="C5" t="str">
            <v>ACCENT PACKAGING PVT.LTD.</v>
          </cell>
          <cell r="D5" t="str">
            <v>7</v>
          </cell>
        </row>
        <row r="6">
          <cell r="A6" t="str">
            <v>C10003</v>
          </cell>
          <cell r="B6" t="str">
            <v>Organization</v>
          </cell>
          <cell r="C6" t="str">
            <v>ACE CRANE SYSTEMS</v>
          </cell>
          <cell r="D6" t="str">
            <v>1</v>
          </cell>
        </row>
        <row r="7">
          <cell r="A7" t="str">
            <v>C10004</v>
          </cell>
          <cell r="B7" t="str">
            <v>Organization</v>
          </cell>
          <cell r="C7" t="str">
            <v>ADAMJI LUKMANJEE &amp; SONS LTD.</v>
          </cell>
          <cell r="D7" t="str">
            <v>30</v>
          </cell>
        </row>
        <row r="8">
          <cell r="A8" t="str">
            <v>C10005</v>
          </cell>
          <cell r="B8" t="str">
            <v>Organization</v>
          </cell>
          <cell r="C8" t="str">
            <v>ADIT PACKAGING</v>
          </cell>
          <cell r="D8" t="str">
            <v>60</v>
          </cell>
        </row>
        <row r="9">
          <cell r="A9" t="str">
            <v>C10006</v>
          </cell>
          <cell r="B9" t="str">
            <v>Organization</v>
          </cell>
          <cell r="C9" t="str">
            <v>ADWAN ENERGY* CHEMICALS</v>
          </cell>
          <cell r="D9" t="str">
            <v>30</v>
          </cell>
        </row>
        <row r="10">
          <cell r="A10" t="str">
            <v>C10007</v>
          </cell>
          <cell r="B10" t="str">
            <v>Organization</v>
          </cell>
          <cell r="C10" t="str">
            <v>AGARWAL PACKAGINGS PVT. LTD.</v>
          </cell>
          <cell r="D10" t="str">
            <v>7</v>
          </cell>
        </row>
        <row r="11">
          <cell r="A11" t="str">
            <v>C10008</v>
          </cell>
          <cell r="B11" t="str">
            <v>Organization</v>
          </cell>
          <cell r="C11" t="str">
            <v>AHLIA CHEMICALS</v>
          </cell>
          <cell r="D11" t="str">
            <v>30</v>
          </cell>
        </row>
        <row r="12">
          <cell r="A12" t="str">
            <v>C10009</v>
          </cell>
          <cell r="B12" t="str">
            <v>Organization</v>
          </cell>
          <cell r="C12" t="str">
            <v>AJFAN FENERAL TRAD.&amp; CONT.EST</v>
          </cell>
          <cell r="D12" t="str">
            <v>30</v>
          </cell>
        </row>
        <row r="13">
          <cell r="A13" t="str">
            <v>C10011</v>
          </cell>
          <cell r="B13" t="str">
            <v>Organization</v>
          </cell>
          <cell r="C13" t="str">
            <v>AL FAROOQUI ADV. AND TRD.</v>
          </cell>
          <cell r="D13" t="str">
            <v>30</v>
          </cell>
        </row>
        <row r="14">
          <cell r="A14" t="str">
            <v>C10013</v>
          </cell>
          <cell r="B14" t="str">
            <v>Organization</v>
          </cell>
          <cell r="C14" t="str">
            <v>AL RADAN GENERAL TRADING ( L.L.C.)</v>
          </cell>
          <cell r="D14" t="str">
            <v>1</v>
          </cell>
        </row>
        <row r="15">
          <cell r="A15" t="str">
            <v>C10014</v>
          </cell>
          <cell r="B15" t="str">
            <v>Organization</v>
          </cell>
          <cell r="C15" t="str">
            <v>ALEXANDRIA METAL PRODUCTS</v>
          </cell>
          <cell r="D15" t="str">
            <v>1</v>
          </cell>
        </row>
        <row r="16">
          <cell r="A16" t="str">
            <v>C10015</v>
          </cell>
          <cell r="B16" t="str">
            <v>Organization</v>
          </cell>
          <cell r="C16" t="str">
            <v>ALHAMRANI INDUSTRIAL GROUP</v>
          </cell>
          <cell r="D16" t="str">
            <v>1</v>
          </cell>
        </row>
        <row r="17">
          <cell r="A17" t="str">
            <v>C10016</v>
          </cell>
          <cell r="B17" t="str">
            <v>Organization</v>
          </cell>
          <cell r="C17" t="str">
            <v>ALI REZA ZAKI</v>
          </cell>
          <cell r="D17" t="str">
            <v>1</v>
          </cell>
        </row>
        <row r="18">
          <cell r="A18" t="str">
            <v>C10017</v>
          </cell>
          <cell r="B18" t="str">
            <v>Organization</v>
          </cell>
          <cell r="C18" t="str">
            <v>ALKYL AMINES CHEMICALS LIMITED - PATALGANGA</v>
          </cell>
          <cell r="D18" t="str">
            <v>60</v>
          </cell>
        </row>
        <row r="19">
          <cell r="A19" t="str">
            <v>C10018</v>
          </cell>
          <cell r="B19" t="str">
            <v>Organization</v>
          </cell>
          <cell r="C19" t="str">
            <v>ALLIED ENGINEERS &amp; TRADERS</v>
          </cell>
          <cell r="D19" t="str">
            <v>0</v>
          </cell>
        </row>
        <row r="20">
          <cell r="A20" t="str">
            <v>C10019</v>
          </cell>
          <cell r="B20" t="str">
            <v>Organization</v>
          </cell>
          <cell r="C20" t="str">
            <v>ALOK INGOTS (MUMBAI) PVT. LTD.</v>
          </cell>
          <cell r="D20" t="str">
            <v>0</v>
          </cell>
        </row>
        <row r="21">
          <cell r="A21" t="str">
            <v>C10020</v>
          </cell>
          <cell r="B21" t="str">
            <v>Organization</v>
          </cell>
          <cell r="C21" t="str">
            <v>AMBIKA UDYOG (PACKAGINGS)</v>
          </cell>
          <cell r="D21" t="str">
            <v>15</v>
          </cell>
        </row>
        <row r="22">
          <cell r="A22" t="str">
            <v>C10021</v>
          </cell>
          <cell r="B22" t="str">
            <v>Organization</v>
          </cell>
          <cell r="C22" t="str">
            <v>AMERICAN FLANGE &amp; MFG. CO. INC..,</v>
          </cell>
          <cell r="D22" t="str">
            <v>60</v>
          </cell>
        </row>
        <row r="23">
          <cell r="A23" t="str">
            <v>C10022</v>
          </cell>
          <cell r="B23" t="str">
            <v>Organization</v>
          </cell>
          <cell r="C23" t="str">
            <v>AMERYA PETROL .REF. CO.</v>
          </cell>
          <cell r="D23" t="str">
            <v>1</v>
          </cell>
        </row>
        <row r="24">
          <cell r="A24" t="str">
            <v>C10023</v>
          </cell>
          <cell r="B24" t="str">
            <v>Organization</v>
          </cell>
          <cell r="C24" t="str">
            <v>ANIL &amp; SONS</v>
          </cell>
          <cell r="D24" t="str">
            <v>0</v>
          </cell>
        </row>
        <row r="25">
          <cell r="A25" t="str">
            <v>C10024</v>
          </cell>
          <cell r="B25" t="str">
            <v>Organization</v>
          </cell>
          <cell r="C25" t="str">
            <v>ANKIT ENTERPRISE</v>
          </cell>
          <cell r="D25" t="str">
            <v>1</v>
          </cell>
        </row>
        <row r="26">
          <cell r="A26" t="str">
            <v>C10025</v>
          </cell>
          <cell r="B26" t="str">
            <v>Organization</v>
          </cell>
          <cell r="C26" t="str">
            <v>ANSARI SCRAP TRADERS</v>
          </cell>
          <cell r="D26" t="str">
            <v>0</v>
          </cell>
        </row>
        <row r="27">
          <cell r="A27" t="str">
            <v>C10026</v>
          </cell>
          <cell r="B27" t="str">
            <v>Organization</v>
          </cell>
          <cell r="C27" t="str">
            <v>APAR INDUSTRIES LTD. - SILVASSA</v>
          </cell>
          <cell r="D27" t="str">
            <v>30</v>
          </cell>
        </row>
        <row r="28">
          <cell r="A28" t="str">
            <v>C10027</v>
          </cell>
          <cell r="B28" t="str">
            <v>Organization</v>
          </cell>
          <cell r="C28" t="str">
            <v>APCOTEX INDUSTRIES LTD.</v>
          </cell>
          <cell r="D28" t="str">
            <v>30</v>
          </cell>
        </row>
        <row r="29">
          <cell r="A29" t="str">
            <v>C10028</v>
          </cell>
          <cell r="B29" t="str">
            <v>Organization</v>
          </cell>
          <cell r="C29" t="str">
            <v>AQSA STEEL ENTERPRISES</v>
          </cell>
          <cell r="D29" t="str">
            <v>0</v>
          </cell>
        </row>
        <row r="30">
          <cell r="A30" t="str">
            <v>C10029</v>
          </cell>
          <cell r="B30" t="str">
            <v>Organization</v>
          </cell>
          <cell r="C30" t="str">
            <v>ARABCAL FABRICATION</v>
          </cell>
          <cell r="D30" t="str">
            <v>1</v>
          </cell>
        </row>
        <row r="31">
          <cell r="A31" t="str">
            <v>C10030</v>
          </cell>
          <cell r="B31" t="str">
            <v>Organization</v>
          </cell>
          <cell r="C31" t="str">
            <v>ARABIAN CHEMICAL TERMINALS</v>
          </cell>
          <cell r="D31" t="str">
            <v>1</v>
          </cell>
        </row>
        <row r="32">
          <cell r="A32" t="str">
            <v>C10031</v>
          </cell>
          <cell r="B32" t="str">
            <v>Organization</v>
          </cell>
          <cell r="C32" t="str">
            <v>ARABIAN PETROLEUM SUPPLY COMPANY</v>
          </cell>
          <cell r="D32" t="str">
            <v>1</v>
          </cell>
        </row>
        <row r="33">
          <cell r="A33" t="str">
            <v>C10033</v>
          </cell>
          <cell r="B33" t="str">
            <v>Organization</v>
          </cell>
          <cell r="C33" t="str">
            <v>ARIHANT</v>
          </cell>
          <cell r="D33" t="str">
            <v>0</v>
          </cell>
        </row>
        <row r="34">
          <cell r="A34" t="str">
            <v>C10034</v>
          </cell>
          <cell r="B34" t="str">
            <v>Organization</v>
          </cell>
          <cell r="C34" t="str">
            <v>BABA CONTAINER MANUFACTURERS</v>
          </cell>
          <cell r="D34" t="str">
            <v>60</v>
          </cell>
        </row>
        <row r="35">
          <cell r="A35" t="str">
            <v>C10035</v>
          </cell>
          <cell r="B35" t="str">
            <v>Organization</v>
          </cell>
          <cell r="C35" t="str">
            <v>BALAJI AMINES LIMITED.</v>
          </cell>
          <cell r="D35" t="str">
            <v>30</v>
          </cell>
        </row>
        <row r="36">
          <cell r="A36" t="str">
            <v>C10036</v>
          </cell>
          <cell r="B36" t="str">
            <v>Organization</v>
          </cell>
          <cell r="C36" t="str">
            <v>BALAJI DRUMS WORKS</v>
          </cell>
          <cell r="D36" t="str">
            <v>15</v>
          </cell>
        </row>
        <row r="37">
          <cell r="A37" t="str">
            <v>C10037</v>
          </cell>
          <cell r="B37" t="str">
            <v>Organization</v>
          </cell>
          <cell r="C37" t="str">
            <v>BALMER LAWRIE - VAN LEER LIMITED - SELF INVOICE</v>
          </cell>
          <cell r="D37" t="str">
            <v>0</v>
          </cell>
        </row>
        <row r="38">
          <cell r="A38" t="str">
            <v>C10038</v>
          </cell>
          <cell r="B38" t="str">
            <v>Organization</v>
          </cell>
          <cell r="C38" t="str">
            <v>BALMER LAWRIE - VAN LEER LIMITED - MADURANTAKAM - CHENNAI</v>
          </cell>
          <cell r="D38" t="str">
            <v>0</v>
          </cell>
        </row>
        <row r="39">
          <cell r="A39" t="str">
            <v>C10039</v>
          </cell>
          <cell r="B39" t="str">
            <v>Organization</v>
          </cell>
          <cell r="C39" t="str">
            <v>BALMER LAWRIE - VAN  LEER  LIMITED - SAMPLE</v>
          </cell>
          <cell r="D39" t="str">
            <v>0</v>
          </cell>
        </row>
        <row r="40">
          <cell r="A40" t="str">
            <v>C10041</v>
          </cell>
          <cell r="B40" t="str">
            <v>Organization</v>
          </cell>
          <cell r="C40" t="str">
            <v>BALMER LAWRIE &amp; CO. LTD. - TALOJA A/C CALTEX (IBP)</v>
          </cell>
          <cell r="D40" t="str">
            <v>45</v>
          </cell>
        </row>
        <row r="41">
          <cell r="A41" t="str">
            <v>C10043</v>
          </cell>
          <cell r="B41" t="str">
            <v>Organization</v>
          </cell>
          <cell r="C41" t="str">
            <v>BALMER LAWRIE &amp; CO. LTD. - PANIPAT(CLOSED)</v>
          </cell>
          <cell r="D41" t="str">
            <v>45</v>
          </cell>
        </row>
        <row r="42">
          <cell r="A42" t="str">
            <v>C10044</v>
          </cell>
          <cell r="B42" t="str">
            <v>Organization</v>
          </cell>
          <cell r="C42" t="str">
            <v>BALMER LAWRIE &amp; CO. LTD. - CHENNAI</v>
          </cell>
          <cell r="D42" t="str">
            <v>45</v>
          </cell>
        </row>
        <row r="43">
          <cell r="A43" t="str">
            <v>C10045</v>
          </cell>
          <cell r="B43" t="str">
            <v>Organization</v>
          </cell>
          <cell r="C43" t="str">
            <v>BALMER LAWRIE &amp; CO. LTD. - KOLKATA GREASE DIVN.</v>
          </cell>
          <cell r="D43" t="str">
            <v>45</v>
          </cell>
        </row>
        <row r="44">
          <cell r="A44" t="str">
            <v>C10046</v>
          </cell>
          <cell r="B44" t="str">
            <v>Organization</v>
          </cell>
          <cell r="C44" t="str">
            <v>BALMER LAWRIE &amp; CO. LTD. - MANALI - CHENNAI</v>
          </cell>
          <cell r="D44" t="str">
            <v>45</v>
          </cell>
        </row>
        <row r="45">
          <cell r="A45" t="str">
            <v>C10047</v>
          </cell>
          <cell r="B45" t="str">
            <v>Organization</v>
          </cell>
          <cell r="C45" t="str">
            <v>BALMER LAWRIE (UAE)</v>
          </cell>
          <cell r="D45" t="str">
            <v>15</v>
          </cell>
        </row>
        <row r="46">
          <cell r="A46" t="str">
            <v>C10048</v>
          </cell>
          <cell r="B46" t="str">
            <v>Organization</v>
          </cell>
          <cell r="C46" t="str">
            <v>BARMALT (INDIA) LTD.</v>
          </cell>
          <cell r="D46" t="str">
            <v>30</v>
          </cell>
        </row>
        <row r="47">
          <cell r="A47" t="str">
            <v>C10049</v>
          </cell>
          <cell r="B47" t="str">
            <v>Organization</v>
          </cell>
          <cell r="C47" t="str">
            <v>BARODA TIN FACTORY</v>
          </cell>
          <cell r="D47" t="str">
            <v>30</v>
          </cell>
        </row>
        <row r="48">
          <cell r="A48" t="str">
            <v>C10050</v>
          </cell>
          <cell r="B48" t="str">
            <v>Organization</v>
          </cell>
          <cell r="C48" t="str">
            <v>BASF COATINGS (INDIA) PVT. LTD..</v>
          </cell>
          <cell r="D48" t="str">
            <v>30</v>
          </cell>
        </row>
        <row r="49">
          <cell r="A49" t="str">
            <v>C10051</v>
          </cell>
          <cell r="B49" t="str">
            <v>Organization</v>
          </cell>
          <cell r="C49" t="str">
            <v>BEHL STEEL TRADERS.</v>
          </cell>
          <cell r="D49" t="str">
            <v>0</v>
          </cell>
        </row>
        <row r="50">
          <cell r="A50" t="str">
            <v>C10052</v>
          </cell>
          <cell r="B50" t="str">
            <v>Organization</v>
          </cell>
          <cell r="C50" t="str">
            <v>BEHRAN OIL CO.</v>
          </cell>
          <cell r="D50" t="str">
            <v>0</v>
          </cell>
        </row>
        <row r="51">
          <cell r="A51" t="str">
            <v>C10053</v>
          </cell>
          <cell r="B51" t="str">
            <v>Organization</v>
          </cell>
          <cell r="C51" t="str">
            <v>BETA INDUSTRIES LIMITED</v>
          </cell>
          <cell r="D51" t="str">
            <v>60</v>
          </cell>
        </row>
        <row r="52">
          <cell r="A52" t="str">
            <v>C10054</v>
          </cell>
          <cell r="B52" t="str">
            <v>Organization</v>
          </cell>
          <cell r="C52" t="str">
            <v>BHAGWATI STEEL CAST PVT. LTD.</v>
          </cell>
          <cell r="D52" t="str">
            <v>0</v>
          </cell>
        </row>
        <row r="53">
          <cell r="A53" t="str">
            <v>C10055</v>
          </cell>
          <cell r="B53" t="str">
            <v>Organization</v>
          </cell>
          <cell r="C53" t="str">
            <v>BHARAT BUCKET FACTORY</v>
          </cell>
          <cell r="D53" t="str">
            <v>30</v>
          </cell>
        </row>
        <row r="54">
          <cell r="A54" t="str">
            <v>C10056</v>
          </cell>
          <cell r="B54" t="str">
            <v>Organization</v>
          </cell>
          <cell r="C54" t="str">
            <v>BHARAT VIJAY IRON FACTORY</v>
          </cell>
          <cell r="D54" t="str">
            <v>30</v>
          </cell>
        </row>
        <row r="55">
          <cell r="A55" t="str">
            <v>C10057</v>
          </cell>
          <cell r="B55" t="str">
            <v>Organization</v>
          </cell>
          <cell r="C55" t="str">
            <v>BHARAT'S OILS  &amp; CHEMICALS</v>
          </cell>
          <cell r="D55" t="str">
            <v>1</v>
          </cell>
        </row>
        <row r="56">
          <cell r="A56" t="str">
            <v>C10058</v>
          </cell>
          <cell r="B56" t="str">
            <v>Organization</v>
          </cell>
          <cell r="C56" t="str">
            <v>BHAVIN CONTAINERS</v>
          </cell>
          <cell r="D56" t="str">
            <v>30</v>
          </cell>
        </row>
        <row r="57">
          <cell r="A57" t="str">
            <v>C10059</v>
          </cell>
          <cell r="B57" t="str">
            <v>Organization</v>
          </cell>
          <cell r="C57" t="str">
            <v>BIN SEDDIQ INTERNATIONAL</v>
          </cell>
          <cell r="D57" t="str">
            <v>1</v>
          </cell>
        </row>
        <row r="58">
          <cell r="A58" t="str">
            <v>C10060</v>
          </cell>
          <cell r="B58" t="str">
            <v>Organization</v>
          </cell>
          <cell r="C58" t="str">
            <v>BIZREH BROTHERS COMPANY</v>
          </cell>
          <cell r="D58" t="str">
            <v>1</v>
          </cell>
        </row>
        <row r="59">
          <cell r="A59" t="str">
            <v>C10061</v>
          </cell>
          <cell r="B59" t="str">
            <v>Organization</v>
          </cell>
          <cell r="C59" t="str">
            <v>BOMBAY DRUMS MANUFACTURERS.</v>
          </cell>
          <cell r="D59" t="str">
            <v>1</v>
          </cell>
        </row>
        <row r="60">
          <cell r="A60" t="str">
            <v>C10062</v>
          </cell>
          <cell r="B60" t="str">
            <v>Organization</v>
          </cell>
          <cell r="C60" t="str">
            <v>BOMBAY PAINTS LTD.</v>
          </cell>
          <cell r="D60" t="str">
            <v>1</v>
          </cell>
        </row>
        <row r="61">
          <cell r="A61" t="str">
            <v>C10063</v>
          </cell>
          <cell r="B61" t="str">
            <v>Organization</v>
          </cell>
          <cell r="C61" t="str">
            <v>BOOTALEE PRODUCTS</v>
          </cell>
          <cell r="D61" t="str">
            <v>60</v>
          </cell>
        </row>
        <row r="62">
          <cell r="A62" t="str">
            <v>C10064</v>
          </cell>
          <cell r="B62" t="str">
            <v>Organization</v>
          </cell>
          <cell r="C62" t="str">
            <v>BORAX MORARJI LTD.</v>
          </cell>
          <cell r="D62" t="str">
            <v>1</v>
          </cell>
        </row>
        <row r="63">
          <cell r="A63" t="str">
            <v>C10065</v>
          </cell>
          <cell r="B63" t="str">
            <v>Organization</v>
          </cell>
          <cell r="C63" t="str">
            <v>BR AGROTECH LIMITED</v>
          </cell>
          <cell r="D63" t="str">
            <v>30</v>
          </cell>
        </row>
        <row r="64">
          <cell r="A64" t="str">
            <v>C10066</v>
          </cell>
          <cell r="B64" t="str">
            <v>Organization</v>
          </cell>
          <cell r="C64" t="str">
            <v>C.K.K. NAIR CONTAINERS</v>
          </cell>
          <cell r="D64" t="str">
            <v>30</v>
          </cell>
        </row>
        <row r="65">
          <cell r="A65" t="str">
            <v>C10067</v>
          </cell>
          <cell r="B65" t="str">
            <v>Organization</v>
          </cell>
          <cell r="C65" t="str">
            <v>CALTEX LUBRICANTS (I) LTD.</v>
          </cell>
          <cell r="D65" t="str">
            <v>30</v>
          </cell>
        </row>
        <row r="66">
          <cell r="A66" t="str">
            <v>C10068</v>
          </cell>
          <cell r="B66" t="str">
            <v>Organization</v>
          </cell>
          <cell r="C66" t="str">
            <v>CASTROL INDIA LIMITED - DELHI</v>
          </cell>
          <cell r="D66" t="str">
            <v>45</v>
          </cell>
        </row>
        <row r="67">
          <cell r="A67" t="str">
            <v>C10069</v>
          </cell>
          <cell r="B67" t="str">
            <v>Organization</v>
          </cell>
          <cell r="C67" t="str">
            <v>CASTROL INDIA LIMITED - KOLKATA</v>
          </cell>
          <cell r="D67" t="str">
            <v>45</v>
          </cell>
        </row>
        <row r="68">
          <cell r="A68" t="str">
            <v>C10070</v>
          </cell>
          <cell r="B68" t="str">
            <v>Organization</v>
          </cell>
          <cell r="C68" t="str">
            <v>CASTROL INDIA LIMITED - CHENNAI</v>
          </cell>
          <cell r="D68" t="str">
            <v>45</v>
          </cell>
        </row>
        <row r="69">
          <cell r="A69" t="str">
            <v>C10071</v>
          </cell>
          <cell r="B69" t="str">
            <v>Organization</v>
          </cell>
          <cell r="C69" t="str">
            <v>CASTROL INDIA LIMITED - PATALGANGA</v>
          </cell>
          <cell r="D69" t="str">
            <v>45</v>
          </cell>
        </row>
        <row r="70">
          <cell r="A70" t="str">
            <v>C10072</v>
          </cell>
          <cell r="B70" t="str">
            <v>Organization</v>
          </cell>
          <cell r="C70" t="str">
            <v>CEYLON PETROLEUM CORPORATION</v>
          </cell>
          <cell r="D70" t="str">
            <v>1</v>
          </cell>
        </row>
        <row r="71">
          <cell r="A71" t="str">
            <v>C10073</v>
          </cell>
          <cell r="B71" t="str">
            <v>Organization</v>
          </cell>
          <cell r="C71" t="str">
            <v>CHERUBIUM (PRIVATE) LIMITED</v>
          </cell>
          <cell r="D71" t="str">
            <v>1</v>
          </cell>
        </row>
        <row r="72">
          <cell r="A72" t="str">
            <v>C10074</v>
          </cell>
          <cell r="B72" t="str">
            <v>Organization</v>
          </cell>
          <cell r="C72" t="str">
            <v>CHEVRON LUBRICANTS INDIA PVT LTD</v>
          </cell>
          <cell r="D72" t="str">
            <v>30</v>
          </cell>
        </row>
        <row r="73">
          <cell r="A73" t="str">
            <v>C10075</v>
          </cell>
          <cell r="B73" t="str">
            <v>Organization</v>
          </cell>
          <cell r="C73" t="str">
            <v>CHEVRON LUBRICANTS LANKA PLC.</v>
          </cell>
          <cell r="D73" t="str">
            <v>0</v>
          </cell>
        </row>
        <row r="74">
          <cell r="A74" t="str">
            <v>C10076</v>
          </cell>
          <cell r="B74" t="str">
            <v>Organization</v>
          </cell>
          <cell r="C74" t="str">
            <v>CITY LUBRICANTS PVT. LTD</v>
          </cell>
          <cell r="D74" t="str">
            <v>30</v>
          </cell>
        </row>
        <row r="75">
          <cell r="A75" t="str">
            <v>C10077</v>
          </cell>
          <cell r="B75" t="str">
            <v>Organization</v>
          </cell>
          <cell r="C75" t="str">
            <v>CONTINENTAL TRADING HOUSE</v>
          </cell>
          <cell r="D75" t="str">
            <v>1</v>
          </cell>
        </row>
        <row r="76">
          <cell r="A76" t="str">
            <v>C10078</v>
          </cell>
          <cell r="B76" t="str">
            <v>Organization</v>
          </cell>
          <cell r="C76" t="str">
            <v>DAYARAM CHEMICALS INDUSTRIES</v>
          </cell>
          <cell r="D76" t="str">
            <v>15</v>
          </cell>
        </row>
        <row r="77">
          <cell r="A77" t="str">
            <v>C10080</v>
          </cell>
          <cell r="B77" t="str">
            <v>Organization</v>
          </cell>
          <cell r="C77" t="str">
            <v>DEEPAK FERTILISERS AND PETROCHEMICALS CORP. LTD..</v>
          </cell>
          <cell r="D77" t="str">
            <v>60</v>
          </cell>
        </row>
        <row r="78">
          <cell r="A78" t="str">
            <v>C10081</v>
          </cell>
          <cell r="B78" t="str">
            <v>Organization</v>
          </cell>
          <cell r="C78" t="str">
            <v>DHARAMSHI METALS P. LTD.</v>
          </cell>
          <cell r="D78" t="str">
            <v>30</v>
          </cell>
        </row>
        <row r="79">
          <cell r="A79" t="str">
            <v>C10082</v>
          </cell>
          <cell r="B79" t="str">
            <v>Organization</v>
          </cell>
          <cell r="C79" t="str">
            <v>DIAMOND DRUM &amp; BUCKET FACTORY</v>
          </cell>
          <cell r="D79" t="str">
            <v>7</v>
          </cell>
        </row>
        <row r="80">
          <cell r="A80" t="str">
            <v>C10083</v>
          </cell>
          <cell r="B80" t="str">
            <v>Organization</v>
          </cell>
          <cell r="C80" t="str">
            <v>DOOAA LATH WORK SHOP</v>
          </cell>
          <cell r="D80" t="str">
            <v>1</v>
          </cell>
        </row>
        <row r="81">
          <cell r="A81" t="str">
            <v>C10084</v>
          </cell>
          <cell r="B81" t="str">
            <v>Organization</v>
          </cell>
          <cell r="C81" t="str">
            <v>DORF KETAL CHEMICALS (I) PVT. LTD.</v>
          </cell>
          <cell r="D81" t="str">
            <v>60</v>
          </cell>
        </row>
        <row r="82">
          <cell r="A82" t="str">
            <v>C10085</v>
          </cell>
          <cell r="B82" t="str">
            <v>Organization</v>
          </cell>
          <cell r="C82" t="str">
            <v>DOW (INDIA) SYSTEM PVT. LTD.</v>
          </cell>
          <cell r="D82" t="str">
            <v>2</v>
          </cell>
        </row>
        <row r="83">
          <cell r="A83" t="str">
            <v>C10086</v>
          </cell>
          <cell r="B83" t="str">
            <v>Organization</v>
          </cell>
          <cell r="C83" t="str">
            <v>DYNATECH MARKETING COMPANY</v>
          </cell>
          <cell r="D83" t="str">
            <v>1</v>
          </cell>
        </row>
        <row r="84">
          <cell r="A84" t="str">
            <v>C10087</v>
          </cell>
          <cell r="B84" t="str">
            <v>Organization</v>
          </cell>
          <cell r="C84" t="str">
            <v>ELANTAS BECK INDIA LIMITED - ANKLESHAWAR</v>
          </cell>
          <cell r="D84" t="str">
            <v>30</v>
          </cell>
        </row>
        <row r="85">
          <cell r="A85" t="str">
            <v>C10088</v>
          </cell>
          <cell r="B85" t="str">
            <v>Organization</v>
          </cell>
          <cell r="C85" t="str">
            <v>ELANTAS BECK INDIA LIMITED - PIMPRI</v>
          </cell>
          <cell r="D85" t="str">
            <v>30</v>
          </cell>
        </row>
        <row r="86">
          <cell r="A86" t="str">
            <v>C10089</v>
          </cell>
          <cell r="B86" t="str">
            <v>Organization</v>
          </cell>
          <cell r="C86" t="str">
            <v>ELECTRO CHEMICALS</v>
          </cell>
          <cell r="D86" t="str">
            <v>1</v>
          </cell>
        </row>
        <row r="87">
          <cell r="A87" t="str">
            <v>C10091</v>
          </cell>
          <cell r="B87" t="str">
            <v>Organization</v>
          </cell>
          <cell r="C87" t="str">
            <v>EXXON MOBIL LUBRICANTS  PVT. LTD..</v>
          </cell>
          <cell r="D87" t="str">
            <v>45</v>
          </cell>
        </row>
        <row r="88">
          <cell r="A88" t="str">
            <v>C10092</v>
          </cell>
          <cell r="B88" t="str">
            <v>Organization</v>
          </cell>
          <cell r="C88" t="str">
            <v>FAKHRUDDIN SCRAP &amp; TIMBER MART</v>
          </cell>
          <cell r="D88" t="str">
            <v>0</v>
          </cell>
        </row>
        <row r="89">
          <cell r="A89" t="str">
            <v>C10093</v>
          </cell>
          <cell r="B89" t="str">
            <v>Organization</v>
          </cell>
          <cell r="C89" t="str">
            <v>FOSROC JORDAN.</v>
          </cell>
          <cell r="D89" t="str">
            <v>1</v>
          </cell>
        </row>
        <row r="90">
          <cell r="A90" t="str">
            <v>C10094</v>
          </cell>
          <cell r="B90" t="str">
            <v>Organization</v>
          </cell>
          <cell r="C90" t="str">
            <v>FUJAIRAH STEEL BARRELS &amp; DRUMS</v>
          </cell>
          <cell r="D90" t="str">
            <v>30</v>
          </cell>
        </row>
        <row r="91">
          <cell r="A91" t="str">
            <v>C10096</v>
          </cell>
          <cell r="B91" t="str">
            <v>Organization</v>
          </cell>
          <cell r="C91" t="str">
            <v>GODREJ INDUSTRIES LIMITED VALIA</v>
          </cell>
          <cell r="D91" t="str">
            <v>30</v>
          </cell>
        </row>
        <row r="92">
          <cell r="A92" t="str">
            <v>C10097</v>
          </cell>
          <cell r="B92" t="str">
            <v>Organization</v>
          </cell>
          <cell r="C92" t="str">
            <v>GOPAL METAL CONTAINERS PVT. LTD.</v>
          </cell>
          <cell r="D92" t="str">
            <v>60</v>
          </cell>
        </row>
        <row r="93">
          <cell r="A93" t="str">
            <v>C10098</v>
          </cell>
          <cell r="B93" t="str">
            <v>Organization</v>
          </cell>
          <cell r="C93" t="str">
            <v>GRAUER &amp; WELL (I) LTD.</v>
          </cell>
          <cell r="D93" t="str">
            <v>1</v>
          </cell>
        </row>
        <row r="94">
          <cell r="A94" t="str">
            <v>C10099</v>
          </cell>
          <cell r="B94" t="str">
            <v>Organization</v>
          </cell>
          <cell r="C94" t="str">
            <v>GREIF EGYPT</v>
          </cell>
          <cell r="D94" t="str">
            <v>90</v>
          </cell>
        </row>
        <row r="95">
          <cell r="A95" t="str">
            <v>C10100</v>
          </cell>
          <cell r="B95" t="str">
            <v>Organization</v>
          </cell>
          <cell r="C95" t="str">
            <v>GREIF AUSTRALIA  PTY. LTD</v>
          </cell>
          <cell r="D95" t="str">
            <v>30</v>
          </cell>
        </row>
        <row r="96">
          <cell r="A96" t="str">
            <v>C10101</v>
          </cell>
          <cell r="B96" t="str">
            <v>Organization</v>
          </cell>
          <cell r="C96" t="str">
            <v>GREIF EMBALAGENS IND. DO BRASIL LTDA.</v>
          </cell>
          <cell r="D96" t="str">
            <v>60</v>
          </cell>
        </row>
        <row r="97">
          <cell r="A97" t="str">
            <v>C10102</v>
          </cell>
          <cell r="B97" t="str">
            <v>Organization</v>
          </cell>
          <cell r="C97" t="str">
            <v>GREIF ITALIA S.P.A. - DIVISIONE CLOSURE SYSTEMS</v>
          </cell>
          <cell r="D97" t="str">
            <v>90</v>
          </cell>
        </row>
        <row r="98">
          <cell r="A98" t="str">
            <v>C10103</v>
          </cell>
          <cell r="B98" t="str">
            <v>Organization</v>
          </cell>
          <cell r="C98" t="str">
            <v>GREIF NEDERLAND B.V.</v>
          </cell>
          <cell r="D98" t="str">
            <v>60</v>
          </cell>
        </row>
        <row r="99">
          <cell r="A99" t="str">
            <v>C10104</v>
          </cell>
          <cell r="B99" t="str">
            <v>Organization</v>
          </cell>
          <cell r="C99" t="str">
            <v>GREIF SINGAPORE PTE. LTD.</v>
          </cell>
          <cell r="D99" t="str">
            <v>45</v>
          </cell>
        </row>
        <row r="100">
          <cell r="A100" t="str">
            <v>C10105</v>
          </cell>
          <cell r="B100" t="str">
            <v>Organization</v>
          </cell>
          <cell r="C100" t="str">
            <v>GRL INDUSTRIES</v>
          </cell>
          <cell r="D100" t="str">
            <v>1</v>
          </cell>
        </row>
        <row r="101">
          <cell r="A101" t="str">
            <v>C10106</v>
          </cell>
          <cell r="B101" t="str">
            <v>Organization</v>
          </cell>
          <cell r="C101" t="str">
            <v>GUARDIAN CASTINGS PVT. LTD</v>
          </cell>
          <cell r="D101" t="str">
            <v>0</v>
          </cell>
        </row>
        <row r="102">
          <cell r="A102" t="str">
            <v>C10107</v>
          </cell>
          <cell r="B102" t="str">
            <v>Organization</v>
          </cell>
          <cell r="C102" t="str">
            <v>GULF OIL CORPORATION LIMITED - ANDHERI</v>
          </cell>
          <cell r="D102" t="str">
            <v>45</v>
          </cell>
        </row>
        <row r="103">
          <cell r="A103" t="str">
            <v>C10108</v>
          </cell>
          <cell r="B103" t="str">
            <v>Organization</v>
          </cell>
          <cell r="C103" t="str">
            <v>GWALIOR CHEMICAL INDUSTRIES LIMITED.</v>
          </cell>
          <cell r="D103" t="str">
            <v>35</v>
          </cell>
        </row>
        <row r="104">
          <cell r="A104" t="str">
            <v>C10109</v>
          </cell>
          <cell r="B104" t="str">
            <v>Organization</v>
          </cell>
          <cell r="C104" t="str">
            <v>HAMZA INDUSTRIAL EQUIPMENT TRADING</v>
          </cell>
          <cell r="D104" t="str">
            <v>1</v>
          </cell>
        </row>
        <row r="105">
          <cell r="A105" t="str">
            <v>C10110</v>
          </cell>
          <cell r="B105" t="str">
            <v>Organization</v>
          </cell>
          <cell r="C105" t="str">
            <v>HARISONS STEEL PVT. LTD.</v>
          </cell>
          <cell r="D105" t="str">
            <v>0</v>
          </cell>
        </row>
        <row r="106">
          <cell r="A106" t="str">
            <v>C10111</v>
          </cell>
          <cell r="B106" t="str">
            <v>Organization</v>
          </cell>
          <cell r="C106" t="str">
            <v>HCKL BARREL CONTAINER WORKS</v>
          </cell>
          <cell r="D106" t="str">
            <v>30</v>
          </cell>
        </row>
        <row r="107">
          <cell r="A107" t="str">
            <v>C10112</v>
          </cell>
          <cell r="B107" t="str">
            <v>Organization</v>
          </cell>
          <cell r="C107" t="str">
            <v>HINDUSTAN AROMATICS</v>
          </cell>
          <cell r="D107" t="str">
            <v>1</v>
          </cell>
        </row>
        <row r="108">
          <cell r="A108" t="str">
            <v>C10113</v>
          </cell>
          <cell r="B108" t="str">
            <v>Organization</v>
          </cell>
          <cell r="C108" t="str">
            <v>HINDUSTAN PETROLEUM CORPN. - SEWREE</v>
          </cell>
          <cell r="D108" t="str">
            <v>30</v>
          </cell>
        </row>
        <row r="109">
          <cell r="A109" t="str">
            <v>C10114</v>
          </cell>
          <cell r="B109" t="str">
            <v>Organization</v>
          </cell>
          <cell r="C109" t="str">
            <v>HINDUSTAN PETROLEUM CORPN. - MUMBAI</v>
          </cell>
          <cell r="D109" t="str">
            <v>30</v>
          </cell>
        </row>
        <row r="110">
          <cell r="A110" t="str">
            <v>C10116</v>
          </cell>
          <cell r="B110" t="str">
            <v>Organization</v>
          </cell>
          <cell r="C110" t="str">
            <v>HOLLOWARE MFG. SYNDICATE</v>
          </cell>
          <cell r="D110" t="str">
            <v>60</v>
          </cell>
        </row>
        <row r="111">
          <cell r="A111" t="str">
            <v>C10117</v>
          </cell>
          <cell r="B111" t="str">
            <v>Organization</v>
          </cell>
          <cell r="C111" t="str">
            <v>GREIF HORIZON METALLIC INDUSTRIES CO. LLC</v>
          </cell>
          <cell r="D111" t="str">
            <v>30</v>
          </cell>
        </row>
        <row r="112">
          <cell r="A112" t="str">
            <v>C10118</v>
          </cell>
          <cell r="B112" t="str">
            <v>Organization</v>
          </cell>
          <cell r="C112" t="str">
            <v>IBP CALTEX LTD.</v>
          </cell>
          <cell r="D112" t="str">
            <v>30</v>
          </cell>
        </row>
        <row r="113">
          <cell r="A113" t="str">
            <v>C10119</v>
          </cell>
          <cell r="B113" t="str">
            <v>Organization</v>
          </cell>
          <cell r="C113" t="str">
            <v>IDEAL ENTERPRISES</v>
          </cell>
          <cell r="D113" t="str">
            <v>1</v>
          </cell>
        </row>
        <row r="114">
          <cell r="A114" t="str">
            <v>C10120</v>
          </cell>
          <cell r="B114" t="str">
            <v>Organization</v>
          </cell>
          <cell r="C114" t="str">
            <v>IHSEDU AGROCHEM PVT. LTD..</v>
          </cell>
          <cell r="D114" t="str">
            <v>30</v>
          </cell>
        </row>
        <row r="115">
          <cell r="A115" t="str">
            <v>C10121</v>
          </cell>
          <cell r="B115" t="str">
            <v>Organization</v>
          </cell>
          <cell r="C115" t="str">
            <v>IMPEX INTERNATIONAL INDIA.</v>
          </cell>
          <cell r="D115" t="str">
            <v>0</v>
          </cell>
        </row>
        <row r="116">
          <cell r="A116" t="str">
            <v>C10122</v>
          </cell>
          <cell r="B116" t="str">
            <v>Organization</v>
          </cell>
          <cell r="C116" t="str">
            <v>INDIA GLYCOLS LTD. - NOIDA</v>
          </cell>
          <cell r="D116" t="str">
            <v>45</v>
          </cell>
        </row>
        <row r="117">
          <cell r="A117" t="str">
            <v>C10123</v>
          </cell>
          <cell r="B117" t="str">
            <v>Organization</v>
          </cell>
          <cell r="C117" t="str">
            <v>INDIAN OIL CORPORATION  LTD. (PIRPAU)</v>
          </cell>
          <cell r="D117" t="str">
            <v>30</v>
          </cell>
        </row>
        <row r="118">
          <cell r="A118" t="str">
            <v>C10124</v>
          </cell>
          <cell r="B118" t="str">
            <v>Organization</v>
          </cell>
          <cell r="C118" t="str">
            <v>INDIAN OIL CORPORATION LTD - SILVASSA</v>
          </cell>
          <cell r="D118" t="str">
            <v>30</v>
          </cell>
        </row>
        <row r="119">
          <cell r="A119" t="str">
            <v>C10125</v>
          </cell>
          <cell r="B119" t="str">
            <v>Organization</v>
          </cell>
          <cell r="C119" t="str">
            <v>INDIAN OIL CORPORATION LTD - ASAOTI</v>
          </cell>
          <cell r="D119" t="str">
            <v>30</v>
          </cell>
        </row>
        <row r="120">
          <cell r="A120" t="str">
            <v>C10126</v>
          </cell>
          <cell r="B120" t="str">
            <v>Organization</v>
          </cell>
          <cell r="C120" t="str">
            <v>INDIAN PACKAGING</v>
          </cell>
          <cell r="D120" t="str">
            <v>7</v>
          </cell>
        </row>
        <row r="121">
          <cell r="A121" t="str">
            <v>C10127</v>
          </cell>
          <cell r="B121" t="str">
            <v>Organization</v>
          </cell>
          <cell r="C121" t="str">
            <v>INDO-NIPPON CHEMICALS CO. LTD..</v>
          </cell>
          <cell r="D121" t="str">
            <v>45</v>
          </cell>
        </row>
        <row r="122">
          <cell r="A122" t="str">
            <v>C10128</v>
          </cell>
          <cell r="B122" t="str">
            <v>Organization</v>
          </cell>
          <cell r="C122" t="str">
            <v>INDUSTRIAL ENGINEERING CORPORATION</v>
          </cell>
          <cell r="D122" t="str">
            <v>30</v>
          </cell>
        </row>
        <row r="123">
          <cell r="A123" t="str">
            <v>C10129</v>
          </cell>
          <cell r="B123" t="str">
            <v>Organization</v>
          </cell>
          <cell r="C123" t="str">
            <v>INSUNG CO. LTD.KOREA</v>
          </cell>
          <cell r="D123" t="str">
            <v>30</v>
          </cell>
        </row>
        <row r="124">
          <cell r="A124" t="str">
            <v>C10130</v>
          </cell>
          <cell r="B124" t="str">
            <v>Organization</v>
          </cell>
          <cell r="C124" t="str">
            <v>INTERNATIONAL BARREL COMPANY</v>
          </cell>
          <cell r="D124" t="str">
            <v>30</v>
          </cell>
        </row>
        <row r="125">
          <cell r="A125" t="str">
            <v>C10131</v>
          </cell>
          <cell r="B125" t="str">
            <v>Organization</v>
          </cell>
          <cell r="C125" t="str">
            <v>INTERNATIONAL FLAVOURS &amp; FRAGRANCES INDIA PVT. LTD.</v>
          </cell>
          <cell r="D125" t="str">
            <v>7</v>
          </cell>
        </row>
        <row r="126">
          <cell r="A126" t="str">
            <v>C10132</v>
          </cell>
          <cell r="B126" t="str">
            <v>Organization</v>
          </cell>
          <cell r="C126" t="str">
            <v>INTERNATIONAL PETROLEUM PRODUCTS CO.</v>
          </cell>
          <cell r="D126" t="str">
            <v>15</v>
          </cell>
        </row>
        <row r="127">
          <cell r="A127" t="str">
            <v>C10133</v>
          </cell>
          <cell r="B127" t="str">
            <v>Organization</v>
          </cell>
          <cell r="C127" t="str">
            <v>INVENTY'S RESEARCH CO. PVT. LTD.</v>
          </cell>
          <cell r="D127" t="str">
            <v>1</v>
          </cell>
        </row>
        <row r="128">
          <cell r="A128" t="str">
            <v>C10134</v>
          </cell>
          <cell r="B128" t="str">
            <v>Organization</v>
          </cell>
          <cell r="C128" t="str">
            <v>IOL CHEMICALS AND PHARMACEUTICALS LTD.</v>
          </cell>
          <cell r="D128" t="str">
            <v>30</v>
          </cell>
        </row>
        <row r="129">
          <cell r="A129" t="str">
            <v>C10135</v>
          </cell>
          <cell r="B129" t="str">
            <v>Organization</v>
          </cell>
          <cell r="C129" t="str">
            <v>JAGATJIT INDUSTRIES LTD.</v>
          </cell>
          <cell r="D129" t="str">
            <v>30</v>
          </cell>
        </row>
        <row r="130">
          <cell r="A130" t="str">
            <v>C10136</v>
          </cell>
          <cell r="B130" t="str">
            <v>Organization</v>
          </cell>
          <cell r="C130" t="str">
            <v>JAI AMBE STEEL COMPANY</v>
          </cell>
          <cell r="D130" t="str">
            <v>0</v>
          </cell>
        </row>
        <row r="131">
          <cell r="A131" t="str">
            <v>C10137</v>
          </cell>
          <cell r="B131" t="str">
            <v>Organization</v>
          </cell>
          <cell r="C131" t="str">
            <v>JAMALUDDIN TRADING</v>
          </cell>
          <cell r="D131" t="str">
            <v>1</v>
          </cell>
        </row>
        <row r="132">
          <cell r="A132" t="str">
            <v>C10138</v>
          </cell>
          <cell r="B132" t="str">
            <v>Organization</v>
          </cell>
          <cell r="C132" t="str">
            <v>JAY AMBE GOWRI PETROCHEM LTD.</v>
          </cell>
          <cell r="D132" t="str">
            <v>30</v>
          </cell>
        </row>
        <row r="133">
          <cell r="A133" t="str">
            <v>C10139</v>
          </cell>
          <cell r="B133" t="str">
            <v>Organization</v>
          </cell>
          <cell r="C133" t="str">
            <v>JOHNSON DIVERSEY INDIA PRIVATE LIMITED.</v>
          </cell>
          <cell r="D133" t="str">
            <v>30</v>
          </cell>
        </row>
        <row r="134">
          <cell r="A134" t="str">
            <v>C10140</v>
          </cell>
          <cell r="B134" t="str">
            <v>Organization</v>
          </cell>
          <cell r="C134" t="str">
            <v>K. P. STEELS</v>
          </cell>
          <cell r="D134" t="str">
            <v>0</v>
          </cell>
        </row>
        <row r="135">
          <cell r="A135" t="str">
            <v>C10141</v>
          </cell>
          <cell r="B135" t="str">
            <v>Organization</v>
          </cell>
          <cell r="C135" t="str">
            <v>K. UTTAMLAL (EXPORTS) PVT. LTD..</v>
          </cell>
          <cell r="D135" t="str">
            <v>1</v>
          </cell>
        </row>
        <row r="136">
          <cell r="A136" t="str">
            <v>C10142</v>
          </cell>
          <cell r="B136" t="str">
            <v>Organization</v>
          </cell>
          <cell r="C136" t="str">
            <v>KAILASH METAL PRODUCTS</v>
          </cell>
          <cell r="D136" t="str">
            <v>0</v>
          </cell>
        </row>
        <row r="137">
          <cell r="A137" t="str">
            <v>C10143</v>
          </cell>
          <cell r="B137" t="str">
            <v>Organization</v>
          </cell>
          <cell r="C137" t="str">
            <v>KARUNA GROUP</v>
          </cell>
          <cell r="D137" t="str">
            <v>1</v>
          </cell>
        </row>
        <row r="138">
          <cell r="A138" t="str">
            <v>C10144</v>
          </cell>
          <cell r="B138" t="str">
            <v>Organization</v>
          </cell>
          <cell r="C138" t="str">
            <v>KBN MACHINE TOOLS</v>
          </cell>
          <cell r="D138" t="str">
            <v>0</v>
          </cell>
        </row>
        <row r="139">
          <cell r="A139" t="str">
            <v>C10145</v>
          </cell>
          <cell r="B139" t="str">
            <v>Organization</v>
          </cell>
          <cell r="C139" t="str">
            <v>KRUPA CONTAINERS PVT. LTD.</v>
          </cell>
          <cell r="D139" t="str">
            <v>1</v>
          </cell>
        </row>
        <row r="140">
          <cell r="A140" t="str">
            <v>C10146</v>
          </cell>
          <cell r="B140" t="str">
            <v>Organization</v>
          </cell>
          <cell r="C140" t="str">
            <v>LANKA LUBRICANTS LIMITED</v>
          </cell>
          <cell r="D140" t="str">
            <v>30</v>
          </cell>
        </row>
        <row r="141">
          <cell r="A141" t="str">
            <v>C10147</v>
          </cell>
          <cell r="B141" t="str">
            <v>Organization</v>
          </cell>
          <cell r="C141" t="str">
            <v>LINTAS PACKAGING PVT. LTD..</v>
          </cell>
          <cell r="D141" t="str">
            <v>30</v>
          </cell>
        </row>
        <row r="142">
          <cell r="A142" t="str">
            <v>C10148</v>
          </cell>
          <cell r="B142" t="str">
            <v>Organization</v>
          </cell>
          <cell r="C142" t="str">
            <v>LSR SPECIALITY OIL (P) LTD.</v>
          </cell>
          <cell r="D142" t="str">
            <v>45</v>
          </cell>
        </row>
        <row r="143">
          <cell r="A143" t="str">
            <v>C10149</v>
          </cell>
          <cell r="B143" t="str">
            <v>Organization</v>
          </cell>
          <cell r="C143" t="str">
            <v>LUBRIZOL (INDIA) PVT. LTD.</v>
          </cell>
          <cell r="D143" t="str">
            <v>30</v>
          </cell>
        </row>
        <row r="144">
          <cell r="A144" t="str">
            <v>C10150</v>
          </cell>
          <cell r="B144" t="str">
            <v>Organization</v>
          </cell>
          <cell r="C144" t="str">
            <v>M.M. TRADERS</v>
          </cell>
          <cell r="D144" t="str">
            <v>0</v>
          </cell>
        </row>
        <row r="145">
          <cell r="A145" t="str">
            <v>C10151</v>
          </cell>
          <cell r="B145" t="str">
            <v>Organization</v>
          </cell>
          <cell r="C145" t="str">
            <v>M.S. SALES CORPORATION</v>
          </cell>
          <cell r="D145" t="str">
            <v>0</v>
          </cell>
        </row>
        <row r="146">
          <cell r="A146" t="str">
            <v>C10152</v>
          </cell>
          <cell r="B146" t="str">
            <v>Organization</v>
          </cell>
          <cell r="C146" t="str">
            <v>MACHINERY AND MACHINE TOOLS</v>
          </cell>
          <cell r="D146" t="str">
            <v>0</v>
          </cell>
        </row>
        <row r="147">
          <cell r="A147" t="str">
            <v>C10153</v>
          </cell>
          <cell r="B147" t="str">
            <v>Organization</v>
          </cell>
          <cell r="C147" t="str">
            <v>MADHUBAN DRUMS &amp; BARRELS - RUDANA</v>
          </cell>
          <cell r="D147" t="str">
            <v>30</v>
          </cell>
        </row>
        <row r="148">
          <cell r="A148" t="str">
            <v>C10154</v>
          </cell>
          <cell r="B148" t="str">
            <v>Organization</v>
          </cell>
          <cell r="C148" t="str">
            <v>MAHDI ATAROODI GHALEH JOGH</v>
          </cell>
          <cell r="D148" t="str">
            <v>1</v>
          </cell>
        </row>
        <row r="149">
          <cell r="A149" t="str">
            <v>C10155</v>
          </cell>
          <cell r="B149" t="str">
            <v>Organization</v>
          </cell>
          <cell r="C149" t="str">
            <v>MAISON F. MATHIEU</v>
          </cell>
          <cell r="D149" t="str">
            <v>30</v>
          </cell>
        </row>
        <row r="150">
          <cell r="A150" t="str">
            <v>C10156</v>
          </cell>
          <cell r="B150" t="str">
            <v>Organization</v>
          </cell>
          <cell r="C150" t="str">
            <v>MALDAR BARRELS PVT. LTD. (TALOJA)</v>
          </cell>
          <cell r="D150" t="str">
            <v>45</v>
          </cell>
        </row>
        <row r="151">
          <cell r="A151" t="str">
            <v>C10157</v>
          </cell>
          <cell r="B151" t="str">
            <v>Organization</v>
          </cell>
          <cell r="C151" t="str">
            <v>MARITIME &amp; MERCANTILE INTERNATIONAL</v>
          </cell>
          <cell r="D151" t="str">
            <v>1</v>
          </cell>
        </row>
        <row r="152">
          <cell r="A152" t="str">
            <v>C10158</v>
          </cell>
          <cell r="B152" t="str">
            <v>Organization</v>
          </cell>
          <cell r="C152" t="str">
            <v>MEGUIN OIL INDIA LTD.</v>
          </cell>
          <cell r="D152" t="str">
            <v>2</v>
          </cell>
        </row>
        <row r="153">
          <cell r="A153" t="str">
            <v>C10159</v>
          </cell>
          <cell r="B153" t="str">
            <v>Organization</v>
          </cell>
          <cell r="C153" t="str">
            <v>MEHTA  TRADING CORPORATION</v>
          </cell>
          <cell r="D153" t="str">
            <v>0</v>
          </cell>
        </row>
        <row r="154">
          <cell r="A154" t="str">
            <v>C10160</v>
          </cell>
          <cell r="B154" t="str">
            <v>Organization</v>
          </cell>
          <cell r="C154" t="str">
            <v>METAL SEAM CO. PVT. LTD.</v>
          </cell>
          <cell r="D154" t="str">
            <v>75</v>
          </cell>
        </row>
        <row r="155">
          <cell r="A155" t="str">
            <v>C10161</v>
          </cell>
          <cell r="B155" t="str">
            <v>Organization</v>
          </cell>
          <cell r="C155" t="str">
            <v>METOCHEM INTERNATIONAL PVT. LTD.</v>
          </cell>
          <cell r="D155" t="str">
            <v>4</v>
          </cell>
        </row>
        <row r="156">
          <cell r="A156" t="str">
            <v>C10162</v>
          </cell>
          <cell r="B156" t="str">
            <v>Organization</v>
          </cell>
          <cell r="C156" t="str">
            <v>METRO INTERNATIONAL LLC</v>
          </cell>
          <cell r="D156" t="str">
            <v>15</v>
          </cell>
        </row>
        <row r="157">
          <cell r="A157" t="str">
            <v>C10163</v>
          </cell>
          <cell r="B157" t="str">
            <v>Organization</v>
          </cell>
          <cell r="C157" t="str">
            <v>MILLENNIUM TRADING COMPANY PVT. LTD.</v>
          </cell>
          <cell r="D157" t="str">
            <v>0</v>
          </cell>
        </row>
        <row r="158">
          <cell r="A158" t="str">
            <v>C10164</v>
          </cell>
          <cell r="B158" t="str">
            <v>Organization</v>
          </cell>
          <cell r="C158" t="str">
            <v>MINI SARVODYA SIRA</v>
          </cell>
          <cell r="D158" t="str">
            <v>60</v>
          </cell>
        </row>
        <row r="159">
          <cell r="A159" t="str">
            <v>C10165</v>
          </cell>
          <cell r="B159" t="str">
            <v>Organization</v>
          </cell>
          <cell r="C159" t="str">
            <v>MOBIL OIL</v>
          </cell>
          <cell r="D159" t="str">
            <v>30</v>
          </cell>
        </row>
        <row r="160">
          <cell r="A160" t="str">
            <v>C10166</v>
          </cell>
          <cell r="B160" t="str">
            <v>Organization</v>
          </cell>
          <cell r="C160" t="str">
            <v>MOHAMMAD REZA FARAJPOUR</v>
          </cell>
          <cell r="D160" t="str">
            <v>1</v>
          </cell>
        </row>
        <row r="161">
          <cell r="A161" t="str">
            <v>C10167</v>
          </cell>
          <cell r="B161" t="str">
            <v>Organization</v>
          </cell>
          <cell r="C161" t="str">
            <v>MOHAMMED JAMAL ABDULKARIM</v>
          </cell>
          <cell r="D161" t="str">
            <v>1</v>
          </cell>
        </row>
        <row r="162">
          <cell r="A162" t="str">
            <v>C10168</v>
          </cell>
          <cell r="B162" t="str">
            <v>Organization</v>
          </cell>
          <cell r="C162" t="str">
            <v>MONARCH CATALYST PVT. LTD.</v>
          </cell>
          <cell r="D162" t="str">
            <v>1</v>
          </cell>
        </row>
        <row r="163">
          <cell r="A163" t="str">
            <v>C10169</v>
          </cell>
          <cell r="B163" t="str">
            <v>Organization</v>
          </cell>
          <cell r="C163" t="str">
            <v>MONSANTO INDIA LTD.</v>
          </cell>
          <cell r="D163" t="str">
            <v>30</v>
          </cell>
        </row>
        <row r="164">
          <cell r="A164" t="str">
            <v>C10170</v>
          </cell>
          <cell r="B164" t="str">
            <v>Organization</v>
          </cell>
          <cell r="C164" t="str">
            <v>MONTANA EXPORTS PVT. LTD..</v>
          </cell>
          <cell r="D164" t="str">
            <v>1</v>
          </cell>
        </row>
        <row r="165">
          <cell r="A165" t="str">
            <v>C10171</v>
          </cell>
          <cell r="B165" t="str">
            <v>Organization</v>
          </cell>
          <cell r="C165" t="str">
            <v>MOUNIR AL HAKIM</v>
          </cell>
          <cell r="D165" t="str">
            <v>1</v>
          </cell>
        </row>
        <row r="166">
          <cell r="A166" t="str">
            <v>C10172</v>
          </cell>
          <cell r="B166" t="str">
            <v>Organization</v>
          </cell>
          <cell r="C166" t="str">
            <v>MR. HWOFASA MOSES IGHO</v>
          </cell>
          <cell r="D166" t="str">
            <v>1</v>
          </cell>
        </row>
        <row r="167">
          <cell r="A167" t="str">
            <v>C10173</v>
          </cell>
          <cell r="B167" t="str">
            <v>Organization</v>
          </cell>
          <cell r="C167" t="str">
            <v>MR. RAHMATOLLAH POUR MIRZAY ESTALAKHI</v>
          </cell>
          <cell r="D167" t="str">
            <v>1</v>
          </cell>
        </row>
        <row r="168">
          <cell r="A168" t="str">
            <v>C10174</v>
          </cell>
          <cell r="B168" t="str">
            <v>Organization</v>
          </cell>
          <cell r="C168" t="str">
            <v>MR. ALI DO JAHANI</v>
          </cell>
          <cell r="D168" t="str">
            <v>1</v>
          </cell>
        </row>
        <row r="169">
          <cell r="A169" t="str">
            <v>C10175</v>
          </cell>
          <cell r="B169" t="str">
            <v>Organization</v>
          </cell>
          <cell r="C169" t="str">
            <v>MR. MOHAMMAD ABBASI TAFTI</v>
          </cell>
          <cell r="D169" t="str">
            <v>1</v>
          </cell>
        </row>
        <row r="170">
          <cell r="A170" t="str">
            <v>C10176</v>
          </cell>
          <cell r="B170" t="str">
            <v>Organization</v>
          </cell>
          <cell r="C170" t="str">
            <v>MRS. A'ZAM SHAMLAAN</v>
          </cell>
          <cell r="D170" t="str">
            <v>1</v>
          </cell>
        </row>
        <row r="171">
          <cell r="A171" t="str">
            <v>C10177</v>
          </cell>
          <cell r="B171" t="str">
            <v>Organization</v>
          </cell>
          <cell r="C171" t="str">
            <v>MTC BUSINESS PVT. LTD.</v>
          </cell>
          <cell r="D171" t="str">
            <v>0</v>
          </cell>
        </row>
        <row r="172">
          <cell r="A172" t="str">
            <v>C10178</v>
          </cell>
          <cell r="B172" t="str">
            <v>Organization</v>
          </cell>
          <cell r="C172" t="str">
            <v>* not to use ** NAGPAL STEEL</v>
          </cell>
          <cell r="D172" t="str">
            <v>0</v>
          </cell>
        </row>
        <row r="173">
          <cell r="A173" t="str">
            <v>C10179</v>
          </cell>
          <cell r="B173" t="str">
            <v>Organization</v>
          </cell>
          <cell r="C173" t="str">
            <v>NAGPAL STEEL</v>
          </cell>
          <cell r="D173" t="str">
            <v>0</v>
          </cell>
        </row>
        <row r="174">
          <cell r="A174" t="str">
            <v>C10180</v>
          </cell>
          <cell r="B174" t="str">
            <v>Organization</v>
          </cell>
          <cell r="C174" t="str">
            <v>NAJAM STEEL ASSOCIATES PVT. LTD.</v>
          </cell>
          <cell r="D174" t="str">
            <v>0</v>
          </cell>
        </row>
        <row r="175">
          <cell r="A175" t="str">
            <v>C10181</v>
          </cell>
          <cell r="B175" t="str">
            <v>Organization</v>
          </cell>
          <cell r="C175" t="str">
            <v>NANDAN PETROCHEM LTD. - TALOJA</v>
          </cell>
          <cell r="D175" t="str">
            <v>30</v>
          </cell>
        </row>
        <row r="176">
          <cell r="A176" t="str">
            <v>C10182</v>
          </cell>
          <cell r="B176" t="str">
            <v>Organization</v>
          </cell>
          <cell r="C176" t="str">
            <v>NASIR MOHSIN STEEL CORPORATION</v>
          </cell>
          <cell r="D176" t="str">
            <v>1</v>
          </cell>
        </row>
        <row r="177">
          <cell r="A177" t="str">
            <v>C10183</v>
          </cell>
          <cell r="B177" t="str">
            <v>Organization</v>
          </cell>
          <cell r="C177" t="str">
            <v>NASRIN MIRZAEI</v>
          </cell>
          <cell r="D177" t="str">
            <v>1</v>
          </cell>
        </row>
        <row r="178">
          <cell r="A178" t="str">
            <v>C10184</v>
          </cell>
          <cell r="B178" t="str">
            <v>Organization</v>
          </cell>
          <cell r="C178" t="str">
            <v>NATIONAL CONTAINERS</v>
          </cell>
          <cell r="D178" t="str">
            <v>30</v>
          </cell>
        </row>
        <row r="179">
          <cell r="A179" t="str">
            <v>C10185</v>
          </cell>
          <cell r="B179" t="str">
            <v>Organization</v>
          </cell>
          <cell r="C179" t="str">
            <v>NATIONAL PAINTS FACTORIES CO. LTD.</v>
          </cell>
          <cell r="D179" t="str">
            <v>1</v>
          </cell>
        </row>
        <row r="180">
          <cell r="A180" t="str">
            <v>C10187</v>
          </cell>
          <cell r="B180" t="str">
            <v>Organization</v>
          </cell>
          <cell r="C180" t="str">
            <v>NAWAH CHEMICALS FACTORY</v>
          </cell>
          <cell r="D180" t="str">
            <v>1</v>
          </cell>
        </row>
        <row r="181">
          <cell r="A181" t="str">
            <v>C10188</v>
          </cell>
          <cell r="B181" t="str">
            <v>Organization</v>
          </cell>
          <cell r="C181" t="str">
            <v>NEHA DRUMS AND BARRELS PVT. LTD.</v>
          </cell>
          <cell r="D181" t="str">
            <v>30</v>
          </cell>
        </row>
        <row r="182">
          <cell r="A182" t="str">
            <v>C10189</v>
          </cell>
          <cell r="B182" t="str">
            <v>Organization</v>
          </cell>
          <cell r="C182" t="str">
            <v>NEW BOMBAY ISPAT UDYOG PVT. LTD..</v>
          </cell>
          <cell r="D182" t="str">
            <v>0</v>
          </cell>
        </row>
        <row r="183">
          <cell r="A183" t="str">
            <v>C10191</v>
          </cell>
          <cell r="B183" t="str">
            <v>Organization</v>
          </cell>
          <cell r="C183" t="str">
            <v>NIKHEEL ENGINEERS</v>
          </cell>
          <cell r="D183" t="str">
            <v>0</v>
          </cell>
        </row>
        <row r="184">
          <cell r="A184" t="str">
            <v>C10193</v>
          </cell>
          <cell r="B184" t="str">
            <v>Organization</v>
          </cell>
          <cell r="C184" t="str">
            <v>PACK-WELL STEEL CONTAINERS</v>
          </cell>
          <cell r="D184" t="str">
            <v>30</v>
          </cell>
        </row>
        <row r="185">
          <cell r="A185" t="str">
            <v>C10194</v>
          </cell>
          <cell r="B185" t="str">
            <v>Organization</v>
          </cell>
          <cell r="C185" t="str">
            <v>PARAG MILK &amp; MILK PRODUCTS PVT. LTD.</v>
          </cell>
          <cell r="D185" t="str">
            <v>30</v>
          </cell>
        </row>
        <row r="186">
          <cell r="A186" t="str">
            <v>C10195</v>
          </cell>
          <cell r="B186" t="str">
            <v>Organization</v>
          </cell>
          <cell r="C186" t="str">
            <v>PETROCHEM  MIDDLE  EAST</v>
          </cell>
          <cell r="D186" t="str">
            <v>1</v>
          </cell>
        </row>
        <row r="187">
          <cell r="A187" t="str">
            <v>C10196</v>
          </cell>
          <cell r="B187" t="str">
            <v>Organization</v>
          </cell>
          <cell r="C187" t="str">
            <v>PETROMIN LUBRICATING OIL CO.</v>
          </cell>
          <cell r="D187" t="str">
            <v>1</v>
          </cell>
        </row>
        <row r="188">
          <cell r="A188" t="str">
            <v>C10197</v>
          </cell>
          <cell r="B188" t="str">
            <v>Organization</v>
          </cell>
          <cell r="C188" t="str">
            <v>PIBU INK (INDIA) PRIVATE LIMITED</v>
          </cell>
          <cell r="D188" t="str">
            <v>30</v>
          </cell>
        </row>
        <row r="189">
          <cell r="A189" t="str">
            <v>C10198</v>
          </cell>
          <cell r="B189" t="str">
            <v>Organization</v>
          </cell>
          <cell r="C189" t="str">
            <v>PREMIER PRESSING WORKS</v>
          </cell>
          <cell r="D189" t="str">
            <v>30</v>
          </cell>
        </row>
        <row r="190">
          <cell r="A190" t="str">
            <v>C10199</v>
          </cell>
          <cell r="B190" t="str">
            <v>Organization</v>
          </cell>
          <cell r="C190" t="str">
            <v>PRIMA CYCLES (P) LTD.</v>
          </cell>
          <cell r="D190" t="str">
            <v>0</v>
          </cell>
        </row>
        <row r="191">
          <cell r="A191" t="str">
            <v>C10200</v>
          </cell>
          <cell r="B191" t="str">
            <v>Organization</v>
          </cell>
          <cell r="C191" t="str">
            <v>PRIT LUBCHEM SYSTEM PVT. LTD</v>
          </cell>
          <cell r="D191" t="str">
            <v>1</v>
          </cell>
        </row>
        <row r="192">
          <cell r="A192" t="str">
            <v>C10201</v>
          </cell>
          <cell r="B192" t="str">
            <v>Organization</v>
          </cell>
          <cell r="C192" t="str">
            <v>PROSEAL CLOSURE LTD.</v>
          </cell>
          <cell r="D192" t="str">
            <v>30</v>
          </cell>
        </row>
        <row r="193">
          <cell r="A193" t="str">
            <v>C10202</v>
          </cell>
          <cell r="B193" t="str">
            <v>Organization</v>
          </cell>
          <cell r="C193" t="str">
            <v>R.B. ELECTRONIC</v>
          </cell>
          <cell r="D193" t="str">
            <v>1</v>
          </cell>
        </row>
        <row r="194">
          <cell r="A194" t="str">
            <v>C10203</v>
          </cell>
          <cell r="B194" t="str">
            <v>Organization</v>
          </cell>
          <cell r="C194" t="str">
            <v>RADHASON INTERNATIONAL</v>
          </cell>
          <cell r="D194" t="str">
            <v>0</v>
          </cell>
        </row>
        <row r="195">
          <cell r="A195" t="str">
            <v>C10204</v>
          </cell>
          <cell r="B195" t="str">
            <v>Organization</v>
          </cell>
          <cell r="C195" t="str">
            <v>RAINBOW INK &amp; VARNISH MFG. CO. LTD.     (SUPPLIER)</v>
          </cell>
          <cell r="D195" t="str">
            <v>1</v>
          </cell>
        </row>
        <row r="196">
          <cell r="A196" t="str">
            <v>C10205</v>
          </cell>
          <cell r="B196" t="str">
            <v>Organization</v>
          </cell>
          <cell r="C196" t="str">
            <v>RAJ PETRO SPECIALITIES PVT. LTD. - PANOLI</v>
          </cell>
          <cell r="D196" t="str">
            <v>60</v>
          </cell>
        </row>
        <row r="197">
          <cell r="A197" t="str">
            <v>C10206</v>
          </cell>
          <cell r="B197" t="str">
            <v>Organization</v>
          </cell>
          <cell r="C197" t="str">
            <v>RAJ SHEET METAL ENGINEERING WORKS - KILLAPARDI</v>
          </cell>
          <cell r="D197" t="str">
            <v>60</v>
          </cell>
        </row>
        <row r="198">
          <cell r="A198" t="str">
            <v>C10207</v>
          </cell>
          <cell r="B198" t="str">
            <v>Organization</v>
          </cell>
          <cell r="C198" t="str">
            <v>RAJ SHEET METAL ENGINEERING WORKS - ATTAK PARDI</v>
          </cell>
          <cell r="D198" t="str">
            <v>60</v>
          </cell>
        </row>
        <row r="199">
          <cell r="A199" t="str">
            <v>C10208</v>
          </cell>
          <cell r="B199" t="str">
            <v>Organization</v>
          </cell>
          <cell r="C199" t="str">
            <v>RAMA INDUSTRIES</v>
          </cell>
          <cell r="D199" t="str">
            <v>0</v>
          </cell>
        </row>
        <row r="200">
          <cell r="A200" t="str">
            <v>C10210</v>
          </cell>
          <cell r="B200" t="str">
            <v>Organization</v>
          </cell>
          <cell r="C200" t="str">
            <v>RAMDAS ISPAT &amp; METAL PVT. LTD.</v>
          </cell>
          <cell r="D200" t="str">
            <v>0</v>
          </cell>
        </row>
        <row r="201">
          <cell r="A201" t="str">
            <v>C10211</v>
          </cell>
          <cell r="B201" t="str">
            <v>Organization</v>
          </cell>
          <cell r="C201" t="str">
            <v>RAMESHKUMAR RAJENDRA KUMAR &amp; CO.</v>
          </cell>
          <cell r="D201" t="str">
            <v>0</v>
          </cell>
        </row>
        <row r="202">
          <cell r="A202" t="str">
            <v>C10212</v>
          </cell>
          <cell r="B202" t="str">
            <v>Organization</v>
          </cell>
          <cell r="C202" t="str">
            <v>RIVER GENERAL TRADING</v>
          </cell>
          <cell r="D202" t="str">
            <v>1</v>
          </cell>
        </row>
        <row r="203">
          <cell r="A203" t="str">
            <v>C10213</v>
          </cell>
          <cell r="B203" t="str">
            <v>Organization</v>
          </cell>
          <cell r="C203" t="str">
            <v>ROYAL INDUSTRIES</v>
          </cell>
          <cell r="D203" t="str">
            <v>60</v>
          </cell>
        </row>
        <row r="204">
          <cell r="A204" t="str">
            <v>C10214</v>
          </cell>
          <cell r="B204" t="str">
            <v>Organization</v>
          </cell>
          <cell r="C204" t="str">
            <v>ROYAL STAINLESS STEEL CONTAINERS</v>
          </cell>
          <cell r="D204" t="str">
            <v>30</v>
          </cell>
        </row>
        <row r="205">
          <cell r="A205" t="str">
            <v>C10215</v>
          </cell>
          <cell r="B205" t="str">
            <v>Organization</v>
          </cell>
          <cell r="C205" t="str">
            <v>ROYAL STEEL  (SCRAP)</v>
          </cell>
          <cell r="D205" t="str">
            <v>1</v>
          </cell>
        </row>
        <row r="206">
          <cell r="A206" t="str">
            <v>C10216</v>
          </cell>
          <cell r="B206" t="str">
            <v>Organization</v>
          </cell>
          <cell r="C206" t="str">
            <v>ROYAL TRADING  CO.</v>
          </cell>
          <cell r="D206" t="str">
            <v>1</v>
          </cell>
        </row>
        <row r="207">
          <cell r="A207" t="str">
            <v>C10217</v>
          </cell>
          <cell r="B207" t="str">
            <v>Organization</v>
          </cell>
          <cell r="C207" t="str">
            <v>RUSHI TRADERS</v>
          </cell>
          <cell r="D207" t="str">
            <v>1</v>
          </cell>
        </row>
        <row r="208">
          <cell r="A208" t="str">
            <v>C10218</v>
          </cell>
          <cell r="B208" t="str">
            <v>Organization</v>
          </cell>
          <cell r="C208" t="str">
            <v>S.B.N. CONTAINERS</v>
          </cell>
          <cell r="D208" t="str">
            <v>30</v>
          </cell>
        </row>
        <row r="209">
          <cell r="A209" t="str">
            <v>C10219</v>
          </cell>
          <cell r="B209" t="str">
            <v>Organization</v>
          </cell>
          <cell r="C209" t="str">
            <v>SAH PETROLEUMS LIMITED.</v>
          </cell>
          <cell r="D209" t="str">
            <v>30</v>
          </cell>
        </row>
        <row r="210">
          <cell r="A210" t="str">
            <v>C10221</v>
          </cell>
          <cell r="B210" t="str">
            <v>Organization</v>
          </cell>
          <cell r="C210" t="str">
            <v>SANTHI INDUSTRIES</v>
          </cell>
          <cell r="D210" t="str">
            <v>60</v>
          </cell>
        </row>
        <row r="211">
          <cell r="A211" t="str">
            <v>C10222</v>
          </cell>
          <cell r="B211" t="str">
            <v>Organization</v>
          </cell>
          <cell r="C211" t="str">
            <v>SAUDI INDUSTRIAL RESINS</v>
          </cell>
          <cell r="D211" t="str">
            <v>1</v>
          </cell>
        </row>
        <row r="212">
          <cell r="A212" t="str">
            <v>C10223</v>
          </cell>
          <cell r="B212" t="str">
            <v>Organization</v>
          </cell>
          <cell r="C212" t="str">
            <v>SAUDI INDUSTRIAL SOLVENTS COMPANY LTD</v>
          </cell>
          <cell r="D212" t="str">
            <v>30</v>
          </cell>
        </row>
        <row r="213">
          <cell r="A213" t="str">
            <v>C10224</v>
          </cell>
          <cell r="B213" t="str">
            <v>Organization</v>
          </cell>
          <cell r="C213" t="str">
            <v>SAUDI TOTAL LUBRICANTS CO LTD</v>
          </cell>
          <cell r="D213" t="str">
            <v>45</v>
          </cell>
        </row>
        <row r="214">
          <cell r="A214" t="str">
            <v>C10226</v>
          </cell>
          <cell r="B214" t="str">
            <v>Organization</v>
          </cell>
          <cell r="C214" t="str">
            <v>SCCI (INDIA) PVT. LTD. - GURGAON</v>
          </cell>
          <cell r="D214" t="str">
            <v>30</v>
          </cell>
        </row>
        <row r="215">
          <cell r="A215" t="str">
            <v>C10227</v>
          </cell>
          <cell r="B215" t="str">
            <v>Organization</v>
          </cell>
          <cell r="C215" t="str">
            <v>SCCI INDIA PVT. LTD. - ALWAR</v>
          </cell>
          <cell r="D215" t="str">
            <v>30</v>
          </cell>
        </row>
        <row r="216">
          <cell r="A216" t="str">
            <v>C10228</v>
          </cell>
          <cell r="B216" t="str">
            <v>Organization</v>
          </cell>
          <cell r="C216" t="str">
            <v>SEDAWATTE DRUMS LTD.</v>
          </cell>
          <cell r="D216" t="str">
            <v>30</v>
          </cell>
        </row>
        <row r="217">
          <cell r="A217" t="str">
            <v>C10230</v>
          </cell>
          <cell r="B217" t="str">
            <v>Organization</v>
          </cell>
          <cell r="C217" t="str">
            <v>SHANU METALS</v>
          </cell>
          <cell r="D217" t="str">
            <v>1</v>
          </cell>
        </row>
        <row r="218">
          <cell r="A218" t="str">
            <v>C10231</v>
          </cell>
          <cell r="B218" t="str">
            <v>Organization</v>
          </cell>
          <cell r="C218" t="str">
            <v>SHARATH ENGINEERING COMPANY.</v>
          </cell>
          <cell r="D218" t="str">
            <v>30</v>
          </cell>
        </row>
        <row r="219">
          <cell r="A219" t="str">
            <v>C10232</v>
          </cell>
          <cell r="B219" t="str">
            <v>Organization</v>
          </cell>
          <cell r="C219" t="str">
            <v>SHARJAH NATIONAL LUBE OIL CO. LTD..</v>
          </cell>
          <cell r="D219" t="str">
            <v>30</v>
          </cell>
        </row>
        <row r="220">
          <cell r="A220" t="str">
            <v>C10233</v>
          </cell>
          <cell r="B220" t="str">
            <v>Organization</v>
          </cell>
          <cell r="C220" t="str">
            <v>SHARP ALLOY LIMITED</v>
          </cell>
          <cell r="D220" t="str">
            <v>1</v>
          </cell>
        </row>
        <row r="221">
          <cell r="A221" t="str">
            <v>C10234</v>
          </cell>
          <cell r="B221" t="str">
            <v>Organization</v>
          </cell>
          <cell r="C221" t="str">
            <v>SHARP ALLOYS LIMITED.</v>
          </cell>
          <cell r="D221" t="str">
            <v>1</v>
          </cell>
        </row>
        <row r="222">
          <cell r="A222" t="str">
            <v>C10235</v>
          </cell>
          <cell r="B222" t="str">
            <v>Organization</v>
          </cell>
          <cell r="C222" t="str">
            <v>SHERKAT BOSHKE SAZI FOOLAD SALAFCHEGAN</v>
          </cell>
          <cell r="D222" t="str">
            <v>30</v>
          </cell>
        </row>
        <row r="223">
          <cell r="A223" t="str">
            <v>C10236</v>
          </cell>
          <cell r="B223" t="str">
            <v>Organization</v>
          </cell>
          <cell r="C223" t="str">
            <v>SHIVA DRUMS PVT. LTD..</v>
          </cell>
          <cell r="D223" t="str">
            <v>60</v>
          </cell>
        </row>
        <row r="224">
          <cell r="A224" t="str">
            <v>C10237</v>
          </cell>
          <cell r="B224" t="str">
            <v>Organization</v>
          </cell>
          <cell r="C224" t="str">
            <v>SHIVA METAL WORKS</v>
          </cell>
          <cell r="D224" t="str">
            <v>60</v>
          </cell>
        </row>
        <row r="225">
          <cell r="A225" t="str">
            <v>C10238</v>
          </cell>
          <cell r="B225" t="str">
            <v>Organization</v>
          </cell>
          <cell r="C225" t="str">
            <v>SHIVA PETROSYNTH SPE</v>
          </cell>
          <cell r="D225" t="str">
            <v>1</v>
          </cell>
        </row>
        <row r="226">
          <cell r="A226" t="str">
            <v>C10239</v>
          </cell>
          <cell r="B226" t="str">
            <v>Organization</v>
          </cell>
          <cell r="C226" t="str">
            <v>SHIVA UDYOG BARRELS PVT. LTD.. UNIT II</v>
          </cell>
          <cell r="D226" t="str">
            <v>30</v>
          </cell>
        </row>
        <row r="227">
          <cell r="A227" t="str">
            <v>C10240</v>
          </cell>
          <cell r="B227" t="str">
            <v>Organization</v>
          </cell>
          <cell r="C227" t="str">
            <v>SHIVANG ISPAT PVT. L</v>
          </cell>
          <cell r="D227" t="str">
            <v>1</v>
          </cell>
        </row>
        <row r="228">
          <cell r="A228" t="str">
            <v>C10241</v>
          </cell>
          <cell r="B228" t="str">
            <v>Organization</v>
          </cell>
          <cell r="C228" t="str">
            <v>SHIVRAJ DRUMS &amp; CONTAINERS PVT. LTD.</v>
          </cell>
          <cell r="D228" t="str">
            <v>60</v>
          </cell>
        </row>
        <row r="229">
          <cell r="A229" t="str">
            <v>C10242</v>
          </cell>
          <cell r="B229" t="str">
            <v>Organization</v>
          </cell>
          <cell r="C229" t="str">
            <v>SHIVSHAKTI BARRELS - FORMERLY SHREEJI BARRELS</v>
          </cell>
          <cell r="D229" t="str">
            <v>60</v>
          </cell>
        </row>
        <row r="230">
          <cell r="A230" t="str">
            <v>C10243</v>
          </cell>
          <cell r="B230" t="str">
            <v>Organization</v>
          </cell>
          <cell r="C230" t="str">
            <v>SHIV-VANI OIL &amp; GAS EXPLORATION SERVICES LTD.</v>
          </cell>
          <cell r="D230" t="str">
            <v>1</v>
          </cell>
        </row>
        <row r="231">
          <cell r="A231" t="str">
            <v>C10244</v>
          </cell>
          <cell r="B231" t="str">
            <v>Organization</v>
          </cell>
          <cell r="C231" t="str">
            <v>SHREE RAJ METAL &amp; CHEMICAL INDUSTRIES</v>
          </cell>
          <cell r="D231" t="str">
            <v>45</v>
          </cell>
        </row>
        <row r="232">
          <cell r="A232" t="str">
            <v>C10246</v>
          </cell>
          <cell r="B232" t="str">
            <v>Organization</v>
          </cell>
          <cell r="C232" t="str">
            <v>SI GROUP-INDIA LTD., RASAL</v>
          </cell>
          <cell r="D232" t="str">
            <v>45</v>
          </cell>
        </row>
        <row r="233">
          <cell r="A233" t="str">
            <v>C10247</v>
          </cell>
          <cell r="B233" t="str">
            <v>Organization</v>
          </cell>
          <cell r="C233" t="str">
            <v>SI GROUP-INDIA LTD.,TURBHE</v>
          </cell>
          <cell r="D233" t="str">
            <v>45</v>
          </cell>
        </row>
        <row r="234">
          <cell r="A234" t="str">
            <v>C10248</v>
          </cell>
          <cell r="B234" t="str">
            <v>Organization</v>
          </cell>
          <cell r="C234" t="str">
            <v>SIDDHARTH PETRO PRODUCTS</v>
          </cell>
          <cell r="D234" t="str">
            <v>1</v>
          </cell>
        </row>
        <row r="235">
          <cell r="A235" t="str">
            <v>C10250</v>
          </cell>
          <cell r="B235" t="str">
            <v>Organization</v>
          </cell>
          <cell r="C235" t="str">
            <v>SIGMA TOOLS &amp; ACCESSORIES PVT. LTD. -     (SUPPLIER)</v>
          </cell>
          <cell r="D235" t="str">
            <v>1</v>
          </cell>
        </row>
        <row r="236">
          <cell r="A236" t="str">
            <v>C10251</v>
          </cell>
          <cell r="B236" t="str">
            <v>Organization</v>
          </cell>
          <cell r="C236" t="str">
            <v>SILVER ISPAT  PVT. LIMITED</v>
          </cell>
          <cell r="D236" t="str">
            <v>1</v>
          </cell>
        </row>
        <row r="237">
          <cell r="A237" t="str">
            <v>C10252</v>
          </cell>
          <cell r="B237" t="str">
            <v>Organization</v>
          </cell>
          <cell r="C237" t="str">
            <v>SILVERMILL HOLDING LIMITED</v>
          </cell>
          <cell r="D237" t="str">
            <v>1</v>
          </cell>
        </row>
        <row r="238">
          <cell r="A238" t="str">
            <v>C10253</v>
          </cell>
          <cell r="B238" t="str">
            <v>Organization</v>
          </cell>
          <cell r="C238" t="str">
            <v>SINGH &amp; COMPANIES</v>
          </cell>
          <cell r="D238" t="str">
            <v>30</v>
          </cell>
        </row>
        <row r="239">
          <cell r="A239" t="str">
            <v>C10254</v>
          </cell>
          <cell r="B239" t="str">
            <v>Organization</v>
          </cell>
          <cell r="C239" t="str">
            <v>SONKAMAL ENTERPRISES PVT. LTD..</v>
          </cell>
          <cell r="D239" t="str">
            <v>1</v>
          </cell>
        </row>
        <row r="240">
          <cell r="A240" t="str">
            <v>C10255</v>
          </cell>
          <cell r="B240" t="str">
            <v>Organization</v>
          </cell>
          <cell r="C240" t="str">
            <v>SPI INDUSTRIES  PVT. LTD. - SANAND</v>
          </cell>
          <cell r="D240" t="str">
            <v>60</v>
          </cell>
        </row>
        <row r="241">
          <cell r="A241" t="str">
            <v>C10256</v>
          </cell>
          <cell r="B241" t="str">
            <v>Organization</v>
          </cell>
          <cell r="C241" t="str">
            <v>SRI BHARANI STEELS &amp; INDUSTRIES - CHENNAI</v>
          </cell>
          <cell r="D241" t="str">
            <v>30</v>
          </cell>
        </row>
        <row r="242">
          <cell r="A242" t="str">
            <v>C10257</v>
          </cell>
          <cell r="B242" t="str">
            <v>Organization</v>
          </cell>
          <cell r="C242" t="str">
            <v>SS PACKAGING</v>
          </cell>
          <cell r="D242" t="str">
            <v>90</v>
          </cell>
        </row>
        <row r="243">
          <cell r="A243" t="str">
            <v>C10258</v>
          </cell>
          <cell r="B243" t="str">
            <v>Organization</v>
          </cell>
          <cell r="C243" t="str">
            <v>STAR BARRELS INDS. PVT. LTD.</v>
          </cell>
          <cell r="D243" t="str">
            <v>30</v>
          </cell>
        </row>
        <row r="244">
          <cell r="A244" t="str">
            <v>C10259</v>
          </cell>
          <cell r="B244" t="str">
            <v>Organization</v>
          </cell>
          <cell r="C244" t="str">
            <v>STAR STEEL CORPORATION</v>
          </cell>
          <cell r="D244" t="str">
            <v>1</v>
          </cell>
        </row>
        <row r="245">
          <cell r="A245" t="str">
            <v>C10260</v>
          </cell>
          <cell r="B245" t="str">
            <v>Organization</v>
          </cell>
          <cell r="C245" t="str">
            <v>STEEL ROLLING MILL OF MAHARASHTRA</v>
          </cell>
          <cell r="D245" t="str">
            <v>1</v>
          </cell>
        </row>
        <row r="246">
          <cell r="A246" t="str">
            <v>C10261</v>
          </cell>
          <cell r="B246" t="str">
            <v>Organization</v>
          </cell>
          <cell r="C246" t="str">
            <v>STERLING TRADE</v>
          </cell>
          <cell r="D246" t="str">
            <v>1</v>
          </cell>
        </row>
        <row r="247">
          <cell r="A247" t="str">
            <v>C10263</v>
          </cell>
          <cell r="B247" t="str">
            <v>Organization</v>
          </cell>
          <cell r="C247" t="str">
            <v>SUNSTAR LUBRICANTS LIMITED</v>
          </cell>
          <cell r="D247" t="str">
            <v>30</v>
          </cell>
        </row>
        <row r="248">
          <cell r="A248" t="str">
            <v>C10264</v>
          </cell>
          <cell r="B248" t="str">
            <v>Organization</v>
          </cell>
          <cell r="C248" t="str">
            <v>SUPER GLOBE CHEMICALS INDUSTRIES (PVT.) LTD.</v>
          </cell>
          <cell r="D248" t="str">
            <v>1</v>
          </cell>
        </row>
        <row r="249">
          <cell r="A249" t="str">
            <v>C10265</v>
          </cell>
          <cell r="B249" t="str">
            <v>Organization</v>
          </cell>
          <cell r="C249" t="str">
            <v>SUPREME STEEL PACKAGINGS PVT. LTD..</v>
          </cell>
          <cell r="D249" t="str">
            <v>90</v>
          </cell>
        </row>
        <row r="250">
          <cell r="A250" t="str">
            <v>C10266</v>
          </cell>
          <cell r="B250" t="str">
            <v>Organization</v>
          </cell>
          <cell r="C250" t="str">
            <v>SURYA CONTAINERS PVT. LTD.</v>
          </cell>
          <cell r="D250" t="str">
            <v>30</v>
          </cell>
        </row>
        <row r="251">
          <cell r="A251" t="str">
            <v>C10267</v>
          </cell>
          <cell r="B251" t="str">
            <v>Organization</v>
          </cell>
          <cell r="C251" t="str">
            <v>SWASTIK CORPORATION</v>
          </cell>
          <cell r="D251" t="str">
            <v>30</v>
          </cell>
        </row>
        <row r="252">
          <cell r="A252" t="str">
            <v>C10268</v>
          </cell>
          <cell r="B252" t="str">
            <v>Organization</v>
          </cell>
          <cell r="C252" t="str">
            <v>SWISSOL CHEMICALS (INDIA) PVT. LTD.</v>
          </cell>
          <cell r="D252" t="str">
            <v>30</v>
          </cell>
        </row>
        <row r="253">
          <cell r="A253" t="str">
            <v>C10269</v>
          </cell>
          <cell r="B253" t="str">
            <v>Organization</v>
          </cell>
          <cell r="C253" t="str">
            <v>TAJ DRUM CONTAINERS</v>
          </cell>
          <cell r="D253" t="str">
            <v>1</v>
          </cell>
        </row>
        <row r="254">
          <cell r="A254" t="str">
            <v>C10270</v>
          </cell>
          <cell r="B254" t="str">
            <v>Organization</v>
          </cell>
          <cell r="C254" t="str">
            <v>TECHNOCHEM SERVICES</v>
          </cell>
          <cell r="D254" t="str">
            <v>1</v>
          </cell>
        </row>
        <row r="255">
          <cell r="A255" t="str">
            <v>C10271</v>
          </cell>
          <cell r="B255" t="str">
            <v>Organization</v>
          </cell>
          <cell r="C255" t="str">
            <v>THE ANUP INDUSTRIES PVT. LTD..(closed)</v>
          </cell>
          <cell r="D255" t="str">
            <v>1</v>
          </cell>
        </row>
        <row r="256">
          <cell r="A256" t="str">
            <v>C10272</v>
          </cell>
          <cell r="B256" t="str">
            <v>Organization</v>
          </cell>
          <cell r="C256" t="str">
            <v>THE INDIAN SMELTING &amp; REFINING COMPANY LTD.</v>
          </cell>
          <cell r="D256" t="str">
            <v>1</v>
          </cell>
        </row>
        <row r="257">
          <cell r="A257" t="str">
            <v>C10273</v>
          </cell>
          <cell r="B257" t="str">
            <v>Organization</v>
          </cell>
          <cell r="C257" t="str">
            <v>THE SEAS PETRO CHEMICALS TRADING CO. (LLC)</v>
          </cell>
          <cell r="D257" t="str">
            <v>30</v>
          </cell>
        </row>
        <row r="258">
          <cell r="A258" t="str">
            <v>C10274</v>
          </cell>
          <cell r="B258" t="str">
            <v>Organization</v>
          </cell>
          <cell r="C258" t="str">
            <v>TIDE WATER OIL CO. (INDIA) LTD. - HOWRAH</v>
          </cell>
          <cell r="D258" t="str">
            <v>30</v>
          </cell>
        </row>
        <row r="259">
          <cell r="A259" t="str">
            <v>C10275</v>
          </cell>
          <cell r="B259" t="str">
            <v>Organization</v>
          </cell>
          <cell r="C259" t="str">
            <v>TIDE WATER OIL CO. (INDIA) LTD. - DELHI</v>
          </cell>
          <cell r="D259" t="str">
            <v>30</v>
          </cell>
        </row>
        <row r="260">
          <cell r="A260" t="str">
            <v>C10276</v>
          </cell>
          <cell r="B260" t="str">
            <v>Organization</v>
          </cell>
          <cell r="C260" t="str">
            <v>TIDE WATER OIL CO. (INDIA) LTD. - CHENNAI</v>
          </cell>
          <cell r="D260" t="str">
            <v>30</v>
          </cell>
        </row>
        <row r="261">
          <cell r="A261" t="str">
            <v>C10277</v>
          </cell>
          <cell r="B261" t="str">
            <v>Organization</v>
          </cell>
          <cell r="C261" t="str">
            <v>TIME MAUSER INDUSTRIES PVT. LTD..</v>
          </cell>
          <cell r="D261" t="str">
            <v>60</v>
          </cell>
        </row>
        <row r="262">
          <cell r="A262" t="str">
            <v>C10278</v>
          </cell>
          <cell r="B262" t="str">
            <v>Organization</v>
          </cell>
          <cell r="C262" t="str">
            <v>TIN BOX COMPANY</v>
          </cell>
          <cell r="D262" t="str">
            <v>90</v>
          </cell>
        </row>
        <row r="263">
          <cell r="A263" t="str">
            <v>C10279</v>
          </cell>
          <cell r="B263" t="str">
            <v>Organization</v>
          </cell>
          <cell r="C263" t="str">
            <v>TOP TECHNICAL CO.</v>
          </cell>
          <cell r="D263" t="str">
            <v>1</v>
          </cell>
        </row>
        <row r="264">
          <cell r="A264" t="str">
            <v>C10281</v>
          </cell>
          <cell r="B264" t="str">
            <v>Organization</v>
          </cell>
          <cell r="C264" t="str">
            <v>TRIPURA CONTAINERS PVT. LTD..</v>
          </cell>
          <cell r="D264" t="str">
            <v>15</v>
          </cell>
        </row>
        <row r="265">
          <cell r="A265" t="str">
            <v>C10282</v>
          </cell>
          <cell r="B265" t="str">
            <v>Organization</v>
          </cell>
          <cell r="C265" t="str">
            <v>TRI-SURE CLOSURES AUSTRALIA PTY. LTD.</v>
          </cell>
          <cell r="D265" t="str">
            <v>60</v>
          </cell>
        </row>
        <row r="266">
          <cell r="A266" t="str">
            <v>C10283</v>
          </cell>
          <cell r="B266" t="str">
            <v>Organization</v>
          </cell>
          <cell r="C266" t="str">
            <v>ULTRA GLOSS THINNERS &amp; CHEMICALS</v>
          </cell>
          <cell r="D266" t="str">
            <v>1</v>
          </cell>
        </row>
        <row r="267">
          <cell r="A267" t="str">
            <v>C10285</v>
          </cell>
          <cell r="B267" t="str">
            <v>Organization</v>
          </cell>
          <cell r="C267" t="str">
            <v>UNIVERSAL CONTAINERS PVT. LTD. - KHOPOLI</v>
          </cell>
          <cell r="D267" t="str">
            <v>45</v>
          </cell>
        </row>
        <row r="268">
          <cell r="A268" t="str">
            <v>C10286</v>
          </cell>
          <cell r="B268" t="str">
            <v>Organization</v>
          </cell>
          <cell r="C268" t="str">
            <v>UNIVERSAL CONTAINERS PVT. LTD. - DARUKHANA</v>
          </cell>
          <cell r="D268" t="str">
            <v>45</v>
          </cell>
        </row>
        <row r="269">
          <cell r="A269" t="str">
            <v>C10287</v>
          </cell>
          <cell r="B269" t="str">
            <v>Organization</v>
          </cell>
          <cell r="C269" t="str">
            <v>UNIVERSAL PETROCHEMICALS LTD. - (SILVASSA)</v>
          </cell>
          <cell r="D269" t="str">
            <v>30</v>
          </cell>
        </row>
        <row r="270">
          <cell r="A270" t="str">
            <v>C10288</v>
          </cell>
          <cell r="B270" t="str">
            <v>Organization</v>
          </cell>
          <cell r="C270" t="str">
            <v>V. M. CONTAINERS PVT.. LTD.</v>
          </cell>
          <cell r="D270" t="str">
            <v>60</v>
          </cell>
        </row>
        <row r="271">
          <cell r="A271" t="str">
            <v>C10289</v>
          </cell>
          <cell r="B271" t="str">
            <v>Organization</v>
          </cell>
          <cell r="C271" t="str">
            <v>VALINEERS ENGINEERS &amp; CONTRACTOR</v>
          </cell>
          <cell r="D271" t="str">
            <v>1</v>
          </cell>
        </row>
        <row r="272">
          <cell r="A272" t="str">
            <v>C10290</v>
          </cell>
          <cell r="B272" t="str">
            <v>Organization</v>
          </cell>
          <cell r="C272" t="str">
            <v>VARDHAMAN STEEL CORPORATION</v>
          </cell>
          <cell r="D272" t="str">
            <v>1</v>
          </cell>
        </row>
        <row r="273">
          <cell r="A273" t="str">
            <v>C10291</v>
          </cell>
          <cell r="B273" t="str">
            <v>Organization</v>
          </cell>
          <cell r="C273" t="str">
            <v>VASUDA CHEM INDUSTRIES</v>
          </cell>
          <cell r="D273" t="str">
            <v>30</v>
          </cell>
        </row>
        <row r="274">
          <cell r="A274" t="str">
            <v>C10292</v>
          </cell>
          <cell r="B274" t="str">
            <v>Organization</v>
          </cell>
          <cell r="C274" t="str">
            <v>VIJAY ENTERPRISES</v>
          </cell>
          <cell r="D274" t="str">
            <v>1</v>
          </cell>
        </row>
        <row r="275">
          <cell r="A275" t="str">
            <v>C10293</v>
          </cell>
          <cell r="B275" t="str">
            <v>Organization</v>
          </cell>
          <cell r="C275" t="str">
            <v>VIMAL BARRELS PVT. LTD.</v>
          </cell>
          <cell r="D275" t="str">
            <v>45</v>
          </cell>
        </row>
        <row r="276">
          <cell r="A276" t="str">
            <v>C10294</v>
          </cell>
          <cell r="B276" t="str">
            <v>Organization</v>
          </cell>
          <cell r="C276" t="str">
            <v>VINAY STEELS</v>
          </cell>
          <cell r="D276" t="str">
            <v>1</v>
          </cell>
        </row>
        <row r="277">
          <cell r="A277" t="str">
            <v>C10295</v>
          </cell>
          <cell r="B277" t="str">
            <v>Organization</v>
          </cell>
          <cell r="C277" t="str">
            <v>VIRAJ ALLOYS LTD.</v>
          </cell>
          <cell r="D277" t="str">
            <v>1</v>
          </cell>
        </row>
        <row r="278">
          <cell r="A278" t="str">
            <v>C10296</v>
          </cell>
          <cell r="B278" t="str">
            <v>Organization</v>
          </cell>
          <cell r="C278" t="str">
            <v>VIRAT ISPAT LTD.</v>
          </cell>
          <cell r="D278" t="str">
            <v>1</v>
          </cell>
        </row>
        <row r="279">
          <cell r="A279" t="str">
            <v>C10297</v>
          </cell>
          <cell r="B279" t="str">
            <v>Organization</v>
          </cell>
          <cell r="C279" t="str">
            <v>WESTERN DRUMS &amp; PACKINGS CO. LTD.</v>
          </cell>
          <cell r="D279" t="str">
            <v>60</v>
          </cell>
        </row>
        <row r="280">
          <cell r="A280" t="str">
            <v>C10298</v>
          </cell>
          <cell r="B280" t="str">
            <v>Organization</v>
          </cell>
          <cell r="C280" t="str">
            <v>WHITE SEAGULL TRDG. CO. LLC</v>
          </cell>
          <cell r="D280" t="str">
            <v>1</v>
          </cell>
        </row>
        <row r="281">
          <cell r="A281" t="str">
            <v>C10299</v>
          </cell>
          <cell r="B281" t="str">
            <v>Organization</v>
          </cell>
          <cell r="C281" t="str">
            <v>YASHRAJ CONTAINEURS LIMITED - HOWRAH</v>
          </cell>
          <cell r="D281" t="str">
            <v>15</v>
          </cell>
        </row>
        <row r="282">
          <cell r="A282" t="str">
            <v>C10300</v>
          </cell>
          <cell r="B282" t="str">
            <v>Organization</v>
          </cell>
          <cell r="C282" t="str">
            <v>A P COATED DRUMS &amp; BARRELS PVT. LTD</v>
          </cell>
          <cell r="D282" t="str">
            <v>60</v>
          </cell>
        </row>
        <row r="283">
          <cell r="A283" t="str">
            <v>C10301</v>
          </cell>
          <cell r="B283" t="str">
            <v>Organization</v>
          </cell>
          <cell r="C283" t="str">
            <v>A. K. ENTERPRISES</v>
          </cell>
          <cell r="D283" t="str">
            <v>1</v>
          </cell>
        </row>
        <row r="284">
          <cell r="A284" t="str">
            <v>C10303</v>
          </cell>
          <cell r="B284" t="str">
            <v>Organization</v>
          </cell>
          <cell r="C284" t="str">
            <v>A.P. SUTAR</v>
          </cell>
          <cell r="D284" t="str">
            <v>30</v>
          </cell>
        </row>
        <row r="285">
          <cell r="A285" t="str">
            <v>C10304</v>
          </cell>
          <cell r="B285" t="str">
            <v>Organization</v>
          </cell>
          <cell r="C285" t="str">
            <v>A.R. SULPHONATES PVT. LTD..</v>
          </cell>
          <cell r="D285" t="str">
            <v>15</v>
          </cell>
        </row>
        <row r="286">
          <cell r="A286" t="str">
            <v>C10305</v>
          </cell>
          <cell r="B286" t="str">
            <v>Organization</v>
          </cell>
          <cell r="C286" t="str">
            <v>A.W. CHEMICALS PVT. LTD..</v>
          </cell>
          <cell r="D286" t="str">
            <v>30</v>
          </cell>
        </row>
        <row r="287">
          <cell r="A287" t="str">
            <v>C10307</v>
          </cell>
          <cell r="B287" t="str">
            <v>Organization</v>
          </cell>
          <cell r="C287" t="str">
            <v>AAHNIK PETROLEUMS</v>
          </cell>
          <cell r="D287" t="str">
            <v>1</v>
          </cell>
        </row>
        <row r="288">
          <cell r="A288" t="str">
            <v>C10309</v>
          </cell>
          <cell r="B288" t="str">
            <v>Organization</v>
          </cell>
          <cell r="C288" t="str">
            <v>AARVI SPECIALITIES</v>
          </cell>
          <cell r="D288" t="str">
            <v>1</v>
          </cell>
        </row>
        <row r="289">
          <cell r="A289" t="str">
            <v>C10310</v>
          </cell>
          <cell r="B289" t="str">
            <v>Organization</v>
          </cell>
          <cell r="C289" t="str">
            <v>AB LUBES</v>
          </cell>
          <cell r="D289" t="str">
            <v>1</v>
          </cell>
        </row>
        <row r="290">
          <cell r="A290" t="str">
            <v>C10311</v>
          </cell>
          <cell r="B290" t="str">
            <v>Organization</v>
          </cell>
          <cell r="C290" t="str">
            <v>ABDULWAHID ABDULREHEMAN</v>
          </cell>
          <cell r="D290" t="str">
            <v>30</v>
          </cell>
        </row>
        <row r="291">
          <cell r="A291" t="str">
            <v>C10315</v>
          </cell>
          <cell r="B291" t="str">
            <v>Organization</v>
          </cell>
          <cell r="C291" t="str">
            <v>ACI (AGRO CHEMICAL INDUSTRIES) LTD</v>
          </cell>
          <cell r="D291" t="str">
            <v>1</v>
          </cell>
        </row>
        <row r="292">
          <cell r="A292" t="str">
            <v>C10316</v>
          </cell>
          <cell r="B292" t="str">
            <v>Organization</v>
          </cell>
          <cell r="C292" t="str">
            <v>ACME SOLVENTS PVT. LTD</v>
          </cell>
          <cell r="D292" t="str">
            <v>1</v>
          </cell>
        </row>
        <row r="293">
          <cell r="A293" t="str">
            <v>C10320</v>
          </cell>
          <cell r="B293" t="str">
            <v>Organization</v>
          </cell>
          <cell r="C293" t="str">
            <v>ADMINISTRATION OF U.T. OF LAKSHADWEEP</v>
          </cell>
          <cell r="D293" t="str">
            <v>30</v>
          </cell>
        </row>
        <row r="294">
          <cell r="A294" t="str">
            <v>C10321</v>
          </cell>
          <cell r="B294" t="str">
            <v>Organization</v>
          </cell>
          <cell r="C294" t="str">
            <v>ADMINISTRATION OF THE UNION TERRITORY OF LAKSHADWEEP (KOC))</v>
          </cell>
          <cell r="D294" t="str">
            <v>30</v>
          </cell>
        </row>
        <row r="295">
          <cell r="A295" t="str">
            <v>C10324</v>
          </cell>
          <cell r="B295" t="str">
            <v>Organization</v>
          </cell>
          <cell r="C295" t="str">
            <v>AGRO EXTRACTS LIMITED (200)</v>
          </cell>
          <cell r="D295" t="str">
            <v>30</v>
          </cell>
        </row>
        <row r="296">
          <cell r="A296" t="str">
            <v>C10326</v>
          </cell>
          <cell r="B296" t="str">
            <v>Organization</v>
          </cell>
          <cell r="C296" t="str">
            <v>AKAY FLAVOURS &amp; AROMATICS PVT LTD</v>
          </cell>
          <cell r="D296" t="str">
            <v>30</v>
          </cell>
        </row>
        <row r="297">
          <cell r="A297" t="str">
            <v>C10329</v>
          </cell>
          <cell r="B297" t="str">
            <v>Organization</v>
          </cell>
          <cell r="C297" t="str">
            <v>AKRUR CHEMICALS PVT. LTD</v>
          </cell>
          <cell r="D297" t="str">
            <v>30</v>
          </cell>
        </row>
        <row r="298">
          <cell r="A298" t="str">
            <v>C10330</v>
          </cell>
          <cell r="B298" t="str">
            <v>Organization</v>
          </cell>
          <cell r="C298" t="str">
            <v>AKRY ORGANICS PVT. LTD..</v>
          </cell>
          <cell r="D298" t="str">
            <v>30</v>
          </cell>
        </row>
        <row r="299">
          <cell r="A299" t="str">
            <v>C10331</v>
          </cell>
          <cell r="B299" t="str">
            <v>Organization</v>
          </cell>
          <cell r="C299" t="str">
            <v>AKSHAR STATIONERY</v>
          </cell>
          <cell r="D299" t="str">
            <v>30</v>
          </cell>
        </row>
        <row r="300">
          <cell r="A300" t="str">
            <v>C10332</v>
          </cell>
          <cell r="B300" t="str">
            <v>Organization</v>
          </cell>
          <cell r="C300" t="str">
            <v>AKSHAY CHEMICALS</v>
          </cell>
          <cell r="D300" t="str">
            <v>0</v>
          </cell>
        </row>
        <row r="301">
          <cell r="A301" t="str">
            <v>C10333</v>
          </cell>
          <cell r="B301" t="str">
            <v>Organization</v>
          </cell>
          <cell r="C301" t="str">
            <v>AKSHAY INDUSTRIES</v>
          </cell>
          <cell r="D301" t="str">
            <v>0</v>
          </cell>
        </row>
        <row r="302">
          <cell r="A302" t="str">
            <v>C10334</v>
          </cell>
          <cell r="B302" t="str">
            <v>Organization</v>
          </cell>
          <cell r="C302" t="str">
            <v>AKZO NOBEL COATINGS (I) P. LTD</v>
          </cell>
          <cell r="D302" t="str">
            <v>30</v>
          </cell>
        </row>
        <row r="303">
          <cell r="A303" t="str">
            <v>C10336</v>
          </cell>
          <cell r="B303" t="str">
            <v>Organization</v>
          </cell>
          <cell r="C303" t="str">
            <v>ALCATRAZ CHEMICALS</v>
          </cell>
          <cell r="D303" t="str">
            <v>30</v>
          </cell>
        </row>
        <row r="304">
          <cell r="A304" t="str">
            <v>C10339</v>
          </cell>
          <cell r="B304" t="str">
            <v>Organization</v>
          </cell>
          <cell r="C304" t="str">
            <v>ALKA CHEMICAL INDUSTRIES</v>
          </cell>
          <cell r="D304" t="str">
            <v>1</v>
          </cell>
        </row>
        <row r="305">
          <cell r="A305" t="str">
            <v>C10340</v>
          </cell>
          <cell r="B305" t="str">
            <v>Organization</v>
          </cell>
          <cell r="C305" t="str">
            <v>ALKALI METALS LIMITED</v>
          </cell>
          <cell r="D305" t="str">
            <v>30</v>
          </cell>
        </row>
        <row r="306">
          <cell r="A306" t="str">
            <v>C10343</v>
          </cell>
          <cell r="B306" t="str">
            <v>Organization</v>
          </cell>
          <cell r="C306" t="str">
            <v>ALPA TRADERS</v>
          </cell>
          <cell r="D306" t="str">
            <v>1</v>
          </cell>
        </row>
        <row r="307">
          <cell r="A307" t="str">
            <v>C10346</v>
          </cell>
          <cell r="B307" t="str">
            <v>Organization</v>
          </cell>
          <cell r="C307" t="str">
            <v>ALVIN CARAMEL COLOURS (INDIA) PVT. LTD.</v>
          </cell>
          <cell r="D307" t="str">
            <v>30</v>
          </cell>
        </row>
        <row r="308">
          <cell r="A308" t="str">
            <v>C10347</v>
          </cell>
          <cell r="B308" t="str">
            <v>Organization</v>
          </cell>
          <cell r="C308" t="str">
            <v>AMANTECH CHEMICAL PVT. LTD</v>
          </cell>
          <cell r="D308" t="str">
            <v>60</v>
          </cell>
        </row>
        <row r="309">
          <cell r="A309" t="str">
            <v>C10348</v>
          </cell>
          <cell r="B309" t="str">
            <v>Organization</v>
          </cell>
          <cell r="C309" t="str">
            <v>AMARAVATHI CHEMICALS LTD (200)</v>
          </cell>
          <cell r="D309" t="str">
            <v>30</v>
          </cell>
        </row>
        <row r="310">
          <cell r="A310" t="str">
            <v>C10351</v>
          </cell>
          <cell r="B310" t="str">
            <v>Organization</v>
          </cell>
          <cell r="C310" t="str">
            <v>AMBERNATH ORGANICS PVT. LTD</v>
          </cell>
          <cell r="D310" t="str">
            <v>30</v>
          </cell>
        </row>
        <row r="311">
          <cell r="A311" t="str">
            <v>C10353</v>
          </cell>
          <cell r="B311" t="str">
            <v>Organization</v>
          </cell>
          <cell r="C311" t="str">
            <v>AMINES &amp; PLASTICIZERS LIMITED</v>
          </cell>
          <cell r="D311" t="str">
            <v>30</v>
          </cell>
        </row>
        <row r="312">
          <cell r="A312" t="str">
            <v>C10355</v>
          </cell>
          <cell r="B312" t="str">
            <v>Organization</v>
          </cell>
          <cell r="C312" t="str">
            <v>AMKLEEN SPECIALITY PRODUCTS</v>
          </cell>
          <cell r="D312" t="str">
            <v>30</v>
          </cell>
        </row>
        <row r="313">
          <cell r="A313" t="str">
            <v>C10356</v>
          </cell>
          <cell r="B313" t="str">
            <v>Organization</v>
          </cell>
          <cell r="C313" t="str">
            <v>MAX SIGNAGE INDUSTRIES PVT. LTD</v>
          </cell>
          <cell r="D313" t="str">
            <v>30</v>
          </cell>
        </row>
        <row r="314">
          <cell r="A314" t="str">
            <v>C10358</v>
          </cell>
          <cell r="B314" t="str">
            <v>Organization</v>
          </cell>
          <cell r="C314" t="str">
            <v>ANAN DRUG &amp; CHEMICALS LTD</v>
          </cell>
          <cell r="D314" t="str">
            <v>30</v>
          </cell>
        </row>
        <row r="315">
          <cell r="A315" t="str">
            <v>C10359</v>
          </cell>
          <cell r="B315" t="str">
            <v>Organization</v>
          </cell>
          <cell r="C315" t="str">
            <v>ANAND RAO</v>
          </cell>
          <cell r="D315" t="str">
            <v>1</v>
          </cell>
        </row>
        <row r="316">
          <cell r="A316" t="str">
            <v>C10362</v>
          </cell>
          <cell r="B316" t="str">
            <v>Organization</v>
          </cell>
          <cell r="C316" t="str">
            <v>ANIL CHEMICALS LTD.</v>
          </cell>
          <cell r="D316" t="str">
            <v>1</v>
          </cell>
        </row>
        <row r="317">
          <cell r="A317" t="str">
            <v>C10368</v>
          </cell>
          <cell r="B317" t="str">
            <v>Organization</v>
          </cell>
          <cell r="C317" t="str">
            <v>ANTHEM BIOSCIENCES PRIVATE LIMITED</v>
          </cell>
          <cell r="D317" t="str">
            <v>1</v>
          </cell>
        </row>
        <row r="318">
          <cell r="A318" t="str">
            <v>C10370</v>
          </cell>
          <cell r="B318" t="str">
            <v>Organization</v>
          </cell>
          <cell r="C318" t="str">
            <v>ANUSHREE POLYMERS</v>
          </cell>
          <cell r="D318" t="str">
            <v>1</v>
          </cell>
        </row>
        <row r="319">
          <cell r="A319" t="str">
            <v>C10371</v>
          </cell>
          <cell r="B319" t="str">
            <v>Organization</v>
          </cell>
          <cell r="C319" t="str">
            <v>ANUVI CHEMICALS LIMITED</v>
          </cell>
          <cell r="D319" t="str">
            <v>30</v>
          </cell>
        </row>
        <row r="320">
          <cell r="A320" t="str">
            <v>C10372</v>
          </cell>
          <cell r="B320" t="str">
            <v>Organization</v>
          </cell>
          <cell r="C320" t="str">
            <v>APAR INDUSTRIES LTD. - CHEMBUR</v>
          </cell>
          <cell r="D320" t="str">
            <v>45</v>
          </cell>
        </row>
        <row r="321">
          <cell r="A321" t="str">
            <v>C10373</v>
          </cell>
          <cell r="B321" t="str">
            <v>Organization</v>
          </cell>
          <cell r="C321" t="str">
            <v>APBC PRINTING INKS PVT. LTD</v>
          </cell>
          <cell r="D321" t="str">
            <v>1</v>
          </cell>
        </row>
        <row r="322">
          <cell r="A322" t="str">
            <v>C10374</v>
          </cell>
          <cell r="B322" t="str">
            <v>Organization</v>
          </cell>
          <cell r="C322" t="str">
            <v>APEX ENCON PROJECTS PRIVATE LIMITED</v>
          </cell>
          <cell r="D322" t="str">
            <v>30</v>
          </cell>
        </row>
        <row r="323">
          <cell r="A323" t="str">
            <v>C10376</v>
          </cell>
          <cell r="B323" t="str">
            <v>Organization</v>
          </cell>
          <cell r="C323" t="str">
            <v>APOLLO AGENCIES</v>
          </cell>
          <cell r="D323" t="str">
            <v>0</v>
          </cell>
        </row>
        <row r="324">
          <cell r="A324" t="str">
            <v>C10377</v>
          </cell>
          <cell r="B324" t="str">
            <v>Organization</v>
          </cell>
          <cell r="C324" t="str">
            <v>AQUA FARM CHEMICALS CO. P. LTD.</v>
          </cell>
          <cell r="D324" t="str">
            <v>60</v>
          </cell>
        </row>
        <row r="325">
          <cell r="A325" t="str">
            <v>C10378</v>
          </cell>
          <cell r="B325" t="str">
            <v>Organization</v>
          </cell>
          <cell r="C325" t="str">
            <v>ARABIAN PETROLEUM</v>
          </cell>
          <cell r="D325" t="str">
            <v>30</v>
          </cell>
        </row>
        <row r="326">
          <cell r="A326" t="str">
            <v>C10379</v>
          </cell>
          <cell r="B326" t="str">
            <v>Organization</v>
          </cell>
          <cell r="C326" t="str">
            <v>ARC CHEMICALS PVT. LTD</v>
          </cell>
          <cell r="D326" t="str">
            <v>1</v>
          </cell>
        </row>
        <row r="327">
          <cell r="A327" t="str">
            <v>C10380</v>
          </cell>
          <cell r="B327" t="str">
            <v>Organization</v>
          </cell>
          <cell r="C327" t="str">
            <v>ARCH PHARMALABS LIMITED</v>
          </cell>
          <cell r="D327" t="str">
            <v>0</v>
          </cell>
        </row>
        <row r="328">
          <cell r="A328" t="str">
            <v>C10381</v>
          </cell>
          <cell r="B328" t="str">
            <v>Organization</v>
          </cell>
          <cell r="C328" t="str">
            <v>ARCHANA AGRO PRODUCTS P. LTD.,</v>
          </cell>
          <cell r="D328" t="str">
            <v>30</v>
          </cell>
        </row>
        <row r="329">
          <cell r="A329" t="str">
            <v>C10382</v>
          </cell>
          <cell r="B329" t="str">
            <v>Organization</v>
          </cell>
          <cell r="C329" t="str">
            <v>ARI CHEMICALS INDIA PVT. LTD.</v>
          </cell>
          <cell r="D329" t="str">
            <v>30</v>
          </cell>
        </row>
        <row r="330">
          <cell r="A330" t="str">
            <v>C10383</v>
          </cell>
          <cell r="B330" t="str">
            <v>Organization</v>
          </cell>
          <cell r="C330" t="str">
            <v>ARIHANT CORPORATION</v>
          </cell>
          <cell r="D330" t="str">
            <v>0</v>
          </cell>
        </row>
        <row r="331">
          <cell r="A331" t="str">
            <v>C10384</v>
          </cell>
          <cell r="B331" t="str">
            <v>Organization</v>
          </cell>
          <cell r="C331" t="str">
            <v>ARIHANT EVERGREEN AGRO PLAST &amp; TEXTILES PVT. LTD.</v>
          </cell>
          <cell r="D331" t="str">
            <v>1</v>
          </cell>
        </row>
        <row r="332">
          <cell r="A332" t="str">
            <v>C10385</v>
          </cell>
          <cell r="B332" t="str">
            <v>Organization</v>
          </cell>
          <cell r="C332" t="str">
            <v>ARIHANT LUBRICANTS PVT. LTD. - PUNE</v>
          </cell>
          <cell r="D332" t="str">
            <v>30</v>
          </cell>
        </row>
        <row r="333">
          <cell r="A333" t="str">
            <v>C10386</v>
          </cell>
          <cell r="B333" t="str">
            <v>Organization</v>
          </cell>
          <cell r="C333" t="str">
            <v>ARIHANT OIL COMPANY</v>
          </cell>
          <cell r="D333" t="str">
            <v>1</v>
          </cell>
        </row>
        <row r="334">
          <cell r="A334" t="str">
            <v>C10388</v>
          </cell>
          <cell r="B334" t="str">
            <v>Organization</v>
          </cell>
          <cell r="C334" t="str">
            <v>ARJUN CHEMICALS LIMITED - CHENNAI</v>
          </cell>
          <cell r="D334" t="str">
            <v>60</v>
          </cell>
        </row>
        <row r="335">
          <cell r="A335" t="str">
            <v>C10389</v>
          </cell>
          <cell r="B335" t="str">
            <v>Organization</v>
          </cell>
          <cell r="C335" t="str">
            <v>ARJUNA NATURAL EXTRACTS LIMITED</v>
          </cell>
          <cell r="D335" t="str">
            <v>30</v>
          </cell>
        </row>
        <row r="336">
          <cell r="A336" t="str">
            <v>C10394</v>
          </cell>
          <cell r="B336" t="str">
            <v>Organization</v>
          </cell>
          <cell r="C336" t="str">
            <v>AROFINE POLYMERS PVT. LTD</v>
          </cell>
          <cell r="D336" t="str">
            <v>30</v>
          </cell>
        </row>
        <row r="337">
          <cell r="A337" t="str">
            <v>C10397</v>
          </cell>
          <cell r="B337" t="str">
            <v>Organization</v>
          </cell>
          <cell r="C337" t="str">
            <v>AROMATIC &amp; INDUSTRIAL CHEMICALS PVT. LTD</v>
          </cell>
          <cell r="D337" t="str">
            <v>60</v>
          </cell>
        </row>
        <row r="338">
          <cell r="A338" t="str">
            <v>C10398</v>
          </cell>
          <cell r="B338" t="str">
            <v>Organization</v>
          </cell>
          <cell r="C338" t="str">
            <v>AROMATIC INGREDIENTS PRIVATE LIMITED</v>
          </cell>
          <cell r="D338" t="str">
            <v>30</v>
          </cell>
        </row>
        <row r="339">
          <cell r="A339" t="str">
            <v>C10399</v>
          </cell>
          <cell r="B339" t="str">
            <v>Organization</v>
          </cell>
          <cell r="C339" t="str">
            <v>AROMCO FLAVOURS (INDIA) PRIVATE LIMITED</v>
          </cell>
          <cell r="D339" t="str">
            <v>0</v>
          </cell>
        </row>
        <row r="340">
          <cell r="A340" t="str">
            <v>C10400</v>
          </cell>
          <cell r="B340" t="str">
            <v>Organization</v>
          </cell>
          <cell r="C340" t="str">
            <v>ARON UNIVERSAL LIMITED</v>
          </cell>
          <cell r="D340" t="str">
            <v>30</v>
          </cell>
        </row>
        <row r="341">
          <cell r="A341" t="str">
            <v>C10401</v>
          </cell>
          <cell r="B341" t="str">
            <v>Organization</v>
          </cell>
          <cell r="C341" t="str">
            <v>ARROW SPECIALITY CO.</v>
          </cell>
          <cell r="D341" t="str">
            <v>1</v>
          </cell>
        </row>
        <row r="342">
          <cell r="A342" t="str">
            <v>C10404</v>
          </cell>
          <cell r="B342" t="str">
            <v>Organization</v>
          </cell>
          <cell r="C342" t="str">
            <v>ARYAVART CHEMICALS PRIVATE LIMITED</v>
          </cell>
          <cell r="D342" t="str">
            <v>0</v>
          </cell>
        </row>
        <row r="343">
          <cell r="A343" t="str">
            <v>C10405</v>
          </cell>
          <cell r="B343" t="str">
            <v>Organization</v>
          </cell>
          <cell r="C343" t="str">
            <v>ARZO PLASTICS PVT. LTD.</v>
          </cell>
          <cell r="D343" t="str">
            <v>60</v>
          </cell>
        </row>
        <row r="344">
          <cell r="A344" t="str">
            <v>C10407</v>
          </cell>
          <cell r="B344" t="str">
            <v>Organization</v>
          </cell>
          <cell r="C344" t="str">
            <v>ASHISH ENTERPRISES - THANE</v>
          </cell>
          <cell r="D344" t="str">
            <v>0</v>
          </cell>
        </row>
        <row r="345">
          <cell r="A345" t="str">
            <v>C10409</v>
          </cell>
          <cell r="B345" t="str">
            <v>Organization</v>
          </cell>
          <cell r="C345" t="str">
            <v>ASHONUJ CHEM PVT. LTD..</v>
          </cell>
          <cell r="D345" t="str">
            <v>0</v>
          </cell>
        </row>
        <row r="346">
          <cell r="A346" t="str">
            <v>C10411</v>
          </cell>
          <cell r="B346" t="str">
            <v>Organization</v>
          </cell>
          <cell r="C346" t="str">
            <v>ASIAN HERBEX LIMITED</v>
          </cell>
          <cell r="D346" t="str">
            <v>30</v>
          </cell>
        </row>
        <row r="347">
          <cell r="A347" t="str">
            <v>C10414</v>
          </cell>
          <cell r="B347" t="str">
            <v>Organization</v>
          </cell>
          <cell r="C347" t="str">
            <v>ASTRA CHEMTECH PVT. LTD</v>
          </cell>
          <cell r="D347" t="str">
            <v>30</v>
          </cell>
        </row>
        <row r="348">
          <cell r="A348" t="str">
            <v>C10415</v>
          </cell>
          <cell r="B348" t="str">
            <v>Organization</v>
          </cell>
          <cell r="C348" t="str">
            <v>ASTRA IDL LTD</v>
          </cell>
          <cell r="D348" t="str">
            <v>45</v>
          </cell>
        </row>
        <row r="349">
          <cell r="A349" t="str">
            <v>C10418</v>
          </cell>
          <cell r="B349" t="str">
            <v>Organization</v>
          </cell>
          <cell r="C349" t="str">
            <v>ATUL OIL AND CHEMICAL COMPANY</v>
          </cell>
          <cell r="D349" t="str">
            <v>0</v>
          </cell>
        </row>
        <row r="350">
          <cell r="A350" t="str">
            <v>C10419</v>
          </cell>
          <cell r="B350" t="str">
            <v>Organization</v>
          </cell>
          <cell r="C350" t="str">
            <v>AUCHTEL PRODUCTS  LTD. - DOMBIVALI</v>
          </cell>
          <cell r="D350" t="str">
            <v>60</v>
          </cell>
        </row>
        <row r="351">
          <cell r="A351" t="str">
            <v>C10420</v>
          </cell>
          <cell r="B351" t="str">
            <v>Organization</v>
          </cell>
          <cell r="C351" t="str">
            <v>AUXICHEM</v>
          </cell>
          <cell r="D351" t="str">
            <v>7</v>
          </cell>
        </row>
        <row r="352">
          <cell r="A352" t="str">
            <v>C10423</v>
          </cell>
          <cell r="B352" t="str">
            <v>Organization</v>
          </cell>
          <cell r="C352" t="str">
            <v>AVON ORGANICS LIMITED</v>
          </cell>
          <cell r="D352" t="str">
            <v>60</v>
          </cell>
        </row>
        <row r="353">
          <cell r="A353" t="str">
            <v>C10425</v>
          </cell>
          <cell r="B353" t="str">
            <v>Organization</v>
          </cell>
          <cell r="C353" t="str">
            <v>AVT NATURAL PRODUCTS LIMITED</v>
          </cell>
          <cell r="D353" t="str">
            <v>30</v>
          </cell>
        </row>
        <row r="354">
          <cell r="A354" t="str">
            <v>C10426</v>
          </cell>
          <cell r="B354" t="str">
            <v>Organization</v>
          </cell>
          <cell r="C354" t="str">
            <v>B.K. POLYPLAST</v>
          </cell>
          <cell r="D354" t="str">
            <v>30</v>
          </cell>
        </row>
        <row r="355">
          <cell r="A355" t="str">
            <v>C10427</v>
          </cell>
          <cell r="B355" t="str">
            <v>Organization</v>
          </cell>
          <cell r="C355" t="str">
            <v>BAJAJ ORGANICS PVT. LTD.</v>
          </cell>
          <cell r="D355" t="str">
            <v>1</v>
          </cell>
        </row>
        <row r="356">
          <cell r="A356" t="str">
            <v>C10428</v>
          </cell>
          <cell r="B356" t="str">
            <v>Organization</v>
          </cell>
          <cell r="C356" t="str">
            <v>BAKELITE HYLAM LTD</v>
          </cell>
          <cell r="D356" t="str">
            <v>30</v>
          </cell>
        </row>
        <row r="357">
          <cell r="A357" t="str">
            <v>C10429</v>
          </cell>
          <cell r="B357" t="str">
            <v>Organization</v>
          </cell>
          <cell r="C357" t="str">
            <v>BAKER OIL TREATING (INDIA) LTD.</v>
          </cell>
          <cell r="D357" t="str">
            <v>30</v>
          </cell>
        </row>
        <row r="358">
          <cell r="A358" t="str">
            <v>C10430</v>
          </cell>
          <cell r="B358" t="str">
            <v>Organization</v>
          </cell>
          <cell r="C358" t="str">
            <v>BALAJI GLOBAL TECH INC.</v>
          </cell>
          <cell r="D358" t="str">
            <v>1</v>
          </cell>
        </row>
        <row r="359">
          <cell r="A359" t="str">
            <v>C10431</v>
          </cell>
          <cell r="B359" t="str">
            <v>Organization</v>
          </cell>
          <cell r="C359" t="str">
            <v>BALMER LAWRIE - VAN LEER LIMITED - COCHIN</v>
          </cell>
          <cell r="D359" t="str">
            <v>0</v>
          </cell>
        </row>
        <row r="360">
          <cell r="A360" t="str">
            <v>C10432</v>
          </cell>
          <cell r="B360" t="str">
            <v>Organization</v>
          </cell>
          <cell r="C360" t="str">
            <v>BALMER LAWRIE - VAN LEER LIMITED - DEHARADUN</v>
          </cell>
          <cell r="D360" t="str">
            <v>0</v>
          </cell>
        </row>
        <row r="361">
          <cell r="A361" t="str">
            <v>C10433</v>
          </cell>
          <cell r="B361" t="str">
            <v>Organization</v>
          </cell>
          <cell r="C361" t="str">
            <v>BALMER LAWRIE - VAN LEER LIMITED - TURBHE</v>
          </cell>
          <cell r="D361" t="str">
            <v>0</v>
          </cell>
        </row>
        <row r="362">
          <cell r="A362" t="str">
            <v>C10434</v>
          </cell>
          <cell r="B362" t="str">
            <v>Organization</v>
          </cell>
          <cell r="C362" t="str">
            <v>BALMER LAWRIE &amp; CO. LTD. - CHENNAI - CONTAINER DIVN.</v>
          </cell>
          <cell r="D362" t="str">
            <v>45</v>
          </cell>
        </row>
        <row r="363">
          <cell r="A363" t="str">
            <v>C10436</v>
          </cell>
          <cell r="B363" t="str">
            <v>Organization</v>
          </cell>
          <cell r="C363" t="str">
            <v>BALMER LAWRIE &amp; CO. LTD. - 200 - CHENNAI</v>
          </cell>
          <cell r="D363" t="str">
            <v>45</v>
          </cell>
        </row>
        <row r="364">
          <cell r="A364" t="str">
            <v>C10437</v>
          </cell>
          <cell r="B364" t="str">
            <v>Organization</v>
          </cell>
          <cell r="C364" t="str">
            <v>BALMER LAWRIE &amp; CO. LTD. - PANIPAT - A/C IOC</v>
          </cell>
          <cell r="D364" t="str">
            <v>45</v>
          </cell>
        </row>
        <row r="365">
          <cell r="A365" t="str">
            <v>C10439</v>
          </cell>
          <cell r="B365" t="str">
            <v>Organization</v>
          </cell>
          <cell r="C365" t="str">
            <v>BALMER LAWRIE &amp; CO. LTD. - SILVASSA GREASE DIVN.</v>
          </cell>
          <cell r="D365" t="str">
            <v>45</v>
          </cell>
        </row>
        <row r="366">
          <cell r="A366" t="str">
            <v>C10443</v>
          </cell>
          <cell r="B366" t="str">
            <v>Organization</v>
          </cell>
          <cell r="C366" t="str">
            <v>BASF INDIA LIMITED (TURBHE)</v>
          </cell>
          <cell r="D366" t="str">
            <v>60</v>
          </cell>
        </row>
        <row r="367">
          <cell r="A367" t="str">
            <v>C10444</v>
          </cell>
          <cell r="B367" t="str">
            <v>Organization</v>
          </cell>
          <cell r="C367" t="str">
            <v>BAYER (INDIA) LIMITED</v>
          </cell>
          <cell r="D367" t="str">
            <v>45</v>
          </cell>
        </row>
        <row r="368">
          <cell r="A368" t="str">
            <v>C10445</v>
          </cell>
          <cell r="B368" t="str">
            <v>Organization</v>
          </cell>
          <cell r="C368" t="str">
            <v>BEETA CHEMICALS</v>
          </cell>
          <cell r="D368" t="str">
            <v>30</v>
          </cell>
        </row>
        <row r="369">
          <cell r="A369" t="str">
            <v>C10450</v>
          </cell>
          <cell r="B369" t="str">
            <v>Organization</v>
          </cell>
          <cell r="C369" t="str">
            <v>BENZOCHEM INDUSTRIES PVT. LTD. (200)</v>
          </cell>
          <cell r="D369" t="str">
            <v>0</v>
          </cell>
        </row>
        <row r="370">
          <cell r="A370" t="str">
            <v>C10452</v>
          </cell>
          <cell r="B370" t="str">
            <v>Organization</v>
          </cell>
          <cell r="C370" t="str">
            <v>BHADRA PRODUCTS</v>
          </cell>
          <cell r="D370" t="str">
            <v>30</v>
          </cell>
        </row>
        <row r="371">
          <cell r="A371" t="str">
            <v>C10453</v>
          </cell>
          <cell r="B371" t="str">
            <v>Organization</v>
          </cell>
          <cell r="C371" t="str">
            <v>BHAGIRADHA CHEMICALS &amp; INDUSTRIES LTD</v>
          </cell>
          <cell r="D371" t="str">
            <v>1</v>
          </cell>
        </row>
        <row r="372">
          <cell r="A372" t="str">
            <v>C10454</v>
          </cell>
          <cell r="B372" t="str">
            <v>Organization</v>
          </cell>
          <cell r="C372" t="str">
            <v>BHAGWATI INDUSTRIES</v>
          </cell>
          <cell r="D372" t="str">
            <v>0</v>
          </cell>
        </row>
        <row r="373">
          <cell r="A373" t="str">
            <v>C10455</v>
          </cell>
          <cell r="B373" t="str">
            <v>Organization</v>
          </cell>
          <cell r="C373" t="str">
            <v>BHANDYA NARASHIMA VAMAN PAI</v>
          </cell>
          <cell r="D373" t="str">
            <v>1</v>
          </cell>
        </row>
        <row r="374">
          <cell r="A374" t="str">
            <v>C10459</v>
          </cell>
          <cell r="B374" t="str">
            <v>Organization</v>
          </cell>
          <cell r="C374" t="str">
            <v>BHARAT JYOTI</v>
          </cell>
          <cell r="D374" t="str">
            <v>1</v>
          </cell>
        </row>
        <row r="375">
          <cell r="A375" t="str">
            <v>C10460</v>
          </cell>
          <cell r="B375" t="str">
            <v>Organization</v>
          </cell>
          <cell r="C375" t="str">
            <v>BHARAT PETROLEUM CORP LTD.</v>
          </cell>
          <cell r="D375" t="str">
            <v>30</v>
          </cell>
        </row>
        <row r="376">
          <cell r="A376" t="str">
            <v>C10461</v>
          </cell>
          <cell r="B376" t="str">
            <v>Organization</v>
          </cell>
          <cell r="C376" t="str">
            <v>BHARAT PETROLEUM CORPORATION LTD. - KOLKATA</v>
          </cell>
          <cell r="D376" t="str">
            <v>30</v>
          </cell>
        </row>
        <row r="377">
          <cell r="A377" t="str">
            <v>C10463</v>
          </cell>
          <cell r="B377" t="str">
            <v>Organization</v>
          </cell>
          <cell r="C377" t="str">
            <v>BHARAT PETROLEUM CORPORATION LIMITED - SHAKURBASTI</v>
          </cell>
          <cell r="D377" t="str">
            <v>30</v>
          </cell>
        </row>
        <row r="378">
          <cell r="A378" t="str">
            <v>C10465</v>
          </cell>
          <cell r="B378" t="str">
            <v>Organization</v>
          </cell>
          <cell r="C378" t="str">
            <v>BHASKAR AGROCHEMCIALS LIMITED (200)</v>
          </cell>
          <cell r="D378" t="str">
            <v>30</v>
          </cell>
        </row>
        <row r="379">
          <cell r="A379" t="str">
            <v>C10466</v>
          </cell>
          <cell r="B379" t="str">
            <v>Organization</v>
          </cell>
          <cell r="C379" t="str">
            <v>BHASKAR AGROCHEMICALS LTD.</v>
          </cell>
          <cell r="D379" t="str">
            <v>30</v>
          </cell>
        </row>
        <row r="380">
          <cell r="A380" t="str">
            <v>C10467</v>
          </cell>
          <cell r="B380" t="str">
            <v>Organization</v>
          </cell>
          <cell r="C380" t="str">
            <v>BHAVANA CHEMICAL INDUSTRIES</v>
          </cell>
          <cell r="D380" t="str">
            <v>1</v>
          </cell>
        </row>
        <row r="381">
          <cell r="A381" t="str">
            <v>C10468</v>
          </cell>
          <cell r="B381" t="str">
            <v>Organization</v>
          </cell>
          <cell r="C381" t="str">
            <v>BHAVIKA CHEMICALS CORPORATION</v>
          </cell>
          <cell r="D381" t="str">
            <v>60</v>
          </cell>
        </row>
        <row r="382">
          <cell r="A382" t="str">
            <v>C10469</v>
          </cell>
          <cell r="B382" t="str">
            <v>Organization</v>
          </cell>
          <cell r="C382" t="str">
            <v>BHAVYA  AGENCIES</v>
          </cell>
          <cell r="D382" t="str">
            <v>1</v>
          </cell>
        </row>
        <row r="383">
          <cell r="A383" t="str">
            <v>C10470</v>
          </cell>
          <cell r="B383" t="str">
            <v>Organization</v>
          </cell>
          <cell r="C383" t="str">
            <v>** NOT TO USE**BHOOMI ENTERPRISES</v>
          </cell>
          <cell r="D383" t="str">
            <v>1</v>
          </cell>
        </row>
        <row r="384">
          <cell r="A384" t="str">
            <v>C10471</v>
          </cell>
          <cell r="B384" t="str">
            <v>Organization</v>
          </cell>
          <cell r="C384" t="str">
            <v>BINWA AUTOMOBILES AND ENGINEERING PVT. LTD..</v>
          </cell>
          <cell r="D384" t="str">
            <v>0</v>
          </cell>
        </row>
        <row r="385">
          <cell r="A385" t="str">
            <v>C10472</v>
          </cell>
          <cell r="B385" t="str">
            <v>Organization</v>
          </cell>
          <cell r="C385" t="str">
            <v>BIO CON- QUEST INDIA LTD. (UNICUBE)</v>
          </cell>
          <cell r="D385" t="str">
            <v>1</v>
          </cell>
        </row>
        <row r="386">
          <cell r="A386" t="str">
            <v>C10473</v>
          </cell>
          <cell r="B386" t="str">
            <v>Organization</v>
          </cell>
          <cell r="C386" t="str">
            <v>BIO LIPIDS PVT. LTD</v>
          </cell>
          <cell r="D386" t="str">
            <v>30</v>
          </cell>
        </row>
        <row r="387">
          <cell r="A387" t="str">
            <v>C10474</v>
          </cell>
          <cell r="B387" t="str">
            <v>Organization</v>
          </cell>
          <cell r="C387" t="str">
            <v>BIO SHORE ENZYMES P. LTD</v>
          </cell>
          <cell r="D387" t="str">
            <v>0</v>
          </cell>
        </row>
        <row r="388">
          <cell r="A388" t="str">
            <v>C10475</v>
          </cell>
          <cell r="B388" t="str">
            <v>Organization</v>
          </cell>
          <cell r="C388" t="str">
            <v>BIOCHEMIZYME INDIA LTD</v>
          </cell>
          <cell r="D388" t="str">
            <v>1</v>
          </cell>
        </row>
        <row r="389">
          <cell r="A389" t="str">
            <v>C10476</v>
          </cell>
          <cell r="B389" t="str">
            <v>Organization</v>
          </cell>
          <cell r="C389" t="str">
            <v>BIOCON LIMITED</v>
          </cell>
          <cell r="D389" t="str">
            <v>45</v>
          </cell>
        </row>
        <row r="390">
          <cell r="A390" t="str">
            <v>C10478</v>
          </cell>
          <cell r="B390" t="str">
            <v>Organization</v>
          </cell>
          <cell r="C390" t="str">
            <v>APPLE CHIME INDIA PVT LTD. (BLACK CAT ENTERPRISES P. LTD.)</v>
          </cell>
          <cell r="D390" t="str">
            <v>30</v>
          </cell>
        </row>
        <row r="391">
          <cell r="A391" t="str">
            <v>C10480</v>
          </cell>
          <cell r="B391" t="str">
            <v>Organization</v>
          </cell>
          <cell r="C391" t="str">
            <v>BLUE CIRCLE ORGANICS PVT. LTD..</v>
          </cell>
          <cell r="D391" t="str">
            <v>1</v>
          </cell>
        </row>
        <row r="392">
          <cell r="A392" t="str">
            <v>C10481</v>
          </cell>
          <cell r="B392" t="str">
            <v>Organization</v>
          </cell>
          <cell r="C392" t="str">
            <v>BOMBAY AMMONIA &amp; CHEMICAL COMPANY</v>
          </cell>
          <cell r="D392" t="str">
            <v>30</v>
          </cell>
        </row>
        <row r="393">
          <cell r="A393" t="str">
            <v>C10482</v>
          </cell>
          <cell r="B393" t="str">
            <v>Organization</v>
          </cell>
          <cell r="C393" t="str">
            <v>BOMBAY DRUGS &amp; PHARMA LTD</v>
          </cell>
          <cell r="D393" t="str">
            <v>1</v>
          </cell>
        </row>
        <row r="394">
          <cell r="A394" t="str">
            <v>C10483</v>
          </cell>
          <cell r="B394" t="str">
            <v>Organization</v>
          </cell>
          <cell r="C394" t="str">
            <v>BOMBAY INDUSTRIAL OILS</v>
          </cell>
          <cell r="D394" t="str">
            <v>0</v>
          </cell>
        </row>
        <row r="395">
          <cell r="A395" t="str">
            <v>C10484</v>
          </cell>
          <cell r="B395" t="str">
            <v>Organization</v>
          </cell>
          <cell r="C395" t="str">
            <v>BONDIT CONSTRUCTION CHEMICALS PVT. LTD</v>
          </cell>
          <cell r="D395" t="str">
            <v>0</v>
          </cell>
        </row>
        <row r="396">
          <cell r="A396" t="str">
            <v>C10485</v>
          </cell>
          <cell r="B396" t="str">
            <v>Organization</v>
          </cell>
          <cell r="C396" t="str">
            <v>BOSTIK INDIA PRIVATE LIMITED</v>
          </cell>
          <cell r="D396" t="str">
            <v>30</v>
          </cell>
        </row>
        <row r="397">
          <cell r="A397" t="str">
            <v>C10486</v>
          </cell>
          <cell r="B397" t="str">
            <v>Organization</v>
          </cell>
          <cell r="C397" t="str">
            <v>BRAHMA INDUSTRIES</v>
          </cell>
          <cell r="D397" t="str">
            <v>60</v>
          </cell>
        </row>
        <row r="398">
          <cell r="A398" t="str">
            <v>C10488</v>
          </cell>
          <cell r="B398" t="str">
            <v>Organization</v>
          </cell>
          <cell r="C398" t="str">
            <v>BRITALCEL SILICONES P. LTD</v>
          </cell>
          <cell r="D398" t="str">
            <v>60</v>
          </cell>
        </row>
        <row r="399">
          <cell r="A399" t="str">
            <v>C10489</v>
          </cell>
          <cell r="B399" t="str">
            <v>Organization</v>
          </cell>
          <cell r="C399" t="str">
            <v>BTP (INDIA) LIMITED  (200)</v>
          </cell>
          <cell r="D399" t="str">
            <v>30</v>
          </cell>
        </row>
        <row r="400">
          <cell r="A400" t="str">
            <v>C10490</v>
          </cell>
          <cell r="B400" t="str">
            <v>Organization</v>
          </cell>
          <cell r="C400" t="str">
            <v>BUCHMAN LABORATORIES (INDIA) PVT. LTD..</v>
          </cell>
          <cell r="D400" t="str">
            <v>1</v>
          </cell>
        </row>
        <row r="401">
          <cell r="A401" t="str">
            <v>C10495</v>
          </cell>
          <cell r="B401" t="str">
            <v>Organization</v>
          </cell>
          <cell r="C401" t="str">
            <v>CADILA PHARMACEUTICALS LTD (Ahmedabad)</v>
          </cell>
          <cell r="D401" t="str">
            <v>60</v>
          </cell>
        </row>
        <row r="402">
          <cell r="A402" t="str">
            <v>C10496</v>
          </cell>
          <cell r="B402" t="str">
            <v>Organization</v>
          </cell>
          <cell r="C402" t="str">
            <v>CALTEX LUBRICANTS INDIA LIMITED</v>
          </cell>
          <cell r="D402" t="str">
            <v>60</v>
          </cell>
        </row>
        <row r="403">
          <cell r="A403" t="str">
            <v>C10497</v>
          </cell>
          <cell r="B403" t="str">
            <v>Organization</v>
          </cell>
          <cell r="C403" t="str">
            <v>CALTEX LUBRICANTS INDIA</v>
          </cell>
          <cell r="D403" t="str">
            <v>30</v>
          </cell>
        </row>
        <row r="404">
          <cell r="A404" t="str">
            <v>C10500</v>
          </cell>
          <cell r="B404" t="str">
            <v>Organization</v>
          </cell>
          <cell r="C404" t="str">
            <v>CARBORUNDAM UNIVERSAL LTD.</v>
          </cell>
          <cell r="D404" t="str">
            <v>30</v>
          </cell>
        </row>
        <row r="405">
          <cell r="A405" t="str">
            <v>C10501</v>
          </cell>
          <cell r="B405" t="str">
            <v>Organization</v>
          </cell>
          <cell r="C405" t="str">
            <v>CARDINAL PRODUCT P. LTD</v>
          </cell>
          <cell r="D405" t="str">
            <v>1</v>
          </cell>
        </row>
        <row r="406">
          <cell r="A406" t="str">
            <v>C10502</v>
          </cell>
          <cell r="B406" t="str">
            <v>Organization</v>
          </cell>
          <cell r="C406" t="str">
            <v>CARGILL FOODS INDIA LTD.</v>
          </cell>
          <cell r="D406" t="str">
            <v>30</v>
          </cell>
        </row>
        <row r="407">
          <cell r="A407" t="str">
            <v>C10503</v>
          </cell>
          <cell r="B407" t="str">
            <v>Organization</v>
          </cell>
          <cell r="C407" t="str">
            <v>CARL BECHEM LUBRICANTS (INDIA) PVT. LTD</v>
          </cell>
          <cell r="D407" t="str">
            <v>45</v>
          </cell>
        </row>
        <row r="408">
          <cell r="A408" t="str">
            <v>C10504</v>
          </cell>
          <cell r="B408" t="str">
            <v>Organization</v>
          </cell>
          <cell r="C408" t="str">
            <v>CAROL PETROLEUM PRIVATE LIMITED</v>
          </cell>
          <cell r="D408" t="str">
            <v>30</v>
          </cell>
        </row>
        <row r="409">
          <cell r="A409" t="str">
            <v>C10505</v>
          </cell>
          <cell r="B409" t="str">
            <v>Organization</v>
          </cell>
          <cell r="C409" t="str">
            <v>CASTROL INDIA LIMITED - ANDHERI</v>
          </cell>
          <cell r="D409" t="str">
            <v>30</v>
          </cell>
        </row>
        <row r="410">
          <cell r="A410" t="str">
            <v>C10508</v>
          </cell>
          <cell r="B410" t="str">
            <v>Organization</v>
          </cell>
          <cell r="C410" t="str">
            <v>CASTROL INDIA LIMITED - TONDIARPETH</v>
          </cell>
          <cell r="D410" t="str">
            <v>30</v>
          </cell>
        </row>
        <row r="411">
          <cell r="A411" t="str">
            <v>C10509</v>
          </cell>
          <cell r="B411" t="str">
            <v>Organization</v>
          </cell>
          <cell r="C411" t="str">
            <v>CASTROL INDIA LIMITED - COMMON</v>
          </cell>
          <cell r="D411" t="str">
            <v>30</v>
          </cell>
        </row>
        <row r="412">
          <cell r="A412" t="str">
            <v>C10510</v>
          </cell>
          <cell r="B412" t="str">
            <v>Organization</v>
          </cell>
          <cell r="C412" t="str">
            <v>CATAPHARMA CHEMICALS PVT. LTD.. (200)</v>
          </cell>
          <cell r="D412" t="str">
            <v>30</v>
          </cell>
        </row>
        <row r="413">
          <cell r="A413" t="str">
            <v>C10511</v>
          </cell>
          <cell r="B413" t="str">
            <v>Organization</v>
          </cell>
          <cell r="C413" t="str">
            <v>CAUVERY PETROCHEMICALS P. LTD.</v>
          </cell>
          <cell r="D413" t="str">
            <v>45</v>
          </cell>
        </row>
        <row r="414">
          <cell r="A414" t="str">
            <v>C10512</v>
          </cell>
          <cell r="B414" t="str">
            <v>Organization</v>
          </cell>
          <cell r="C414" t="str">
            <v>TEKSOL OILS &amp; SPECIALITIE</v>
          </cell>
          <cell r="D414" t="str">
            <v>1</v>
          </cell>
        </row>
        <row r="415">
          <cell r="A415" t="str">
            <v>C10513</v>
          </cell>
          <cell r="B415" t="str">
            <v>Organization</v>
          </cell>
          <cell r="C415" t="str">
            <v>CENTRAL DRUG HOUSE (P) LTD</v>
          </cell>
          <cell r="D415" t="str">
            <v>15</v>
          </cell>
        </row>
        <row r="416">
          <cell r="A416" t="str">
            <v>C10514</v>
          </cell>
          <cell r="B416" t="str">
            <v>Organization</v>
          </cell>
          <cell r="C416" t="str">
            <v>CENTRUM METALLICS PVT. LTD.</v>
          </cell>
          <cell r="D416" t="str">
            <v>30</v>
          </cell>
        </row>
        <row r="417">
          <cell r="A417" t="str">
            <v>C10515</v>
          </cell>
          <cell r="B417" t="str">
            <v>Organization</v>
          </cell>
          <cell r="C417" t="str">
            <v>CHACKOSONS CHEMICALS P. LTD</v>
          </cell>
          <cell r="D417" t="str">
            <v>1</v>
          </cell>
        </row>
        <row r="418">
          <cell r="A418" t="str">
            <v>C10516</v>
          </cell>
          <cell r="B418" t="str">
            <v>Organization</v>
          </cell>
          <cell r="C418" t="str">
            <v>CHAITANYA CHEMICALS PVT. LTD</v>
          </cell>
          <cell r="D418" t="str">
            <v>60</v>
          </cell>
        </row>
        <row r="419">
          <cell r="A419" t="str">
            <v>C10517</v>
          </cell>
          <cell r="B419" t="str">
            <v>Organization</v>
          </cell>
          <cell r="C419" t="str">
            <v>CHARANIA COMPANY</v>
          </cell>
          <cell r="D419" t="str">
            <v>30</v>
          </cell>
        </row>
        <row r="420">
          <cell r="A420" t="str">
            <v>C10518</v>
          </cell>
          <cell r="B420" t="str">
            <v>Organization</v>
          </cell>
          <cell r="C420" t="str">
            <v>CHARKOSONS CHEMICALS P. LTD</v>
          </cell>
          <cell r="D420" t="str">
            <v>1</v>
          </cell>
        </row>
        <row r="421">
          <cell r="A421" t="str">
            <v>C10519</v>
          </cell>
          <cell r="B421" t="str">
            <v>Organization</v>
          </cell>
          <cell r="C421" t="str">
            <v>CHEM - VERSE CONSULTANTS (INDIA) PVT. LTD.,</v>
          </cell>
          <cell r="D421" t="str">
            <v>30</v>
          </cell>
        </row>
        <row r="422">
          <cell r="A422" t="str">
            <v>C10520</v>
          </cell>
          <cell r="B422" t="str">
            <v>Organization</v>
          </cell>
          <cell r="C422" t="str">
            <v>CHEMAX MULTIKOTES (INDIA) PVT. LTD</v>
          </cell>
          <cell r="D422" t="str">
            <v>30</v>
          </cell>
        </row>
        <row r="423">
          <cell r="A423" t="str">
            <v>C10521</v>
          </cell>
          <cell r="B423" t="str">
            <v>Organization</v>
          </cell>
          <cell r="C423" t="str">
            <v>CHEMBOND CHEMICALS LTD.</v>
          </cell>
          <cell r="D423" t="str">
            <v>30</v>
          </cell>
        </row>
        <row r="424">
          <cell r="A424" t="str">
            <v>C10523</v>
          </cell>
          <cell r="B424" t="str">
            <v>Organization</v>
          </cell>
          <cell r="C424" t="str">
            <v>CHEMICAL SOLVENT CENTRE</v>
          </cell>
          <cell r="D424" t="str">
            <v>0</v>
          </cell>
        </row>
        <row r="425">
          <cell r="A425" t="str">
            <v>C10524</v>
          </cell>
          <cell r="B425" t="str">
            <v>Organization</v>
          </cell>
          <cell r="C425" t="str">
            <v>CHEMIDYE MFG. CO. PVT. LTD.</v>
          </cell>
          <cell r="D425" t="str">
            <v>30</v>
          </cell>
        </row>
        <row r="426">
          <cell r="A426" t="str">
            <v>C10526</v>
          </cell>
          <cell r="B426" t="str">
            <v>Organization</v>
          </cell>
          <cell r="C426" t="str">
            <v>CHEMINPEX INTERNATIONAL</v>
          </cell>
          <cell r="D426" t="str">
            <v>60</v>
          </cell>
        </row>
        <row r="427">
          <cell r="A427" t="str">
            <v>C10529</v>
          </cell>
          <cell r="B427" t="str">
            <v>Organization</v>
          </cell>
          <cell r="C427" t="str">
            <v>CHEMITALL-RAI INDIA LTD</v>
          </cell>
          <cell r="D427" t="str">
            <v>0</v>
          </cell>
        </row>
        <row r="428">
          <cell r="A428" t="str">
            <v>C10530</v>
          </cell>
          <cell r="B428" t="str">
            <v>Organization</v>
          </cell>
          <cell r="C428" t="str">
            <v>CHEMITEX</v>
          </cell>
          <cell r="D428" t="str">
            <v>0</v>
          </cell>
        </row>
        <row r="429">
          <cell r="A429" t="str">
            <v>C10531</v>
          </cell>
          <cell r="B429" t="str">
            <v>Organization</v>
          </cell>
          <cell r="C429" t="str">
            <v>CHEMPLAST SANMAR LTD. - PLANT III</v>
          </cell>
          <cell r="D429" t="str">
            <v>90</v>
          </cell>
        </row>
        <row r="430">
          <cell r="A430" t="str">
            <v>C10532</v>
          </cell>
          <cell r="B430" t="str">
            <v>Organization</v>
          </cell>
          <cell r="C430" t="str">
            <v>CHEMPORT (INDIA) PVT. LTD</v>
          </cell>
          <cell r="D430" t="str">
            <v>0</v>
          </cell>
        </row>
        <row r="431">
          <cell r="A431" t="str">
            <v>C10533</v>
          </cell>
          <cell r="B431" t="str">
            <v>Organization</v>
          </cell>
          <cell r="C431" t="str">
            <v>CHEMSPURE</v>
          </cell>
          <cell r="D431" t="str">
            <v>0</v>
          </cell>
        </row>
        <row r="432">
          <cell r="A432" t="str">
            <v>C10536</v>
          </cell>
          <cell r="B432" t="str">
            <v>Organization</v>
          </cell>
          <cell r="C432" t="str">
            <v>CHEMTREAT INDIA LTD</v>
          </cell>
          <cell r="D432" t="str">
            <v>0</v>
          </cell>
        </row>
        <row r="433">
          <cell r="A433" t="str">
            <v>C10538</v>
          </cell>
          <cell r="B433" t="str">
            <v>Organization</v>
          </cell>
          <cell r="C433" t="str">
            <v>CHEVRON LUBRICANTS INDIA PRIVATE LIMITED - TALOJA</v>
          </cell>
          <cell r="D433" t="str">
            <v>60</v>
          </cell>
        </row>
        <row r="434">
          <cell r="A434" t="str">
            <v>C10541</v>
          </cell>
          <cell r="B434" t="str">
            <v>Organization</v>
          </cell>
          <cell r="C434" t="str">
            <v>CHIPLUN FINE CHEMICALS LTD.(200)</v>
          </cell>
          <cell r="D434" t="str">
            <v>1</v>
          </cell>
        </row>
        <row r="435">
          <cell r="A435" t="str">
            <v>C10542</v>
          </cell>
          <cell r="B435" t="str">
            <v>Organization</v>
          </cell>
          <cell r="C435" t="str">
            <v>CHLORITECH INDUSTRIES</v>
          </cell>
          <cell r="D435" t="str">
            <v>60</v>
          </cell>
        </row>
        <row r="436">
          <cell r="A436" t="str">
            <v>C10543</v>
          </cell>
          <cell r="B436" t="str">
            <v>Organization</v>
          </cell>
          <cell r="C436" t="str">
            <v>CHOKSEY CHEMICALS PVT. LTD.</v>
          </cell>
          <cell r="D436" t="str">
            <v>60</v>
          </cell>
        </row>
        <row r="437">
          <cell r="A437" t="str">
            <v>C10544</v>
          </cell>
          <cell r="B437" t="str">
            <v>Organization</v>
          </cell>
          <cell r="C437" t="str">
            <v>CLARITY PLANTS AROMATICS</v>
          </cell>
          <cell r="D437" t="str">
            <v>1</v>
          </cell>
        </row>
        <row r="438">
          <cell r="A438" t="str">
            <v>C10545</v>
          </cell>
          <cell r="B438" t="str">
            <v>Organization</v>
          </cell>
          <cell r="C438" t="str">
            <v>CLEAN COATES PVT. LIMITED</v>
          </cell>
          <cell r="D438" t="str">
            <v>60</v>
          </cell>
        </row>
        <row r="439">
          <cell r="A439" t="str">
            <v>C10548</v>
          </cell>
          <cell r="B439" t="str">
            <v>Organization</v>
          </cell>
          <cell r="C439" t="str">
            <v>COATWELL PAINTS</v>
          </cell>
          <cell r="D439" t="str">
            <v>1</v>
          </cell>
        </row>
        <row r="440">
          <cell r="A440" t="str">
            <v>C10549</v>
          </cell>
          <cell r="B440" t="str">
            <v>Organization</v>
          </cell>
          <cell r="C440" t="str">
            <v>COCHIN MINERALS &amp; RUTILE LTD (200)</v>
          </cell>
          <cell r="D440" t="str">
            <v>30</v>
          </cell>
        </row>
        <row r="441">
          <cell r="A441" t="str">
            <v>C10550</v>
          </cell>
          <cell r="B441" t="str">
            <v>Organization</v>
          </cell>
          <cell r="C441" t="str">
            <v>COGNIS AHURA PVT. LTD..</v>
          </cell>
          <cell r="D441" t="str">
            <v>90</v>
          </cell>
        </row>
        <row r="442">
          <cell r="A442" t="str">
            <v>C10551</v>
          </cell>
          <cell r="B442" t="str">
            <v>Organization</v>
          </cell>
          <cell r="C442" t="str">
            <v>COLORS LUBS</v>
          </cell>
          <cell r="D442" t="str">
            <v>1</v>
          </cell>
        </row>
        <row r="443">
          <cell r="A443" t="str">
            <v>C10553</v>
          </cell>
          <cell r="B443" t="str">
            <v>Organization</v>
          </cell>
          <cell r="C443" t="str">
            <v>COLUMBIA PETROCHEM PVT LTD - SILVASSA</v>
          </cell>
          <cell r="D443" t="str">
            <v>60</v>
          </cell>
        </row>
        <row r="444">
          <cell r="A444" t="str">
            <v>C10555</v>
          </cell>
          <cell r="B444" t="str">
            <v>Organization</v>
          </cell>
          <cell r="C444" t="str">
            <v>COMPACT HOMES</v>
          </cell>
          <cell r="D444" t="str">
            <v>1</v>
          </cell>
        </row>
        <row r="445">
          <cell r="A445" t="str">
            <v>C10558</v>
          </cell>
          <cell r="B445" t="str">
            <v>Organization</v>
          </cell>
          <cell r="C445" t="str">
            <v>CONCRETE ADDITIVES &amp; CHEMICALS PVT. LTD</v>
          </cell>
          <cell r="D445" t="str">
            <v>0</v>
          </cell>
        </row>
        <row r="446">
          <cell r="A446" t="str">
            <v>C10559</v>
          </cell>
          <cell r="B446" t="str">
            <v>Organization</v>
          </cell>
          <cell r="C446" t="str">
            <v>CONSOLIDATED METAL FINISHING P LTD.(200)</v>
          </cell>
          <cell r="D446" t="str">
            <v>30</v>
          </cell>
        </row>
        <row r="447">
          <cell r="A447" t="str">
            <v>C10562</v>
          </cell>
          <cell r="B447" t="str">
            <v>Organization</v>
          </cell>
          <cell r="C447" t="str">
            <v>CORE ORGANICS LTD.</v>
          </cell>
          <cell r="D447" t="str">
            <v>45</v>
          </cell>
        </row>
        <row r="448">
          <cell r="A448" t="str">
            <v>C10563</v>
          </cell>
          <cell r="B448" t="str">
            <v>Organization</v>
          </cell>
          <cell r="C448" t="str">
            <v>COREY ORGANICS LIMITED</v>
          </cell>
          <cell r="D448" t="str">
            <v>15</v>
          </cell>
        </row>
        <row r="449">
          <cell r="A449" t="str">
            <v>C10564</v>
          </cell>
          <cell r="B449" t="str">
            <v>Organization</v>
          </cell>
          <cell r="C449" t="str">
            <v>CORROGARD CHEMICALS</v>
          </cell>
          <cell r="D449" t="str">
            <v>30</v>
          </cell>
        </row>
        <row r="450">
          <cell r="A450" t="str">
            <v>C10565</v>
          </cell>
          <cell r="B450" t="str">
            <v>Organization</v>
          </cell>
          <cell r="C450" t="str">
            <v>CORTEC CORROSION SOLUTIONS INDIA PVT. LTD.</v>
          </cell>
          <cell r="D450" t="str">
            <v>0</v>
          </cell>
        </row>
        <row r="451">
          <cell r="A451" t="str">
            <v>C10568</v>
          </cell>
          <cell r="B451" t="str">
            <v>Organization</v>
          </cell>
          <cell r="C451" t="str">
            <v>CRESCENT POLYMERS (PRIVATE) LIMITED</v>
          </cell>
          <cell r="D451" t="str">
            <v>1</v>
          </cell>
        </row>
        <row r="452">
          <cell r="A452" t="str">
            <v>C10569</v>
          </cell>
          <cell r="B452" t="str">
            <v>Organization</v>
          </cell>
          <cell r="C452" t="str">
            <v>CREST  CHEMICALS</v>
          </cell>
          <cell r="D452" t="str">
            <v>1</v>
          </cell>
        </row>
        <row r="453">
          <cell r="A453" t="str">
            <v>C10570</v>
          </cell>
          <cell r="B453" t="str">
            <v>Organization</v>
          </cell>
          <cell r="C453" t="str">
            <v>CROSS NET PRODUCTS PRIVATE LIMITED</v>
          </cell>
          <cell r="D453" t="str">
            <v>1</v>
          </cell>
        </row>
        <row r="454">
          <cell r="A454" t="str">
            <v>C10572</v>
          </cell>
          <cell r="B454" t="str">
            <v>Organization</v>
          </cell>
          <cell r="C454" t="str">
            <v>CRYSTAL INDIA</v>
          </cell>
          <cell r="D454" t="str">
            <v>30</v>
          </cell>
        </row>
        <row r="455">
          <cell r="A455" t="str">
            <v>C10573</v>
          </cell>
          <cell r="B455" t="str">
            <v>Organization</v>
          </cell>
          <cell r="C455" t="str">
            <v>CSC CORPORATION</v>
          </cell>
          <cell r="D455" t="str">
            <v>30</v>
          </cell>
        </row>
        <row r="456">
          <cell r="A456" t="str">
            <v>C10574</v>
          </cell>
          <cell r="B456" t="str">
            <v>Organization</v>
          </cell>
          <cell r="C456" t="str">
            <v>D. HARISHKUMAR &amp; CO.</v>
          </cell>
          <cell r="D456" t="str">
            <v>30</v>
          </cell>
        </row>
        <row r="457">
          <cell r="A457" t="str">
            <v>C10575</v>
          </cell>
          <cell r="B457" t="str">
            <v>Organization</v>
          </cell>
          <cell r="C457" t="str">
            <v>D.B. MULE</v>
          </cell>
          <cell r="D457" t="str">
            <v>1</v>
          </cell>
        </row>
        <row r="458">
          <cell r="A458" t="str">
            <v>C10577</v>
          </cell>
          <cell r="B458" t="str">
            <v>Organization</v>
          </cell>
          <cell r="C458" t="str">
            <v>D.K. PHARMA CHEM PVT. LTD</v>
          </cell>
          <cell r="D458" t="str">
            <v>60</v>
          </cell>
        </row>
        <row r="459">
          <cell r="A459" t="str">
            <v>C10578</v>
          </cell>
          <cell r="B459" t="str">
            <v>Organization</v>
          </cell>
          <cell r="C459" t="str">
            <v>D.S.V. CHEMICALS PVT. LTD</v>
          </cell>
          <cell r="D459" t="str">
            <v>30</v>
          </cell>
        </row>
        <row r="460">
          <cell r="A460" t="str">
            <v>C10579</v>
          </cell>
          <cell r="B460" t="str">
            <v>Organization</v>
          </cell>
          <cell r="C460" t="str">
            <v>D.V. DEO</v>
          </cell>
          <cell r="D460" t="str">
            <v>1</v>
          </cell>
        </row>
        <row r="461">
          <cell r="A461" t="str">
            <v>C10580</v>
          </cell>
          <cell r="B461" t="str">
            <v>Organization</v>
          </cell>
          <cell r="C461" t="str">
            <v>D.V. DEV INDUSTRIES</v>
          </cell>
          <cell r="D461" t="str">
            <v>1</v>
          </cell>
        </row>
        <row r="462">
          <cell r="A462" t="str">
            <v>C10581</v>
          </cell>
          <cell r="B462" t="str">
            <v>Organization</v>
          </cell>
          <cell r="C462" t="str">
            <v>DABAR INDIA LTD.</v>
          </cell>
          <cell r="D462" t="str">
            <v>30</v>
          </cell>
        </row>
        <row r="463">
          <cell r="A463" t="str">
            <v>C10582</v>
          </cell>
          <cell r="B463" t="str">
            <v>Organization</v>
          </cell>
          <cell r="C463" t="str">
            <v>DAI-ICHI KARKARIA LIMITED</v>
          </cell>
          <cell r="D463" t="str">
            <v>30</v>
          </cell>
        </row>
        <row r="464">
          <cell r="A464" t="str">
            <v>C10583</v>
          </cell>
          <cell r="B464" t="str">
            <v>Organization</v>
          </cell>
          <cell r="C464" t="str">
            <v>DAI-ICHI KARKARIA LIMITED</v>
          </cell>
          <cell r="D464" t="str">
            <v>30</v>
          </cell>
        </row>
        <row r="465">
          <cell r="A465" t="str">
            <v>C10584</v>
          </cell>
          <cell r="B465" t="str">
            <v>Organization</v>
          </cell>
          <cell r="C465" t="str">
            <v>DAMAN ORGANOMERS</v>
          </cell>
          <cell r="D465" t="str">
            <v>30</v>
          </cell>
        </row>
        <row r="466">
          <cell r="A466" t="str">
            <v>C10585</v>
          </cell>
          <cell r="B466" t="str">
            <v>Organization</v>
          </cell>
          <cell r="C466" t="str">
            <v>DAVIS ENGINEERING INDUSTRIES P. LTD.</v>
          </cell>
          <cell r="D466" t="str">
            <v>30</v>
          </cell>
        </row>
        <row r="467">
          <cell r="A467" t="str">
            <v>C10588</v>
          </cell>
          <cell r="B467" t="str">
            <v>Organization</v>
          </cell>
          <cell r="C467" t="str">
            <v>DCM TOYOTA LIMITED</v>
          </cell>
          <cell r="D467" t="str">
            <v>30</v>
          </cell>
        </row>
        <row r="468">
          <cell r="A468" t="str">
            <v>C10589</v>
          </cell>
          <cell r="B468" t="str">
            <v>Organization</v>
          </cell>
          <cell r="C468" t="str">
            <v>DCW LIMITED</v>
          </cell>
          <cell r="D468" t="str">
            <v>45</v>
          </cell>
        </row>
        <row r="469">
          <cell r="A469" t="str">
            <v>C10591</v>
          </cell>
          <cell r="B469" t="str">
            <v>Organization</v>
          </cell>
          <cell r="C469" t="str">
            <v>DEE &amp; EM NATURALS &amp; FRAGRANCES</v>
          </cell>
          <cell r="D469" t="str">
            <v>1</v>
          </cell>
        </row>
        <row r="470">
          <cell r="A470" t="str">
            <v>C10592</v>
          </cell>
          <cell r="B470" t="str">
            <v>Organization</v>
          </cell>
          <cell r="C470" t="str">
            <v>DEEAAR LABORATORIES</v>
          </cell>
          <cell r="D470" t="str">
            <v>0</v>
          </cell>
        </row>
        <row r="471">
          <cell r="A471" t="str">
            <v>C10595</v>
          </cell>
          <cell r="B471" t="str">
            <v>Organization</v>
          </cell>
          <cell r="C471" t="str">
            <v>DEEPA CHEMICALS</v>
          </cell>
          <cell r="D471" t="str">
            <v>1</v>
          </cell>
        </row>
        <row r="472">
          <cell r="A472" t="str">
            <v>C10596</v>
          </cell>
          <cell r="B472" t="str">
            <v>Organization</v>
          </cell>
          <cell r="C472" t="str">
            <v>DEEPAK NITRATE LIMITED (200)</v>
          </cell>
          <cell r="D472" t="str">
            <v>60</v>
          </cell>
        </row>
        <row r="473">
          <cell r="A473" t="str">
            <v>C10597</v>
          </cell>
          <cell r="B473" t="str">
            <v>Organization</v>
          </cell>
          <cell r="C473" t="str">
            <v>DEEPAK NITRITE LIMITED (BARODA)</v>
          </cell>
          <cell r="D473" t="str">
            <v>60</v>
          </cell>
        </row>
        <row r="474">
          <cell r="A474" t="str">
            <v>C10599</v>
          </cell>
          <cell r="B474" t="str">
            <v>Organization</v>
          </cell>
          <cell r="C474" t="str">
            <v>DELTA FINOCHEM PVT. LTD</v>
          </cell>
          <cell r="D474" t="str">
            <v>0</v>
          </cell>
        </row>
        <row r="475">
          <cell r="A475" t="str">
            <v>C10603</v>
          </cell>
          <cell r="B475" t="str">
            <v>Organization</v>
          </cell>
          <cell r="C475" t="str">
            <v>DEPARTMENT OF ATOMIC ENERGY GOVT. OF INDIA</v>
          </cell>
          <cell r="D475" t="str">
            <v>30</v>
          </cell>
        </row>
        <row r="476">
          <cell r="A476" t="str">
            <v>C10604</v>
          </cell>
          <cell r="B476" t="str">
            <v>Organization</v>
          </cell>
          <cell r="C476" t="str">
            <v>DESAI BROTHERS LIMITED (FOOD DIVISION)</v>
          </cell>
          <cell r="D476" t="str">
            <v>30</v>
          </cell>
        </row>
        <row r="477">
          <cell r="A477" t="str">
            <v>C10605</v>
          </cell>
          <cell r="B477" t="str">
            <v>Organization</v>
          </cell>
          <cell r="C477" t="str">
            <v>DESAI SPECIALITY CHEMICALS PVT. LTD</v>
          </cell>
          <cell r="D477" t="str">
            <v>0</v>
          </cell>
        </row>
        <row r="478">
          <cell r="A478" t="str">
            <v>C10606</v>
          </cell>
          <cell r="B478" t="str">
            <v>Organization</v>
          </cell>
          <cell r="C478" t="str">
            <v>DEVI INDUSTRIES</v>
          </cell>
          <cell r="D478" t="str">
            <v>1</v>
          </cell>
        </row>
        <row r="479">
          <cell r="A479" t="str">
            <v>C10607</v>
          </cell>
          <cell r="B479" t="str">
            <v>Organization</v>
          </cell>
          <cell r="C479" t="str">
            <v>DEVIDAYAL SALES LTD.</v>
          </cell>
          <cell r="D479" t="str">
            <v>30</v>
          </cell>
        </row>
        <row r="480">
          <cell r="A480" t="str">
            <v>C10609</v>
          </cell>
          <cell r="B480" t="str">
            <v>Organization</v>
          </cell>
          <cell r="C480" t="str">
            <v>DEX-VIN POLYMERS PVT.LTD.(200)</v>
          </cell>
          <cell r="D480" t="str">
            <v>90</v>
          </cell>
        </row>
        <row r="481">
          <cell r="A481" t="str">
            <v>C10610</v>
          </cell>
          <cell r="B481" t="str">
            <v>Organization</v>
          </cell>
          <cell r="C481" t="str">
            <v>DHANASHREE POLYMERS PVT. LTD.</v>
          </cell>
          <cell r="D481" t="str">
            <v>1</v>
          </cell>
        </row>
        <row r="482">
          <cell r="A482" t="str">
            <v>C10611</v>
          </cell>
          <cell r="B482" t="str">
            <v>Organization</v>
          </cell>
          <cell r="C482" t="str">
            <v>DHARNIDHAR CHEMICALS PVT. LTD</v>
          </cell>
          <cell r="D482" t="str">
            <v>60</v>
          </cell>
        </row>
        <row r="483">
          <cell r="A483" t="str">
            <v>C10615</v>
          </cell>
          <cell r="B483" t="str">
            <v>Organization</v>
          </cell>
          <cell r="C483" t="str">
            <v>DIC COATINGS INDIA LTD - BANGALORE</v>
          </cell>
          <cell r="D483" t="str">
            <v>30</v>
          </cell>
        </row>
        <row r="484">
          <cell r="A484" t="str">
            <v>C10616</v>
          </cell>
          <cell r="B484" t="str">
            <v>Organization</v>
          </cell>
          <cell r="C484" t="str">
            <v>DIC INDIA LIMITED - MUMBAI</v>
          </cell>
          <cell r="D484" t="str">
            <v>30</v>
          </cell>
        </row>
        <row r="485">
          <cell r="A485" t="str">
            <v>C10617</v>
          </cell>
          <cell r="B485" t="str">
            <v>Organization</v>
          </cell>
          <cell r="C485" t="str">
            <v>DIC INDIA LIMITED - KOLKATA</v>
          </cell>
          <cell r="D485" t="str">
            <v>30</v>
          </cell>
        </row>
        <row r="486">
          <cell r="A486" t="str">
            <v>C10618</v>
          </cell>
          <cell r="B486" t="str">
            <v>Organization</v>
          </cell>
          <cell r="C486" t="str">
            <v>DICOL PRODUCTS (200)</v>
          </cell>
          <cell r="D486" t="str">
            <v>60</v>
          </cell>
        </row>
        <row r="487">
          <cell r="A487" t="str">
            <v>C10621</v>
          </cell>
          <cell r="B487" t="str">
            <v>Organization</v>
          </cell>
          <cell r="C487" t="str">
            <v>DIMPLE DRUMS &amp; BARRELS PVT. LTD. - MUMBAI</v>
          </cell>
          <cell r="D487" t="str">
            <v>30</v>
          </cell>
        </row>
        <row r="488">
          <cell r="A488" t="str">
            <v>C10624</v>
          </cell>
          <cell r="B488" t="str">
            <v>Organization</v>
          </cell>
          <cell r="C488" t="str">
            <v>DIVERSEY INDIA PVT. LTD. - NALAGARH</v>
          </cell>
          <cell r="D488" t="str">
            <v>60</v>
          </cell>
        </row>
        <row r="489">
          <cell r="A489" t="str">
            <v>C10625</v>
          </cell>
          <cell r="B489" t="str">
            <v>Organization</v>
          </cell>
          <cell r="C489" t="str">
            <v>DIVERSEY INDIA PVT. LTD. - DAMAN</v>
          </cell>
          <cell r="D489" t="str">
            <v>30</v>
          </cell>
        </row>
        <row r="490">
          <cell r="A490" t="str">
            <v>C10626</v>
          </cell>
          <cell r="B490" t="str">
            <v>Organization</v>
          </cell>
          <cell r="C490" t="str">
            <v>DIVYA CHEMICALS</v>
          </cell>
          <cell r="D490" t="str">
            <v>0</v>
          </cell>
        </row>
        <row r="491">
          <cell r="A491" t="str">
            <v>C10627</v>
          </cell>
          <cell r="B491" t="str">
            <v>Organization</v>
          </cell>
          <cell r="C491" t="str">
            <v>DOCTORS ORGANIC CHEMICALS LIMITED</v>
          </cell>
          <cell r="D491" t="str">
            <v>1</v>
          </cell>
        </row>
        <row r="492">
          <cell r="A492" t="str">
            <v>C10628</v>
          </cell>
          <cell r="B492" t="str">
            <v>Organization</v>
          </cell>
          <cell r="C492" t="str">
            <v>DOLPHIN INKS PVT. LTD.</v>
          </cell>
          <cell r="D492" t="str">
            <v>75</v>
          </cell>
        </row>
        <row r="493">
          <cell r="A493" t="str">
            <v>C10629</v>
          </cell>
          <cell r="B493" t="str">
            <v>Organization</v>
          </cell>
          <cell r="C493" t="str">
            <v>DOLPHIN LUBRICANTS &amp; SPECIALITIES PVT. LTD</v>
          </cell>
          <cell r="D493" t="str">
            <v>30</v>
          </cell>
        </row>
        <row r="494">
          <cell r="A494" t="str">
            <v>C10630</v>
          </cell>
          <cell r="B494" t="str">
            <v>Organization</v>
          </cell>
          <cell r="C494" t="str">
            <v>DOSHION  VEOLIA WATER SOLUTION PVT. LTD.</v>
          </cell>
          <cell r="D494" t="str">
            <v>0</v>
          </cell>
        </row>
        <row r="495">
          <cell r="A495" t="str">
            <v>C10632</v>
          </cell>
          <cell r="B495" t="str">
            <v>Organization</v>
          </cell>
          <cell r="C495" t="str">
            <v>DOW CHEMICALS INTERNATIONAL PVT. LTD</v>
          </cell>
          <cell r="D495" t="str">
            <v>15</v>
          </cell>
        </row>
        <row r="496">
          <cell r="A496" t="str">
            <v>C10634</v>
          </cell>
          <cell r="B496" t="str">
            <v>Organization</v>
          </cell>
          <cell r="C496" t="str">
            <v>DR. REDDYS LABORATORIES LTD</v>
          </cell>
          <cell r="D496" t="str">
            <v>30</v>
          </cell>
        </row>
        <row r="497">
          <cell r="A497" t="str">
            <v>C10635</v>
          </cell>
          <cell r="B497" t="str">
            <v>Organization</v>
          </cell>
          <cell r="C497" t="str">
            <v>DR. SMITA HERBAL LABORATORIES</v>
          </cell>
          <cell r="D497" t="str">
            <v>0</v>
          </cell>
        </row>
        <row r="498">
          <cell r="A498" t="str">
            <v>C10637</v>
          </cell>
          <cell r="B498" t="str">
            <v>Organization</v>
          </cell>
          <cell r="C498" t="str">
            <v>DUBEY PERFUMERS</v>
          </cell>
          <cell r="D498" t="str">
            <v>0</v>
          </cell>
        </row>
        <row r="499">
          <cell r="A499" t="str">
            <v>C10638</v>
          </cell>
          <cell r="B499" t="str">
            <v>Organization</v>
          </cell>
          <cell r="C499" t="str">
            <v>DWELL INTERNATIONAL</v>
          </cell>
          <cell r="D499" t="str">
            <v>1</v>
          </cell>
        </row>
        <row r="500">
          <cell r="A500" t="str">
            <v>C10642</v>
          </cell>
          <cell r="B500" t="str">
            <v>Organization</v>
          </cell>
          <cell r="C500" t="str">
            <v>DYNAMIC ENGINEERING COMPANY</v>
          </cell>
          <cell r="D500" t="str">
            <v>0</v>
          </cell>
        </row>
        <row r="501">
          <cell r="A501" t="str">
            <v>C10643</v>
          </cell>
          <cell r="B501" t="str">
            <v>Organization</v>
          </cell>
          <cell r="C501" t="str">
            <v>DYNAMIC SPECIALITIES PVT. LTD</v>
          </cell>
          <cell r="D501" t="str">
            <v>60</v>
          </cell>
        </row>
        <row r="502">
          <cell r="A502" t="str">
            <v>C10644</v>
          </cell>
          <cell r="B502" t="str">
            <v>Organization</v>
          </cell>
          <cell r="C502" t="str">
            <v>DYNAMIX DAIRY INDUSTRIES LTD</v>
          </cell>
          <cell r="D502" t="str">
            <v>30</v>
          </cell>
        </row>
        <row r="503">
          <cell r="A503" t="str">
            <v>C10647</v>
          </cell>
          <cell r="B503" t="str">
            <v>Organization</v>
          </cell>
          <cell r="C503" t="str">
            <v>E.O.C. TAILORMADE POLYMER</v>
          </cell>
          <cell r="D503" t="str">
            <v>60</v>
          </cell>
        </row>
        <row r="504">
          <cell r="A504" t="str">
            <v>C10648</v>
          </cell>
          <cell r="B504" t="str">
            <v>Organization</v>
          </cell>
          <cell r="C504" t="str">
            <v>EASTERN PETROLEUM PRIVATE LIMITED</v>
          </cell>
          <cell r="D504" t="str">
            <v>15</v>
          </cell>
        </row>
        <row r="505">
          <cell r="A505" t="str">
            <v>C10651</v>
          </cell>
          <cell r="B505" t="str">
            <v>Organization</v>
          </cell>
          <cell r="C505" t="str">
            <v>ECOLAB FOOD SAFETY &amp; HYGIENE SOLUTIONS PVT. LTD.</v>
          </cell>
          <cell r="D505" t="str">
            <v>1</v>
          </cell>
        </row>
        <row r="506">
          <cell r="A506" t="str">
            <v>C10652</v>
          </cell>
          <cell r="B506" t="str">
            <v>Organization</v>
          </cell>
          <cell r="C506" t="str">
            <v>EICHER TRACTORS</v>
          </cell>
          <cell r="D506" t="str">
            <v>30</v>
          </cell>
        </row>
        <row r="507">
          <cell r="A507" t="str">
            <v>C10654</v>
          </cell>
          <cell r="B507" t="str">
            <v>Organization</v>
          </cell>
          <cell r="C507" t="str">
            <v>EID PARRY (INDIA) LIMITED</v>
          </cell>
          <cell r="D507" t="str">
            <v>0</v>
          </cell>
        </row>
        <row r="508">
          <cell r="A508" t="str">
            <v>C10655</v>
          </cell>
          <cell r="B508" t="str">
            <v>Organization</v>
          </cell>
          <cell r="C508" t="str">
            <v>ELANTAS BECK INDIA LIMITED - PUNE</v>
          </cell>
          <cell r="D508" t="str">
            <v>30</v>
          </cell>
        </row>
        <row r="509">
          <cell r="A509" t="str">
            <v>C10657</v>
          </cell>
          <cell r="B509" t="str">
            <v>Organization</v>
          </cell>
          <cell r="C509" t="str">
            <v>ELFOTECH ELECTRO CHEMICALS LIMITED (200)</v>
          </cell>
          <cell r="D509" t="str">
            <v>30</v>
          </cell>
        </row>
        <row r="510">
          <cell r="A510" t="str">
            <v>C10658</v>
          </cell>
          <cell r="B510" t="str">
            <v>Organization</v>
          </cell>
          <cell r="C510" t="str">
            <v>ELIXIR EXTRACTS PRIVATE LIMITED</v>
          </cell>
          <cell r="D510" t="str">
            <v>0</v>
          </cell>
        </row>
        <row r="511">
          <cell r="A511" t="str">
            <v>C10659</v>
          </cell>
          <cell r="B511" t="str">
            <v>Organization</v>
          </cell>
          <cell r="C511" t="str">
            <v>ELKAY CHEMICALS PVT. LTD.</v>
          </cell>
          <cell r="D511" t="str">
            <v>30</v>
          </cell>
        </row>
        <row r="512">
          <cell r="A512" t="str">
            <v>C10661</v>
          </cell>
          <cell r="B512" t="str">
            <v>Organization</v>
          </cell>
          <cell r="C512" t="str">
            <v>EMIRATES REFINING CO. LTD.,</v>
          </cell>
          <cell r="D512" t="str">
            <v>30</v>
          </cell>
        </row>
        <row r="513">
          <cell r="A513" t="str">
            <v>C10662</v>
          </cell>
          <cell r="B513" t="str">
            <v>Organization</v>
          </cell>
          <cell r="C513" t="str">
            <v>ENJAYS SPICES &amp; CHEMICAL OILS P.LTD(200)</v>
          </cell>
          <cell r="D513" t="str">
            <v>0</v>
          </cell>
        </row>
        <row r="514">
          <cell r="A514" t="str">
            <v>C10663</v>
          </cell>
          <cell r="B514" t="str">
            <v>Organization</v>
          </cell>
          <cell r="C514" t="str">
            <v>ENNGEES PHARMA</v>
          </cell>
          <cell r="D514" t="str">
            <v>0</v>
          </cell>
        </row>
        <row r="515">
          <cell r="A515" t="str">
            <v>C10669</v>
          </cell>
          <cell r="B515" t="str">
            <v>Organization</v>
          </cell>
          <cell r="C515" t="str">
            <v>EPPCON LUBRICANTS INDIA LIMITED</v>
          </cell>
          <cell r="D515" t="str">
            <v>0</v>
          </cell>
        </row>
        <row r="516">
          <cell r="A516" t="str">
            <v>C10670</v>
          </cell>
          <cell r="B516" t="str">
            <v>Organization</v>
          </cell>
          <cell r="C516" t="str">
            <v>EQUATE PACKERS</v>
          </cell>
          <cell r="D516" t="str">
            <v>1</v>
          </cell>
        </row>
        <row r="517">
          <cell r="A517" t="str">
            <v>C10671</v>
          </cell>
          <cell r="B517" t="str">
            <v>Organization</v>
          </cell>
          <cell r="C517" t="str">
            <v>ESKAY DYESTUFFS &amp; ORGANIC CHEMICALS PVT. LTD.</v>
          </cell>
          <cell r="D517" t="str">
            <v>30</v>
          </cell>
        </row>
        <row r="518">
          <cell r="A518" t="str">
            <v>C10674</v>
          </cell>
          <cell r="B518" t="str">
            <v>Organization</v>
          </cell>
          <cell r="C518" t="str">
            <v>ESTHAPANOSE SONS</v>
          </cell>
          <cell r="D518" t="str">
            <v>1</v>
          </cell>
        </row>
        <row r="519">
          <cell r="A519" t="str">
            <v>C10676</v>
          </cell>
          <cell r="B519" t="str">
            <v>Organization</v>
          </cell>
          <cell r="C519" t="str">
            <v>EUREKA CHEMICALS</v>
          </cell>
          <cell r="D519" t="str">
            <v>1</v>
          </cell>
        </row>
        <row r="520">
          <cell r="A520" t="str">
            <v>C10677</v>
          </cell>
          <cell r="B520" t="str">
            <v>Organization</v>
          </cell>
          <cell r="C520" t="str">
            <v>EXCEL CENTRE</v>
          </cell>
          <cell r="D520" t="str">
            <v>30</v>
          </cell>
        </row>
        <row r="521">
          <cell r="A521" t="str">
            <v>C10678</v>
          </cell>
          <cell r="B521" t="str">
            <v>Organization</v>
          </cell>
          <cell r="C521" t="str">
            <v>EXCEL CROP CARE LIMITED</v>
          </cell>
          <cell r="D521" t="str">
            <v>90</v>
          </cell>
        </row>
        <row r="522">
          <cell r="A522" t="str">
            <v>C10683</v>
          </cell>
          <cell r="B522" t="str">
            <v>Organization</v>
          </cell>
          <cell r="C522" t="str">
            <v>FAMOUS CARBOYS SUPPLY CO. (SCRAP)</v>
          </cell>
          <cell r="D522" t="str">
            <v>30</v>
          </cell>
        </row>
        <row r="523">
          <cell r="A523" t="str">
            <v>C10684</v>
          </cell>
          <cell r="B523" t="str">
            <v>Organization</v>
          </cell>
          <cell r="C523" t="str">
            <v>FENASIA LIMITED</v>
          </cell>
          <cell r="D523" t="str">
            <v>45</v>
          </cell>
        </row>
        <row r="524">
          <cell r="A524" t="str">
            <v>C10686</v>
          </cell>
          <cell r="B524" t="str">
            <v>Organization</v>
          </cell>
          <cell r="C524" t="str">
            <v>FERROMATIC MILACRON INDIA LIMITED</v>
          </cell>
          <cell r="D524" t="str">
            <v>1</v>
          </cell>
        </row>
        <row r="525">
          <cell r="A525" t="str">
            <v>C10690</v>
          </cell>
          <cell r="B525" t="str">
            <v>Organization</v>
          </cell>
          <cell r="C525" t="str">
            <v>FILTEK SPECIALITY CHEMICALS PVT. LTD</v>
          </cell>
          <cell r="D525" t="str">
            <v>30</v>
          </cell>
        </row>
        <row r="526">
          <cell r="A526" t="str">
            <v>C10691</v>
          </cell>
          <cell r="B526" t="str">
            <v>Organization</v>
          </cell>
          <cell r="C526" t="str">
            <v>FINAR  LTD.</v>
          </cell>
          <cell r="D526" t="str">
            <v>60</v>
          </cell>
        </row>
        <row r="527">
          <cell r="A527" t="str">
            <v>C10693</v>
          </cell>
          <cell r="B527" t="str">
            <v>Organization</v>
          </cell>
          <cell r="C527" t="str">
            <v>FINE ORGANICS INDUSTRIES (MUMBAI) PVT. LTD..</v>
          </cell>
          <cell r="D527" t="str">
            <v>60</v>
          </cell>
        </row>
        <row r="528">
          <cell r="A528" t="str">
            <v>C10696</v>
          </cell>
          <cell r="B528" t="str">
            <v>Organization</v>
          </cell>
          <cell r="C528" t="str">
            <v>FIRE SPEED LUBRICANTS (P) LTD</v>
          </cell>
          <cell r="D528" t="str">
            <v>30</v>
          </cell>
        </row>
        <row r="529">
          <cell r="A529" t="str">
            <v>C10700</v>
          </cell>
          <cell r="B529" t="str">
            <v>Organization</v>
          </cell>
          <cell r="C529" t="str">
            <v>FLINT GROUP INDIA PVT. LTD</v>
          </cell>
          <cell r="D529" t="str">
            <v>30</v>
          </cell>
        </row>
        <row r="530">
          <cell r="A530" t="str">
            <v>C10701</v>
          </cell>
          <cell r="B530" t="str">
            <v>Organization</v>
          </cell>
          <cell r="C530" t="str">
            <v>FOOD ENGINEERING SERVICES</v>
          </cell>
          <cell r="D530" t="str">
            <v>1</v>
          </cell>
        </row>
        <row r="531">
          <cell r="A531" t="str">
            <v>C10702</v>
          </cell>
          <cell r="B531" t="str">
            <v>Organization</v>
          </cell>
          <cell r="C531" t="str">
            <v>FOODS FATS &amp; FERTILIZERS LIMITED</v>
          </cell>
          <cell r="D531" t="str">
            <v>45</v>
          </cell>
        </row>
        <row r="532">
          <cell r="A532" t="str">
            <v>C10703</v>
          </cell>
          <cell r="B532" t="str">
            <v>Organization</v>
          </cell>
          <cell r="C532" t="str">
            <v>FOSECO INDIA LIMITED</v>
          </cell>
          <cell r="D532" t="str">
            <v>90</v>
          </cell>
        </row>
        <row r="533">
          <cell r="A533" t="str">
            <v>C10704</v>
          </cell>
          <cell r="B533" t="str">
            <v>Organization</v>
          </cell>
          <cell r="C533" t="str">
            <v>FOSROC CHEMICALS (INDIA) PVT. LIMITED - ANKLESWAR</v>
          </cell>
          <cell r="D533" t="str">
            <v>60</v>
          </cell>
        </row>
        <row r="534">
          <cell r="A534" t="str">
            <v>C10705</v>
          </cell>
          <cell r="B534" t="str">
            <v>Organization</v>
          </cell>
          <cell r="C534" t="str">
            <v>FOSROC CHEMICALS (INDIA) PVT. LIMITED - BANGALORE</v>
          </cell>
          <cell r="D534" t="str">
            <v>60</v>
          </cell>
        </row>
        <row r="535">
          <cell r="A535" t="str">
            <v>C10707</v>
          </cell>
          <cell r="B535" t="str">
            <v>Organization</v>
          </cell>
          <cell r="C535" t="str">
            <v>FUJIFILM  SERICOL INDIA PVT. LTD.</v>
          </cell>
          <cell r="D535" t="str">
            <v>30</v>
          </cell>
        </row>
        <row r="536">
          <cell r="A536" t="str">
            <v>C10708</v>
          </cell>
          <cell r="B536" t="str">
            <v>Organization</v>
          </cell>
          <cell r="C536" t="str">
            <v>FUSION CHEMICALS &amp; PRODUCTS P. LTD (200)</v>
          </cell>
          <cell r="D536" t="str">
            <v>45</v>
          </cell>
        </row>
        <row r="537">
          <cell r="A537" t="str">
            <v>C10710</v>
          </cell>
          <cell r="B537" t="str">
            <v>Organization</v>
          </cell>
          <cell r="C537" t="str">
            <v>G R ASSOCIATES</v>
          </cell>
          <cell r="D537" t="str">
            <v>0</v>
          </cell>
        </row>
        <row r="538">
          <cell r="A538" t="str">
            <v>C10711</v>
          </cell>
          <cell r="B538" t="str">
            <v>Organization</v>
          </cell>
          <cell r="C538" t="str">
            <v>GALAXY FOODS</v>
          </cell>
          <cell r="D538" t="str">
            <v>0</v>
          </cell>
        </row>
        <row r="539">
          <cell r="A539" t="str">
            <v>C10714</v>
          </cell>
          <cell r="B539" t="str">
            <v>Organization</v>
          </cell>
          <cell r="C539" t="str">
            <v>GALAXY SURFACTANTS LIMITED (200)</v>
          </cell>
          <cell r="D539" t="str">
            <v>30</v>
          </cell>
        </row>
        <row r="540">
          <cell r="A540" t="str">
            <v>C10715</v>
          </cell>
          <cell r="B540" t="str">
            <v>Organization</v>
          </cell>
          <cell r="C540" t="str">
            <v>GANDHAR OIL REFINERY INDIA LTD. - GOREGAON</v>
          </cell>
          <cell r="D540" t="str">
            <v>45</v>
          </cell>
        </row>
        <row r="541">
          <cell r="A541" t="str">
            <v>C10716</v>
          </cell>
          <cell r="B541" t="str">
            <v>Organization</v>
          </cell>
          <cell r="C541" t="str">
            <v>GANDHAR PETROCHEMICALS LTD.</v>
          </cell>
          <cell r="D541" t="str">
            <v>30</v>
          </cell>
        </row>
        <row r="542">
          <cell r="A542" t="str">
            <v>C10720</v>
          </cell>
          <cell r="B542" t="str">
            <v>Organization</v>
          </cell>
          <cell r="C542" t="str">
            <v>GARDEN COURT DISTILLERIES PVT. LTD.</v>
          </cell>
          <cell r="D542" t="str">
            <v>30</v>
          </cell>
        </row>
        <row r="543">
          <cell r="A543" t="str">
            <v>C10722</v>
          </cell>
          <cell r="B543" t="str">
            <v>Organization</v>
          </cell>
          <cell r="C543" t="str">
            <v>GAS AUTHORITY OF INDIA LTD</v>
          </cell>
          <cell r="D543" t="str">
            <v>30</v>
          </cell>
        </row>
        <row r="544">
          <cell r="A544" t="str">
            <v>C10723</v>
          </cell>
          <cell r="B544" t="str">
            <v>Organization</v>
          </cell>
          <cell r="C544" t="str">
            <v>GAYATRI CHEMICALS LIMITED</v>
          </cell>
          <cell r="D544" t="str">
            <v>30</v>
          </cell>
        </row>
        <row r="545">
          <cell r="A545" t="str">
            <v>C10726</v>
          </cell>
          <cell r="B545" t="str">
            <v>Organization</v>
          </cell>
          <cell r="C545" t="str">
            <v>GAYATRI STARCHKEM LIMITED (200)</v>
          </cell>
          <cell r="D545" t="str">
            <v>0</v>
          </cell>
        </row>
        <row r="546">
          <cell r="A546" t="str">
            <v>C10727</v>
          </cell>
          <cell r="B546" t="str">
            <v>Organization</v>
          </cell>
          <cell r="C546" t="str">
            <v>GE BAYER SILICONES I P. LTD</v>
          </cell>
          <cell r="D546" t="str">
            <v>45</v>
          </cell>
        </row>
        <row r="547">
          <cell r="A547" t="str">
            <v>C10728</v>
          </cell>
          <cell r="B547" t="str">
            <v>Organization</v>
          </cell>
          <cell r="C547" t="str">
            <v>GE BETZ INDIA PRIVATE LIMITED</v>
          </cell>
          <cell r="D547" t="str">
            <v>30</v>
          </cell>
        </row>
        <row r="548">
          <cell r="A548" t="str">
            <v>C10731</v>
          </cell>
          <cell r="B548" t="str">
            <v>Organization</v>
          </cell>
          <cell r="C548" t="str">
            <v>GENERAL MANAGER HIGH EXPLOSIVE FACTORY</v>
          </cell>
          <cell r="D548" t="str">
            <v>0</v>
          </cell>
        </row>
        <row r="549">
          <cell r="A549" t="str">
            <v>C10732</v>
          </cell>
          <cell r="B549" t="str">
            <v>Organization</v>
          </cell>
          <cell r="C549" t="str">
            <v>GENERAL PHARMACEUTICALS PVT. LTD</v>
          </cell>
          <cell r="D549" t="str">
            <v>60</v>
          </cell>
        </row>
        <row r="550">
          <cell r="A550" t="str">
            <v>C10733</v>
          </cell>
          <cell r="B550" t="str">
            <v>Organization</v>
          </cell>
          <cell r="C550" t="str">
            <v>GENERAL SERVICES</v>
          </cell>
          <cell r="D550" t="str">
            <v>30</v>
          </cell>
        </row>
        <row r="551">
          <cell r="A551" t="str">
            <v>C10734</v>
          </cell>
          <cell r="B551" t="str">
            <v>Organization</v>
          </cell>
          <cell r="C551" t="str">
            <v>GHARDA CHEMICALS LTD.</v>
          </cell>
          <cell r="D551" t="str">
            <v>30</v>
          </cell>
        </row>
        <row r="552">
          <cell r="A552" t="str">
            <v>C10738</v>
          </cell>
          <cell r="B552" t="str">
            <v>Organization</v>
          </cell>
          <cell r="C552" t="str">
            <v>GLOBE INDUSTRIES</v>
          </cell>
          <cell r="D552" t="str">
            <v>30</v>
          </cell>
        </row>
        <row r="553">
          <cell r="A553" t="str">
            <v>C10739</v>
          </cell>
          <cell r="B553" t="str">
            <v>Organization</v>
          </cell>
          <cell r="C553" t="str">
            <v>GLOCHEM INDUSTRIES LIMITED</v>
          </cell>
          <cell r="D553" t="str">
            <v>1</v>
          </cell>
        </row>
        <row r="554">
          <cell r="A554" t="str">
            <v>C10742</v>
          </cell>
          <cell r="B554" t="str">
            <v>Organization</v>
          </cell>
          <cell r="C554" t="str">
            <v>GOKULAM AROMATICS P. LTD</v>
          </cell>
          <cell r="D554" t="str">
            <v>1</v>
          </cell>
        </row>
        <row r="555">
          <cell r="A555" t="str">
            <v>C10743</v>
          </cell>
          <cell r="B555" t="str">
            <v>Organization</v>
          </cell>
          <cell r="C555" t="str">
            <v>GOLD OIL CORPORATION (SILVASSA)</v>
          </cell>
          <cell r="D555" t="str">
            <v>30</v>
          </cell>
        </row>
        <row r="556">
          <cell r="A556" t="str">
            <v>C10744</v>
          </cell>
          <cell r="B556" t="str">
            <v>Organization</v>
          </cell>
          <cell r="C556" t="str">
            <v>GOLDEN AGRO-TECH INDUSTRIES LTD.</v>
          </cell>
          <cell r="D556" t="str">
            <v>60</v>
          </cell>
        </row>
        <row r="557">
          <cell r="A557" t="str">
            <v>C10745</v>
          </cell>
          <cell r="B557" t="str">
            <v>Organization</v>
          </cell>
          <cell r="C557" t="str">
            <v>GOLDEN CRUISER PRIVATE LIMITED</v>
          </cell>
          <cell r="D557" t="str">
            <v>15</v>
          </cell>
        </row>
        <row r="558">
          <cell r="A558" t="str">
            <v>C10747</v>
          </cell>
          <cell r="B558" t="str">
            <v>Organization</v>
          </cell>
          <cell r="C558" t="str">
            <v>GOODWAY CHEMICALS PVT. LTD.</v>
          </cell>
          <cell r="D558" t="str">
            <v>0</v>
          </cell>
        </row>
        <row r="559">
          <cell r="A559" t="str">
            <v>C10749</v>
          </cell>
          <cell r="B559" t="str">
            <v>Organization</v>
          </cell>
          <cell r="C559" t="str">
            <v>GREIF BRISBANE</v>
          </cell>
          <cell r="D559" t="str">
            <v>0</v>
          </cell>
        </row>
        <row r="560">
          <cell r="A560" t="str">
            <v>C10750</v>
          </cell>
          <cell r="B560" t="str">
            <v>Organization</v>
          </cell>
          <cell r="C560" t="str">
            <v>GREIF GERMANY GMBH</v>
          </cell>
          <cell r="D560" t="str">
            <v>0</v>
          </cell>
        </row>
        <row r="561">
          <cell r="A561" t="str">
            <v>C10751</v>
          </cell>
          <cell r="B561" t="str">
            <v>Organization</v>
          </cell>
          <cell r="C561" t="str">
            <v>GREIF PHILIPPINES INC.</v>
          </cell>
          <cell r="D561" t="str">
            <v>0</v>
          </cell>
        </row>
        <row r="562">
          <cell r="A562" t="str">
            <v>C10752</v>
          </cell>
          <cell r="B562" t="str">
            <v>Organization</v>
          </cell>
          <cell r="C562" t="str">
            <v>GREIF SINGAPORE PTE. LTD. - JURONG TOWN</v>
          </cell>
          <cell r="D562" t="str">
            <v>45</v>
          </cell>
        </row>
        <row r="563">
          <cell r="A563" t="str">
            <v>C10756</v>
          </cell>
          <cell r="B563" t="str">
            <v>Organization</v>
          </cell>
          <cell r="C563" t="str">
            <v>GUJARAT CONTAINERS LTD.</v>
          </cell>
          <cell r="D563" t="str">
            <v>60</v>
          </cell>
        </row>
        <row r="564">
          <cell r="A564" t="str">
            <v>C10757</v>
          </cell>
          <cell r="B564" t="str">
            <v>Organization</v>
          </cell>
          <cell r="C564" t="str">
            <v>GUJARAT MITUL PETRO-PHARMA (P) LIMITED</v>
          </cell>
          <cell r="D564" t="str">
            <v>30</v>
          </cell>
        </row>
        <row r="565">
          <cell r="A565" t="str">
            <v>C10767</v>
          </cell>
          <cell r="B565" t="str">
            <v>Organization</v>
          </cell>
          <cell r="C565" t="str">
            <v>GULF OIL CORPORATION LIMITED - DADRA</v>
          </cell>
          <cell r="D565" t="str">
            <v>30</v>
          </cell>
        </row>
        <row r="566">
          <cell r="A566" t="str">
            <v>C10769</v>
          </cell>
          <cell r="B566" t="str">
            <v>Organization</v>
          </cell>
          <cell r="C566" t="str">
            <v>GULF OIL INDIA LTD.- KOLKATA</v>
          </cell>
          <cell r="D566" t="str">
            <v>30</v>
          </cell>
        </row>
        <row r="567">
          <cell r="A567" t="str">
            <v>C10772</v>
          </cell>
          <cell r="B567" t="str">
            <v>Organization</v>
          </cell>
          <cell r="C567" t="str">
            <v>GULSHAN SUGAR &amp; CHEMICALS LIMITED</v>
          </cell>
          <cell r="D567" t="str">
            <v>30</v>
          </cell>
        </row>
        <row r="568">
          <cell r="A568" t="str">
            <v>C10773</v>
          </cell>
          <cell r="B568" t="str">
            <v>Organization</v>
          </cell>
          <cell r="C568" t="str">
            <v>GUMPRO CHEM BOMBAY</v>
          </cell>
          <cell r="D568" t="str">
            <v>1</v>
          </cell>
        </row>
        <row r="569">
          <cell r="A569" t="str">
            <v>C10774</v>
          </cell>
          <cell r="B569" t="str">
            <v>Organization</v>
          </cell>
          <cell r="C569" t="str">
            <v>H &amp; R JOHNSONS LIMITED</v>
          </cell>
          <cell r="D569" t="str">
            <v>1</v>
          </cell>
        </row>
        <row r="570">
          <cell r="A570" t="str">
            <v>C10778</v>
          </cell>
          <cell r="B570" t="str">
            <v>Organization</v>
          </cell>
          <cell r="C570" t="str">
            <v>HANAKA ORGANICS PVT. LTD.</v>
          </cell>
          <cell r="D570" t="str">
            <v>30</v>
          </cell>
        </row>
        <row r="571">
          <cell r="A571" t="str">
            <v>C10779</v>
          </cell>
          <cell r="B571" t="str">
            <v>Organization</v>
          </cell>
          <cell r="C571" t="str">
            <v>HARI ORGOCHEM PVT. LTD</v>
          </cell>
          <cell r="D571" t="str">
            <v>60</v>
          </cell>
        </row>
        <row r="572">
          <cell r="A572" t="str">
            <v>C10780</v>
          </cell>
          <cell r="B572" t="str">
            <v>Organization</v>
          </cell>
          <cell r="C572" t="str">
            <v>HARIND PHARMACAL PVT. LTD.</v>
          </cell>
          <cell r="D572" t="str">
            <v>1</v>
          </cell>
        </row>
        <row r="573">
          <cell r="A573" t="str">
            <v>C10783</v>
          </cell>
          <cell r="B573" t="str">
            <v>Organization</v>
          </cell>
          <cell r="C573" t="str">
            <v>HARLEM POLYCONTAINERS PVT. LTD</v>
          </cell>
          <cell r="D573" t="str">
            <v>7</v>
          </cell>
        </row>
        <row r="574">
          <cell r="A574" t="str">
            <v>C10784</v>
          </cell>
          <cell r="B574" t="str">
            <v>Organization</v>
          </cell>
          <cell r="C574" t="str">
            <v>HARMAN FINOCHEM LIMITED</v>
          </cell>
          <cell r="D574" t="str">
            <v>30</v>
          </cell>
        </row>
        <row r="575">
          <cell r="A575" t="str">
            <v>C10788</v>
          </cell>
          <cell r="B575" t="str">
            <v>Organization</v>
          </cell>
          <cell r="C575" t="str">
            <v>HEBBAR CHEMICALS PVT. LTD</v>
          </cell>
          <cell r="D575" t="str">
            <v>0</v>
          </cell>
        </row>
        <row r="576">
          <cell r="A576" t="str">
            <v>C10791</v>
          </cell>
          <cell r="B576" t="str">
            <v>Organization</v>
          </cell>
          <cell r="C576" t="str">
            <v>HERBAL ISOLATES (I) PVT. LTD.</v>
          </cell>
          <cell r="D576" t="str">
            <v>0</v>
          </cell>
        </row>
        <row r="577">
          <cell r="A577" t="str">
            <v>C10792</v>
          </cell>
          <cell r="B577" t="str">
            <v>Organization</v>
          </cell>
          <cell r="C577" t="str">
            <v>HEXONE INTERCHEM PVT. LTD</v>
          </cell>
          <cell r="D577" t="str">
            <v>1</v>
          </cell>
        </row>
        <row r="578">
          <cell r="A578" t="str">
            <v>C10793</v>
          </cell>
          <cell r="B578" t="str">
            <v>Organization</v>
          </cell>
          <cell r="C578" t="str">
            <v>HI SHINE INKS PVT. LIMITED</v>
          </cell>
          <cell r="D578" t="str">
            <v>30</v>
          </cell>
        </row>
        <row r="579">
          <cell r="A579" t="str">
            <v>C10794</v>
          </cell>
          <cell r="B579" t="str">
            <v>Organization</v>
          </cell>
          <cell r="C579" t="str">
            <v>HIGH PURITY LABORATORY CHEMICALS</v>
          </cell>
          <cell r="D579" t="str">
            <v>0</v>
          </cell>
        </row>
        <row r="580">
          <cell r="A580" t="str">
            <v>C10795</v>
          </cell>
          <cell r="B580" t="str">
            <v>Organization</v>
          </cell>
          <cell r="C580" t="str">
            <v>HIGHRISE CHEMICAL INDUSTRIES PVT. LTD..</v>
          </cell>
          <cell r="D580" t="str">
            <v>0</v>
          </cell>
        </row>
        <row r="581">
          <cell r="A581" t="str">
            <v>C10798</v>
          </cell>
          <cell r="B581" t="str">
            <v>Organization</v>
          </cell>
          <cell r="C581" t="str">
            <v>HILL TOP EXTRACTS PRIVATE LIMITED</v>
          </cell>
          <cell r="D581" t="str">
            <v>0</v>
          </cell>
        </row>
        <row r="582">
          <cell r="A582" t="str">
            <v>C10799</v>
          </cell>
          <cell r="B582" t="str">
            <v>Organization</v>
          </cell>
          <cell r="C582" t="str">
            <v>HIMALAYAN BIO TRADE PRIVATE LIMITED</v>
          </cell>
          <cell r="D582" t="str">
            <v>1</v>
          </cell>
        </row>
        <row r="583">
          <cell r="A583" t="str">
            <v>C10800</v>
          </cell>
          <cell r="B583" t="str">
            <v>Organization</v>
          </cell>
          <cell r="C583" t="str">
            <v>HIND GENERAL STORES</v>
          </cell>
          <cell r="D583" t="str">
            <v>30</v>
          </cell>
        </row>
        <row r="584">
          <cell r="A584" t="str">
            <v>C10802</v>
          </cell>
          <cell r="B584" t="str">
            <v>Organization</v>
          </cell>
          <cell r="C584" t="str">
            <v>HINDUSTAN COLAS LIMITED - TURBHE</v>
          </cell>
          <cell r="D584" t="str">
            <v>30</v>
          </cell>
        </row>
        <row r="585">
          <cell r="A585" t="str">
            <v>C10804</v>
          </cell>
          <cell r="B585" t="str">
            <v>Organization</v>
          </cell>
          <cell r="C585" t="str">
            <v>HINDUSTAN COLAS LIMITED - BARODA</v>
          </cell>
          <cell r="D585" t="str">
            <v>15</v>
          </cell>
        </row>
        <row r="586">
          <cell r="A586" t="str">
            <v>C10805</v>
          </cell>
          <cell r="B586" t="str">
            <v>Organization</v>
          </cell>
          <cell r="C586" t="str">
            <v>HINDUSTAN FLUOROCARBONS LIMITED</v>
          </cell>
          <cell r="D586" t="str">
            <v>30</v>
          </cell>
        </row>
        <row r="587">
          <cell r="A587" t="str">
            <v>C10806</v>
          </cell>
          <cell r="B587" t="str">
            <v>Organization</v>
          </cell>
          <cell r="C587" t="str">
            <v>HINDUSTAN LEVER LIMITED   - CHENNAI</v>
          </cell>
          <cell r="D587" t="str">
            <v>30</v>
          </cell>
        </row>
        <row r="588">
          <cell r="A588" t="str">
            <v>C10810</v>
          </cell>
          <cell r="B588" t="str">
            <v>Organization</v>
          </cell>
          <cell r="C588" t="str">
            <v>HINDUSTAN LEVER LIMITED   - KOLKATA</v>
          </cell>
          <cell r="D588" t="str">
            <v>30</v>
          </cell>
        </row>
        <row r="589">
          <cell r="A589" t="str">
            <v>C10812</v>
          </cell>
          <cell r="B589" t="str">
            <v>Organization</v>
          </cell>
          <cell r="C589" t="str">
            <v>HINDUSTAN LUBRICANTS CO. PVT. LTD</v>
          </cell>
          <cell r="D589" t="str">
            <v>60</v>
          </cell>
        </row>
        <row r="590">
          <cell r="A590" t="str">
            <v>C10815</v>
          </cell>
          <cell r="B590" t="str">
            <v>Organization</v>
          </cell>
          <cell r="C590" t="str">
            <v>HINDUSTAN PETROLEUM CORPN. - KOLKATA</v>
          </cell>
          <cell r="D590" t="str">
            <v>30</v>
          </cell>
        </row>
        <row r="591">
          <cell r="A591" t="str">
            <v>C10816</v>
          </cell>
          <cell r="B591" t="str">
            <v>Organization</v>
          </cell>
          <cell r="C591" t="str">
            <v>HINDUSTAN PETROLEUM CORPN. - CHENNAI</v>
          </cell>
          <cell r="D591" t="str">
            <v>30</v>
          </cell>
        </row>
        <row r="592">
          <cell r="A592" t="str">
            <v>C10817</v>
          </cell>
          <cell r="B592" t="str">
            <v>Organization</v>
          </cell>
          <cell r="C592" t="str">
            <v>HINDUSTAN PETROLEUM CORPN. - MUMBAI</v>
          </cell>
          <cell r="D592" t="str">
            <v>30</v>
          </cell>
        </row>
        <row r="593">
          <cell r="A593" t="str">
            <v>C10818</v>
          </cell>
          <cell r="B593" t="str">
            <v>Organization</v>
          </cell>
          <cell r="C593" t="str">
            <v>HINDUSTAN PETROLEUM CORPN. - DELHI</v>
          </cell>
          <cell r="D593" t="str">
            <v>30</v>
          </cell>
        </row>
        <row r="594">
          <cell r="A594" t="str">
            <v>C10820</v>
          </cell>
          <cell r="B594" t="str">
            <v>Organization</v>
          </cell>
          <cell r="C594" t="str">
            <v>HINDUSTAN POLYAMIDES &amp; FIBERS LIMITED - LOWER PAREL</v>
          </cell>
          <cell r="D594" t="str">
            <v>30</v>
          </cell>
        </row>
        <row r="595">
          <cell r="A595" t="str">
            <v>C10821</v>
          </cell>
          <cell r="B595" t="str">
            <v>Organization</v>
          </cell>
          <cell r="C595" t="str">
            <v>HINDUSTAN SEALS LIMITED</v>
          </cell>
          <cell r="D595" t="str">
            <v>1</v>
          </cell>
        </row>
        <row r="596">
          <cell r="A596" t="str">
            <v>C10822</v>
          </cell>
          <cell r="B596" t="str">
            <v>Organization</v>
          </cell>
          <cell r="C596" t="str">
            <v>HITECH SEALANTS ADHESIVES PVT. LTD.</v>
          </cell>
          <cell r="D596" t="str">
            <v>60</v>
          </cell>
        </row>
        <row r="597">
          <cell r="A597" t="str">
            <v>C10823</v>
          </cell>
          <cell r="B597" t="str">
            <v>Organization</v>
          </cell>
          <cell r="C597" t="str">
            <v>HITESH CHEMICALS &amp; DRUGS PVT. LTD.</v>
          </cell>
          <cell r="D597" t="str">
            <v>45</v>
          </cell>
        </row>
        <row r="598">
          <cell r="A598" t="str">
            <v>C10827</v>
          </cell>
          <cell r="B598" t="str">
            <v>Organization</v>
          </cell>
          <cell r="C598" t="str">
            <v>HP PACKAGING (STEEL) PTY LTD.</v>
          </cell>
          <cell r="D598" t="str">
            <v>60</v>
          </cell>
        </row>
        <row r="599">
          <cell r="A599" t="str">
            <v>C10828</v>
          </cell>
          <cell r="B599" t="str">
            <v>Organization</v>
          </cell>
          <cell r="C599" t="str">
            <v>HUNTSMAN INTERNATIONAL (I) PVT. LTD,NAVI MUMBAI</v>
          </cell>
          <cell r="D599" t="str">
            <v>60</v>
          </cell>
        </row>
        <row r="600">
          <cell r="A600" t="str">
            <v>C10830</v>
          </cell>
          <cell r="B600" t="str">
            <v>Organization</v>
          </cell>
          <cell r="C600" t="str">
            <v>HYDAC (INDIA) PRIVATE LIMITED</v>
          </cell>
          <cell r="D600" t="str">
            <v>1</v>
          </cell>
        </row>
        <row r="601">
          <cell r="A601" t="str">
            <v>C10831</v>
          </cell>
          <cell r="B601" t="str">
            <v>Organization</v>
          </cell>
          <cell r="C601" t="str">
            <v>HYDERABAD MOTHER WAREHOUSE</v>
          </cell>
          <cell r="D601" t="str">
            <v>30</v>
          </cell>
        </row>
        <row r="602">
          <cell r="A602" t="str">
            <v>C10837</v>
          </cell>
          <cell r="B602" t="str">
            <v>Organization</v>
          </cell>
          <cell r="C602" t="str">
            <v>IBP CO. LIMITED - CHENNAI</v>
          </cell>
          <cell r="D602" t="str">
            <v>30</v>
          </cell>
        </row>
        <row r="603">
          <cell r="A603" t="str">
            <v>C10838</v>
          </cell>
          <cell r="B603" t="str">
            <v>Organization</v>
          </cell>
          <cell r="C603" t="str">
            <v>IBP CO. LIMITED - KOLKATA</v>
          </cell>
          <cell r="D603" t="str">
            <v>30</v>
          </cell>
        </row>
        <row r="604">
          <cell r="A604" t="str">
            <v>C10840</v>
          </cell>
          <cell r="B604" t="str">
            <v>Organization</v>
          </cell>
          <cell r="C604" t="str">
            <v>ICI INDIA LIMITED</v>
          </cell>
          <cell r="D604" t="str">
            <v>60</v>
          </cell>
        </row>
        <row r="605">
          <cell r="A605" t="str">
            <v>C10841</v>
          </cell>
          <cell r="B605" t="str">
            <v>Organization</v>
          </cell>
          <cell r="C605" t="str">
            <v>IFTEX OIL &amp; CHEMICALS PVT. LTD          (200)</v>
          </cell>
          <cell r="D605" t="str">
            <v>30</v>
          </cell>
        </row>
        <row r="606">
          <cell r="A606" t="str">
            <v>C10842</v>
          </cell>
          <cell r="B606" t="str">
            <v>Organization</v>
          </cell>
          <cell r="C606" t="str">
            <v>INDAG RUBBER LIMITED</v>
          </cell>
          <cell r="D606" t="str">
            <v>30</v>
          </cell>
        </row>
        <row r="607">
          <cell r="A607" t="str">
            <v>C10844</v>
          </cell>
          <cell r="B607" t="str">
            <v>Organization</v>
          </cell>
          <cell r="C607" t="str">
            <v>INDIA GLYCOLS LTD. - OKHLA(CLOSED)</v>
          </cell>
          <cell r="D607" t="str">
            <v>60</v>
          </cell>
        </row>
        <row r="608">
          <cell r="A608" t="str">
            <v>C10845</v>
          </cell>
          <cell r="B608" t="str">
            <v>Organization</v>
          </cell>
          <cell r="C608" t="str">
            <v>INDIAN CHEMPHAR LIMITED (200)</v>
          </cell>
          <cell r="D608" t="str">
            <v>45</v>
          </cell>
        </row>
        <row r="609">
          <cell r="A609" t="str">
            <v>C10850</v>
          </cell>
          <cell r="B609" t="str">
            <v>Organization</v>
          </cell>
          <cell r="C609" t="str">
            <v>INDIAN METAL POWDER INDUSTRIES</v>
          </cell>
          <cell r="D609" t="str">
            <v>1</v>
          </cell>
        </row>
        <row r="610">
          <cell r="A610" t="str">
            <v>C10852</v>
          </cell>
          <cell r="B610" t="str">
            <v>Organization</v>
          </cell>
          <cell r="C610" t="str">
            <v>INDIAN OIL CORPN. LTD A/C MOBIL - CHENNAI</v>
          </cell>
          <cell r="D610" t="str">
            <v>30</v>
          </cell>
        </row>
        <row r="611">
          <cell r="A611" t="str">
            <v>C10853</v>
          </cell>
          <cell r="B611" t="str">
            <v>Organization</v>
          </cell>
          <cell r="C611" t="str">
            <v>INDIAN OIL CORPN. LIMITED - ALLAHABAD</v>
          </cell>
          <cell r="D611" t="str">
            <v>30</v>
          </cell>
        </row>
        <row r="612">
          <cell r="A612" t="str">
            <v>C10856</v>
          </cell>
          <cell r="B612" t="str">
            <v>Organization</v>
          </cell>
          <cell r="C612" t="str">
            <v>INDIAN OIL CORPORATION LTD - DELHI</v>
          </cell>
          <cell r="D612" t="str">
            <v>30</v>
          </cell>
        </row>
        <row r="613">
          <cell r="A613" t="str">
            <v>C10857</v>
          </cell>
          <cell r="B613" t="str">
            <v>Organization</v>
          </cell>
          <cell r="C613" t="str">
            <v>INDIAN OIL CORPORATION LTD - TADEPALLI</v>
          </cell>
          <cell r="D613" t="str">
            <v>30</v>
          </cell>
        </row>
        <row r="614">
          <cell r="A614" t="str">
            <v>C10859</v>
          </cell>
          <cell r="B614" t="str">
            <v>Organization</v>
          </cell>
          <cell r="C614" t="str">
            <v>INDIAN OIL CORPORATION LTD - KOLKATA</v>
          </cell>
          <cell r="D614" t="str">
            <v>30</v>
          </cell>
        </row>
        <row r="615">
          <cell r="A615" t="str">
            <v>C10860</v>
          </cell>
          <cell r="B615" t="str">
            <v>Organization</v>
          </cell>
          <cell r="C615" t="str">
            <v>INDIAN OIL CORPORATION LTD - CHEMBUR</v>
          </cell>
          <cell r="D615" t="str">
            <v>30</v>
          </cell>
        </row>
        <row r="616">
          <cell r="A616" t="str">
            <v>C10862</v>
          </cell>
          <cell r="B616" t="str">
            <v>Organization</v>
          </cell>
          <cell r="C616" t="str">
            <v>INDIAN OIL CORPORATION LTD - CHENNAI</v>
          </cell>
          <cell r="D616" t="str">
            <v>30</v>
          </cell>
        </row>
        <row r="617">
          <cell r="A617" t="str">
            <v>C10864</v>
          </cell>
          <cell r="B617" t="str">
            <v>Organization</v>
          </cell>
          <cell r="C617" t="str">
            <v>INDIAN OVERSEAS CORPORATION</v>
          </cell>
          <cell r="D617" t="str">
            <v>30</v>
          </cell>
        </row>
        <row r="618">
          <cell r="A618" t="str">
            <v>C10865</v>
          </cell>
          <cell r="B618" t="str">
            <v>Organization</v>
          </cell>
          <cell r="C618" t="str">
            <v>INDO AMINES LTD.</v>
          </cell>
          <cell r="D618" t="str">
            <v>60</v>
          </cell>
        </row>
        <row r="619">
          <cell r="A619" t="str">
            <v>C10867</v>
          </cell>
          <cell r="B619" t="str">
            <v>Organization</v>
          </cell>
          <cell r="C619" t="str">
            <v>INDO GERMAN ALKALIES</v>
          </cell>
          <cell r="D619" t="str">
            <v>0</v>
          </cell>
        </row>
        <row r="620">
          <cell r="A620" t="str">
            <v>C10870</v>
          </cell>
          <cell r="B620" t="str">
            <v>Organization</v>
          </cell>
          <cell r="C620" t="str">
            <v>INDOCHEM OIL (INDIA) LIMITED</v>
          </cell>
          <cell r="D620" t="str">
            <v>30</v>
          </cell>
        </row>
        <row r="621">
          <cell r="A621" t="str">
            <v>C10871</v>
          </cell>
          <cell r="B621" t="str">
            <v>Organization</v>
          </cell>
          <cell r="C621" t="str">
            <v>INDOFIL CHEMICALS CO. (200)</v>
          </cell>
          <cell r="D621" t="str">
            <v>90</v>
          </cell>
        </row>
        <row r="622">
          <cell r="A622" t="str">
            <v>C10872</v>
          </cell>
          <cell r="B622" t="str">
            <v>Organization</v>
          </cell>
          <cell r="C622" t="str">
            <v>INDUS SPECIALITY  OILS</v>
          </cell>
          <cell r="D622" t="str">
            <v>45</v>
          </cell>
        </row>
        <row r="623">
          <cell r="A623" t="str">
            <v>C10874</v>
          </cell>
          <cell r="B623" t="str">
            <v>Organization</v>
          </cell>
          <cell r="C623" t="str">
            <v>INDUSTRIAL GRAPHITES</v>
          </cell>
          <cell r="D623" t="str">
            <v>1</v>
          </cell>
        </row>
        <row r="624">
          <cell r="A624" t="str">
            <v>C10879</v>
          </cell>
          <cell r="B624" t="str">
            <v>Organization</v>
          </cell>
          <cell r="C624" t="str">
            <v>INNOVASSYNTH  TECHNOLOGIES  INDIA  LTD.</v>
          </cell>
          <cell r="D624" t="str">
            <v>30</v>
          </cell>
        </row>
        <row r="625">
          <cell r="A625" t="str">
            <v>C10882</v>
          </cell>
          <cell r="B625" t="str">
            <v>Organization</v>
          </cell>
          <cell r="C625" t="str">
            <v>INTEGRATED FIRE PROTECTION PVT. LTD</v>
          </cell>
          <cell r="D625" t="str">
            <v>30</v>
          </cell>
        </row>
        <row r="626">
          <cell r="A626" t="str">
            <v>C10883</v>
          </cell>
          <cell r="B626" t="str">
            <v>Organization</v>
          </cell>
          <cell r="C626" t="str">
            <v>INTEGRATED TECHNOLOGY</v>
          </cell>
          <cell r="D626" t="str">
            <v>1</v>
          </cell>
        </row>
        <row r="627">
          <cell r="A627" t="str">
            <v>C10884</v>
          </cell>
          <cell r="B627" t="str">
            <v>Organization</v>
          </cell>
          <cell r="C627" t="str">
            <v>INTEGRATED TRADING CO.</v>
          </cell>
          <cell r="D627" t="str">
            <v>1</v>
          </cell>
        </row>
        <row r="628">
          <cell r="A628" t="str">
            <v>C10885</v>
          </cell>
          <cell r="B628" t="str">
            <v>Organization</v>
          </cell>
          <cell r="C628" t="str">
            <v>INTERNATIONAL FLAVOURS &amp; FRAGRANCES INDIA LTD</v>
          </cell>
          <cell r="D628" t="str">
            <v>30</v>
          </cell>
        </row>
        <row r="629">
          <cell r="A629" t="str">
            <v>C10886</v>
          </cell>
          <cell r="B629" t="str">
            <v>Organization</v>
          </cell>
          <cell r="C629" t="str">
            <v>INTERNATIONAL METRO CIVIL CONTRACTORS</v>
          </cell>
          <cell r="D629" t="str">
            <v>1</v>
          </cell>
        </row>
        <row r="630">
          <cell r="A630" t="str">
            <v>C10887</v>
          </cell>
          <cell r="B630" t="str">
            <v>Organization</v>
          </cell>
          <cell r="C630" t="str">
            <v>IPCA LABORATORIES LIMITED - RATLAM</v>
          </cell>
          <cell r="D630" t="str">
            <v>30</v>
          </cell>
        </row>
        <row r="631">
          <cell r="A631" t="str">
            <v>C10889</v>
          </cell>
          <cell r="B631" t="str">
            <v>Organization</v>
          </cell>
          <cell r="C631" t="str">
            <v>ISRO PRODUCTS</v>
          </cell>
          <cell r="D631" t="str">
            <v>60</v>
          </cell>
        </row>
        <row r="632">
          <cell r="A632" t="str">
            <v>C10890</v>
          </cell>
          <cell r="B632" t="str">
            <v>Organization</v>
          </cell>
          <cell r="C632" t="str">
            <v>ITC LIMITED</v>
          </cell>
          <cell r="D632" t="str">
            <v>30</v>
          </cell>
        </row>
        <row r="633">
          <cell r="A633" t="str">
            <v>C10891</v>
          </cell>
          <cell r="B633" t="str">
            <v>Organization</v>
          </cell>
          <cell r="C633" t="str">
            <v>ITW INDIA LIMITED</v>
          </cell>
          <cell r="D633" t="str">
            <v>30</v>
          </cell>
        </row>
        <row r="634">
          <cell r="A634" t="str">
            <v>C10892</v>
          </cell>
          <cell r="B634" t="str">
            <v>Organization</v>
          </cell>
          <cell r="C634" t="str">
            <v>ITW INDIA LIMITED (MAGNAFLEX)</v>
          </cell>
          <cell r="D634" t="str">
            <v>30</v>
          </cell>
        </row>
        <row r="635">
          <cell r="A635" t="str">
            <v>C10893</v>
          </cell>
          <cell r="B635" t="str">
            <v>Organization</v>
          </cell>
          <cell r="C635" t="str">
            <v>IVAX PAPER CHEMICALS LTD</v>
          </cell>
          <cell r="D635" t="str">
            <v>7</v>
          </cell>
        </row>
        <row r="636">
          <cell r="A636" t="str">
            <v>C10894</v>
          </cell>
          <cell r="B636" t="str">
            <v>Organization</v>
          </cell>
          <cell r="C636" t="str">
            <v>J &amp; J BIO-TECH &amp; SPECIALITY CHEMICALS (P) LTD.</v>
          </cell>
          <cell r="D636" t="str">
            <v>30</v>
          </cell>
        </row>
        <row r="637">
          <cell r="A637" t="str">
            <v>C10895</v>
          </cell>
          <cell r="B637" t="str">
            <v>Organization</v>
          </cell>
          <cell r="C637" t="str">
            <v>J.C.TROIKA</v>
          </cell>
          <cell r="D637" t="str">
            <v>30</v>
          </cell>
        </row>
        <row r="638">
          <cell r="A638" t="str">
            <v>C10896</v>
          </cell>
          <cell r="B638" t="str">
            <v>Organization</v>
          </cell>
          <cell r="C638" t="str">
            <v>J.K. PETROLEUM INDUSTRIES</v>
          </cell>
          <cell r="D638" t="str">
            <v>60</v>
          </cell>
        </row>
        <row r="639">
          <cell r="A639" t="str">
            <v>C10898</v>
          </cell>
          <cell r="B639" t="str">
            <v>Organization</v>
          </cell>
          <cell r="C639" t="str">
            <v>J.R. CORPORATION</v>
          </cell>
          <cell r="D639" t="str">
            <v>60</v>
          </cell>
        </row>
        <row r="640">
          <cell r="A640" t="str">
            <v>C10899</v>
          </cell>
          <cell r="B640" t="str">
            <v>Organization</v>
          </cell>
          <cell r="C640" t="str">
            <v>JAI RESEARCH FOUNDATION</v>
          </cell>
          <cell r="D640" t="str">
            <v>60</v>
          </cell>
        </row>
        <row r="641">
          <cell r="A641" t="str">
            <v>C10900</v>
          </cell>
          <cell r="B641" t="str">
            <v>Organization</v>
          </cell>
          <cell r="C641" t="str">
            <v>JAIN ENTERPRISES</v>
          </cell>
          <cell r="D641" t="str">
            <v>30</v>
          </cell>
        </row>
        <row r="642">
          <cell r="A642" t="str">
            <v>C10901</v>
          </cell>
          <cell r="B642" t="str">
            <v>Organization</v>
          </cell>
          <cell r="C642" t="str">
            <v>JAIN INDUSTRIES     (200)</v>
          </cell>
          <cell r="D642" t="str">
            <v>30</v>
          </cell>
        </row>
        <row r="643">
          <cell r="A643" t="str">
            <v>C10903</v>
          </cell>
          <cell r="B643" t="str">
            <v>Organization</v>
          </cell>
          <cell r="C643" t="str">
            <v>JASS LUBRICANTS</v>
          </cell>
          <cell r="D643" t="str">
            <v>0</v>
          </cell>
        </row>
        <row r="644">
          <cell r="A644" t="str">
            <v>C10911</v>
          </cell>
          <cell r="B644" t="str">
            <v>Organization</v>
          </cell>
          <cell r="C644" t="str">
            <v>JAYSHREE ENTERPRISES</v>
          </cell>
          <cell r="D644" t="str">
            <v>1</v>
          </cell>
        </row>
        <row r="645">
          <cell r="A645" t="str">
            <v>C10915</v>
          </cell>
          <cell r="B645" t="str">
            <v>Organization</v>
          </cell>
          <cell r="C645" t="str">
            <v>JOCIL LIMITED</v>
          </cell>
          <cell r="D645" t="str">
            <v>30</v>
          </cell>
        </row>
        <row r="646">
          <cell r="A646" t="str">
            <v>C10917</v>
          </cell>
          <cell r="B646" t="str">
            <v>Organization</v>
          </cell>
          <cell r="C646" t="str">
            <v>JOHNSON EXPORTS</v>
          </cell>
          <cell r="D646" t="str">
            <v>1</v>
          </cell>
        </row>
        <row r="647">
          <cell r="A647" t="str">
            <v>C10918</v>
          </cell>
          <cell r="B647" t="str">
            <v>Organization</v>
          </cell>
          <cell r="C647" t="str">
            <v>JP DYECHEM PVT. LTD</v>
          </cell>
          <cell r="D647" t="str">
            <v>0</v>
          </cell>
        </row>
        <row r="648">
          <cell r="A648" t="str">
            <v>C10919</v>
          </cell>
          <cell r="B648" t="str">
            <v>Organization</v>
          </cell>
          <cell r="C648" t="str">
            <v>JUBILANT ORGANOSYS LIMITED - VADODRA</v>
          </cell>
          <cell r="D648" t="str">
            <v>60</v>
          </cell>
        </row>
        <row r="649">
          <cell r="A649" t="str">
            <v>C10920</v>
          </cell>
          <cell r="B649" t="str">
            <v>Organization</v>
          </cell>
          <cell r="C649" t="str">
            <v>JUBILANT ORGANOSYS LIMITED - PUNE</v>
          </cell>
          <cell r="D649" t="str">
            <v>60</v>
          </cell>
        </row>
        <row r="650">
          <cell r="A650" t="str">
            <v>C10921</v>
          </cell>
          <cell r="B650" t="str">
            <v>Organization</v>
          </cell>
          <cell r="C650" t="str">
            <v>JUPITER LEYS PVT. LTD.</v>
          </cell>
          <cell r="D650" t="str">
            <v>0</v>
          </cell>
        </row>
        <row r="651">
          <cell r="A651" t="str">
            <v>C10923</v>
          </cell>
          <cell r="B651" t="str">
            <v>Organization</v>
          </cell>
          <cell r="C651" t="str">
            <v>K. K. CHEMICAL INDUSTRIES</v>
          </cell>
          <cell r="D651" t="str">
            <v>0</v>
          </cell>
        </row>
        <row r="652">
          <cell r="A652" t="str">
            <v>C10925</v>
          </cell>
          <cell r="B652" t="str">
            <v>Organization</v>
          </cell>
          <cell r="C652" t="str">
            <v>K. TECH (INDIA) PVT. LTD</v>
          </cell>
          <cell r="D652" t="str">
            <v>30</v>
          </cell>
        </row>
        <row r="653">
          <cell r="A653" t="str">
            <v>C10927</v>
          </cell>
          <cell r="B653" t="str">
            <v>Organization</v>
          </cell>
          <cell r="C653" t="str">
            <v>K.K. SPECIALITY SILICONES</v>
          </cell>
          <cell r="D653" t="str">
            <v>30</v>
          </cell>
        </row>
        <row r="654">
          <cell r="A654" t="str">
            <v>C10928</v>
          </cell>
          <cell r="B654" t="str">
            <v>Organization</v>
          </cell>
          <cell r="C654" t="str">
            <v>K.L.F.  NIRMAL INDUSTRIES PVT. LTD.</v>
          </cell>
          <cell r="D654" t="str">
            <v>30</v>
          </cell>
        </row>
        <row r="655">
          <cell r="A655" t="str">
            <v>C10931</v>
          </cell>
          <cell r="B655" t="str">
            <v>Organization</v>
          </cell>
          <cell r="C655" t="str">
            <v>KAISER INDUSTRIES</v>
          </cell>
          <cell r="D655" t="str">
            <v>45</v>
          </cell>
        </row>
        <row r="656">
          <cell r="A656" t="str">
            <v>C10932</v>
          </cell>
          <cell r="B656" t="str">
            <v>Organization</v>
          </cell>
          <cell r="C656" t="str">
            <v>KALIKA INTERNATIONAL</v>
          </cell>
          <cell r="D656" t="str">
            <v>30</v>
          </cell>
        </row>
        <row r="657">
          <cell r="A657" t="str">
            <v>C10935</v>
          </cell>
          <cell r="B657" t="str">
            <v>Organization</v>
          </cell>
          <cell r="C657" t="str">
            <v>KAMSONS CHEMICALS PVT.  LTD.</v>
          </cell>
          <cell r="D657" t="str">
            <v>60</v>
          </cell>
        </row>
        <row r="658">
          <cell r="A658" t="str">
            <v>C10936</v>
          </cell>
          <cell r="B658" t="str">
            <v>Organization</v>
          </cell>
          <cell r="C658" t="str">
            <v>KANCOR FLAVOURS AND EXTRACTS LTD.</v>
          </cell>
          <cell r="D658" t="str">
            <v>30</v>
          </cell>
        </row>
        <row r="659">
          <cell r="A659" t="str">
            <v>C10937</v>
          </cell>
          <cell r="B659" t="str">
            <v>Organization</v>
          </cell>
          <cell r="C659" t="str">
            <v>KANCOR INGREDIENTS LIMITED -  ANGAMALLY</v>
          </cell>
          <cell r="D659" t="str">
            <v>30</v>
          </cell>
        </row>
        <row r="660">
          <cell r="A660" t="str">
            <v>C10938</v>
          </cell>
          <cell r="B660" t="str">
            <v>Organization</v>
          </cell>
          <cell r="C660" t="str">
            <v>KANJI MORARJI FOOD INGREDIENTS P. LTD</v>
          </cell>
          <cell r="D660" t="str">
            <v>45</v>
          </cell>
        </row>
        <row r="661">
          <cell r="A661" t="str">
            <v>C10939</v>
          </cell>
          <cell r="B661" t="str">
            <v>Organization</v>
          </cell>
          <cell r="C661" t="str">
            <v>KANKOO PAINTS PVT. LTD       (200)</v>
          </cell>
          <cell r="D661" t="str">
            <v>30</v>
          </cell>
        </row>
        <row r="662">
          <cell r="A662" t="str">
            <v>C10943</v>
          </cell>
          <cell r="B662" t="str">
            <v>Organization</v>
          </cell>
          <cell r="C662" t="str">
            <v>KASHMIR KESSAR MART</v>
          </cell>
          <cell r="D662" t="str">
            <v>1</v>
          </cell>
        </row>
        <row r="663">
          <cell r="A663" t="str">
            <v>C10944</v>
          </cell>
          <cell r="B663" t="str">
            <v>Organization</v>
          </cell>
          <cell r="C663" t="str">
            <v>KASYAP SWEETENERS LTD.</v>
          </cell>
          <cell r="D663" t="str">
            <v>30</v>
          </cell>
        </row>
        <row r="664">
          <cell r="A664" t="str">
            <v>C10947</v>
          </cell>
          <cell r="B664" t="str">
            <v>Organization</v>
          </cell>
          <cell r="C664" t="str">
            <v>KAY LUBES PVT. LTD.</v>
          </cell>
          <cell r="D664" t="str">
            <v>0</v>
          </cell>
        </row>
        <row r="665">
          <cell r="A665" t="str">
            <v>C10948</v>
          </cell>
          <cell r="B665" t="str">
            <v>Organization</v>
          </cell>
          <cell r="C665" t="str">
            <v>KCP BIOTECH LIMITED</v>
          </cell>
          <cell r="D665" t="str">
            <v>0</v>
          </cell>
        </row>
        <row r="666">
          <cell r="A666" t="str">
            <v>C10950</v>
          </cell>
          <cell r="B666" t="str">
            <v>Organization</v>
          </cell>
          <cell r="C666" t="str">
            <v>KEDIA ORGANIC CHEMICALS LTD</v>
          </cell>
          <cell r="D666" t="str">
            <v>0</v>
          </cell>
        </row>
        <row r="667">
          <cell r="A667" t="str">
            <v>C10952</v>
          </cell>
          <cell r="B667" t="str">
            <v>Organization</v>
          </cell>
          <cell r="C667" t="str">
            <v>KELTECH ENERGIES LIMITED</v>
          </cell>
          <cell r="D667" t="str">
            <v>1</v>
          </cell>
        </row>
        <row r="668">
          <cell r="A668" t="str">
            <v>C10954</v>
          </cell>
          <cell r="B668" t="str">
            <v>Organization</v>
          </cell>
          <cell r="C668" t="str">
            <v>KEMEX INTERNATIONAL PVT. LTD</v>
          </cell>
          <cell r="D668" t="str">
            <v>30</v>
          </cell>
        </row>
        <row r="669">
          <cell r="A669" t="str">
            <v>C10955</v>
          </cell>
          <cell r="B669" t="str">
            <v>Organization</v>
          </cell>
          <cell r="C669" t="str">
            <v>KEMIN  NUTRITIONAL TECHNOLOGIES (INDIA) PVT. LTD.</v>
          </cell>
          <cell r="D669" t="str">
            <v>60</v>
          </cell>
        </row>
        <row r="670">
          <cell r="A670" t="str">
            <v>C10956</v>
          </cell>
          <cell r="B670" t="str">
            <v>Organization</v>
          </cell>
          <cell r="C670" t="str">
            <v>KEVA FLAVOURS PRIVATE LIMITED</v>
          </cell>
          <cell r="D670" t="str">
            <v>8</v>
          </cell>
        </row>
        <row r="671">
          <cell r="A671" t="str">
            <v>C10959</v>
          </cell>
          <cell r="B671" t="str">
            <v>Organization</v>
          </cell>
          <cell r="C671" t="str">
            <v>KHANDELWAL BIOTECHNOLOGY LABORATORY</v>
          </cell>
          <cell r="D671" t="str">
            <v>0</v>
          </cell>
        </row>
        <row r="672">
          <cell r="A672" t="str">
            <v>C10961</v>
          </cell>
          <cell r="B672" t="str">
            <v>Organization</v>
          </cell>
          <cell r="C672" t="str">
            <v>KHATRI PERFUMERS P. LTD.</v>
          </cell>
          <cell r="D672" t="str">
            <v>30</v>
          </cell>
        </row>
        <row r="673">
          <cell r="A673" t="str">
            <v>C10962</v>
          </cell>
          <cell r="B673" t="str">
            <v>Organization</v>
          </cell>
          <cell r="C673" t="str">
            <v>KHATRI TOBACCO INDUSTRIES</v>
          </cell>
          <cell r="D673" t="str">
            <v>30</v>
          </cell>
        </row>
        <row r="674">
          <cell r="A674" t="str">
            <v>C10963</v>
          </cell>
          <cell r="B674" t="str">
            <v>Organization</v>
          </cell>
          <cell r="C674" t="str">
            <v>KHOPOLI POLYMER PRODUCTS</v>
          </cell>
          <cell r="D674" t="str">
            <v>0</v>
          </cell>
        </row>
        <row r="675">
          <cell r="A675" t="str">
            <v>C10964</v>
          </cell>
          <cell r="B675" t="str">
            <v>Organization</v>
          </cell>
          <cell r="C675" t="str">
            <v>KIM CHEMICALS LIMITED</v>
          </cell>
          <cell r="D675" t="str">
            <v>45</v>
          </cell>
        </row>
        <row r="676">
          <cell r="A676" t="str">
            <v>C10972</v>
          </cell>
          <cell r="B676" t="str">
            <v>Organization</v>
          </cell>
          <cell r="C676" t="str">
            <v>KPL OIL MILLS PRIVATE LIMITED</v>
          </cell>
          <cell r="D676" t="str">
            <v>1</v>
          </cell>
        </row>
        <row r="677">
          <cell r="A677" t="str">
            <v>C10975</v>
          </cell>
          <cell r="B677" t="str">
            <v>Organization</v>
          </cell>
          <cell r="C677" t="str">
            <v>KRISHI OILS LIMITED</v>
          </cell>
          <cell r="D677" t="str">
            <v>1</v>
          </cell>
        </row>
        <row r="678">
          <cell r="A678" t="str">
            <v>C10976</v>
          </cell>
          <cell r="B678" t="str">
            <v>Organization</v>
          </cell>
          <cell r="C678" t="str">
            <v>KRISHNA ANTIOXIDANTS PVT. LTD. - MUMBAI</v>
          </cell>
          <cell r="D678" t="str">
            <v>30</v>
          </cell>
        </row>
        <row r="679">
          <cell r="A679" t="str">
            <v>C10977</v>
          </cell>
          <cell r="B679" t="str">
            <v>Organization</v>
          </cell>
          <cell r="C679" t="str">
            <v>KRISHNA BARRELS PVT. LTD - VADODARA</v>
          </cell>
          <cell r="D679" t="str">
            <v>30</v>
          </cell>
        </row>
        <row r="680">
          <cell r="A680" t="str">
            <v>C10978</v>
          </cell>
          <cell r="B680" t="str">
            <v>Organization</v>
          </cell>
          <cell r="C680" t="str">
            <v>KRISHNA BARRELS PVT. LTD - HALOL</v>
          </cell>
          <cell r="D680" t="str">
            <v>30</v>
          </cell>
        </row>
        <row r="681">
          <cell r="A681" t="str">
            <v>C10983</v>
          </cell>
          <cell r="B681" t="str">
            <v>Organization</v>
          </cell>
          <cell r="C681" t="str">
            <v>KROSLINK POLYMERS PVT. LTD.</v>
          </cell>
          <cell r="D681" t="str">
            <v>30</v>
          </cell>
        </row>
        <row r="682">
          <cell r="A682" t="str">
            <v>C10984</v>
          </cell>
          <cell r="B682" t="str">
            <v>Organization</v>
          </cell>
          <cell r="C682" t="str">
            <v>KRUPA SCIENTIFIC &amp; INDUSTRIAL APPARATUS CO.</v>
          </cell>
          <cell r="D682" t="str">
            <v>45</v>
          </cell>
        </row>
        <row r="683">
          <cell r="A683" t="str">
            <v>C10985</v>
          </cell>
          <cell r="B683" t="str">
            <v>Organization</v>
          </cell>
          <cell r="C683" t="str">
            <v>KUBO COMBUSTION &amp; EFFICIENCY CHEMICALS</v>
          </cell>
          <cell r="D683" t="str">
            <v>30</v>
          </cell>
        </row>
        <row r="684">
          <cell r="A684" t="str">
            <v>C10986</v>
          </cell>
          <cell r="B684" t="str">
            <v>Organization</v>
          </cell>
          <cell r="C684" t="str">
            <v>KUMAR CONTAINERS - (SHAMLI)</v>
          </cell>
          <cell r="D684" t="str">
            <v>30</v>
          </cell>
        </row>
        <row r="685">
          <cell r="A685" t="str">
            <v>C10987</v>
          </cell>
          <cell r="B685" t="str">
            <v>Organization</v>
          </cell>
          <cell r="C685" t="str">
            <v>KUNDAN ENTERPRISES</v>
          </cell>
          <cell r="D685" t="str">
            <v>1</v>
          </cell>
        </row>
        <row r="686">
          <cell r="A686" t="str">
            <v>C10988</v>
          </cell>
          <cell r="B686" t="str">
            <v>Organization</v>
          </cell>
          <cell r="C686" t="str">
            <v>KURIAN ABRAHAM (P) LIMITED</v>
          </cell>
          <cell r="D686" t="str">
            <v>0</v>
          </cell>
        </row>
        <row r="687">
          <cell r="A687" t="str">
            <v>C10989</v>
          </cell>
          <cell r="B687" t="str">
            <v>Organization</v>
          </cell>
          <cell r="C687" t="str">
            <v>KWALITY AGROVET INDUSTRIES PVT. LTD.</v>
          </cell>
          <cell r="D687" t="str">
            <v>0</v>
          </cell>
        </row>
        <row r="688">
          <cell r="A688" t="str">
            <v>C10990</v>
          </cell>
          <cell r="B688" t="str">
            <v>Organization</v>
          </cell>
          <cell r="C688" t="str">
            <v>KWALITY PAINTS</v>
          </cell>
          <cell r="D688" t="str">
            <v>0</v>
          </cell>
        </row>
        <row r="689">
          <cell r="A689" t="str">
            <v>C10991</v>
          </cell>
          <cell r="B689" t="str">
            <v>Organization</v>
          </cell>
          <cell r="C689" t="str">
            <v>L.N. CHEMICAL INDUSTRIES (200)</v>
          </cell>
          <cell r="D689" t="str">
            <v>60</v>
          </cell>
        </row>
        <row r="690">
          <cell r="A690" t="str">
            <v>C10994</v>
          </cell>
          <cell r="B690" t="str">
            <v>Organization</v>
          </cell>
          <cell r="C690" t="str">
            <v>LABORT FINE CHEM PVT. LTD</v>
          </cell>
          <cell r="D690" t="str">
            <v>0</v>
          </cell>
        </row>
        <row r="691">
          <cell r="A691" t="str">
            <v>C10998</v>
          </cell>
          <cell r="B691" t="str">
            <v>Organization</v>
          </cell>
          <cell r="C691" t="str">
            <v>LAWAS LUBE SPECIALITIES</v>
          </cell>
          <cell r="D691" t="str">
            <v>45</v>
          </cell>
        </row>
        <row r="692">
          <cell r="A692" t="str">
            <v>C10999</v>
          </cell>
          <cell r="B692" t="str">
            <v>Organization</v>
          </cell>
          <cell r="C692" t="str">
            <v>LAXMI ORGANIC INDUSTRIES LIMITED.</v>
          </cell>
          <cell r="D692" t="str">
            <v>60</v>
          </cell>
        </row>
        <row r="693">
          <cell r="A693" t="str">
            <v>C11003</v>
          </cell>
          <cell r="B693" t="str">
            <v>Organization</v>
          </cell>
          <cell r="C693" t="str">
            <v>LEO LUBRICANTS PVT. LTD</v>
          </cell>
          <cell r="D693" t="str">
            <v>30</v>
          </cell>
        </row>
        <row r="694">
          <cell r="A694" t="str">
            <v>C11004</v>
          </cell>
          <cell r="B694" t="str">
            <v>Organization</v>
          </cell>
          <cell r="C694" t="str">
            <v>LICENCE INDIA.COM</v>
          </cell>
          <cell r="D694" t="str">
            <v>1</v>
          </cell>
        </row>
        <row r="695">
          <cell r="A695" t="str">
            <v>C11007</v>
          </cell>
          <cell r="B695" t="str">
            <v>Organization</v>
          </cell>
          <cell r="C695" t="str">
            <v>LOBA CHEMIE PVT. LTD</v>
          </cell>
          <cell r="D695" t="str">
            <v>0</v>
          </cell>
        </row>
        <row r="696">
          <cell r="A696" t="str">
            <v>C11008</v>
          </cell>
          <cell r="B696" t="str">
            <v>Organization</v>
          </cell>
          <cell r="C696" t="str">
            <v>LOG-IN SYSTEMS</v>
          </cell>
          <cell r="D696" t="str">
            <v>1</v>
          </cell>
        </row>
        <row r="697">
          <cell r="A697" t="str">
            <v>C11009</v>
          </cell>
          <cell r="B697" t="str">
            <v>Organization</v>
          </cell>
          <cell r="C697" t="str">
            <v>LORDS CHLORO ALKALI LIMITED</v>
          </cell>
          <cell r="D697" t="str">
            <v>0</v>
          </cell>
        </row>
        <row r="698">
          <cell r="A698" t="str">
            <v>C11010</v>
          </cell>
          <cell r="B698" t="str">
            <v>Organization</v>
          </cell>
          <cell r="C698" t="str">
            <v>LRC SPECIALITY CHEMICALS PRIVATE LIMITED - NAVI MUMBAI</v>
          </cell>
          <cell r="D698" t="str">
            <v>30</v>
          </cell>
        </row>
        <row r="699">
          <cell r="A699" t="str">
            <v>C11013</v>
          </cell>
          <cell r="B699" t="str">
            <v>Organization</v>
          </cell>
          <cell r="C699" t="str">
            <v>LUBE OIL DISTRIBUTORS</v>
          </cell>
          <cell r="D699" t="str">
            <v>0</v>
          </cell>
        </row>
        <row r="700">
          <cell r="A700" t="str">
            <v>C11015</v>
          </cell>
          <cell r="B700" t="str">
            <v>Organization</v>
          </cell>
          <cell r="C700" t="str">
            <v>LUBRICHEM</v>
          </cell>
          <cell r="D700" t="str">
            <v>0</v>
          </cell>
        </row>
        <row r="701">
          <cell r="A701" t="str">
            <v>C11016</v>
          </cell>
          <cell r="B701" t="str">
            <v>Organization</v>
          </cell>
          <cell r="C701" t="str">
            <v>LUBROL PETROLEUM INDUSTRIES</v>
          </cell>
          <cell r="D701" t="str">
            <v>30</v>
          </cell>
        </row>
        <row r="702">
          <cell r="A702" t="str">
            <v>C11017</v>
          </cell>
          <cell r="B702" t="str">
            <v>Organization</v>
          </cell>
          <cell r="C702" t="str">
            <v>LUPIN LIMITED</v>
          </cell>
          <cell r="D702" t="str">
            <v>1</v>
          </cell>
        </row>
        <row r="703">
          <cell r="A703" t="str">
            <v>C11019</v>
          </cell>
          <cell r="B703" t="str">
            <v>Organization</v>
          </cell>
          <cell r="C703" t="str">
            <v>M. O. PHILLIPS INDUSTRIES</v>
          </cell>
          <cell r="D703" t="str">
            <v>1</v>
          </cell>
        </row>
        <row r="704">
          <cell r="A704" t="str">
            <v>C11020</v>
          </cell>
          <cell r="B704" t="str">
            <v>Organization</v>
          </cell>
          <cell r="C704" t="str">
            <v>M.N. SCRAP TRADERS</v>
          </cell>
          <cell r="D704" t="str">
            <v>1</v>
          </cell>
        </row>
        <row r="705">
          <cell r="A705" t="str">
            <v>C11022</v>
          </cell>
          <cell r="B705" t="str">
            <v>Organization</v>
          </cell>
          <cell r="C705" t="str">
            <v>MACHINO ENGINEERING</v>
          </cell>
          <cell r="D705" t="str">
            <v>1</v>
          </cell>
        </row>
        <row r="706">
          <cell r="A706" t="str">
            <v>C11025</v>
          </cell>
          <cell r="B706" t="str">
            <v>Organization</v>
          </cell>
          <cell r="C706" t="str">
            <v>MADHUBAN DRUMS &amp; BARRELS - MUMBAI</v>
          </cell>
          <cell r="D706" t="str">
            <v>30</v>
          </cell>
        </row>
        <row r="707">
          <cell r="A707" t="str">
            <v>C11028</v>
          </cell>
          <cell r="B707" t="str">
            <v>Organization</v>
          </cell>
          <cell r="C707" t="str">
            <v>MAGNA COLOURS (I) PVT. LTD - MUMBAI</v>
          </cell>
          <cell r="D707" t="str">
            <v>30</v>
          </cell>
        </row>
        <row r="708">
          <cell r="A708" t="str">
            <v>C11030</v>
          </cell>
          <cell r="B708" t="str">
            <v>Organization</v>
          </cell>
          <cell r="C708" t="str">
            <v>MAGNUM CHEMICALS</v>
          </cell>
          <cell r="D708" t="str">
            <v>60</v>
          </cell>
        </row>
        <row r="709">
          <cell r="A709" t="str">
            <v>C11031</v>
          </cell>
          <cell r="B709" t="str">
            <v>Organization</v>
          </cell>
          <cell r="C709" t="str">
            <v>MAGNUM OVERSEAS (INDIA)</v>
          </cell>
          <cell r="D709" t="str">
            <v>30</v>
          </cell>
        </row>
        <row r="710">
          <cell r="A710" t="str">
            <v>C11032</v>
          </cell>
          <cell r="B710" t="str">
            <v>Organization</v>
          </cell>
          <cell r="C710" t="str">
            <v>MAGNUM PIGMENTS &amp; POLYMERS PVT. LTD</v>
          </cell>
          <cell r="D710" t="str">
            <v>60</v>
          </cell>
        </row>
        <row r="711">
          <cell r="A711" t="str">
            <v>C11035</v>
          </cell>
          <cell r="B711" t="str">
            <v>Organization</v>
          </cell>
          <cell r="C711" t="str">
            <v>MAHAS ENTERPRISES</v>
          </cell>
          <cell r="D711" t="str">
            <v>1</v>
          </cell>
        </row>
        <row r="712">
          <cell r="A712" t="str">
            <v>C11036</v>
          </cell>
          <cell r="B712" t="str">
            <v>Organization</v>
          </cell>
          <cell r="C712" t="str">
            <v>MAHATHA PETROLEUM PRIVATE LIMITED</v>
          </cell>
          <cell r="D712" t="str">
            <v>60</v>
          </cell>
        </row>
        <row r="713">
          <cell r="A713" t="str">
            <v>C11037</v>
          </cell>
          <cell r="B713" t="str">
            <v>Organization</v>
          </cell>
          <cell r="C713" t="str">
            <v>MAHAVIR PLASTIC INDUSTRIES</v>
          </cell>
          <cell r="D713" t="str">
            <v>30</v>
          </cell>
        </row>
        <row r="714">
          <cell r="A714" t="str">
            <v>C11038</v>
          </cell>
          <cell r="B714" t="str">
            <v>Organization</v>
          </cell>
          <cell r="C714" t="str">
            <v>MAHENDRA FOOD PRODUCTS</v>
          </cell>
          <cell r="D714" t="str">
            <v>30</v>
          </cell>
        </row>
        <row r="715">
          <cell r="A715" t="str">
            <v>C11041</v>
          </cell>
          <cell r="B715" t="str">
            <v>Organization</v>
          </cell>
          <cell r="C715" t="str">
            <v>MALDAR BARRELS PVT. LTD.</v>
          </cell>
          <cell r="D715" t="str">
            <v>30</v>
          </cell>
        </row>
        <row r="716">
          <cell r="A716" t="str">
            <v>C11043</v>
          </cell>
          <cell r="B716" t="str">
            <v>Organization</v>
          </cell>
          <cell r="C716" t="str">
            <v>MALE INTERNATIONAL PVT. LTD</v>
          </cell>
          <cell r="D716" t="str">
            <v>0</v>
          </cell>
        </row>
        <row r="717">
          <cell r="A717" t="str">
            <v>C11045</v>
          </cell>
          <cell r="B717" t="str">
            <v>Organization</v>
          </cell>
          <cell r="C717" t="str">
            <v>MANAK PETROCHEM (INDIA)</v>
          </cell>
          <cell r="D717" t="str">
            <v>30</v>
          </cell>
        </row>
        <row r="718">
          <cell r="A718" t="str">
            <v>C11046</v>
          </cell>
          <cell r="B718" t="str">
            <v>Organization</v>
          </cell>
          <cell r="C718" t="str">
            <v>MANALI PETROCHEMICALS LTD</v>
          </cell>
          <cell r="D718" t="str">
            <v>30</v>
          </cell>
        </row>
        <row r="719">
          <cell r="A719" t="str">
            <v>C11048</v>
          </cell>
          <cell r="B719" t="str">
            <v>Organization</v>
          </cell>
          <cell r="C719" t="str">
            <v>MANDAR CHEMICALS</v>
          </cell>
          <cell r="D719" t="str">
            <v>1</v>
          </cell>
        </row>
        <row r="720">
          <cell r="A720" t="str">
            <v>C11052</v>
          </cell>
          <cell r="B720" t="str">
            <v>Organization</v>
          </cell>
          <cell r="C720" t="str">
            <v>MANISH TRADERS</v>
          </cell>
          <cell r="D720" t="str">
            <v>30</v>
          </cell>
        </row>
        <row r="721">
          <cell r="A721" t="str">
            <v>C11053</v>
          </cell>
          <cell r="B721" t="str">
            <v>Organization</v>
          </cell>
          <cell r="C721" t="str">
            <v>MANOJ ENTERPRISES - MURBAD</v>
          </cell>
          <cell r="D721" t="str">
            <v>1</v>
          </cell>
        </row>
        <row r="722">
          <cell r="A722" t="str">
            <v>C11054</v>
          </cell>
          <cell r="B722" t="str">
            <v>Organization</v>
          </cell>
          <cell r="C722" t="str">
            <v>MAPCO CORPORATION</v>
          </cell>
          <cell r="D722" t="str">
            <v>1</v>
          </cell>
        </row>
        <row r="723">
          <cell r="A723" t="str">
            <v>C11055</v>
          </cell>
          <cell r="B723" t="str">
            <v>Organization</v>
          </cell>
          <cell r="C723" t="str">
            <v>MARGO BIOCONTROLS PVT. LIMITED</v>
          </cell>
          <cell r="D723" t="str">
            <v>30</v>
          </cell>
        </row>
        <row r="724">
          <cell r="A724" t="str">
            <v>C11057</v>
          </cell>
          <cell r="B724" t="str">
            <v>Organization</v>
          </cell>
          <cell r="C724" t="str">
            <v>MARK SPECIALITY (INDIA) PVT. LTD</v>
          </cell>
          <cell r="D724" t="str">
            <v>30</v>
          </cell>
        </row>
        <row r="725">
          <cell r="A725" t="str">
            <v>C11060</v>
          </cell>
          <cell r="B725" t="str">
            <v>Organization</v>
          </cell>
          <cell r="C725" t="str">
            <v>MATRIX LABORATORIES LIMITED</v>
          </cell>
          <cell r="D725" t="str">
            <v>45</v>
          </cell>
        </row>
        <row r="726">
          <cell r="A726" t="str">
            <v>C11062</v>
          </cell>
          <cell r="B726" t="str">
            <v>Organization</v>
          </cell>
          <cell r="C726" t="str">
            <v>MAVANI AEROLUBES PVT. LTD</v>
          </cell>
          <cell r="D726" t="str">
            <v>45</v>
          </cell>
        </row>
        <row r="727">
          <cell r="A727" t="str">
            <v>C11064</v>
          </cell>
          <cell r="B727" t="str">
            <v>Organization</v>
          </cell>
          <cell r="C727" t="str">
            <v>MEDIGRAPH PHARMACEUTICALS PVT. LTD.</v>
          </cell>
          <cell r="D727" t="str">
            <v>1</v>
          </cell>
        </row>
        <row r="728">
          <cell r="A728" t="str">
            <v>C11066</v>
          </cell>
          <cell r="B728" t="str">
            <v>Organization</v>
          </cell>
          <cell r="C728" t="str">
            <v>MEGHMANI INDUSTRIES LTD.</v>
          </cell>
          <cell r="D728" t="str">
            <v>60</v>
          </cell>
        </row>
        <row r="729">
          <cell r="A729" t="str">
            <v>C11067</v>
          </cell>
          <cell r="B729" t="str">
            <v>Organization</v>
          </cell>
          <cell r="C729" t="str">
            <v>MEGHMANI ORGANICS LTD</v>
          </cell>
          <cell r="D729" t="str">
            <v>30</v>
          </cell>
        </row>
        <row r="730">
          <cell r="A730" t="str">
            <v>C11070</v>
          </cell>
          <cell r="B730" t="str">
            <v>Organization</v>
          </cell>
          <cell r="C730" t="str">
            <v>MEKAB ACRYLATES</v>
          </cell>
          <cell r="D730" t="str">
            <v>0</v>
          </cell>
        </row>
        <row r="731">
          <cell r="A731" t="str">
            <v>C11072</v>
          </cell>
          <cell r="B731" t="str">
            <v>Organization</v>
          </cell>
          <cell r="C731" t="str">
            <v>MERCK SPECIALITIES PVT LTD</v>
          </cell>
          <cell r="D731" t="str">
            <v>60</v>
          </cell>
        </row>
        <row r="732">
          <cell r="A732" t="str">
            <v>C11074</v>
          </cell>
          <cell r="B732" t="str">
            <v>Organization</v>
          </cell>
          <cell r="C732" t="str">
            <v>METRO FRAGRANCES &amp; CHEMICALS</v>
          </cell>
          <cell r="D732" t="str">
            <v>30</v>
          </cell>
        </row>
        <row r="733">
          <cell r="A733" t="str">
            <v>C11075</v>
          </cell>
          <cell r="B733" t="str">
            <v>Organization</v>
          </cell>
          <cell r="C733" t="str">
            <v>METROARK LIMITED</v>
          </cell>
          <cell r="D733" t="str">
            <v>30</v>
          </cell>
        </row>
        <row r="734">
          <cell r="A734" t="str">
            <v>C11076</v>
          </cell>
          <cell r="B734" t="str">
            <v>Organization</v>
          </cell>
          <cell r="C734" t="str">
            <v>MICRO INKS LTD</v>
          </cell>
          <cell r="D734" t="str">
            <v>60</v>
          </cell>
        </row>
        <row r="735">
          <cell r="A735" t="str">
            <v>C11079</v>
          </cell>
          <cell r="B735" t="str">
            <v>Organization</v>
          </cell>
          <cell r="C735" t="str">
            <v>MIRACHEM INDUSTRIES</v>
          </cell>
          <cell r="D735" t="str">
            <v>60</v>
          </cell>
        </row>
        <row r="736">
          <cell r="A736" t="str">
            <v>C11080</v>
          </cell>
          <cell r="B736" t="str">
            <v>Organization</v>
          </cell>
          <cell r="C736" t="str">
            <v>MITHILA RASAYAN PVT. LTD</v>
          </cell>
          <cell r="D736" t="str">
            <v>30</v>
          </cell>
        </row>
        <row r="737">
          <cell r="A737" t="str">
            <v>C11082</v>
          </cell>
          <cell r="B737" t="str">
            <v>Organization</v>
          </cell>
          <cell r="C737" t="str">
            <v>MIZORAM FOOD &amp; ALLIED INDS. CORPN.. LTD.</v>
          </cell>
          <cell r="D737" t="str">
            <v>30</v>
          </cell>
        </row>
        <row r="738">
          <cell r="A738" t="str">
            <v>C11083</v>
          </cell>
          <cell r="B738" t="str">
            <v>Organization</v>
          </cell>
          <cell r="C738" t="str">
            <v>MODEPRO INDIA PVT. LIMITED</v>
          </cell>
          <cell r="D738" t="str">
            <v>30</v>
          </cell>
        </row>
        <row r="739">
          <cell r="A739" t="str">
            <v>C11085</v>
          </cell>
          <cell r="B739" t="str">
            <v>Organization</v>
          </cell>
          <cell r="C739" t="str">
            <v>MODHERA CHEMICALS PVT. LTD</v>
          </cell>
          <cell r="D739" t="str">
            <v>30</v>
          </cell>
        </row>
        <row r="740">
          <cell r="A740" t="str">
            <v>C11086</v>
          </cell>
          <cell r="B740" t="str">
            <v>Organization</v>
          </cell>
          <cell r="C740" t="str">
            <v>MODI ALKALIES &amp; CHEM LTD (200)</v>
          </cell>
          <cell r="D740" t="str">
            <v>60</v>
          </cell>
        </row>
        <row r="741">
          <cell r="A741" t="str">
            <v>C11087</v>
          </cell>
          <cell r="B741" t="str">
            <v>Organization</v>
          </cell>
          <cell r="C741" t="str">
            <v>MOLYCHEM</v>
          </cell>
          <cell r="D741" t="str">
            <v>0</v>
          </cell>
        </row>
        <row r="742">
          <cell r="A742" t="str">
            <v>C11089</v>
          </cell>
          <cell r="B742" t="str">
            <v>Organization</v>
          </cell>
          <cell r="C742" t="str">
            <v>MONISHA CORP PVT LTD.</v>
          </cell>
          <cell r="D742" t="str">
            <v>60</v>
          </cell>
        </row>
        <row r="743">
          <cell r="A743" t="str">
            <v>C11092</v>
          </cell>
          <cell r="B743" t="str">
            <v>Organization</v>
          </cell>
          <cell r="C743" t="str">
            <v>MONTARI INDUSTRIES LTD.</v>
          </cell>
          <cell r="D743" t="str">
            <v>30</v>
          </cell>
        </row>
        <row r="744">
          <cell r="A744" t="str">
            <v>C11093</v>
          </cell>
          <cell r="B744" t="str">
            <v>Organization</v>
          </cell>
          <cell r="C744" t="str">
            <v>MOONFLOWER OIL SPICES</v>
          </cell>
          <cell r="D744" t="str">
            <v>1</v>
          </cell>
        </row>
        <row r="745">
          <cell r="A745" t="str">
            <v>C11095</v>
          </cell>
          <cell r="B745" t="str">
            <v>Organization</v>
          </cell>
          <cell r="C745" t="str">
            <v>MOREX PETROCHEM LIMITED</v>
          </cell>
          <cell r="D745" t="str">
            <v>60</v>
          </cell>
        </row>
        <row r="746">
          <cell r="A746" t="str">
            <v>C11096</v>
          </cell>
          <cell r="B746" t="str">
            <v>Organization</v>
          </cell>
          <cell r="C746" t="str">
            <v>MORSON CHEMICAL INDUSTRIES</v>
          </cell>
          <cell r="D746" t="str">
            <v>30</v>
          </cell>
        </row>
        <row r="747">
          <cell r="A747" t="str">
            <v>C11097</v>
          </cell>
          <cell r="B747" t="str">
            <v>Organization</v>
          </cell>
          <cell r="C747" t="str">
            <v>MORSON CHEMICALS INDUSTRIES (200)</v>
          </cell>
          <cell r="D747" t="str">
            <v>7</v>
          </cell>
        </row>
        <row r="748">
          <cell r="A748" t="str">
            <v>C11098</v>
          </cell>
          <cell r="B748" t="str">
            <v>Organization</v>
          </cell>
          <cell r="C748" t="str">
            <v>MOSIL LUBRICANTS P. LTD</v>
          </cell>
          <cell r="D748" t="str">
            <v>30</v>
          </cell>
        </row>
        <row r="749">
          <cell r="A749" t="str">
            <v>C11099</v>
          </cell>
          <cell r="B749" t="str">
            <v>Organization</v>
          </cell>
          <cell r="C749" t="str">
            <v>MR. V.R. CHANDORKAR</v>
          </cell>
          <cell r="D749" t="str">
            <v>30</v>
          </cell>
        </row>
        <row r="750">
          <cell r="A750" t="str">
            <v>C11100</v>
          </cell>
          <cell r="B750" t="str">
            <v>Organization</v>
          </cell>
          <cell r="C750" t="str">
            <v>MR. SAHEBRAO G. DHEKALE</v>
          </cell>
          <cell r="D750" t="str">
            <v>1</v>
          </cell>
        </row>
        <row r="751">
          <cell r="A751" t="str">
            <v>C11101</v>
          </cell>
          <cell r="B751" t="str">
            <v>Organization</v>
          </cell>
          <cell r="C751" t="str">
            <v>MRT INDIA PVT. LTD.</v>
          </cell>
          <cell r="D751" t="str">
            <v>30</v>
          </cell>
        </row>
        <row r="752">
          <cell r="A752" t="str">
            <v>C11106</v>
          </cell>
          <cell r="B752" t="str">
            <v>Organization</v>
          </cell>
          <cell r="C752" t="str">
            <v>NAGARJUNA AGRICHEM LTD</v>
          </cell>
          <cell r="D752" t="str">
            <v>30</v>
          </cell>
        </row>
        <row r="753">
          <cell r="A753" t="str">
            <v>C11107</v>
          </cell>
          <cell r="B753" t="str">
            <v>Organization</v>
          </cell>
          <cell r="C753" t="str">
            <v>NAGARJUNA AGRO &amp; STEEL CORPORATION</v>
          </cell>
          <cell r="D753" t="str">
            <v>30</v>
          </cell>
        </row>
        <row r="754">
          <cell r="A754" t="str">
            <v>C11108</v>
          </cell>
          <cell r="B754" t="str">
            <v>Organization</v>
          </cell>
          <cell r="C754" t="str">
            <v>NAKHUA POLY-CONTAINERS PVT. LTD.,</v>
          </cell>
          <cell r="D754" t="str">
            <v>30</v>
          </cell>
        </row>
        <row r="755">
          <cell r="A755" t="str">
            <v>C11111</v>
          </cell>
          <cell r="B755" t="str">
            <v>Organization</v>
          </cell>
          <cell r="C755" t="str">
            <v>NANDAN PETROCHEM LIMITED</v>
          </cell>
          <cell r="D755" t="str">
            <v>45</v>
          </cell>
        </row>
        <row r="756">
          <cell r="A756" t="str">
            <v>C11115</v>
          </cell>
          <cell r="B756" t="str">
            <v>Organization</v>
          </cell>
          <cell r="C756" t="str">
            <v>NARENDRA D. GHADSHI</v>
          </cell>
          <cell r="D756" t="str">
            <v>1</v>
          </cell>
        </row>
        <row r="757">
          <cell r="A757" t="str">
            <v>C11116</v>
          </cell>
          <cell r="B757" t="str">
            <v>Organization</v>
          </cell>
          <cell r="C757" t="str">
            <v>NATIONAL ADHESIVE &amp; POLYMERS</v>
          </cell>
          <cell r="D757" t="str">
            <v>60</v>
          </cell>
        </row>
        <row r="758">
          <cell r="A758" t="str">
            <v>C11119</v>
          </cell>
          <cell r="B758" t="str">
            <v>Organization</v>
          </cell>
          <cell r="C758" t="str">
            <v>NATIONAL PETRO CHEMICALS</v>
          </cell>
          <cell r="D758" t="str">
            <v>1</v>
          </cell>
        </row>
        <row r="759">
          <cell r="A759" t="str">
            <v>C11120</v>
          </cell>
          <cell r="B759" t="str">
            <v>Organization</v>
          </cell>
          <cell r="C759" t="str">
            <v>NATL TECHNOLOGIES LTD</v>
          </cell>
          <cell r="D759" t="str">
            <v>60</v>
          </cell>
        </row>
        <row r="760">
          <cell r="A760" t="str">
            <v>C11121</v>
          </cell>
          <cell r="B760" t="str">
            <v>Organization</v>
          </cell>
          <cell r="C760" t="str">
            <v>NATURAL FLAVORS &amp; FRAGRANCES</v>
          </cell>
          <cell r="D760" t="str">
            <v>30</v>
          </cell>
        </row>
        <row r="761">
          <cell r="A761" t="str">
            <v>C11122</v>
          </cell>
          <cell r="B761" t="str">
            <v>Organization</v>
          </cell>
          <cell r="C761" t="str">
            <v>NAVDEEP CHEMICALS PVT. LTD</v>
          </cell>
          <cell r="D761" t="str">
            <v>30</v>
          </cell>
        </row>
        <row r="762">
          <cell r="A762" t="str">
            <v>C11125</v>
          </cell>
          <cell r="B762" t="str">
            <v>Organization</v>
          </cell>
          <cell r="C762" t="str">
            <v>NAVYUG PHARMACHEM PRIVATE LIMITED</v>
          </cell>
          <cell r="D762" t="str">
            <v>30</v>
          </cell>
        </row>
        <row r="763">
          <cell r="A763" t="str">
            <v>C11126</v>
          </cell>
          <cell r="B763" t="str">
            <v>Organization</v>
          </cell>
          <cell r="C763" t="str">
            <v>NAYAKEM ORGANICS PVT. LTD.</v>
          </cell>
          <cell r="D763" t="str">
            <v>60</v>
          </cell>
        </row>
        <row r="764">
          <cell r="A764" t="str">
            <v>C11127</v>
          </cell>
          <cell r="B764" t="str">
            <v>Organization</v>
          </cell>
          <cell r="C764" t="str">
            <v>NAZARETH METALS</v>
          </cell>
          <cell r="D764" t="str">
            <v>1</v>
          </cell>
        </row>
        <row r="765">
          <cell r="A765" t="str">
            <v>C11128</v>
          </cell>
          <cell r="B765" t="str">
            <v>Organization</v>
          </cell>
          <cell r="C765" t="str">
            <v>NEELAM PLASTIC SCRAP</v>
          </cell>
          <cell r="D765" t="str">
            <v>1</v>
          </cell>
        </row>
        <row r="766">
          <cell r="A766" t="str">
            <v>C11129</v>
          </cell>
          <cell r="B766" t="str">
            <v>Organization</v>
          </cell>
          <cell r="C766" t="str">
            <v>NEEMCCO CHEMICAL DIVISION</v>
          </cell>
          <cell r="D766" t="str">
            <v>1</v>
          </cell>
        </row>
        <row r="767">
          <cell r="A767" t="str">
            <v>C11130</v>
          </cell>
          <cell r="B767" t="str">
            <v>Organization</v>
          </cell>
          <cell r="C767" t="str">
            <v>NEHA ENTERPRISES</v>
          </cell>
          <cell r="D767" t="str">
            <v>1</v>
          </cell>
        </row>
        <row r="768">
          <cell r="A768" t="str">
            <v>C11132</v>
          </cell>
          <cell r="B768" t="str">
            <v>Organization</v>
          </cell>
          <cell r="C768" t="str">
            <v>NEO PETCON (INDIA) PVT. LTD</v>
          </cell>
          <cell r="D768" t="str">
            <v>45</v>
          </cell>
        </row>
        <row r="769">
          <cell r="A769" t="str">
            <v>C11134</v>
          </cell>
          <cell r="B769" t="str">
            <v>Organization</v>
          </cell>
          <cell r="C769" t="str">
            <v>NEUTRON IMPEX P. LTD</v>
          </cell>
          <cell r="D769" t="str">
            <v>30</v>
          </cell>
        </row>
        <row r="770">
          <cell r="A770" t="str">
            <v>C11136</v>
          </cell>
          <cell r="B770" t="str">
            <v>Organization</v>
          </cell>
          <cell r="C770" t="str">
            <v>NEW AMBADI ESTATES PVT. LIMITED</v>
          </cell>
          <cell r="D770" t="str">
            <v>1</v>
          </cell>
        </row>
        <row r="771">
          <cell r="A771" t="str">
            <v>C11139</v>
          </cell>
          <cell r="B771" t="str">
            <v>Organization</v>
          </cell>
          <cell r="C771" t="str">
            <v>NICE CHEMICALS (P) LTD</v>
          </cell>
          <cell r="D771" t="str">
            <v>0</v>
          </cell>
        </row>
        <row r="772">
          <cell r="A772" t="str">
            <v>C11143</v>
          </cell>
          <cell r="B772" t="str">
            <v>Organization</v>
          </cell>
          <cell r="C772" t="str">
            <v>NIRVIK EXPORTS PVT. LTD</v>
          </cell>
          <cell r="D772" t="str">
            <v>60</v>
          </cell>
        </row>
        <row r="773">
          <cell r="A773" t="str">
            <v>C11144</v>
          </cell>
          <cell r="B773" t="str">
            <v>Organization</v>
          </cell>
          <cell r="C773" t="str">
            <v>NISHANT AROMAS</v>
          </cell>
          <cell r="D773" t="str">
            <v>1</v>
          </cell>
        </row>
        <row r="774">
          <cell r="A774" t="str">
            <v>C11147</v>
          </cell>
          <cell r="B774" t="str">
            <v>Organization</v>
          </cell>
          <cell r="C774" t="str">
            <v>NITIN TRADERS         (200)</v>
          </cell>
          <cell r="D774" t="str">
            <v>30</v>
          </cell>
        </row>
        <row r="775">
          <cell r="A775" t="str">
            <v>C11151</v>
          </cell>
          <cell r="B775" t="str">
            <v>Organization</v>
          </cell>
          <cell r="C775" t="str">
            <v>NLC NALCO INDIA LIMITED</v>
          </cell>
          <cell r="D775" t="str">
            <v>30</v>
          </cell>
        </row>
        <row r="776">
          <cell r="A776" t="str">
            <v>C11152</v>
          </cell>
          <cell r="B776" t="str">
            <v>Organization</v>
          </cell>
          <cell r="C776" t="str">
            <v>NOBLE ENGINEERS</v>
          </cell>
          <cell r="D776" t="str">
            <v>1</v>
          </cell>
        </row>
        <row r="777">
          <cell r="A777" t="str">
            <v>C11158</v>
          </cell>
          <cell r="B777" t="str">
            <v>Organization</v>
          </cell>
          <cell r="C777" t="str">
            <v>NOVODIGM LIMITED</v>
          </cell>
          <cell r="D777" t="str">
            <v>1</v>
          </cell>
        </row>
        <row r="778">
          <cell r="A778" t="str">
            <v>C11160</v>
          </cell>
          <cell r="B778" t="str">
            <v>Organization</v>
          </cell>
          <cell r="C778" t="str">
            <v>NUTRA PLUS PRODUCTS (INDIA), TARAPUR</v>
          </cell>
          <cell r="D778" t="str">
            <v>1</v>
          </cell>
        </row>
        <row r="779">
          <cell r="A779" t="str">
            <v>C11162</v>
          </cell>
          <cell r="B779" t="str">
            <v>Organization</v>
          </cell>
          <cell r="C779" t="str">
            <v>OCEAN PETROSPECIALITIES PVT. LTD</v>
          </cell>
          <cell r="D779" t="str">
            <v>1</v>
          </cell>
        </row>
        <row r="780">
          <cell r="A780" t="str">
            <v>C11163</v>
          </cell>
          <cell r="B780" t="str">
            <v>Organization</v>
          </cell>
          <cell r="C780" t="str">
            <v>OIKOS INDIA PVT. LTD.</v>
          </cell>
          <cell r="D780" t="str">
            <v>1</v>
          </cell>
        </row>
        <row r="781">
          <cell r="A781" t="str">
            <v>C11164</v>
          </cell>
          <cell r="B781" t="str">
            <v>Organization</v>
          </cell>
          <cell r="C781" t="str">
            <v>OIL AND NATURAL GAS CORPORATION LTD.</v>
          </cell>
          <cell r="D781" t="str">
            <v>1</v>
          </cell>
        </row>
        <row r="782">
          <cell r="A782" t="str">
            <v>C11165</v>
          </cell>
          <cell r="B782" t="str">
            <v>Organization</v>
          </cell>
          <cell r="C782" t="str">
            <v>OILTECH LUBRICANTS PVT. LTD.</v>
          </cell>
          <cell r="D782" t="str">
            <v>0</v>
          </cell>
        </row>
        <row r="783">
          <cell r="A783" t="str">
            <v>C11169</v>
          </cell>
          <cell r="B783" t="str">
            <v>Organization</v>
          </cell>
          <cell r="C783" t="str">
            <v>OMKAR ENTERPRISES</v>
          </cell>
          <cell r="D783" t="str">
            <v>1</v>
          </cell>
        </row>
        <row r="784">
          <cell r="A784" t="str">
            <v>C11170</v>
          </cell>
          <cell r="B784" t="str">
            <v>Organization</v>
          </cell>
          <cell r="C784" t="str">
            <v>OMKAR FINE ORGANICS PVT. LTD.</v>
          </cell>
          <cell r="D784" t="str">
            <v>45</v>
          </cell>
        </row>
        <row r="785">
          <cell r="A785" t="str">
            <v>C11171</v>
          </cell>
          <cell r="B785" t="str">
            <v>Organization</v>
          </cell>
          <cell r="C785" t="str">
            <v>OMKAR PROCESSORS</v>
          </cell>
          <cell r="D785" t="str">
            <v>1</v>
          </cell>
        </row>
        <row r="786">
          <cell r="A786" t="str">
            <v>C11172</v>
          </cell>
          <cell r="B786" t="str">
            <v>Organization</v>
          </cell>
          <cell r="C786" t="str">
            <v>OMKAR SPECIALITY AND CHEMICALS PVT. LTD</v>
          </cell>
          <cell r="D786" t="str">
            <v>1</v>
          </cell>
        </row>
        <row r="787">
          <cell r="A787" t="str">
            <v>C11173</v>
          </cell>
          <cell r="B787" t="str">
            <v>Organization</v>
          </cell>
          <cell r="C787" t="str">
            <v>OMNI ACTIVE HEALTH TECHNOLOGIES PVT. LTD</v>
          </cell>
          <cell r="D787" t="str">
            <v>0</v>
          </cell>
        </row>
        <row r="788">
          <cell r="A788" t="str">
            <v>C11176</v>
          </cell>
          <cell r="B788" t="str">
            <v>Organization</v>
          </cell>
          <cell r="C788" t="str">
            <v>ONS</v>
          </cell>
          <cell r="D788" t="str">
            <v>1</v>
          </cell>
        </row>
        <row r="789">
          <cell r="A789" t="str">
            <v>C11178</v>
          </cell>
          <cell r="B789" t="str">
            <v>Organization</v>
          </cell>
          <cell r="C789" t="str">
            <v>ORNATE PACKERS</v>
          </cell>
          <cell r="D789" t="str">
            <v>30</v>
          </cell>
        </row>
        <row r="790">
          <cell r="A790" t="str">
            <v>C11180</v>
          </cell>
          <cell r="B790" t="str">
            <v>Organization</v>
          </cell>
          <cell r="C790" t="str">
            <v>OXEECO TECHNOLOGIES PVT. LTD</v>
          </cell>
          <cell r="D790" t="str">
            <v>15</v>
          </cell>
        </row>
        <row r="791">
          <cell r="A791" t="str">
            <v>C11182</v>
          </cell>
          <cell r="B791" t="str">
            <v>Organization</v>
          </cell>
          <cell r="C791" t="str">
            <v>P.J. MARGO PVT. LIMITED</v>
          </cell>
          <cell r="D791" t="str">
            <v>30</v>
          </cell>
        </row>
        <row r="792">
          <cell r="A792" t="str">
            <v>C11183</v>
          </cell>
          <cell r="B792" t="str">
            <v>Organization</v>
          </cell>
          <cell r="C792" t="str">
            <v>PACIFIC CHEMICALS</v>
          </cell>
          <cell r="D792" t="str">
            <v>30</v>
          </cell>
        </row>
        <row r="793">
          <cell r="A793" t="str">
            <v>C11184</v>
          </cell>
          <cell r="B793" t="str">
            <v>Organization</v>
          </cell>
          <cell r="C793" t="str">
            <v>PACIFIC ORGANICS PVT. LTD.</v>
          </cell>
          <cell r="D793" t="str">
            <v>45</v>
          </cell>
        </row>
        <row r="794">
          <cell r="A794" t="str">
            <v>C11186</v>
          </cell>
          <cell r="B794" t="str">
            <v>Organization</v>
          </cell>
          <cell r="C794" t="str">
            <v>PANAMA  PETROCHEM LTD.</v>
          </cell>
          <cell r="D794" t="str">
            <v>7</v>
          </cell>
        </row>
        <row r="795">
          <cell r="A795" t="str">
            <v>C11189</v>
          </cell>
          <cell r="B795" t="str">
            <v>Organization</v>
          </cell>
          <cell r="C795" t="str">
            <v>PAPRICA OLEOS (INDIA) LTD.</v>
          </cell>
          <cell r="D795" t="str">
            <v>0</v>
          </cell>
        </row>
        <row r="796">
          <cell r="A796" t="str">
            <v>C11192</v>
          </cell>
          <cell r="B796" t="str">
            <v>Organization</v>
          </cell>
          <cell r="C796" t="str">
            <v>PARAS LUBRICANTS LIMITED</v>
          </cell>
          <cell r="D796" t="str">
            <v>30</v>
          </cell>
        </row>
        <row r="797">
          <cell r="A797" t="str">
            <v>C11196</v>
          </cell>
          <cell r="B797" t="str">
            <v>Organization</v>
          </cell>
          <cell r="C797" t="str">
            <v>PATHOZYME DIAGNOSTICS</v>
          </cell>
          <cell r="D797" t="str">
            <v>1</v>
          </cell>
        </row>
        <row r="798">
          <cell r="A798" t="str">
            <v>C11197</v>
          </cell>
          <cell r="B798" t="str">
            <v>Organization</v>
          </cell>
          <cell r="C798" t="str">
            <v>PAX ENTERPRISE PVT. LTD.</v>
          </cell>
          <cell r="D798" t="str">
            <v>30</v>
          </cell>
        </row>
        <row r="799">
          <cell r="A799" t="str">
            <v>C11198</v>
          </cell>
          <cell r="B799" t="str">
            <v>Organization</v>
          </cell>
          <cell r="C799" t="str">
            <v>PCP CHEMICALS PVT. LTD.</v>
          </cell>
          <cell r="D799" t="str">
            <v>60</v>
          </cell>
        </row>
        <row r="800">
          <cell r="A800" t="str">
            <v>C11199</v>
          </cell>
          <cell r="B800" t="str">
            <v>Organization</v>
          </cell>
          <cell r="C800" t="str">
            <v>PENNAR CHEMICALS LTD.</v>
          </cell>
          <cell r="D800" t="str">
            <v>1</v>
          </cell>
        </row>
        <row r="801">
          <cell r="A801" t="str">
            <v>C11202</v>
          </cell>
          <cell r="B801" t="str">
            <v>Organization</v>
          </cell>
          <cell r="C801" t="str">
            <v>PENSOL INDUSTRIES LIMITED</v>
          </cell>
          <cell r="D801" t="str">
            <v>15</v>
          </cell>
        </row>
        <row r="802">
          <cell r="A802" t="str">
            <v>C11204</v>
          </cell>
          <cell r="B802" t="str">
            <v>Organization</v>
          </cell>
          <cell r="C802" t="str">
            <v>PENTAGON LUBRICANTS (INDIA) PRIVATE LIMITED</v>
          </cell>
          <cell r="D802" t="str">
            <v>30</v>
          </cell>
        </row>
        <row r="803">
          <cell r="A803" t="str">
            <v>C11205</v>
          </cell>
          <cell r="B803" t="str">
            <v>Organization</v>
          </cell>
          <cell r="C803" t="str">
            <v>PEPSICO INDIA HOLDINGS PVT. LIMITED - CHANNAO</v>
          </cell>
          <cell r="D803" t="str">
            <v>45</v>
          </cell>
        </row>
        <row r="804">
          <cell r="A804" t="str">
            <v>C11206</v>
          </cell>
          <cell r="B804" t="str">
            <v>Organization</v>
          </cell>
          <cell r="C804" t="str">
            <v>PEPSICO INDIA HOLDINGS PVT. LIMITED - TUTICORIN</v>
          </cell>
          <cell r="D804" t="str">
            <v>45</v>
          </cell>
        </row>
        <row r="805">
          <cell r="A805" t="str">
            <v>C11207</v>
          </cell>
          <cell r="B805" t="str">
            <v>Organization</v>
          </cell>
          <cell r="C805" t="str">
            <v>PERFECT COLOURANTS &amp; PLASTICS PVT. LTD</v>
          </cell>
          <cell r="D805" t="str">
            <v>1</v>
          </cell>
        </row>
        <row r="806">
          <cell r="A806" t="str">
            <v>C11210</v>
          </cell>
          <cell r="B806" t="str">
            <v>Organization</v>
          </cell>
          <cell r="C806" t="str">
            <v>PERMA CONSTRUCTION AIDS PRIVATE LIMITED</v>
          </cell>
          <cell r="D806" t="str">
            <v>30</v>
          </cell>
        </row>
        <row r="807">
          <cell r="A807" t="str">
            <v>C11212</v>
          </cell>
          <cell r="B807" t="str">
            <v>Organization</v>
          </cell>
          <cell r="C807" t="str">
            <v>PETROLUBE INDIA  LTD</v>
          </cell>
          <cell r="D807" t="str">
            <v>30</v>
          </cell>
        </row>
        <row r="808">
          <cell r="A808" t="str">
            <v>C11213</v>
          </cell>
          <cell r="B808" t="str">
            <v>Organization</v>
          </cell>
          <cell r="C808" t="str">
            <v>PETRONA LUBRICANTS (I) PVT LTD.</v>
          </cell>
          <cell r="D808" t="str">
            <v>30</v>
          </cell>
        </row>
        <row r="809">
          <cell r="A809" t="str">
            <v>C11218</v>
          </cell>
          <cell r="B809" t="str">
            <v>Organization</v>
          </cell>
          <cell r="C809" t="str">
            <v>PIDILITE INDUSTRIES LIMITED - ANDHERI</v>
          </cell>
          <cell r="D809" t="str">
            <v>60</v>
          </cell>
        </row>
        <row r="810">
          <cell r="A810" t="str">
            <v>C11219</v>
          </cell>
          <cell r="B810" t="str">
            <v>Organization</v>
          </cell>
          <cell r="C810" t="str">
            <v>PITAMBARI PRODUCTS P LTD</v>
          </cell>
          <cell r="D810" t="str">
            <v>0</v>
          </cell>
        </row>
        <row r="811">
          <cell r="A811" t="str">
            <v>C11220</v>
          </cell>
          <cell r="B811" t="str">
            <v>Organization</v>
          </cell>
          <cell r="C811" t="str">
            <v>PITAMBARI PRODUCTS PVT. LTD</v>
          </cell>
          <cell r="D811" t="str">
            <v>0</v>
          </cell>
        </row>
        <row r="812">
          <cell r="A812" t="str">
            <v>C11222</v>
          </cell>
          <cell r="B812" t="str">
            <v>Organization</v>
          </cell>
          <cell r="C812" t="str">
            <v>PLANT LIPIDS PRIVATE LTD.</v>
          </cell>
          <cell r="D812" t="str">
            <v>30</v>
          </cell>
        </row>
        <row r="813">
          <cell r="A813" t="str">
            <v>C11224</v>
          </cell>
          <cell r="B813" t="str">
            <v>Organization</v>
          </cell>
          <cell r="C813" t="str">
            <v>PLANTEX AGRO PRODUCTS (P) LIMITED</v>
          </cell>
          <cell r="D813" t="str">
            <v>0</v>
          </cell>
        </row>
        <row r="814">
          <cell r="A814" t="str">
            <v>C11225</v>
          </cell>
          <cell r="B814" t="str">
            <v>Organization</v>
          </cell>
          <cell r="C814" t="str">
            <v>PLAS BARRELS (INDIA) PVT. LTD</v>
          </cell>
          <cell r="D814" t="str">
            <v>1</v>
          </cell>
        </row>
        <row r="815">
          <cell r="A815" t="str">
            <v>C11228</v>
          </cell>
          <cell r="B815" t="str">
            <v>Organization</v>
          </cell>
          <cell r="C815" t="str">
            <v>POLYGEL  INDUSTRIES PVT.  LTD.</v>
          </cell>
          <cell r="D815" t="str">
            <v>30</v>
          </cell>
        </row>
        <row r="816">
          <cell r="A816" t="str">
            <v>C11232</v>
          </cell>
          <cell r="B816" t="str">
            <v>Organization</v>
          </cell>
          <cell r="C816" t="str">
            <v>POWERZONE</v>
          </cell>
          <cell r="D816" t="str">
            <v>30</v>
          </cell>
        </row>
        <row r="817">
          <cell r="A817" t="str">
            <v>C11239</v>
          </cell>
          <cell r="B817" t="str">
            <v>Organization</v>
          </cell>
          <cell r="C817" t="str">
            <v>PRATHMESH DYE CHEM PVT. LTD.</v>
          </cell>
          <cell r="D817" t="str">
            <v>0</v>
          </cell>
        </row>
        <row r="818">
          <cell r="A818" t="str">
            <v>C11241</v>
          </cell>
          <cell r="B818" t="str">
            <v>Organization</v>
          </cell>
          <cell r="C818" t="str">
            <v>PRATISTA INDUSTRIES LIMITED</v>
          </cell>
          <cell r="D818" t="str">
            <v>1</v>
          </cell>
        </row>
        <row r="819">
          <cell r="A819" t="str">
            <v>C11242</v>
          </cell>
          <cell r="B819" t="str">
            <v>Organization</v>
          </cell>
          <cell r="C819" t="str">
            <v>PREMIER CARGO MOVERS</v>
          </cell>
          <cell r="D819" t="str">
            <v>1</v>
          </cell>
        </row>
        <row r="820">
          <cell r="A820" t="str">
            <v>C11243</v>
          </cell>
          <cell r="B820" t="str">
            <v>Organization</v>
          </cell>
          <cell r="C820" t="str">
            <v>PREMIER GRINDERS &amp; PACKERS LTD.</v>
          </cell>
          <cell r="D820" t="str">
            <v>30</v>
          </cell>
        </row>
        <row r="821">
          <cell r="A821" t="str">
            <v>C11244</v>
          </cell>
          <cell r="B821" t="str">
            <v>Organization</v>
          </cell>
          <cell r="C821" t="str">
            <v>E-CON PACKAGING PVT. LTD - WADALA</v>
          </cell>
          <cell r="D821" t="str">
            <v>90</v>
          </cell>
        </row>
        <row r="822">
          <cell r="A822" t="str">
            <v>C11247</v>
          </cell>
          <cell r="B822" t="str">
            <v>Organization</v>
          </cell>
          <cell r="C822" t="str">
            <v>PRIDE PETROCHEM</v>
          </cell>
          <cell r="D822" t="str">
            <v>1</v>
          </cell>
        </row>
        <row r="823">
          <cell r="A823" t="str">
            <v>C11248</v>
          </cell>
          <cell r="B823" t="str">
            <v>Organization</v>
          </cell>
          <cell r="C823" t="str">
            <v>PRIME SYNTHOMERS</v>
          </cell>
          <cell r="D823" t="str">
            <v>1</v>
          </cell>
        </row>
        <row r="824">
          <cell r="A824" t="str">
            <v>C11250</v>
          </cell>
          <cell r="B824" t="str">
            <v>Organization</v>
          </cell>
          <cell r="C824" t="str">
            <v>PRIVI ORGANICS PVT. LTD.</v>
          </cell>
          <cell r="D824" t="str">
            <v>60</v>
          </cell>
        </row>
        <row r="825">
          <cell r="A825" t="str">
            <v>C11251</v>
          </cell>
          <cell r="B825" t="str">
            <v>Organization</v>
          </cell>
          <cell r="C825" t="str">
            <v>PRIYA ENTERPRISES</v>
          </cell>
          <cell r="D825" t="str">
            <v>1</v>
          </cell>
        </row>
        <row r="826">
          <cell r="A826" t="str">
            <v>C11252</v>
          </cell>
          <cell r="B826" t="str">
            <v>Organization</v>
          </cell>
          <cell r="C826" t="str">
            <v>PROAQUA TECHNOLOGIES</v>
          </cell>
          <cell r="D826" t="str">
            <v>1</v>
          </cell>
        </row>
        <row r="827">
          <cell r="A827" t="str">
            <v>C11253</v>
          </cell>
          <cell r="B827" t="str">
            <v>Organization</v>
          </cell>
          <cell r="C827" t="str">
            <v>PROFESSIONAL POLYMERS</v>
          </cell>
          <cell r="D827" t="str">
            <v>60</v>
          </cell>
        </row>
        <row r="828">
          <cell r="A828" t="str">
            <v>C11254</v>
          </cell>
          <cell r="B828" t="str">
            <v>Organization</v>
          </cell>
          <cell r="C828" t="str">
            <v>PROGRESSIVE CULTIVATOR'S GROUP</v>
          </cell>
          <cell r="D828" t="str">
            <v>1</v>
          </cell>
        </row>
        <row r="829">
          <cell r="A829" t="str">
            <v>C11255</v>
          </cell>
          <cell r="B829" t="str">
            <v>Organization</v>
          </cell>
          <cell r="C829" t="str">
            <v>PROGRESSIVE EARTH MOVERS ENGINEERS</v>
          </cell>
          <cell r="D829" t="str">
            <v>1</v>
          </cell>
        </row>
        <row r="830">
          <cell r="A830" t="str">
            <v>C11256</v>
          </cell>
          <cell r="B830" t="str">
            <v>Organization</v>
          </cell>
          <cell r="C830" t="str">
            <v>PROLIFIC PURE SPECIALITY CHEMICALS PVT. LTD</v>
          </cell>
          <cell r="D830" t="str">
            <v>30</v>
          </cell>
        </row>
        <row r="831">
          <cell r="A831" t="str">
            <v>C11257</v>
          </cell>
          <cell r="B831" t="str">
            <v>Organization</v>
          </cell>
          <cell r="C831" t="str">
            <v>PROTOCHEM INDUSTRIES (INDIA) LTD. - MUMBAI</v>
          </cell>
          <cell r="D831" t="str">
            <v>30</v>
          </cell>
        </row>
        <row r="832">
          <cell r="A832" t="str">
            <v>C11258</v>
          </cell>
          <cell r="B832" t="str">
            <v>Organization</v>
          </cell>
          <cell r="C832" t="str">
            <v>PRUDENT NATURAL PRODUCTS PVT. LTD.</v>
          </cell>
          <cell r="D832" t="str">
            <v>30</v>
          </cell>
        </row>
        <row r="833">
          <cell r="A833" t="str">
            <v>C11259</v>
          </cell>
          <cell r="B833" t="str">
            <v>Organization</v>
          </cell>
          <cell r="C833" t="str">
            <v>PT. TOTAL OIL INDONESIA</v>
          </cell>
          <cell r="D833" t="str">
            <v>30</v>
          </cell>
        </row>
        <row r="834">
          <cell r="A834" t="str">
            <v>C11261</v>
          </cell>
          <cell r="B834" t="str">
            <v>Organization</v>
          </cell>
          <cell r="C834" t="str">
            <v>PURATOS FOOD INGREDIENTS INDIA PRIVATE LIMITED</v>
          </cell>
          <cell r="D834" t="str">
            <v>1</v>
          </cell>
        </row>
        <row r="835">
          <cell r="A835" t="str">
            <v>C11264</v>
          </cell>
          <cell r="B835" t="str">
            <v>Organization</v>
          </cell>
          <cell r="C835" t="str">
            <v>QUALIKEMS FINE CHEM PVT. LTD.</v>
          </cell>
          <cell r="D835" t="str">
            <v>30</v>
          </cell>
        </row>
        <row r="836">
          <cell r="A836" t="str">
            <v>C11265</v>
          </cell>
          <cell r="B836" t="str">
            <v>Organization</v>
          </cell>
          <cell r="C836" t="str">
            <v>QUALITY CHEMICAL INDUSTRIES</v>
          </cell>
          <cell r="D836" t="str">
            <v>1</v>
          </cell>
        </row>
        <row r="837">
          <cell r="A837" t="str">
            <v>C11266</v>
          </cell>
          <cell r="B837" t="str">
            <v>Organization</v>
          </cell>
          <cell r="C837" t="str">
            <v>QUALITY PRODUCTS (INDIA)</v>
          </cell>
          <cell r="D837" t="str">
            <v>1</v>
          </cell>
        </row>
        <row r="838">
          <cell r="A838" t="str">
            <v>C11268</v>
          </cell>
          <cell r="B838" t="str">
            <v>Organization</v>
          </cell>
          <cell r="C838" t="str">
            <v>QUINN INTERNATIONAL LTD.</v>
          </cell>
          <cell r="D838" t="str">
            <v>45</v>
          </cell>
        </row>
        <row r="839">
          <cell r="A839" t="str">
            <v>C11269</v>
          </cell>
          <cell r="B839" t="str">
            <v>Organization</v>
          </cell>
          <cell r="C839" t="str">
            <v>R. L. CHEMICAL INDUSTRIES PVT. LTD.</v>
          </cell>
          <cell r="D839" t="str">
            <v>0</v>
          </cell>
        </row>
        <row r="840">
          <cell r="A840" t="str">
            <v>C11271</v>
          </cell>
          <cell r="B840" t="str">
            <v>Organization</v>
          </cell>
          <cell r="C840" t="str">
            <v>R.G. INDUSTRIES</v>
          </cell>
          <cell r="D840" t="str">
            <v>30</v>
          </cell>
        </row>
        <row r="841">
          <cell r="A841" t="str">
            <v>C11274</v>
          </cell>
          <cell r="B841" t="str">
            <v>Organization</v>
          </cell>
          <cell r="C841" t="str">
            <v>R.N. LABORATORIES PVT. LTD.</v>
          </cell>
          <cell r="D841" t="str">
            <v>30</v>
          </cell>
        </row>
        <row r="842">
          <cell r="A842" t="str">
            <v>C11275</v>
          </cell>
          <cell r="B842" t="str">
            <v>Organization</v>
          </cell>
          <cell r="C842" t="str">
            <v>R.S. ENTERPRISES</v>
          </cell>
          <cell r="D842" t="str">
            <v>30</v>
          </cell>
        </row>
        <row r="843">
          <cell r="A843" t="str">
            <v>C11277</v>
          </cell>
          <cell r="B843" t="str">
            <v>Organization</v>
          </cell>
          <cell r="C843" t="str">
            <v>RACHNA CHEMICALS</v>
          </cell>
          <cell r="D843" t="str">
            <v>60</v>
          </cell>
        </row>
        <row r="844">
          <cell r="A844" t="str">
            <v>C11278</v>
          </cell>
          <cell r="B844" t="str">
            <v>Organization</v>
          </cell>
          <cell r="C844" t="str">
            <v>RADIANT CHEMICAL</v>
          </cell>
          <cell r="D844" t="str">
            <v>1</v>
          </cell>
        </row>
        <row r="845">
          <cell r="A845" t="str">
            <v>C11280</v>
          </cell>
          <cell r="B845" t="str">
            <v>Organization</v>
          </cell>
          <cell r="C845" t="str">
            <v>RAHUL DYES &amp; CHEMICAL INDUSTRIES</v>
          </cell>
          <cell r="D845" t="str">
            <v>1</v>
          </cell>
        </row>
        <row r="846">
          <cell r="A846" t="str">
            <v>C11282</v>
          </cell>
          <cell r="B846" t="str">
            <v>Organization</v>
          </cell>
          <cell r="C846" t="str">
            <v>RAINBOW  INKS  &amp;  CHEMICALS</v>
          </cell>
          <cell r="D846" t="str">
            <v>0</v>
          </cell>
        </row>
        <row r="847">
          <cell r="A847" t="str">
            <v>C11283</v>
          </cell>
          <cell r="B847" t="str">
            <v>Organization</v>
          </cell>
          <cell r="C847" t="str">
            <v>RAJ ENTERPRISES</v>
          </cell>
          <cell r="D847" t="str">
            <v>1</v>
          </cell>
        </row>
        <row r="848">
          <cell r="A848" t="str">
            <v>C11284</v>
          </cell>
          <cell r="B848" t="str">
            <v>Organization</v>
          </cell>
          <cell r="C848" t="str">
            <v>RAJ LUBRICANTS (CHENNAI) LTD</v>
          </cell>
          <cell r="D848" t="str">
            <v>30</v>
          </cell>
        </row>
        <row r="849">
          <cell r="A849" t="str">
            <v>C11285</v>
          </cell>
          <cell r="B849" t="str">
            <v>Organization</v>
          </cell>
          <cell r="C849" t="str">
            <v>RAJ PETRO SPECIALITIES PVT. LTD. - MUMBAI</v>
          </cell>
          <cell r="D849" t="str">
            <v>45</v>
          </cell>
        </row>
        <row r="850">
          <cell r="A850" t="str">
            <v>C11287</v>
          </cell>
          <cell r="B850" t="str">
            <v>Organization</v>
          </cell>
          <cell r="C850" t="str">
            <v>RAJ TRADING CO.</v>
          </cell>
          <cell r="D850" t="str">
            <v>1</v>
          </cell>
        </row>
        <row r="851">
          <cell r="A851" t="str">
            <v>C11288</v>
          </cell>
          <cell r="B851" t="str">
            <v>Organization</v>
          </cell>
          <cell r="C851" t="str">
            <v>RAJAPALAIYAM SPINTEXT</v>
          </cell>
          <cell r="D851" t="str">
            <v>30</v>
          </cell>
        </row>
        <row r="852">
          <cell r="A852" t="str">
            <v>C11289</v>
          </cell>
          <cell r="B852" t="str">
            <v>Organization</v>
          </cell>
          <cell r="C852" t="str">
            <v>RAJAPALAIYAM TEXTILES</v>
          </cell>
          <cell r="D852" t="str">
            <v>1</v>
          </cell>
        </row>
        <row r="853">
          <cell r="A853" t="str">
            <v>C11291</v>
          </cell>
          <cell r="B853" t="str">
            <v>Organization</v>
          </cell>
          <cell r="C853" t="str">
            <v>RAJENDRA DINKAR SURVEY</v>
          </cell>
          <cell r="D853" t="str">
            <v>0</v>
          </cell>
        </row>
        <row r="854">
          <cell r="A854" t="str">
            <v>C11292</v>
          </cell>
          <cell r="B854" t="str">
            <v>Organization</v>
          </cell>
          <cell r="C854" t="str">
            <v>RAJENDRA ELECTRICAL HARDWARE &amp; GEN. STORE</v>
          </cell>
          <cell r="D854" t="str">
            <v>30</v>
          </cell>
        </row>
        <row r="855">
          <cell r="A855" t="str">
            <v>C11295</v>
          </cell>
          <cell r="B855" t="str">
            <v>Organization</v>
          </cell>
          <cell r="C855" t="str">
            <v>RAK  AGENCIES</v>
          </cell>
          <cell r="D855" t="str">
            <v>60</v>
          </cell>
        </row>
        <row r="856">
          <cell r="A856" t="str">
            <v>C11296</v>
          </cell>
          <cell r="B856" t="str">
            <v>Organization</v>
          </cell>
          <cell r="C856" t="str">
            <v>RALCHEM LIMITED.(200)</v>
          </cell>
          <cell r="D856" t="str">
            <v>30</v>
          </cell>
        </row>
        <row r="857">
          <cell r="A857" t="str">
            <v>C11297</v>
          </cell>
          <cell r="B857" t="str">
            <v>Organization</v>
          </cell>
          <cell r="C857" t="str">
            <v>RALLIS INDIA LTD. (AGRO CHEMICAL DIV.)</v>
          </cell>
          <cell r="D857" t="str">
            <v>30</v>
          </cell>
        </row>
        <row r="858">
          <cell r="A858" t="str">
            <v>C11299</v>
          </cell>
          <cell r="B858" t="str">
            <v>Organization</v>
          </cell>
          <cell r="C858" t="str">
            <v>RASHTRIYA CHEMICALS &amp; FERTILIZERS LIMITED</v>
          </cell>
          <cell r="D858" t="str">
            <v>30</v>
          </cell>
        </row>
        <row r="859">
          <cell r="A859" t="str">
            <v>C11301</v>
          </cell>
          <cell r="B859" t="str">
            <v>Organization</v>
          </cell>
          <cell r="C859" t="str">
            <v>RBP TECHNOLOGY (INDIA) PVT. LTD</v>
          </cell>
          <cell r="D859" t="str">
            <v>60</v>
          </cell>
        </row>
        <row r="860">
          <cell r="A860" t="str">
            <v>C11304</v>
          </cell>
          <cell r="B860" t="str">
            <v>Organization</v>
          </cell>
          <cell r="C860" t="str">
            <v>REDX AUTOLUBE PVT. LTD.</v>
          </cell>
          <cell r="D860" t="str">
            <v>1</v>
          </cell>
        </row>
        <row r="861">
          <cell r="A861" t="str">
            <v>C11306</v>
          </cell>
          <cell r="B861" t="str">
            <v>Organization</v>
          </cell>
          <cell r="C861" t="str">
            <v>REFNOL RESINS &amp; CHEMICALS LIMITED</v>
          </cell>
          <cell r="D861" t="str">
            <v>45</v>
          </cell>
        </row>
        <row r="862">
          <cell r="A862" t="str">
            <v>C11307</v>
          </cell>
          <cell r="B862" t="str">
            <v>Organization</v>
          </cell>
          <cell r="C862" t="str">
            <v>RELIANCE INDUSTRIES LIMITED - WORLI</v>
          </cell>
          <cell r="D862" t="str">
            <v>0</v>
          </cell>
        </row>
        <row r="863">
          <cell r="A863" t="str">
            <v>C11308</v>
          </cell>
          <cell r="B863" t="str">
            <v>Organization</v>
          </cell>
          <cell r="C863" t="str">
            <v>RELIANCE INDUSTRIES LIMITED - RAY ROAD</v>
          </cell>
          <cell r="D863" t="str">
            <v>30</v>
          </cell>
        </row>
        <row r="864">
          <cell r="A864" t="str">
            <v>C11309</v>
          </cell>
          <cell r="B864" t="str">
            <v>Organization</v>
          </cell>
          <cell r="C864" t="str">
            <v>RELIANCE PETRO MARKETING PVT. LTD</v>
          </cell>
          <cell r="D864" t="str">
            <v>30</v>
          </cell>
        </row>
        <row r="865">
          <cell r="A865" t="str">
            <v>C11311</v>
          </cell>
          <cell r="B865" t="str">
            <v>Organization</v>
          </cell>
          <cell r="C865" t="str">
            <v>RENCAL CHEMICALS (I) LTD.</v>
          </cell>
          <cell r="D865" t="str">
            <v>60</v>
          </cell>
        </row>
        <row r="866">
          <cell r="A866" t="str">
            <v>C11314</v>
          </cell>
          <cell r="B866" t="str">
            <v>Organization</v>
          </cell>
          <cell r="C866" t="str">
            <v>RESIL CHEMICALS PVT. LTD..</v>
          </cell>
          <cell r="D866" t="str">
            <v>30</v>
          </cell>
        </row>
        <row r="867">
          <cell r="A867" t="str">
            <v>C11316</v>
          </cell>
          <cell r="B867" t="str">
            <v>Organization</v>
          </cell>
          <cell r="C867" t="str">
            <v>RFCL-BHARAT DYCHEM INDUSTRIES</v>
          </cell>
          <cell r="D867" t="str">
            <v>0</v>
          </cell>
        </row>
        <row r="868">
          <cell r="A868" t="str">
            <v>C11320</v>
          </cell>
          <cell r="B868" t="str">
            <v>Organization</v>
          </cell>
          <cell r="C868" t="str">
            <v>RIDDHI SIDDHI GLUCO BIOLS LTD - AHMEDABAD</v>
          </cell>
          <cell r="D868" t="str">
            <v>30</v>
          </cell>
        </row>
        <row r="869">
          <cell r="A869" t="str">
            <v>C11321</v>
          </cell>
          <cell r="B869" t="str">
            <v>Organization</v>
          </cell>
          <cell r="C869" t="str">
            <v>RIDDHI SIDDHI GLUCO BIOLS LTD - GOKAK</v>
          </cell>
          <cell r="D869" t="str">
            <v>45</v>
          </cell>
        </row>
        <row r="870">
          <cell r="A870" t="str">
            <v>C11322</v>
          </cell>
          <cell r="B870" t="str">
            <v>Organization</v>
          </cell>
          <cell r="C870" t="str">
            <v>RIKO CHEMICALS PVT. LTD.</v>
          </cell>
          <cell r="D870" t="str">
            <v>30</v>
          </cell>
        </row>
        <row r="871">
          <cell r="A871" t="str">
            <v>C11324</v>
          </cell>
          <cell r="B871" t="str">
            <v>Organization</v>
          </cell>
          <cell r="C871" t="str">
            <v>RISHABH METALS &amp; CHEMICALS PVT. LTD</v>
          </cell>
          <cell r="D871" t="str">
            <v>60</v>
          </cell>
        </row>
        <row r="872">
          <cell r="A872" t="str">
            <v>C11325</v>
          </cell>
          <cell r="B872" t="str">
            <v>Organization</v>
          </cell>
          <cell r="C872" t="str">
            <v>ROCHAN TRADERS</v>
          </cell>
          <cell r="D872" t="str">
            <v>1</v>
          </cell>
        </row>
        <row r="873">
          <cell r="A873" t="str">
            <v>C11326</v>
          </cell>
          <cell r="B873" t="str">
            <v>Organization</v>
          </cell>
          <cell r="C873" t="str">
            <v>ROCHEM (INDIA) PVT. LTD - VASAI</v>
          </cell>
          <cell r="D873" t="str">
            <v>1</v>
          </cell>
        </row>
        <row r="874">
          <cell r="A874" t="str">
            <v>C11327</v>
          </cell>
          <cell r="B874" t="str">
            <v>Organization</v>
          </cell>
          <cell r="C874" t="str">
            <v>ROCHEM (INDIA) PVT. LTD. - BANDRA</v>
          </cell>
          <cell r="D874" t="str">
            <v>1</v>
          </cell>
        </row>
        <row r="875">
          <cell r="A875" t="str">
            <v>C11328</v>
          </cell>
          <cell r="B875" t="str">
            <v>Organization</v>
          </cell>
          <cell r="C875" t="str">
            <v>ROGHAN SANATI JONUB CO.</v>
          </cell>
          <cell r="D875" t="str">
            <v>1</v>
          </cell>
        </row>
        <row r="876">
          <cell r="A876" t="str">
            <v>C11330</v>
          </cell>
          <cell r="B876" t="str">
            <v>Organization</v>
          </cell>
          <cell r="C876" t="str">
            <v>ROHM AND HAAS (INDIA) PVT. LTD</v>
          </cell>
          <cell r="D876" t="str">
            <v>1</v>
          </cell>
        </row>
        <row r="877">
          <cell r="A877" t="str">
            <v>C11331</v>
          </cell>
          <cell r="B877" t="str">
            <v>Organization</v>
          </cell>
          <cell r="C877" t="str">
            <v>ROL-EX PRODUCTS</v>
          </cell>
          <cell r="D877" t="str">
            <v>1</v>
          </cell>
        </row>
        <row r="878">
          <cell r="A878" t="str">
            <v>C11333</v>
          </cell>
          <cell r="B878" t="str">
            <v>Organization</v>
          </cell>
          <cell r="C878" t="str">
            <v>ROSE IMPEX</v>
          </cell>
          <cell r="D878" t="str">
            <v>1</v>
          </cell>
        </row>
        <row r="879">
          <cell r="A879" t="str">
            <v>C11337</v>
          </cell>
          <cell r="B879" t="str">
            <v>Organization</v>
          </cell>
          <cell r="C879" t="str">
            <v>RSM SALES</v>
          </cell>
          <cell r="D879" t="str">
            <v>1</v>
          </cell>
        </row>
        <row r="880">
          <cell r="A880" t="str">
            <v>C11338</v>
          </cell>
          <cell r="B880" t="str">
            <v>Organization</v>
          </cell>
          <cell r="C880" t="str">
            <v>RUNA CHEMICALS PVT. LTD</v>
          </cell>
          <cell r="D880" t="str">
            <v>0</v>
          </cell>
        </row>
        <row r="881">
          <cell r="A881" t="str">
            <v>C11339</v>
          </cell>
          <cell r="B881" t="str">
            <v>Organization</v>
          </cell>
          <cell r="C881" t="str">
            <v>RX CLEANSERS</v>
          </cell>
          <cell r="D881" t="str">
            <v>30</v>
          </cell>
        </row>
        <row r="882">
          <cell r="A882" t="str">
            <v>C11340</v>
          </cell>
          <cell r="B882" t="str">
            <v>Organization</v>
          </cell>
          <cell r="C882" t="str">
            <v>RX MARINE INTERNATIONAL</v>
          </cell>
          <cell r="D882" t="str">
            <v>30</v>
          </cell>
        </row>
        <row r="883">
          <cell r="A883" t="str">
            <v>C11341</v>
          </cell>
          <cell r="B883" t="str">
            <v>Organization</v>
          </cell>
          <cell r="C883" t="str">
            <v>S &amp; D AROMA INDIA PVT. LTD.</v>
          </cell>
          <cell r="D883" t="str">
            <v>1</v>
          </cell>
        </row>
        <row r="884">
          <cell r="A884" t="str">
            <v>C11342</v>
          </cell>
          <cell r="B884" t="str">
            <v>Organization</v>
          </cell>
          <cell r="C884" t="str">
            <v>S &amp; S INDUSTRIES AND ENTERPRISES LTD.</v>
          </cell>
          <cell r="D884" t="str">
            <v>30</v>
          </cell>
        </row>
        <row r="885">
          <cell r="A885" t="str">
            <v>C11345</v>
          </cell>
          <cell r="B885" t="str">
            <v>Organization</v>
          </cell>
          <cell r="C885" t="str">
            <v>S.C.J. COLOURANTS</v>
          </cell>
          <cell r="D885" t="str">
            <v>1</v>
          </cell>
        </row>
        <row r="886">
          <cell r="A886" t="str">
            <v>C11346</v>
          </cell>
          <cell r="B886" t="str">
            <v>Organization</v>
          </cell>
          <cell r="C886" t="str">
            <v>S.D. FINE CHEM LIMITED</v>
          </cell>
          <cell r="D886" t="str">
            <v>90</v>
          </cell>
        </row>
        <row r="887">
          <cell r="A887" t="str">
            <v>C11348</v>
          </cell>
          <cell r="B887" t="str">
            <v>Organization</v>
          </cell>
          <cell r="C887" t="str">
            <v>S.H. KELKAR &amp; COMPANY PVT. LTD..</v>
          </cell>
          <cell r="D887" t="str">
            <v>30</v>
          </cell>
        </row>
        <row r="888">
          <cell r="A888" t="str">
            <v>C11349</v>
          </cell>
          <cell r="B888" t="str">
            <v>Organization</v>
          </cell>
          <cell r="C888" t="str">
            <v>S.K. FORMULATION</v>
          </cell>
          <cell r="D888" t="str">
            <v>0</v>
          </cell>
        </row>
        <row r="889">
          <cell r="A889" t="str">
            <v>C11351</v>
          </cell>
          <cell r="B889" t="str">
            <v>Organization</v>
          </cell>
          <cell r="C889" t="str">
            <v>S.M. MACHINES PVT. LTD..</v>
          </cell>
          <cell r="D889" t="str">
            <v>1</v>
          </cell>
        </row>
        <row r="890">
          <cell r="A890" t="str">
            <v>C11353</v>
          </cell>
          <cell r="B890" t="str">
            <v>Organization</v>
          </cell>
          <cell r="C890" t="str">
            <v>S.P. CHEMICAL INDUSTRIES</v>
          </cell>
          <cell r="D890" t="str">
            <v>1</v>
          </cell>
        </row>
        <row r="891">
          <cell r="A891" t="str">
            <v>C11354</v>
          </cell>
          <cell r="B891" t="str">
            <v>Organization</v>
          </cell>
          <cell r="C891" t="str">
            <v>S.R. DRUGS &amp; INTERMEDIATES PVT. LTD</v>
          </cell>
          <cell r="D891" t="str">
            <v>60</v>
          </cell>
        </row>
        <row r="892">
          <cell r="A892" t="str">
            <v>C11356</v>
          </cell>
          <cell r="B892" t="str">
            <v>Organization</v>
          </cell>
          <cell r="C892" t="str">
            <v>S.S. ENGINEERING</v>
          </cell>
          <cell r="D892" t="str">
            <v>1</v>
          </cell>
        </row>
        <row r="893">
          <cell r="A893" t="str">
            <v>C11357</v>
          </cell>
          <cell r="B893" t="str">
            <v>Organization</v>
          </cell>
          <cell r="C893" t="str">
            <v>S.S. ENGINEERS</v>
          </cell>
          <cell r="D893" t="str">
            <v>45</v>
          </cell>
        </row>
        <row r="894">
          <cell r="A894" t="str">
            <v>C11358</v>
          </cell>
          <cell r="B894" t="str">
            <v>Organization</v>
          </cell>
          <cell r="C894" t="str">
            <v>S.V.P. CHEMICALS P. LTD</v>
          </cell>
          <cell r="D894" t="str">
            <v>45</v>
          </cell>
        </row>
        <row r="895">
          <cell r="A895" t="str">
            <v>C11361</v>
          </cell>
          <cell r="B895" t="str">
            <v>Organization</v>
          </cell>
          <cell r="C895" t="str">
            <v>SABERO ORGANICS GUJARAT LTD. - MUMBAI</v>
          </cell>
          <cell r="D895" t="str">
            <v>90</v>
          </cell>
        </row>
        <row r="896">
          <cell r="A896" t="str">
            <v>C11362</v>
          </cell>
          <cell r="B896" t="str">
            <v>Organization</v>
          </cell>
          <cell r="C896" t="str">
            <v>SADANA NITRO CHEM LTD</v>
          </cell>
          <cell r="D896" t="str">
            <v>30</v>
          </cell>
        </row>
        <row r="897">
          <cell r="A897" t="str">
            <v>C11363</v>
          </cell>
          <cell r="B897" t="str">
            <v>Organization</v>
          </cell>
          <cell r="C897" t="str">
            <v>SADDLE IMPEX PRIVATE LIMITED</v>
          </cell>
          <cell r="D897" t="str">
            <v>1</v>
          </cell>
        </row>
        <row r="898">
          <cell r="A898" t="str">
            <v>C11367</v>
          </cell>
          <cell r="B898" t="str">
            <v>Organization</v>
          </cell>
          <cell r="C898" t="str">
            <v>SAIBA TRADING COMPANY</v>
          </cell>
          <cell r="D898" t="str">
            <v>30</v>
          </cell>
        </row>
        <row r="899">
          <cell r="A899" t="str">
            <v>C11368</v>
          </cell>
          <cell r="B899" t="str">
            <v>Organization</v>
          </cell>
          <cell r="C899" t="str">
            <v>SAIPER CHEMICALS PVT. LTD</v>
          </cell>
          <cell r="D899" t="str">
            <v>0</v>
          </cell>
        </row>
        <row r="900">
          <cell r="A900" t="str">
            <v>C11369</v>
          </cell>
          <cell r="B900" t="str">
            <v>Organization</v>
          </cell>
          <cell r="C900" t="str">
            <v>SAKATA INX (INDIA) LIMITED</v>
          </cell>
          <cell r="D900" t="str">
            <v>30</v>
          </cell>
        </row>
        <row r="901">
          <cell r="A901" t="str">
            <v>C11370</v>
          </cell>
          <cell r="B901" t="str">
            <v>Organization</v>
          </cell>
          <cell r="C901" t="str">
            <v>SAKTHI SUGARS LTD</v>
          </cell>
          <cell r="D901" t="str">
            <v>90</v>
          </cell>
        </row>
        <row r="902">
          <cell r="A902" t="str">
            <v>C11371</v>
          </cell>
          <cell r="B902" t="str">
            <v>Organization</v>
          </cell>
          <cell r="C902" t="str">
            <v>SALICYLATES &amp; CHEMICALS PVT. LTD. - MUMBAI</v>
          </cell>
          <cell r="D902" t="str">
            <v>0</v>
          </cell>
        </row>
        <row r="903">
          <cell r="A903" t="str">
            <v>C11372</v>
          </cell>
          <cell r="B903" t="str">
            <v>Organization</v>
          </cell>
          <cell r="C903" t="str">
            <v>SALICYLATES &amp; CHEMICALS PVT. LTD. - HYDERABAD</v>
          </cell>
          <cell r="D903" t="str">
            <v>0</v>
          </cell>
        </row>
        <row r="904">
          <cell r="A904" t="str">
            <v>C11373</v>
          </cell>
          <cell r="B904" t="str">
            <v>Organization</v>
          </cell>
          <cell r="C904" t="str">
            <v>SAM FINECHEM LIMITED</v>
          </cell>
          <cell r="D904" t="str">
            <v>0</v>
          </cell>
        </row>
        <row r="905">
          <cell r="A905" t="str">
            <v>C11376</v>
          </cell>
          <cell r="B905" t="str">
            <v>Organization</v>
          </cell>
          <cell r="C905" t="str">
            <v>SAMI LABS LIMITED - BANGALORE</v>
          </cell>
          <cell r="D905" t="str">
            <v>60</v>
          </cell>
        </row>
        <row r="906">
          <cell r="A906" t="str">
            <v>C11377</v>
          </cell>
          <cell r="B906" t="str">
            <v>Organization</v>
          </cell>
          <cell r="C906" t="str">
            <v>SAMI LABS LIMITED  - HYDERABAD</v>
          </cell>
          <cell r="D906" t="str">
            <v>0</v>
          </cell>
        </row>
        <row r="907">
          <cell r="A907" t="str">
            <v>C11378</v>
          </cell>
          <cell r="B907" t="str">
            <v>Organization</v>
          </cell>
          <cell r="C907" t="str">
            <v>SAMIR TECH-CHEM PVT. LTD..</v>
          </cell>
          <cell r="D907" t="str">
            <v>30</v>
          </cell>
        </row>
        <row r="908">
          <cell r="A908" t="str">
            <v>C11379</v>
          </cell>
          <cell r="B908" t="str">
            <v>Organization</v>
          </cell>
          <cell r="C908" t="str">
            <v>SAMIRAN UDYOG</v>
          </cell>
          <cell r="D908" t="str">
            <v>30</v>
          </cell>
        </row>
        <row r="909">
          <cell r="A909" t="str">
            <v>C11380</v>
          </cell>
          <cell r="B909" t="str">
            <v>Organization</v>
          </cell>
          <cell r="C909" t="str">
            <v>SAMPRO ORGANIC RESEARCH LABORATORIES</v>
          </cell>
          <cell r="D909" t="str">
            <v>1</v>
          </cell>
        </row>
        <row r="910">
          <cell r="A910" t="str">
            <v>C11381</v>
          </cell>
          <cell r="B910" t="str">
            <v>Organization</v>
          </cell>
          <cell r="C910" t="str">
            <v>SANDOZ INDIA LTD.</v>
          </cell>
          <cell r="D910" t="str">
            <v>30</v>
          </cell>
        </row>
        <row r="911">
          <cell r="A911" t="str">
            <v>C11384</v>
          </cell>
          <cell r="B911" t="str">
            <v>Organization</v>
          </cell>
          <cell r="C911" t="str">
            <v>SANTOSH MAIZE &amp; INDUSTRIES LTD.</v>
          </cell>
          <cell r="D911" t="str">
            <v>30</v>
          </cell>
        </row>
        <row r="912">
          <cell r="A912" t="str">
            <v>C11385</v>
          </cell>
          <cell r="B912" t="str">
            <v>Organization</v>
          </cell>
          <cell r="C912" t="str">
            <v>SANYUG SYNTHETICS PVT. LTD</v>
          </cell>
          <cell r="D912" t="str">
            <v>1</v>
          </cell>
        </row>
        <row r="913">
          <cell r="A913" t="str">
            <v>C11387</v>
          </cell>
          <cell r="B913" t="str">
            <v>Organization</v>
          </cell>
          <cell r="C913" t="str">
            <v>SARAJ ENGINEERING SERVICES</v>
          </cell>
          <cell r="D913" t="str">
            <v>1</v>
          </cell>
        </row>
        <row r="914">
          <cell r="A914" t="str">
            <v>C11388</v>
          </cell>
          <cell r="B914" t="str">
            <v>Organization</v>
          </cell>
          <cell r="C914" t="str">
            <v>SARAL CHEM INDUSTRIES PVT. LTD</v>
          </cell>
          <cell r="D914" t="str">
            <v>1</v>
          </cell>
        </row>
        <row r="915">
          <cell r="A915" t="str">
            <v>C11389</v>
          </cell>
          <cell r="B915" t="str">
            <v>Organization</v>
          </cell>
          <cell r="C915" t="str">
            <v>SARAOGI POLY BARRELS PVT. LTD..</v>
          </cell>
          <cell r="D915" t="str">
            <v>30</v>
          </cell>
        </row>
        <row r="916">
          <cell r="A916" t="str">
            <v>C11390</v>
          </cell>
          <cell r="B916" t="str">
            <v>Organization</v>
          </cell>
          <cell r="C916" t="str">
            <v>SARBI PETROLEUM &amp; CHEMICALS PVT. LTD.</v>
          </cell>
          <cell r="D916" t="str">
            <v>1</v>
          </cell>
        </row>
        <row r="917">
          <cell r="A917" t="str">
            <v>C11395</v>
          </cell>
          <cell r="B917" t="str">
            <v>Organization</v>
          </cell>
          <cell r="C917" t="str">
            <v>SATURN PETROCHEMICALS PVT. LTD</v>
          </cell>
          <cell r="D917" t="str">
            <v>0</v>
          </cell>
        </row>
        <row r="918">
          <cell r="A918" t="str">
            <v>C11396</v>
          </cell>
          <cell r="B918" t="str">
            <v>Organization</v>
          </cell>
          <cell r="C918" t="str">
            <v>SATWIK DRUGS LIMITED.</v>
          </cell>
          <cell r="D918" t="str">
            <v>1</v>
          </cell>
        </row>
        <row r="919">
          <cell r="A919" t="str">
            <v>C11398</v>
          </cell>
          <cell r="B919" t="str">
            <v>Organization</v>
          </cell>
          <cell r="C919" t="str">
            <v>SAUDI ARABIAN PACKAGING INDUSTRY WLL</v>
          </cell>
          <cell r="D919" t="str">
            <v>1</v>
          </cell>
        </row>
        <row r="920">
          <cell r="A920" t="str">
            <v>C11402</v>
          </cell>
          <cell r="B920" t="str">
            <v>Organization</v>
          </cell>
          <cell r="C920" t="str">
            <v>SAVITA OIL TECHNOLOGIES  LIMITED - MAHAPE</v>
          </cell>
          <cell r="D920" t="str">
            <v>30</v>
          </cell>
        </row>
        <row r="921">
          <cell r="A921" t="str">
            <v>C11403</v>
          </cell>
          <cell r="B921" t="str">
            <v>Organization</v>
          </cell>
          <cell r="C921" t="str">
            <v>SAYAJI SETHNESS LIMITED</v>
          </cell>
          <cell r="D921" t="str">
            <v>30</v>
          </cell>
        </row>
        <row r="922">
          <cell r="A922" t="str">
            <v>C11405</v>
          </cell>
          <cell r="B922" t="str">
            <v>Organization</v>
          </cell>
          <cell r="C922" t="str">
            <v>SCCI INDIA PVT. LTD. - DELHI</v>
          </cell>
          <cell r="D922" t="str">
            <v>15</v>
          </cell>
        </row>
        <row r="923">
          <cell r="A923" t="str">
            <v>C11407</v>
          </cell>
          <cell r="B923" t="str">
            <v>Organization</v>
          </cell>
          <cell r="C923" t="str">
            <v>SCHOELLER TECHNOLOGIES INDIA PVT. LTD.</v>
          </cell>
          <cell r="D923" t="str">
            <v>1</v>
          </cell>
        </row>
        <row r="924">
          <cell r="A924" t="str">
            <v>C11408</v>
          </cell>
          <cell r="B924" t="str">
            <v>Organization</v>
          </cell>
          <cell r="C924" t="str">
            <v>SCIENTIFIC PRECISION PVT. LTD</v>
          </cell>
          <cell r="D924" t="str">
            <v>30</v>
          </cell>
        </row>
        <row r="925">
          <cell r="A925" t="str">
            <v>C11409</v>
          </cell>
          <cell r="B925" t="str">
            <v>Organization</v>
          </cell>
          <cell r="C925" t="str">
            <v>SEAL TECH SALES CORPORATION</v>
          </cell>
          <cell r="D925" t="str">
            <v>1</v>
          </cell>
        </row>
        <row r="926">
          <cell r="A926" t="str">
            <v>C11412</v>
          </cell>
          <cell r="B926" t="str">
            <v>Organization</v>
          </cell>
          <cell r="C926" t="str">
            <v>SEETA ELECTRICAL WORKS</v>
          </cell>
          <cell r="D926" t="str">
            <v>1</v>
          </cell>
        </row>
        <row r="927">
          <cell r="A927" t="str">
            <v>C11413</v>
          </cell>
          <cell r="B927" t="str">
            <v>Organization</v>
          </cell>
          <cell r="C927" t="str">
            <v>SELVAM CONTAINERS PRIVATE LIMITED</v>
          </cell>
          <cell r="D927" t="str">
            <v>1</v>
          </cell>
        </row>
        <row r="928">
          <cell r="A928" t="str">
            <v>C11414</v>
          </cell>
          <cell r="B928" t="str">
            <v>Organization</v>
          </cell>
          <cell r="C928" t="str">
            <v>SELVAM CONTAINERS PVT. LTD.,</v>
          </cell>
          <cell r="D928" t="str">
            <v>30</v>
          </cell>
        </row>
        <row r="929">
          <cell r="A929" t="str">
            <v>C11415</v>
          </cell>
          <cell r="B929" t="str">
            <v>Organization</v>
          </cell>
          <cell r="C929" t="str">
            <v>SEPTODONT HEALTHCARE INDIA P. LTD</v>
          </cell>
          <cell r="D929" t="str">
            <v>0</v>
          </cell>
        </row>
        <row r="930">
          <cell r="A930" t="str">
            <v>C11416</v>
          </cell>
          <cell r="B930" t="str">
            <v>Organization</v>
          </cell>
          <cell r="C930" t="str">
            <v>SETCO CHEMICALS (I) PVT. LTD.</v>
          </cell>
          <cell r="D930" t="str">
            <v>75</v>
          </cell>
        </row>
        <row r="931">
          <cell r="A931" t="str">
            <v>C11417</v>
          </cell>
          <cell r="B931" t="str">
            <v>Organization</v>
          </cell>
          <cell r="C931" t="str">
            <v>SEVA CORPORATION</v>
          </cell>
          <cell r="D931" t="str">
            <v>30</v>
          </cell>
        </row>
        <row r="932">
          <cell r="A932" t="str">
            <v>C11418</v>
          </cell>
          <cell r="B932" t="str">
            <v>Organization</v>
          </cell>
          <cell r="C932" t="str">
            <v>SEW EURODRIVE</v>
          </cell>
          <cell r="D932" t="str">
            <v>1</v>
          </cell>
        </row>
        <row r="933">
          <cell r="A933" t="str">
            <v>C11419</v>
          </cell>
          <cell r="B933" t="str">
            <v>Organization</v>
          </cell>
          <cell r="C933" t="str">
            <v>SHAKTI SUGARS LTD.</v>
          </cell>
          <cell r="D933" t="str">
            <v>1</v>
          </cell>
        </row>
        <row r="934">
          <cell r="A934" t="str">
            <v>C11421</v>
          </cell>
          <cell r="B934" t="str">
            <v>Organization</v>
          </cell>
          <cell r="C934" t="str">
            <v>SHASUN CHEMICALS &amp; DRUGS LTD</v>
          </cell>
          <cell r="D934" t="str">
            <v>1</v>
          </cell>
        </row>
        <row r="935">
          <cell r="A935" t="str">
            <v>C11423</v>
          </cell>
          <cell r="B935" t="str">
            <v>Organization</v>
          </cell>
          <cell r="C935" t="str">
            <v>SHELL INDIA MARKETS PVT. LTD.</v>
          </cell>
          <cell r="D935" t="str">
            <v>60</v>
          </cell>
        </row>
        <row r="936">
          <cell r="A936" t="str">
            <v>C11424</v>
          </cell>
          <cell r="B936" t="str">
            <v>Organization</v>
          </cell>
          <cell r="C936" t="str">
            <v>SHELL OMAN MARKETING COMPANY SAOG</v>
          </cell>
          <cell r="D936" t="str">
            <v>45</v>
          </cell>
        </row>
        <row r="937">
          <cell r="A937" t="str">
            <v>C11429</v>
          </cell>
          <cell r="B937" t="str">
            <v>Organization</v>
          </cell>
          <cell r="C937" t="str">
            <v>SHIVA PHARMACHEM PVT. LTD</v>
          </cell>
          <cell r="D937" t="str">
            <v>30</v>
          </cell>
        </row>
        <row r="938">
          <cell r="A938" t="str">
            <v>C11430</v>
          </cell>
          <cell r="B938" t="str">
            <v>Organization</v>
          </cell>
          <cell r="C938" t="str">
            <v>SHIVAM ENTERPRISES</v>
          </cell>
          <cell r="D938" t="str">
            <v>0</v>
          </cell>
        </row>
        <row r="939">
          <cell r="A939" t="str">
            <v>C11436</v>
          </cell>
          <cell r="B939" t="str">
            <v>Organization</v>
          </cell>
          <cell r="C939" t="str">
            <v>SHREE DIAMOND SILICATE CO. P. LTD</v>
          </cell>
          <cell r="D939" t="str">
            <v>1</v>
          </cell>
        </row>
        <row r="940">
          <cell r="A940" t="str">
            <v>C11437</v>
          </cell>
          <cell r="B940" t="str">
            <v>Organization</v>
          </cell>
          <cell r="C940" t="str">
            <v>SHREE GANAPATI POLYMERS</v>
          </cell>
          <cell r="D940" t="str">
            <v>1</v>
          </cell>
        </row>
        <row r="941">
          <cell r="A941" t="str">
            <v>C11438</v>
          </cell>
          <cell r="B941" t="str">
            <v>Organization</v>
          </cell>
          <cell r="C941" t="str">
            <v>SHREE GANESH CHEMICALS</v>
          </cell>
          <cell r="D941" t="str">
            <v>1</v>
          </cell>
        </row>
        <row r="942">
          <cell r="A942" t="str">
            <v>C11441</v>
          </cell>
          <cell r="B942" t="str">
            <v>Organization</v>
          </cell>
          <cell r="C942" t="str">
            <v>SHREE KRISHNA INNOVATIVE CHEMICALS</v>
          </cell>
          <cell r="D942" t="str">
            <v>1</v>
          </cell>
        </row>
        <row r="943">
          <cell r="A943" t="str">
            <v>C11443</v>
          </cell>
          <cell r="B943" t="str">
            <v>Organization</v>
          </cell>
          <cell r="C943" t="str">
            <v>SHREE PLASTICO</v>
          </cell>
          <cell r="D943" t="str">
            <v>0</v>
          </cell>
        </row>
        <row r="944">
          <cell r="A944" t="str">
            <v>C11444</v>
          </cell>
          <cell r="B944" t="str">
            <v>Organization</v>
          </cell>
          <cell r="C944" t="str">
            <v>SHREE RAYALSEEMA ALKALIES &amp; ALLIED CHEMS. LTD..</v>
          </cell>
          <cell r="D944" t="str">
            <v>30</v>
          </cell>
        </row>
        <row r="945">
          <cell r="A945" t="str">
            <v>C11449</v>
          </cell>
          <cell r="B945" t="str">
            <v>Organization</v>
          </cell>
          <cell r="C945" t="str">
            <v>SHREYANS CHEMICALS</v>
          </cell>
          <cell r="D945" t="str">
            <v>0</v>
          </cell>
        </row>
        <row r="946">
          <cell r="A946" t="str">
            <v>C11450</v>
          </cell>
          <cell r="B946" t="str">
            <v>Organization</v>
          </cell>
          <cell r="C946" t="str">
            <v>SHRI RAM CHLOROCHEM LIMITED</v>
          </cell>
          <cell r="D946" t="str">
            <v>60</v>
          </cell>
        </row>
        <row r="947">
          <cell r="A947" t="str">
            <v>C11452</v>
          </cell>
          <cell r="B947" t="str">
            <v>Organization</v>
          </cell>
          <cell r="C947" t="str">
            <v>SHRINIVAS INDUSTRIES</v>
          </cell>
          <cell r="D947" t="str">
            <v>0</v>
          </cell>
        </row>
        <row r="948">
          <cell r="A948" t="str">
            <v>C11453</v>
          </cell>
          <cell r="B948" t="str">
            <v>Organization</v>
          </cell>
          <cell r="C948" t="str">
            <v>SHUBHAM ENTERPRISE</v>
          </cell>
          <cell r="D948" t="str">
            <v>1</v>
          </cell>
        </row>
        <row r="949">
          <cell r="A949" t="str">
            <v>C11455</v>
          </cell>
          <cell r="B949" t="str">
            <v>Organization</v>
          </cell>
          <cell r="C949" t="str">
            <v>SIEGWERK INDIA PVT.. LTD</v>
          </cell>
          <cell r="D949" t="str">
            <v>30</v>
          </cell>
        </row>
        <row r="950">
          <cell r="A950" t="str">
            <v>C11456</v>
          </cell>
          <cell r="B950" t="str">
            <v>Organization</v>
          </cell>
          <cell r="C950" t="str">
            <v>SIEMENS LIMITED</v>
          </cell>
          <cell r="D950" t="str">
            <v>30</v>
          </cell>
        </row>
        <row r="951">
          <cell r="A951" t="str">
            <v>C11458</v>
          </cell>
          <cell r="B951" t="str">
            <v>Organization</v>
          </cell>
          <cell r="C951" t="str">
            <v>SIGACHI CHLORO-CHEMICALS PVT. LTD..</v>
          </cell>
          <cell r="D951" t="str">
            <v>30</v>
          </cell>
        </row>
        <row r="952">
          <cell r="A952" t="str">
            <v>C11459</v>
          </cell>
          <cell r="B952" t="str">
            <v>Organization</v>
          </cell>
          <cell r="C952" t="str">
            <v>SIGMA SOLVENTS P. LTD.</v>
          </cell>
          <cell r="D952" t="str">
            <v>60</v>
          </cell>
        </row>
        <row r="953">
          <cell r="A953" t="str">
            <v>C11461</v>
          </cell>
          <cell r="B953" t="str">
            <v>Organization</v>
          </cell>
          <cell r="C953" t="str">
            <v>SIKA INDIA PRIVATE LIMITED - JAIPUR</v>
          </cell>
          <cell r="D953" t="str">
            <v>90</v>
          </cell>
        </row>
        <row r="954">
          <cell r="A954" t="str">
            <v>C11462</v>
          </cell>
          <cell r="B954" t="str">
            <v>Organization</v>
          </cell>
          <cell r="C954" t="str">
            <v>SIKA INDIA PRIVATE LIMITED - KOLKATA</v>
          </cell>
          <cell r="D954" t="str">
            <v>90</v>
          </cell>
        </row>
        <row r="955">
          <cell r="A955" t="str">
            <v>C11463</v>
          </cell>
          <cell r="B955" t="str">
            <v>Organization</v>
          </cell>
          <cell r="C955" t="str">
            <v>SIKA INDIA PRIVATE LIMITED - TAMILNADU</v>
          </cell>
          <cell r="D955" t="str">
            <v>90</v>
          </cell>
        </row>
        <row r="956">
          <cell r="A956" t="str">
            <v>C11464</v>
          </cell>
          <cell r="B956" t="str">
            <v>Organization</v>
          </cell>
          <cell r="C956" t="str">
            <v>SIKA INDIA PRIVATE LIMITED - GOA</v>
          </cell>
          <cell r="D956" t="str">
            <v>90</v>
          </cell>
        </row>
        <row r="957">
          <cell r="A957" t="str">
            <v>C11465</v>
          </cell>
          <cell r="B957" t="str">
            <v>Organization</v>
          </cell>
          <cell r="C957" t="str">
            <v>SILVER CLOUDS</v>
          </cell>
          <cell r="D957" t="str">
            <v>30</v>
          </cell>
        </row>
        <row r="958">
          <cell r="A958" t="str">
            <v>C11468</v>
          </cell>
          <cell r="B958" t="str">
            <v>Organization</v>
          </cell>
          <cell r="C958" t="str">
            <v>SIMON BROTHERS PVT.. LTD</v>
          </cell>
          <cell r="D958" t="str">
            <v>1</v>
          </cell>
        </row>
        <row r="959">
          <cell r="A959" t="str">
            <v>C11470</v>
          </cell>
          <cell r="B959" t="str">
            <v>Organization</v>
          </cell>
          <cell r="C959" t="str">
            <v>SIRIS AGRO LTD.</v>
          </cell>
          <cell r="D959" t="str">
            <v>30</v>
          </cell>
        </row>
        <row r="960">
          <cell r="A960" t="str">
            <v>C11474</v>
          </cell>
          <cell r="B960" t="str">
            <v>Organization</v>
          </cell>
          <cell r="C960" t="str">
            <v>SKYPAK COURIERS LTD.</v>
          </cell>
          <cell r="D960" t="str">
            <v>30</v>
          </cell>
        </row>
        <row r="961">
          <cell r="A961" t="str">
            <v>C11475</v>
          </cell>
          <cell r="B961" t="str">
            <v>Organization</v>
          </cell>
          <cell r="C961" t="str">
            <v>SMITH KLINE BEECHAM</v>
          </cell>
          <cell r="D961" t="str">
            <v>1</v>
          </cell>
        </row>
        <row r="962">
          <cell r="A962" t="str">
            <v>C11476</v>
          </cell>
          <cell r="B962" t="str">
            <v>Organization</v>
          </cell>
          <cell r="C962" t="str">
            <v>SMOOTHLINE INDUSTRIES</v>
          </cell>
          <cell r="D962" t="str">
            <v>60</v>
          </cell>
        </row>
        <row r="963">
          <cell r="A963" t="str">
            <v>C11478</v>
          </cell>
          <cell r="B963" t="str">
            <v>Organization</v>
          </cell>
          <cell r="C963" t="str">
            <v>SMOOTHLINE WRITING INSTRUMENTS PVT. LTD..</v>
          </cell>
          <cell r="D963" t="str">
            <v>60</v>
          </cell>
        </row>
        <row r="964">
          <cell r="A964" t="str">
            <v>C11479</v>
          </cell>
          <cell r="B964" t="str">
            <v>Organization</v>
          </cell>
          <cell r="C964" t="str">
            <v>SNF (INDIA) PVT.. LTD</v>
          </cell>
          <cell r="D964" t="str">
            <v>0</v>
          </cell>
        </row>
        <row r="965">
          <cell r="A965" t="str">
            <v>C11482</v>
          </cell>
          <cell r="B965" t="str">
            <v>Organization</v>
          </cell>
          <cell r="C965" t="str">
            <v>SOHAM POLYMERS PVT. LTD..</v>
          </cell>
          <cell r="D965" t="str">
            <v>0</v>
          </cell>
        </row>
        <row r="966">
          <cell r="A966" t="str">
            <v>C11483</v>
          </cell>
          <cell r="B966" t="str">
            <v>Organization</v>
          </cell>
          <cell r="C966" t="str">
            <v>SOLCOL SOLUTIONS</v>
          </cell>
          <cell r="D966" t="str">
            <v>1</v>
          </cell>
        </row>
        <row r="967">
          <cell r="A967" t="str">
            <v>C11485</v>
          </cell>
          <cell r="B967" t="str">
            <v>Organization</v>
          </cell>
          <cell r="C967" t="str">
            <v>SOMU ORGANO - CHEM (P) LTD.</v>
          </cell>
          <cell r="D967" t="str">
            <v>30</v>
          </cell>
        </row>
        <row r="968">
          <cell r="A968" t="str">
            <v>C11486</v>
          </cell>
          <cell r="B968" t="str">
            <v>Organization</v>
          </cell>
          <cell r="C968" t="str">
            <v>SONTARA ORGANO INDUSTRIES</v>
          </cell>
          <cell r="D968" t="str">
            <v>30</v>
          </cell>
        </row>
        <row r="969">
          <cell r="A969" t="str">
            <v>C11487</v>
          </cell>
          <cell r="B969" t="str">
            <v>Organization</v>
          </cell>
          <cell r="C969" t="str">
            <v>SOUTH SEAS DISTILLERIES &amp; BREWERIES (200</v>
          </cell>
          <cell r="D969" t="str">
            <v>30</v>
          </cell>
        </row>
        <row r="970">
          <cell r="A970" t="str">
            <v>C11492</v>
          </cell>
          <cell r="B970" t="str">
            <v>Organization</v>
          </cell>
          <cell r="C970" t="str">
            <v>SPECIAL LUBRICANTS P. LTD</v>
          </cell>
          <cell r="D970" t="str">
            <v>30</v>
          </cell>
        </row>
        <row r="971">
          <cell r="A971" t="str">
            <v>C11493</v>
          </cell>
          <cell r="B971" t="str">
            <v>Organization</v>
          </cell>
          <cell r="C971" t="str">
            <v>SPECIALITY LUBRICANTS</v>
          </cell>
          <cell r="D971" t="str">
            <v>0</v>
          </cell>
        </row>
        <row r="972">
          <cell r="A972" t="str">
            <v>C11494</v>
          </cell>
          <cell r="B972" t="str">
            <v>Organization</v>
          </cell>
          <cell r="C972" t="str">
            <v>SPECIALITY POLYMERS PVT. LTD</v>
          </cell>
          <cell r="D972" t="str">
            <v>90</v>
          </cell>
        </row>
        <row r="973">
          <cell r="A973" t="str">
            <v>C11495</v>
          </cell>
          <cell r="B973" t="str">
            <v>Organization</v>
          </cell>
          <cell r="C973" t="str">
            <v>SPECTROCHEM PVT.. LTD</v>
          </cell>
          <cell r="D973" t="str">
            <v>1</v>
          </cell>
        </row>
        <row r="974">
          <cell r="A974" t="str">
            <v>C11498</v>
          </cell>
          <cell r="B974" t="str">
            <v>Organization</v>
          </cell>
          <cell r="C974" t="str">
            <v>SPI CONTAINERS PVT. LTD. - AHEMEDABAD</v>
          </cell>
          <cell r="D974" t="str">
            <v>30</v>
          </cell>
        </row>
        <row r="975">
          <cell r="A975" t="str">
            <v>C11500</v>
          </cell>
          <cell r="B975" t="str">
            <v>Organization</v>
          </cell>
          <cell r="C975" t="str">
            <v>SQUARE D BIOTECH LIMITED (200)</v>
          </cell>
          <cell r="D975" t="str">
            <v>30</v>
          </cell>
        </row>
        <row r="976">
          <cell r="A976" t="str">
            <v>C11501</v>
          </cell>
          <cell r="B976" t="str">
            <v>Organization</v>
          </cell>
          <cell r="C976" t="str">
            <v>SREE KRISHNA INNOVATIVE CHEMS</v>
          </cell>
          <cell r="D976" t="str">
            <v>1</v>
          </cell>
        </row>
        <row r="977">
          <cell r="A977" t="str">
            <v>C11502</v>
          </cell>
          <cell r="B977" t="str">
            <v>Organization</v>
          </cell>
          <cell r="C977" t="str">
            <v>SRI CHAITANYA CHLORIDES PVT. LTD.</v>
          </cell>
          <cell r="D977" t="str">
            <v>60</v>
          </cell>
        </row>
        <row r="978">
          <cell r="A978" t="str">
            <v>C11503</v>
          </cell>
          <cell r="B978" t="str">
            <v>Organization</v>
          </cell>
          <cell r="C978" t="str">
            <v>SRI CHAVADI  PHARMA PVT. LTD</v>
          </cell>
          <cell r="D978" t="str">
            <v>30</v>
          </cell>
        </row>
        <row r="979">
          <cell r="A979" t="str">
            <v>C11506</v>
          </cell>
          <cell r="B979" t="str">
            <v>Organization</v>
          </cell>
          <cell r="C979" t="str">
            <v>SRI RAMCO SPINNERS</v>
          </cell>
          <cell r="D979" t="str">
            <v>30</v>
          </cell>
        </row>
        <row r="980">
          <cell r="A980" t="str">
            <v>C11507</v>
          </cell>
          <cell r="B980" t="str">
            <v>Organization</v>
          </cell>
          <cell r="C980" t="str">
            <v>SRI VASAVI CHEMICAL CORPORATION</v>
          </cell>
          <cell r="D980" t="str">
            <v>60</v>
          </cell>
        </row>
        <row r="981">
          <cell r="A981" t="str">
            <v>C11508</v>
          </cell>
          <cell r="B981" t="str">
            <v>Organization</v>
          </cell>
          <cell r="C981" t="str">
            <v>SRIMATA BIO SOURCE, BANGALORE (VOSAN)</v>
          </cell>
          <cell r="D981" t="str">
            <v>1</v>
          </cell>
        </row>
        <row r="982">
          <cell r="A982" t="str">
            <v>C11509</v>
          </cell>
          <cell r="B982" t="str">
            <v>Organization</v>
          </cell>
          <cell r="C982" t="str">
            <v>SRINI PHARMACEUTICALS LIMITED</v>
          </cell>
          <cell r="D982" t="str">
            <v>30</v>
          </cell>
        </row>
        <row r="983">
          <cell r="A983" t="str">
            <v>C11510</v>
          </cell>
          <cell r="B983" t="str">
            <v>Organization</v>
          </cell>
          <cell r="C983" t="str">
            <v>SRINIWAS CHEMICAL INDS P LTD</v>
          </cell>
          <cell r="D983" t="str">
            <v>0</v>
          </cell>
        </row>
        <row r="984">
          <cell r="A984" t="str">
            <v>C11511</v>
          </cell>
          <cell r="B984" t="str">
            <v>Organization</v>
          </cell>
          <cell r="C984" t="str">
            <v>SRINIVAS CHEMICAL INDS P. LTD</v>
          </cell>
          <cell r="D984" t="str">
            <v>60</v>
          </cell>
        </row>
        <row r="985">
          <cell r="A985" t="str">
            <v>C11513</v>
          </cell>
          <cell r="B985" t="str">
            <v>Organization</v>
          </cell>
          <cell r="C985" t="str">
            <v>ST. ANNESS CASHEW INDUSTRIES</v>
          </cell>
          <cell r="D985" t="str">
            <v>0</v>
          </cell>
        </row>
        <row r="986">
          <cell r="A986" t="str">
            <v>C11514</v>
          </cell>
          <cell r="B986" t="str">
            <v>Organization</v>
          </cell>
          <cell r="C986" t="str">
            <v>STANDARD ENERGY PRODUCTS AND CHEMICALS PVT. LTD</v>
          </cell>
          <cell r="D986" t="str">
            <v>1</v>
          </cell>
        </row>
        <row r="987">
          <cell r="A987" t="str">
            <v>C11515</v>
          </cell>
          <cell r="B987" t="str">
            <v>Organization</v>
          </cell>
          <cell r="C987" t="str">
            <v>STANDARD GREASE (SILVASSA) PVT.. LTD</v>
          </cell>
          <cell r="D987" t="str">
            <v>30</v>
          </cell>
        </row>
        <row r="988">
          <cell r="A988" t="str">
            <v>C11516</v>
          </cell>
          <cell r="B988" t="str">
            <v>Organization</v>
          </cell>
          <cell r="C988" t="str">
            <v>STANDARD GREASES &amp; SPECIALITIES  PVT. LTD [Turbhe]</v>
          </cell>
          <cell r="D988" t="str">
            <v>30</v>
          </cell>
        </row>
        <row r="989">
          <cell r="A989" t="str">
            <v>C11517</v>
          </cell>
          <cell r="B989" t="str">
            <v>Organization</v>
          </cell>
          <cell r="C989" t="str">
            <v>STANDARD GREASES &amp; SPECIALITIES  PVT.LTD [Silvasa]</v>
          </cell>
          <cell r="D989" t="str">
            <v>30</v>
          </cell>
        </row>
        <row r="990">
          <cell r="A990" t="str">
            <v>C11518</v>
          </cell>
          <cell r="B990" t="str">
            <v>Organization</v>
          </cell>
          <cell r="C990" t="str">
            <v>STANDARD GREASE &amp; SPECIALITIES PVT LTD - PETRONAS</v>
          </cell>
          <cell r="D990" t="str">
            <v>30</v>
          </cell>
        </row>
        <row r="991">
          <cell r="A991" t="str">
            <v>C11519</v>
          </cell>
          <cell r="B991" t="str">
            <v>Organization</v>
          </cell>
          <cell r="C991" t="str">
            <v>STANDARD INDUSTRIAL OILS P. LTD (200)</v>
          </cell>
          <cell r="D991" t="str">
            <v>30</v>
          </cell>
        </row>
        <row r="992">
          <cell r="A992" t="str">
            <v>C11520</v>
          </cell>
          <cell r="B992" t="str">
            <v>Organization</v>
          </cell>
          <cell r="C992" t="str">
            <v>STANDARD SURFACTANTS LTD</v>
          </cell>
          <cell r="D992" t="str">
            <v>0</v>
          </cell>
        </row>
        <row r="993">
          <cell r="A993" t="str">
            <v>C11521</v>
          </cell>
          <cell r="B993" t="str">
            <v>Organization</v>
          </cell>
          <cell r="C993" t="str">
            <v>STAR FUTURE WAVE MARKETING PVT. LTD..</v>
          </cell>
          <cell r="D993" t="str">
            <v>1</v>
          </cell>
        </row>
        <row r="994">
          <cell r="A994" t="str">
            <v>C11523</v>
          </cell>
          <cell r="B994" t="str">
            <v>Organization</v>
          </cell>
          <cell r="C994" t="str">
            <v>STAR PAINTS &amp; POLYMER</v>
          </cell>
          <cell r="D994" t="str">
            <v>1</v>
          </cell>
        </row>
        <row r="995">
          <cell r="A995" t="str">
            <v>C11524</v>
          </cell>
          <cell r="B995" t="str">
            <v>Organization</v>
          </cell>
          <cell r="C995" t="str">
            <v>STAROL PETROLEUM LIMITED</v>
          </cell>
          <cell r="D995" t="str">
            <v>0</v>
          </cell>
        </row>
        <row r="996">
          <cell r="A996" t="str">
            <v>C11527</v>
          </cell>
          <cell r="B996" t="str">
            <v>Organization</v>
          </cell>
          <cell r="C996" t="str">
            <v>STP LIMITED</v>
          </cell>
          <cell r="D996" t="str">
            <v>30</v>
          </cell>
        </row>
        <row r="997">
          <cell r="A997" t="str">
            <v>C11529</v>
          </cell>
          <cell r="B997" t="str">
            <v>Organization</v>
          </cell>
          <cell r="C997" t="str">
            <v>SUDARSHAN CHEMICAL INDUSTRIES LTD.</v>
          </cell>
          <cell r="D997" t="str">
            <v>60</v>
          </cell>
        </row>
        <row r="998">
          <cell r="A998" t="str">
            <v>C11530</v>
          </cell>
          <cell r="B998" t="str">
            <v>Organization</v>
          </cell>
          <cell r="C998" t="str">
            <v>SUDARSHAN INDUSTRIES</v>
          </cell>
          <cell r="D998" t="str">
            <v>15</v>
          </cell>
        </row>
        <row r="999">
          <cell r="A999" t="str">
            <v>C11531</v>
          </cell>
          <cell r="B999" t="str">
            <v>Organization</v>
          </cell>
          <cell r="C999" t="str">
            <v>SUJAS LEATHERCLOTH MFG. CO. PVT. LTD</v>
          </cell>
          <cell r="D999" t="str">
            <v>30</v>
          </cell>
        </row>
        <row r="1000">
          <cell r="A1000" t="str">
            <v>C11534</v>
          </cell>
          <cell r="B1000" t="str">
            <v>Organization</v>
          </cell>
          <cell r="C1000" t="str">
            <v>SULFAST CHEMICAL INDUSTRIES</v>
          </cell>
          <cell r="D1000" t="str">
            <v>30</v>
          </cell>
        </row>
        <row r="1001">
          <cell r="A1001" t="str">
            <v>C11535</v>
          </cell>
          <cell r="B1001" t="str">
            <v>Organization</v>
          </cell>
          <cell r="C1001" t="str">
            <v>SULPHUR MILLS LIMITED</v>
          </cell>
          <cell r="D1001" t="str">
            <v>30</v>
          </cell>
        </row>
        <row r="1002">
          <cell r="A1002" t="str">
            <v>C11536</v>
          </cell>
          <cell r="B1002" t="str">
            <v>Organization</v>
          </cell>
          <cell r="C1002" t="str">
            <v>SUMA CHEMICALS PVT.. LTD</v>
          </cell>
          <cell r="D1002" t="str">
            <v>0</v>
          </cell>
        </row>
        <row r="1003">
          <cell r="A1003" t="str">
            <v>C11540</v>
          </cell>
          <cell r="B1003" t="str">
            <v>Organization</v>
          </cell>
          <cell r="C1003" t="str">
            <v>SUMIT CHEMICALS</v>
          </cell>
          <cell r="D1003" t="str">
            <v>1</v>
          </cell>
        </row>
        <row r="1004">
          <cell r="A1004" t="str">
            <v>C11542</v>
          </cell>
          <cell r="B1004" t="str">
            <v>Organization</v>
          </cell>
          <cell r="C1004" t="str">
            <v>SUN  POLYMERS</v>
          </cell>
          <cell r="D1004" t="str">
            <v>30</v>
          </cell>
        </row>
        <row r="1005">
          <cell r="A1005" t="str">
            <v>C11543</v>
          </cell>
          <cell r="B1005" t="str">
            <v>Organization</v>
          </cell>
          <cell r="C1005" t="str">
            <v>SUNBEL ALLOYS CO. OF INDIA LTD</v>
          </cell>
          <cell r="D1005" t="str">
            <v>60</v>
          </cell>
        </row>
        <row r="1006">
          <cell r="A1006" t="str">
            <v>C11544</v>
          </cell>
          <cell r="B1006" t="str">
            <v>Organization</v>
          </cell>
          <cell r="C1006" t="str">
            <v>SUNMAK ENTERPRISES PVT.. LTD</v>
          </cell>
          <cell r="D1006" t="str">
            <v>30</v>
          </cell>
        </row>
        <row r="1007">
          <cell r="A1007" t="str">
            <v>C11547</v>
          </cell>
          <cell r="B1007" t="str">
            <v>Organization</v>
          </cell>
          <cell r="C1007" t="str">
            <v>SUNRISE CHEMICALS INDUSTRIES</v>
          </cell>
          <cell r="D1007" t="str">
            <v>0</v>
          </cell>
        </row>
        <row r="1008">
          <cell r="A1008" t="str">
            <v>C11550</v>
          </cell>
          <cell r="B1008" t="str">
            <v>Organization</v>
          </cell>
          <cell r="C1008" t="str">
            <v>SUPER BOND ADHESIVES PVT. LTD..</v>
          </cell>
          <cell r="D1008" t="str">
            <v>30</v>
          </cell>
        </row>
        <row r="1009">
          <cell r="A1009" t="str">
            <v>C11551</v>
          </cell>
          <cell r="B1009" t="str">
            <v>Organization</v>
          </cell>
          <cell r="C1009" t="str">
            <v>SUPERFINE AROMATIC CO. P. LTD</v>
          </cell>
          <cell r="D1009" t="str">
            <v>30</v>
          </cell>
        </row>
        <row r="1010">
          <cell r="A1010" t="str">
            <v>C11553</v>
          </cell>
          <cell r="B1010" t="str">
            <v>Organization</v>
          </cell>
          <cell r="C1010" t="str">
            <v>SUPRANAV CHEMICALS INDUSTRIES PVT.. LTD.</v>
          </cell>
          <cell r="D1010" t="str">
            <v>0</v>
          </cell>
        </row>
        <row r="1011">
          <cell r="A1011" t="str">
            <v>C11554</v>
          </cell>
          <cell r="B1011" t="str">
            <v>Organization</v>
          </cell>
          <cell r="C1011" t="str">
            <v>SURYA ORGANICS &amp; CHEMICALS</v>
          </cell>
          <cell r="D1011" t="str">
            <v>0</v>
          </cell>
        </row>
        <row r="1012">
          <cell r="A1012" t="str">
            <v>C11555</v>
          </cell>
          <cell r="B1012" t="str">
            <v>Organization</v>
          </cell>
          <cell r="C1012" t="str">
            <v>SUVEN PHARMACEUTICALS LTD.</v>
          </cell>
          <cell r="D1012" t="str">
            <v>15</v>
          </cell>
        </row>
        <row r="1013">
          <cell r="A1013" t="str">
            <v>C11556</v>
          </cell>
          <cell r="B1013" t="str">
            <v>Organization</v>
          </cell>
          <cell r="C1013" t="str">
            <v>SUVIDA DRUMS</v>
          </cell>
          <cell r="D1013" t="str">
            <v>60</v>
          </cell>
        </row>
        <row r="1014">
          <cell r="A1014" t="str">
            <v>C11558</v>
          </cell>
          <cell r="B1014" t="str">
            <v>Organization</v>
          </cell>
          <cell r="C1014" t="str">
            <v>SWARNAJYOTHI AGRO &amp; EXPORTS (P) LTD</v>
          </cell>
          <cell r="D1014" t="str">
            <v>30</v>
          </cell>
        </row>
        <row r="1015">
          <cell r="A1015" t="str">
            <v>C11560</v>
          </cell>
          <cell r="B1015" t="str">
            <v>Organization</v>
          </cell>
          <cell r="C1015" t="str">
            <v>SWASTIK OIL PRODUCTS MFG. CO. - NAVSARI</v>
          </cell>
          <cell r="D1015" t="str">
            <v>30</v>
          </cell>
        </row>
        <row r="1016">
          <cell r="A1016" t="str">
            <v>C11562</v>
          </cell>
          <cell r="B1016" t="str">
            <v>Organization</v>
          </cell>
          <cell r="C1016" t="str">
            <v>SWASTIK OIL PRODUCTS MFG. CO. PVT. LTD. - MUMBAI</v>
          </cell>
          <cell r="D1016" t="str">
            <v>30</v>
          </cell>
        </row>
        <row r="1017">
          <cell r="A1017" t="str">
            <v>C11563</v>
          </cell>
          <cell r="B1017" t="str">
            <v>Organization</v>
          </cell>
          <cell r="C1017" t="str">
            <v>SWASTIK SALES CORPORATION</v>
          </cell>
          <cell r="D1017" t="str">
            <v>0</v>
          </cell>
        </row>
        <row r="1018">
          <cell r="A1018" t="str">
            <v>C11565</v>
          </cell>
          <cell r="B1018" t="str">
            <v>Organization</v>
          </cell>
          <cell r="C1018" t="str">
            <v>SWEM WATER TECH (INDIA)  PVT. LTD.</v>
          </cell>
          <cell r="D1018" t="str">
            <v>1</v>
          </cell>
        </row>
        <row r="1019">
          <cell r="A1019" t="str">
            <v>C11566</v>
          </cell>
          <cell r="B1019" t="str">
            <v>Organization</v>
          </cell>
          <cell r="C1019" t="str">
            <v>SYMEGA SAVOURY TECHNOLOGY PVT. LTD.</v>
          </cell>
          <cell r="D1019" t="str">
            <v>0</v>
          </cell>
        </row>
        <row r="1020">
          <cell r="A1020" t="str">
            <v>C11567</v>
          </cell>
          <cell r="B1020" t="str">
            <v>Organization</v>
          </cell>
          <cell r="C1020" t="str">
            <v>SYMRISE (P) LIMITED</v>
          </cell>
          <cell r="D1020" t="str">
            <v>0</v>
          </cell>
        </row>
        <row r="1021">
          <cell r="A1021" t="str">
            <v>C11568</v>
          </cell>
          <cell r="B1021" t="str">
            <v>Organization</v>
          </cell>
          <cell r="C1021" t="str">
            <v>SYNGENTA INDIA LTD. (FORMERLY NOVARTIS INDIA LTD.)</v>
          </cell>
          <cell r="D1021" t="str">
            <v>60</v>
          </cell>
        </row>
        <row r="1022">
          <cell r="A1022" t="str">
            <v>C11570</v>
          </cell>
          <cell r="B1022" t="str">
            <v>Organization</v>
          </cell>
          <cell r="C1022" t="str">
            <v>SYNTHITE INDUSTRIAL CHEMICALS</v>
          </cell>
          <cell r="D1022" t="str">
            <v>30</v>
          </cell>
        </row>
        <row r="1023">
          <cell r="A1023" t="str">
            <v>C11571</v>
          </cell>
          <cell r="B1023" t="str">
            <v>Organization</v>
          </cell>
          <cell r="C1023" t="str">
            <v>SYNTHITE INDUSTRIAL CHEMICALS LTD - COIMBATORE</v>
          </cell>
          <cell r="D1023" t="str">
            <v>0</v>
          </cell>
        </row>
        <row r="1024">
          <cell r="A1024" t="str">
            <v>C11572</v>
          </cell>
          <cell r="B1024" t="str">
            <v>Organization</v>
          </cell>
          <cell r="C1024" t="str">
            <v>SYNTHITE INDUSTRIES LTD.</v>
          </cell>
          <cell r="D1024" t="str">
            <v>30</v>
          </cell>
        </row>
        <row r="1025">
          <cell r="A1025" t="str">
            <v>C11573</v>
          </cell>
          <cell r="B1025" t="str">
            <v>Organization</v>
          </cell>
          <cell r="C1025" t="str">
            <v>SYNTHITE INDUSTRIES LTD. - KARNATAKA</v>
          </cell>
          <cell r="D1025" t="str">
            <v>30</v>
          </cell>
        </row>
        <row r="1026">
          <cell r="A1026" t="str">
            <v>C11574</v>
          </cell>
          <cell r="B1026" t="str">
            <v>Organization</v>
          </cell>
          <cell r="C1026" t="str">
            <v>SYNTHOKEM LABS PVT. LTD.</v>
          </cell>
          <cell r="D1026" t="str">
            <v>1</v>
          </cell>
        </row>
        <row r="1027">
          <cell r="A1027" t="str">
            <v>C11575</v>
          </cell>
          <cell r="B1027" t="str">
            <v>Organization</v>
          </cell>
          <cell r="C1027" t="str">
            <v>SYNTHOTEX CHEMICALS PVT. LTD..</v>
          </cell>
          <cell r="D1027" t="str">
            <v>1</v>
          </cell>
        </row>
        <row r="1028">
          <cell r="A1028" t="str">
            <v>C11576</v>
          </cell>
          <cell r="B1028" t="str">
            <v>Organization</v>
          </cell>
          <cell r="C1028" t="str">
            <v>T &amp; D GALAIKOT CONTAINER PVT. LTD</v>
          </cell>
          <cell r="D1028" t="str">
            <v>45</v>
          </cell>
        </row>
        <row r="1029">
          <cell r="A1029" t="str">
            <v>C11578</v>
          </cell>
          <cell r="B1029" t="str">
            <v>Organization</v>
          </cell>
          <cell r="C1029" t="str">
            <v>TAG CHEMICAL INDIA (P) LTD.</v>
          </cell>
          <cell r="D1029" t="str">
            <v>0</v>
          </cell>
        </row>
        <row r="1030">
          <cell r="A1030" t="str">
            <v>C11579</v>
          </cell>
          <cell r="B1030" t="str">
            <v>Organization</v>
          </cell>
          <cell r="C1030" t="str">
            <v>TAGROS CHEMICALS INDIA LTD.</v>
          </cell>
          <cell r="D1030" t="str">
            <v>1</v>
          </cell>
        </row>
        <row r="1031">
          <cell r="A1031" t="str">
            <v>C11580</v>
          </cell>
          <cell r="B1031" t="str">
            <v>Organization</v>
          </cell>
          <cell r="C1031" t="str">
            <v>TALOJA PETROCHEMICALS PVT. LTD.</v>
          </cell>
          <cell r="D1031" t="str">
            <v>30</v>
          </cell>
        </row>
        <row r="1032">
          <cell r="A1032" t="str">
            <v>C11581</v>
          </cell>
          <cell r="B1032" t="str">
            <v>Organization</v>
          </cell>
          <cell r="C1032" t="str">
            <v>TAMILNADU PETROPRODUCTS LIMITED</v>
          </cell>
          <cell r="D1032" t="str">
            <v>30</v>
          </cell>
        </row>
        <row r="1033">
          <cell r="A1033" t="str">
            <v>C11582</v>
          </cell>
          <cell r="B1033" t="str">
            <v>Organization</v>
          </cell>
          <cell r="C1033" t="str">
            <v>TAN INDIA LIMITED         (200)</v>
          </cell>
          <cell r="D1033" t="str">
            <v>30</v>
          </cell>
        </row>
        <row r="1034">
          <cell r="A1034" t="str">
            <v>C11583</v>
          </cell>
          <cell r="B1034" t="str">
            <v>Organization</v>
          </cell>
          <cell r="C1034" t="str">
            <v>TANFAC INDUSTRIES LIMITED (200)</v>
          </cell>
          <cell r="D1034" t="str">
            <v>30</v>
          </cell>
        </row>
        <row r="1035">
          <cell r="A1035" t="str">
            <v>C11590</v>
          </cell>
          <cell r="B1035" t="str">
            <v>Organization</v>
          </cell>
          <cell r="C1035" t="str">
            <v>TECHNO PRODUCTS (BOMBAY) PVT.. LTD</v>
          </cell>
          <cell r="D1035" t="str">
            <v>60</v>
          </cell>
        </row>
        <row r="1036">
          <cell r="A1036" t="str">
            <v>C11592</v>
          </cell>
          <cell r="B1036" t="str">
            <v>Organization</v>
          </cell>
          <cell r="C1036" t="str">
            <v>TECHNOVA IMAGING SYSTEMS (P) LTD.</v>
          </cell>
          <cell r="D1036" t="str">
            <v>45</v>
          </cell>
        </row>
        <row r="1037">
          <cell r="A1037" t="str">
            <v>C11593</v>
          </cell>
          <cell r="B1037" t="str">
            <v>Organization</v>
          </cell>
          <cell r="C1037" t="str">
            <v>TELLABS CHEMICALS PVT. LTD</v>
          </cell>
          <cell r="D1037" t="str">
            <v>30</v>
          </cell>
        </row>
        <row r="1038">
          <cell r="A1038" t="str">
            <v>C11595</v>
          </cell>
          <cell r="B1038" t="str">
            <v>Organization</v>
          </cell>
          <cell r="C1038" t="str">
            <v>TERRA-S AUTOMOTIVE SYSTEMS</v>
          </cell>
          <cell r="D1038" t="str">
            <v>0</v>
          </cell>
        </row>
        <row r="1039">
          <cell r="A1039" t="str">
            <v>C11599</v>
          </cell>
          <cell r="B1039" t="str">
            <v>Organization</v>
          </cell>
          <cell r="C1039" t="str">
            <v>TEXTURE PAINTS</v>
          </cell>
          <cell r="D1039" t="str">
            <v>1</v>
          </cell>
        </row>
        <row r="1040">
          <cell r="A1040" t="str">
            <v>C11600</v>
          </cell>
          <cell r="B1040" t="str">
            <v>Organization</v>
          </cell>
          <cell r="C1040" t="str">
            <v>TFL QUINN INDIA PVT. LTD. - HYDERABAD</v>
          </cell>
          <cell r="D1040" t="str">
            <v>90</v>
          </cell>
        </row>
        <row r="1041">
          <cell r="A1041" t="str">
            <v>C11601</v>
          </cell>
          <cell r="B1041" t="str">
            <v>Organization</v>
          </cell>
          <cell r="C1041" t="str">
            <v>TFL QUINN INDIA PVT. LTD. - RANGAREDDY</v>
          </cell>
          <cell r="D1041" t="str">
            <v>90</v>
          </cell>
        </row>
        <row r="1042">
          <cell r="A1042" t="str">
            <v>C11602</v>
          </cell>
          <cell r="B1042" t="str">
            <v>Organization</v>
          </cell>
          <cell r="C1042" t="str">
            <v>THE ANDHRA PETROCHEMICALS LTD.</v>
          </cell>
          <cell r="D1042" t="str">
            <v>30</v>
          </cell>
        </row>
        <row r="1043">
          <cell r="A1043" t="str">
            <v>C11605</v>
          </cell>
          <cell r="B1043" t="str">
            <v>Organization</v>
          </cell>
          <cell r="C1043" t="str">
            <v>THE COCHIN MALABAR ESTATES &amp; INDUSTRIES LIMITED</v>
          </cell>
          <cell r="D1043" t="str">
            <v>0</v>
          </cell>
        </row>
        <row r="1044">
          <cell r="A1044" t="str">
            <v>C11609</v>
          </cell>
          <cell r="B1044" t="str">
            <v>Organization</v>
          </cell>
          <cell r="C1044" t="str">
            <v>THE SOUTHERN SPICE PRODUCTS</v>
          </cell>
          <cell r="D1044" t="str">
            <v>0</v>
          </cell>
        </row>
        <row r="1045">
          <cell r="A1045" t="str">
            <v>C11610</v>
          </cell>
          <cell r="B1045" t="str">
            <v>Organization</v>
          </cell>
          <cell r="C1045" t="str">
            <v>THE SUKHJIT STARCH CHEMICALS LIMITED</v>
          </cell>
          <cell r="D1045" t="str">
            <v>1</v>
          </cell>
        </row>
        <row r="1046">
          <cell r="A1046" t="str">
            <v>C11611</v>
          </cell>
          <cell r="B1046" t="str">
            <v>Organization</v>
          </cell>
          <cell r="C1046" t="str">
            <v>THE WESTERN INDIA G.G. CO. (P) LTD.</v>
          </cell>
          <cell r="D1046" t="str">
            <v>30</v>
          </cell>
        </row>
        <row r="1047">
          <cell r="A1047" t="str">
            <v>C11612</v>
          </cell>
          <cell r="B1047" t="str">
            <v>Organization</v>
          </cell>
          <cell r="C1047" t="str">
            <v>THERMAX LIMITED - KHALAPUR</v>
          </cell>
          <cell r="D1047" t="str">
            <v>30</v>
          </cell>
        </row>
        <row r="1048">
          <cell r="A1048" t="str">
            <v>C11613</v>
          </cell>
          <cell r="B1048" t="str">
            <v>Organization</v>
          </cell>
          <cell r="C1048" t="str">
            <v>THERMO FISHER SCIENTIFIC INDIA PVT.. LTD.</v>
          </cell>
          <cell r="D1048" t="str">
            <v>45</v>
          </cell>
        </row>
        <row r="1049">
          <cell r="A1049" t="str">
            <v>C11614</v>
          </cell>
          <cell r="B1049" t="str">
            <v>Organization</v>
          </cell>
          <cell r="C1049" t="str">
            <v>THOMAS BAKER (CHEMICALS) PVT. LTD.</v>
          </cell>
          <cell r="D1049" t="str">
            <v>30</v>
          </cell>
        </row>
        <row r="1050">
          <cell r="A1050" t="str">
            <v>C11615</v>
          </cell>
          <cell r="B1050" t="str">
            <v>Organization</v>
          </cell>
          <cell r="C1050" t="str">
            <v>THOMSON RUBBER</v>
          </cell>
          <cell r="D1050" t="str">
            <v>30</v>
          </cell>
        </row>
        <row r="1051">
          <cell r="A1051" t="str">
            <v>C11616</v>
          </cell>
          <cell r="B1051" t="str">
            <v>Organization</v>
          </cell>
          <cell r="C1051" t="str">
            <v>THURS ORGANIC PRODUCTS</v>
          </cell>
          <cell r="D1051" t="str">
            <v>30</v>
          </cell>
        </row>
        <row r="1052">
          <cell r="A1052" t="str">
            <v>C11618</v>
          </cell>
          <cell r="B1052" t="str">
            <v>Organization</v>
          </cell>
          <cell r="C1052" t="str">
            <v>TIDE WATER OIL CO. (INDIA) LTD. - KOLKATA</v>
          </cell>
          <cell r="D1052" t="str">
            <v>30</v>
          </cell>
        </row>
        <row r="1053">
          <cell r="A1053" t="str">
            <v>C11619</v>
          </cell>
          <cell r="B1053" t="str">
            <v>Organization</v>
          </cell>
          <cell r="C1053" t="str">
            <v>TIDE WATER OIL CO. (INDIA) LTD. - FARIDABAD</v>
          </cell>
          <cell r="D1053" t="str">
            <v>30</v>
          </cell>
        </row>
        <row r="1054">
          <cell r="A1054" t="str">
            <v>C11620</v>
          </cell>
          <cell r="B1054" t="str">
            <v>Organization</v>
          </cell>
          <cell r="C1054" t="str">
            <v>TIDE WATER OIL CO. LTD</v>
          </cell>
          <cell r="D1054" t="str">
            <v>30</v>
          </cell>
        </row>
        <row r="1055">
          <cell r="A1055" t="str">
            <v>C11623</v>
          </cell>
          <cell r="B1055" t="str">
            <v>Organization</v>
          </cell>
          <cell r="C1055" t="str">
            <v>TIRUPATI BALAJI RIDERS OIL CO. PVT.. LTD.</v>
          </cell>
          <cell r="D1055" t="str">
            <v>0</v>
          </cell>
        </row>
        <row r="1056">
          <cell r="A1056" t="str">
            <v>C11624</v>
          </cell>
          <cell r="B1056" t="str">
            <v>Organization</v>
          </cell>
          <cell r="C1056" t="str">
            <v>TML INDUSTRIES LIMITED</v>
          </cell>
          <cell r="D1056" t="str">
            <v>90</v>
          </cell>
        </row>
        <row r="1057">
          <cell r="A1057" t="str">
            <v>C11625</v>
          </cell>
          <cell r="B1057" t="str">
            <v>Organization</v>
          </cell>
          <cell r="C1057" t="str">
            <v>TOPLINE WRITING INSTRUMENTS PVT.. LTD.</v>
          </cell>
          <cell r="D1057" t="str">
            <v>1</v>
          </cell>
        </row>
        <row r="1058">
          <cell r="A1058" t="str">
            <v>C11629</v>
          </cell>
          <cell r="B1058" t="str">
            <v>Organization</v>
          </cell>
          <cell r="C1058" t="str">
            <v>TRANSGLOBAL AGENCIES (200)</v>
          </cell>
          <cell r="D1058" t="str">
            <v>30</v>
          </cell>
        </row>
        <row r="1059">
          <cell r="A1059" t="str">
            <v>C11632</v>
          </cell>
          <cell r="B1059" t="str">
            <v>Organization</v>
          </cell>
          <cell r="C1059" t="str">
            <v>TRANSPEK - SILOX INDUSTRY LTD</v>
          </cell>
          <cell r="D1059" t="str">
            <v>90</v>
          </cell>
        </row>
        <row r="1060">
          <cell r="A1060" t="str">
            <v>C11633</v>
          </cell>
          <cell r="B1060" t="str">
            <v>Organization</v>
          </cell>
          <cell r="C1060" t="str">
            <v>TRANSPEK INDUSTRY LTD.(200)</v>
          </cell>
          <cell r="D1060" t="str">
            <v>60</v>
          </cell>
        </row>
        <row r="1061">
          <cell r="A1061" t="str">
            <v>C11634</v>
          </cell>
          <cell r="B1061" t="str">
            <v>Organization</v>
          </cell>
          <cell r="C1061" t="str">
            <v>TRAXXON PETROLEUMS</v>
          </cell>
          <cell r="D1061" t="str">
            <v>1</v>
          </cell>
        </row>
        <row r="1062">
          <cell r="A1062" t="str">
            <v>C11635</v>
          </cell>
          <cell r="B1062" t="str">
            <v>Organization</v>
          </cell>
          <cell r="C1062" t="str">
            <v>TRICHY DISTILLERIES &amp; CHEMICALS LTD</v>
          </cell>
          <cell r="D1062" t="str">
            <v>30</v>
          </cell>
        </row>
        <row r="1063">
          <cell r="A1063" t="str">
            <v>C11636</v>
          </cell>
          <cell r="B1063" t="str">
            <v>Organization</v>
          </cell>
          <cell r="C1063" t="str">
            <v>TRICOM AGRO PVT.. LTD</v>
          </cell>
          <cell r="D1063" t="str">
            <v>1</v>
          </cell>
        </row>
        <row r="1064">
          <cell r="A1064" t="str">
            <v>C11639</v>
          </cell>
          <cell r="B1064" t="str">
            <v>Organization</v>
          </cell>
          <cell r="C1064" t="str">
            <v>TURBHE CHEMICALS PVT. LTD..</v>
          </cell>
          <cell r="D1064" t="str">
            <v>30</v>
          </cell>
        </row>
        <row r="1065">
          <cell r="A1065" t="str">
            <v>C11640</v>
          </cell>
          <cell r="B1065" t="str">
            <v>Organization</v>
          </cell>
          <cell r="C1065" t="str">
            <v>TYCHE CHEM PVT.. LTD</v>
          </cell>
          <cell r="D1065" t="str">
            <v>30</v>
          </cell>
        </row>
        <row r="1066">
          <cell r="A1066" t="str">
            <v>C11641</v>
          </cell>
          <cell r="B1066" t="str">
            <v>Organization</v>
          </cell>
          <cell r="C1066" t="str">
            <v>TYTAN ORGANICS PVT.. LTD.</v>
          </cell>
          <cell r="D1066" t="str">
            <v>60</v>
          </cell>
        </row>
        <row r="1067">
          <cell r="A1067" t="str">
            <v>C11645</v>
          </cell>
          <cell r="B1067" t="str">
            <v>Organization</v>
          </cell>
          <cell r="C1067" t="str">
            <v>ULTRA CHEMICAL WORKS</v>
          </cell>
          <cell r="D1067" t="str">
            <v>1</v>
          </cell>
        </row>
        <row r="1068">
          <cell r="A1068" t="str">
            <v>C11648</v>
          </cell>
          <cell r="B1068" t="str">
            <v>Organization</v>
          </cell>
          <cell r="C1068" t="str">
            <v>ULTRA PURE RASAYAN PVT. LTD</v>
          </cell>
          <cell r="D1068" t="str">
            <v>1</v>
          </cell>
        </row>
        <row r="1069">
          <cell r="A1069" t="str">
            <v>C11649</v>
          </cell>
          <cell r="B1069" t="str">
            <v>Organization</v>
          </cell>
          <cell r="C1069" t="str">
            <v>UNICON FIBRO CHEMICALS PVT.. LTD</v>
          </cell>
          <cell r="D1069" t="str">
            <v>1</v>
          </cell>
        </row>
        <row r="1070">
          <cell r="A1070" t="str">
            <v>C11650</v>
          </cell>
          <cell r="B1070" t="str">
            <v>Organization</v>
          </cell>
          <cell r="C1070" t="str">
            <v>UNICORN ORGANICS LIMITED</v>
          </cell>
          <cell r="D1070" t="str">
            <v>60</v>
          </cell>
        </row>
        <row r="1071">
          <cell r="A1071" t="str">
            <v>C11651</v>
          </cell>
          <cell r="B1071" t="str">
            <v>Organization</v>
          </cell>
          <cell r="C1071" t="str">
            <v>UNIFORM PAINTS</v>
          </cell>
          <cell r="D1071" t="str">
            <v>0</v>
          </cell>
        </row>
        <row r="1072">
          <cell r="A1072" t="str">
            <v>C11652</v>
          </cell>
          <cell r="B1072" t="str">
            <v>Organization</v>
          </cell>
          <cell r="C1072" t="str">
            <v>UNILAB CHEMICALS &amp; PHARMACEUTICALS</v>
          </cell>
          <cell r="D1072" t="str">
            <v>30</v>
          </cell>
        </row>
        <row r="1073">
          <cell r="A1073" t="str">
            <v>C11653</v>
          </cell>
          <cell r="B1073" t="str">
            <v>Organization</v>
          </cell>
          <cell r="C1073" t="str">
            <v>UNIPATCH RUBBER LTD.</v>
          </cell>
          <cell r="D1073" t="str">
            <v>30</v>
          </cell>
        </row>
        <row r="1074">
          <cell r="A1074" t="str">
            <v>C11654</v>
          </cell>
          <cell r="B1074" t="str">
            <v>Organization</v>
          </cell>
          <cell r="C1074" t="str">
            <v>UNIPRO ORIENTAL LUBRICANTS PVT. LTD..</v>
          </cell>
          <cell r="D1074" t="str">
            <v>45</v>
          </cell>
        </row>
        <row r="1075">
          <cell r="A1075" t="str">
            <v>C11656</v>
          </cell>
          <cell r="B1075" t="str">
            <v>Organization</v>
          </cell>
          <cell r="C1075" t="str">
            <v>UNITED PESTICHEM &amp; NONIONICS PVT.. LTD.</v>
          </cell>
          <cell r="D1075" t="str">
            <v>30</v>
          </cell>
        </row>
        <row r="1076">
          <cell r="A1076" t="str">
            <v>C11662</v>
          </cell>
          <cell r="B1076" t="str">
            <v>Organization</v>
          </cell>
          <cell r="C1076" t="str">
            <v>UNITOP CHEMICALS PVT. LTD..</v>
          </cell>
          <cell r="D1076" t="str">
            <v>60</v>
          </cell>
        </row>
        <row r="1077">
          <cell r="A1077" t="str">
            <v>C11664</v>
          </cell>
          <cell r="B1077" t="str">
            <v>Organization</v>
          </cell>
          <cell r="C1077" t="str">
            <v>UNIVERSAL CHEMICALS INDUSTRIES LTD.</v>
          </cell>
          <cell r="D1077" t="str">
            <v>30</v>
          </cell>
        </row>
        <row r="1078">
          <cell r="A1078" t="str">
            <v>C11666</v>
          </cell>
          <cell r="B1078" t="str">
            <v>Organization</v>
          </cell>
          <cell r="C1078" t="str">
            <v>UNIVERSAL IMPEX - IMPORTS &amp; EXPORTS</v>
          </cell>
          <cell r="D1078" t="str">
            <v>1</v>
          </cell>
        </row>
        <row r="1079">
          <cell r="A1079" t="str">
            <v>C11667</v>
          </cell>
          <cell r="B1079" t="str">
            <v>Organization</v>
          </cell>
          <cell r="C1079" t="str">
            <v>UNIVERSAL LABORATORIES PRIVATE LIMITED</v>
          </cell>
          <cell r="D1079" t="str">
            <v>30</v>
          </cell>
        </row>
        <row r="1080">
          <cell r="A1080" t="str">
            <v>C11668</v>
          </cell>
          <cell r="B1080" t="str">
            <v>Organization</v>
          </cell>
          <cell r="C1080" t="str">
            <v>UNIVERSAL OLEORESINS</v>
          </cell>
          <cell r="D1080" t="str">
            <v>0</v>
          </cell>
        </row>
        <row r="1081">
          <cell r="A1081" t="str">
            <v>C11670</v>
          </cell>
          <cell r="B1081" t="str">
            <v>Organization</v>
          </cell>
          <cell r="C1081" t="str">
            <v>UNIVERSAL PETROCHEMICALS LTD. - (TALOJA)</v>
          </cell>
          <cell r="D1081" t="str">
            <v>60</v>
          </cell>
        </row>
        <row r="1082">
          <cell r="A1082" t="str">
            <v>C11673</v>
          </cell>
          <cell r="B1082" t="str">
            <v>Organization</v>
          </cell>
          <cell r="C1082" t="str">
            <v>USHA HI-TECH INDUSTRIES</v>
          </cell>
          <cell r="D1082" t="str">
            <v>1</v>
          </cell>
        </row>
        <row r="1083">
          <cell r="A1083" t="str">
            <v>C11675</v>
          </cell>
          <cell r="B1083" t="str">
            <v>Organization</v>
          </cell>
          <cell r="C1083" t="str">
            <v>V . KUMAR &amp; SON'S</v>
          </cell>
          <cell r="D1083" t="str">
            <v>1</v>
          </cell>
        </row>
        <row r="1084">
          <cell r="A1084" t="str">
            <v>C11677</v>
          </cell>
          <cell r="B1084" t="str">
            <v>Organization</v>
          </cell>
          <cell r="C1084" t="str">
            <v>VAAN LABORATORIES</v>
          </cell>
          <cell r="D1084" t="str">
            <v>30</v>
          </cell>
        </row>
        <row r="1085">
          <cell r="A1085" t="str">
            <v>C11679</v>
          </cell>
          <cell r="B1085" t="str">
            <v>Organization</v>
          </cell>
          <cell r="C1085" t="str">
            <v>VAID ELASTOMER PROCESSORS LTD</v>
          </cell>
          <cell r="D1085" t="str">
            <v>1</v>
          </cell>
        </row>
        <row r="1086">
          <cell r="A1086" t="str">
            <v>C11680</v>
          </cell>
          <cell r="B1086" t="str">
            <v>Organization</v>
          </cell>
          <cell r="C1086" t="str">
            <v>VALENTINE AGRO LIMITED</v>
          </cell>
          <cell r="D1086" t="str">
            <v>0</v>
          </cell>
        </row>
        <row r="1087">
          <cell r="A1087" t="str">
            <v>C11682</v>
          </cell>
          <cell r="B1087" t="str">
            <v>Organization</v>
          </cell>
          <cell r="C1087" t="str">
            <v>VALVOLINE CUMMINS LTD. (COMMON)</v>
          </cell>
          <cell r="D1087" t="str">
            <v>30</v>
          </cell>
        </row>
        <row r="1088">
          <cell r="A1088" t="str">
            <v>C11684</v>
          </cell>
          <cell r="B1088" t="str">
            <v>Organization</v>
          </cell>
          <cell r="C1088" t="str">
            <v>VANILLA INDIA PRODUCER COMPANY LTD.</v>
          </cell>
          <cell r="D1088" t="str">
            <v>0</v>
          </cell>
        </row>
        <row r="1089">
          <cell r="A1089" t="str">
            <v>C11685</v>
          </cell>
          <cell r="B1089" t="str">
            <v>Organization</v>
          </cell>
          <cell r="C1089" t="str">
            <v>VANTEC INDUSTRIES LTD.</v>
          </cell>
          <cell r="D1089" t="str">
            <v>15</v>
          </cell>
        </row>
        <row r="1090">
          <cell r="A1090" t="str">
            <v>C11687</v>
          </cell>
          <cell r="B1090" t="str">
            <v>Organization</v>
          </cell>
          <cell r="C1090" t="str">
            <v>VASISTA FOODS &amp; FATS (P) LTD.</v>
          </cell>
          <cell r="D1090" t="str">
            <v>30</v>
          </cell>
        </row>
        <row r="1091">
          <cell r="A1091" t="str">
            <v>C11692</v>
          </cell>
          <cell r="B1091" t="str">
            <v>Organization</v>
          </cell>
          <cell r="C1091" t="str">
            <v>VAV LIFE SCIENCE PVT. LTD</v>
          </cell>
          <cell r="D1091" t="str">
            <v>1</v>
          </cell>
        </row>
        <row r="1092">
          <cell r="A1092" t="str">
            <v>C11693</v>
          </cell>
          <cell r="B1092" t="str">
            <v>Organization</v>
          </cell>
          <cell r="C1092" t="str">
            <v>VEKAY POLYPLAST PVT. LTD.,</v>
          </cell>
          <cell r="D1092" t="str">
            <v>30</v>
          </cell>
        </row>
        <row r="1093">
          <cell r="A1093" t="str">
            <v>C11694</v>
          </cell>
          <cell r="B1093" t="str">
            <v>Organization</v>
          </cell>
          <cell r="C1093" t="str">
            <v>VELLOILS LUBRICANT &amp; PETROCHEM LTD.</v>
          </cell>
          <cell r="D1093" t="str">
            <v>30</v>
          </cell>
        </row>
        <row r="1094">
          <cell r="A1094" t="str">
            <v>C11695</v>
          </cell>
          <cell r="B1094" t="str">
            <v>Organization</v>
          </cell>
          <cell r="C1094" t="str">
            <v>VENSA BIOTEK LIMITED</v>
          </cell>
          <cell r="D1094" t="str">
            <v>7</v>
          </cell>
        </row>
        <row r="1095">
          <cell r="A1095" t="str">
            <v>C11701</v>
          </cell>
          <cell r="B1095" t="str">
            <v>Organization</v>
          </cell>
          <cell r="C1095" t="str">
            <v>VIDYA METAL CONTAINERS</v>
          </cell>
          <cell r="D1095" t="str">
            <v>60</v>
          </cell>
        </row>
        <row r="1096">
          <cell r="A1096" t="str">
            <v>C11702</v>
          </cell>
          <cell r="B1096" t="str">
            <v>Organization</v>
          </cell>
          <cell r="C1096" t="str">
            <v>VIJAY PLASTIC INDUSTRIES</v>
          </cell>
          <cell r="D1096" t="str">
            <v>30</v>
          </cell>
        </row>
        <row r="1097">
          <cell r="A1097" t="str">
            <v>C11706</v>
          </cell>
          <cell r="B1097" t="str">
            <v>Organization</v>
          </cell>
          <cell r="C1097" t="str">
            <v>VINAYAK PETROLEUMS</v>
          </cell>
          <cell r="D1097" t="str">
            <v>30</v>
          </cell>
        </row>
        <row r="1098">
          <cell r="A1098" t="str">
            <v>C11709</v>
          </cell>
          <cell r="B1098" t="str">
            <v>Organization</v>
          </cell>
          <cell r="C1098" t="str">
            <v>VINZOL OILS (INDIA)</v>
          </cell>
          <cell r="D1098" t="str">
            <v>0</v>
          </cell>
        </row>
        <row r="1099">
          <cell r="A1099" t="str">
            <v>C11710</v>
          </cell>
          <cell r="B1099" t="str">
            <v>Organization</v>
          </cell>
          <cell r="C1099" t="str">
            <v>VIPAT LUBRICANTS</v>
          </cell>
          <cell r="D1099" t="str">
            <v>1</v>
          </cell>
        </row>
        <row r="1100">
          <cell r="A1100" t="str">
            <v>C11717</v>
          </cell>
          <cell r="B1100" t="str">
            <v>Organization</v>
          </cell>
          <cell r="C1100" t="str">
            <v>VISHWANATH OKE</v>
          </cell>
          <cell r="D1100" t="str">
            <v>30</v>
          </cell>
        </row>
        <row r="1101">
          <cell r="A1101" t="str">
            <v>C11720</v>
          </cell>
          <cell r="B1101" t="str">
            <v>Organization</v>
          </cell>
          <cell r="C1101" t="str">
            <v>VIVEK FLAVOURS</v>
          </cell>
          <cell r="D1101" t="str">
            <v>30</v>
          </cell>
        </row>
        <row r="1102">
          <cell r="A1102" t="str">
            <v>C11721</v>
          </cell>
          <cell r="B1102" t="str">
            <v>Organization</v>
          </cell>
          <cell r="C1102" t="str">
            <v>VORIN LABORATORIES LTD.</v>
          </cell>
          <cell r="D1102" t="str">
            <v>45</v>
          </cell>
        </row>
        <row r="1103">
          <cell r="A1103" t="str">
            <v>C11722</v>
          </cell>
          <cell r="B1103" t="str">
            <v>Organization</v>
          </cell>
          <cell r="C1103" t="str">
            <v>VOSSEN &amp; CO SA/NV</v>
          </cell>
          <cell r="D1103" t="str">
            <v>0</v>
          </cell>
        </row>
        <row r="1104">
          <cell r="A1104" t="str">
            <v>C11724</v>
          </cell>
          <cell r="B1104" t="str">
            <v>Organization</v>
          </cell>
          <cell r="C1104" t="str">
            <v>VRINDA PETROLEUM &amp; CHEMICALS PVT. LTD</v>
          </cell>
          <cell r="D1104" t="str">
            <v>0</v>
          </cell>
        </row>
        <row r="1105">
          <cell r="A1105" t="str">
            <v>C11726</v>
          </cell>
          <cell r="B1105" t="str">
            <v>Organization</v>
          </cell>
          <cell r="C1105" t="str">
            <v>WACKER METROARK CHEMICALS PVT. LTD..(closed)</v>
          </cell>
          <cell r="D1105" t="str">
            <v>60</v>
          </cell>
        </row>
        <row r="1106">
          <cell r="A1106" t="str">
            <v>C11727</v>
          </cell>
          <cell r="B1106" t="str">
            <v>Organization</v>
          </cell>
          <cell r="C1106" t="str">
            <v>WANKSONS CHEMICAL INDS. PVT. LTD</v>
          </cell>
          <cell r="D1106" t="str">
            <v>30</v>
          </cell>
        </row>
        <row r="1107">
          <cell r="A1107" t="str">
            <v>C11728</v>
          </cell>
          <cell r="B1107" t="str">
            <v>Organization</v>
          </cell>
          <cell r="C1107" t="str">
            <v>WATSOL ORGANICS LIMITED</v>
          </cell>
          <cell r="D1107" t="str">
            <v>60</v>
          </cell>
        </row>
        <row r="1108">
          <cell r="A1108" t="str">
            <v>C11729</v>
          </cell>
          <cell r="B1108" t="str">
            <v>Organization</v>
          </cell>
          <cell r="C1108" t="str">
            <v>WATSOL POLYMERS PVT. LTD..</v>
          </cell>
          <cell r="D1108" t="str">
            <v>45</v>
          </cell>
        </row>
        <row r="1109">
          <cell r="A1109" t="str">
            <v>C11730</v>
          </cell>
          <cell r="B1109" t="str">
            <v>Organization</v>
          </cell>
          <cell r="C1109" t="str">
            <v>WELLCHEM LABORATORIES</v>
          </cell>
          <cell r="D1109" t="str">
            <v>30</v>
          </cell>
        </row>
        <row r="1110">
          <cell r="A1110" t="str">
            <v>C11731</v>
          </cell>
          <cell r="B1110" t="str">
            <v>Organization</v>
          </cell>
          <cell r="C1110" t="str">
            <v>WELLCOL CHEMICALS PVT. LTD.</v>
          </cell>
          <cell r="D1110" t="str">
            <v>60</v>
          </cell>
        </row>
        <row r="1111">
          <cell r="A1111" t="str">
            <v>C11732</v>
          </cell>
          <cell r="B1111" t="str">
            <v>Organization</v>
          </cell>
          <cell r="C1111" t="str">
            <v>WEST COAST HERBOCHEM LTD</v>
          </cell>
          <cell r="D1111" t="str">
            <v>30</v>
          </cell>
        </row>
        <row r="1112">
          <cell r="A1112" t="str">
            <v>C11733</v>
          </cell>
          <cell r="B1112" t="str">
            <v>Organization</v>
          </cell>
          <cell r="C1112" t="str">
            <v>WESTERN INDIA CHEMICALS</v>
          </cell>
          <cell r="D1112" t="str">
            <v>60</v>
          </cell>
        </row>
        <row r="1113">
          <cell r="A1113" t="str">
            <v>C11734</v>
          </cell>
          <cell r="B1113" t="str">
            <v>Organization</v>
          </cell>
          <cell r="C1113" t="str">
            <v>WRITING AIDS</v>
          </cell>
          <cell r="D1113" t="str">
            <v>60</v>
          </cell>
        </row>
        <row r="1114">
          <cell r="A1114" t="str">
            <v>C11735</v>
          </cell>
          <cell r="B1114" t="str">
            <v>Organization</v>
          </cell>
          <cell r="C1114" t="str">
            <v>WYNAD RESINS</v>
          </cell>
          <cell r="D1114" t="str">
            <v>1</v>
          </cell>
        </row>
        <row r="1115">
          <cell r="A1115" t="str">
            <v>C11736</v>
          </cell>
          <cell r="B1115" t="str">
            <v>Organization</v>
          </cell>
          <cell r="C1115" t="str">
            <v>XL ASSOCIATES</v>
          </cell>
          <cell r="D1115" t="str">
            <v>75</v>
          </cell>
        </row>
        <row r="1116">
          <cell r="A1116" t="str">
            <v>C11737</v>
          </cell>
          <cell r="B1116" t="str">
            <v>Organization</v>
          </cell>
          <cell r="C1116" t="str">
            <v>YAG MAG LABS PVT. LIMITED</v>
          </cell>
          <cell r="D1116" t="str">
            <v>45</v>
          </cell>
        </row>
        <row r="1117">
          <cell r="A1117" t="str">
            <v>C11738</v>
          </cell>
          <cell r="B1117" t="str">
            <v>Organization</v>
          </cell>
          <cell r="C1117" t="str">
            <v>YALE SYNTHLUBE INDUSTRIES</v>
          </cell>
          <cell r="D1117" t="str">
            <v>30</v>
          </cell>
        </row>
        <row r="1118">
          <cell r="A1118" t="str">
            <v>C11739</v>
          </cell>
          <cell r="B1118" t="str">
            <v>Organization</v>
          </cell>
          <cell r="C1118" t="str">
            <v>YASH EXPORTS</v>
          </cell>
          <cell r="D1118" t="str">
            <v>30</v>
          </cell>
        </row>
        <row r="1119">
          <cell r="A1119" t="str">
            <v>C11741</v>
          </cell>
          <cell r="B1119" t="str">
            <v>Organization</v>
          </cell>
          <cell r="C1119" t="str">
            <v>YASHRAJ CONTAINERS</v>
          </cell>
          <cell r="D1119" t="str">
            <v>30</v>
          </cell>
        </row>
        <row r="1120">
          <cell r="A1120" t="str">
            <v>C11743</v>
          </cell>
          <cell r="B1120" t="str">
            <v>Organization</v>
          </cell>
          <cell r="C1120" t="str">
            <v>YEMEN LUBRICANTS MANUFACTURING CO. LTD</v>
          </cell>
          <cell r="D1120" t="str">
            <v>1</v>
          </cell>
        </row>
        <row r="1121">
          <cell r="A1121" t="str">
            <v>C11744</v>
          </cell>
          <cell r="B1121" t="str">
            <v>Organization</v>
          </cell>
          <cell r="C1121" t="str">
            <v>YOGESH POLYTECH INDUSTRIES</v>
          </cell>
          <cell r="D1121" t="str">
            <v>1</v>
          </cell>
        </row>
        <row r="1122">
          <cell r="A1122" t="str">
            <v>C11746</v>
          </cell>
          <cell r="B1122" t="str">
            <v>Organization</v>
          </cell>
          <cell r="C1122" t="str">
            <v>ZAWAR SALES LIMITED</v>
          </cell>
          <cell r="D1122" t="str">
            <v>1</v>
          </cell>
        </row>
        <row r="1123">
          <cell r="A1123" t="str">
            <v>C11748</v>
          </cell>
          <cell r="B1123" t="str">
            <v>Organization</v>
          </cell>
          <cell r="C1123" t="str">
            <v>ZAVENIR DAUBERT INDIA PVT. LTD</v>
          </cell>
          <cell r="D1123" t="str">
            <v>60</v>
          </cell>
        </row>
        <row r="1124">
          <cell r="A1124" t="str">
            <v>C11749</v>
          </cell>
          <cell r="B1124" t="str">
            <v>Organization</v>
          </cell>
          <cell r="C1124" t="str">
            <v>ZIRCONIUM CHEMICALS PVT. LTD..</v>
          </cell>
          <cell r="D1124" t="str">
            <v>45</v>
          </cell>
        </row>
        <row r="1125">
          <cell r="A1125" t="str">
            <v>C11750</v>
          </cell>
          <cell r="B1125" t="str">
            <v>Organization</v>
          </cell>
          <cell r="C1125" t="str">
            <v>ZYDEX INDUSTRIES</v>
          </cell>
          <cell r="D1125" t="str">
            <v>0</v>
          </cell>
        </row>
        <row r="1126">
          <cell r="A1126" t="str">
            <v>C11752</v>
          </cell>
          <cell r="B1126" t="str">
            <v>Organization</v>
          </cell>
          <cell r="C1126" t="str">
            <v>BALMER LAWRIE &amp; CO. LTD. - KOLKATA</v>
          </cell>
          <cell r="D1126" t="str">
            <v>45</v>
          </cell>
        </row>
        <row r="1127">
          <cell r="A1127" t="str">
            <v>C11753</v>
          </cell>
          <cell r="B1127" t="str">
            <v>Organization</v>
          </cell>
          <cell r="C1127" t="str">
            <v>BHARAT BARREL &amp; DRUM MFG. CO. LTD.</v>
          </cell>
          <cell r="D1127" t="str">
            <v>60</v>
          </cell>
        </row>
        <row r="1128">
          <cell r="A1128" t="str">
            <v>C11754</v>
          </cell>
          <cell r="B1128" t="str">
            <v>Organization</v>
          </cell>
          <cell r="C1128" t="str">
            <v>BHARAT BARREL &amp; DRUM MFG. CO. PVT. LTD. - FARIDABAD</v>
          </cell>
          <cell r="D1128" t="str">
            <v>60</v>
          </cell>
        </row>
        <row r="1129">
          <cell r="A1129" t="str">
            <v>C11755</v>
          </cell>
          <cell r="B1129" t="str">
            <v>Organization</v>
          </cell>
          <cell r="C1129" t="str">
            <v>BHARAT RASAYAN LIMITED.</v>
          </cell>
          <cell r="D1129" t="str">
            <v>30</v>
          </cell>
        </row>
        <row r="1130">
          <cell r="A1130" t="str">
            <v>C11756</v>
          </cell>
          <cell r="B1130" t="str">
            <v>Organization</v>
          </cell>
          <cell r="C1130" t="str">
            <v>CASTROL INDIA LIMITED - DADRA &amp; NAGAR HAVELI</v>
          </cell>
          <cell r="D1130" t="str">
            <v>30</v>
          </cell>
        </row>
        <row r="1131">
          <cell r="A1131" t="str">
            <v>C11757</v>
          </cell>
          <cell r="B1131" t="str">
            <v>Organization</v>
          </cell>
          <cell r="C1131" t="str">
            <v>COLUMBIA PETRO-CHEM LTD. - RAIGAD</v>
          </cell>
          <cell r="D1131" t="str">
            <v>60</v>
          </cell>
        </row>
        <row r="1132">
          <cell r="A1132" t="str">
            <v>C11758</v>
          </cell>
          <cell r="B1132" t="str">
            <v>Organization</v>
          </cell>
          <cell r="C1132" t="str">
            <v>CONTOUR PACK VENTURE PVT. LTD..</v>
          </cell>
          <cell r="D1132" t="str">
            <v>15</v>
          </cell>
        </row>
        <row r="1133">
          <cell r="A1133" t="str">
            <v>C11759</v>
          </cell>
          <cell r="B1133" t="str">
            <v>Organization</v>
          </cell>
          <cell r="C1133" t="str">
            <v>CRAY VALLEY RESINS INDIA PVT. LTD</v>
          </cell>
          <cell r="D1133" t="str">
            <v>7</v>
          </cell>
        </row>
        <row r="1134">
          <cell r="A1134" t="str">
            <v>C11760</v>
          </cell>
          <cell r="B1134" t="str">
            <v>Organization</v>
          </cell>
          <cell r="C1134" t="str">
            <v>DCW LIMITED.</v>
          </cell>
          <cell r="D1134" t="str">
            <v>60</v>
          </cell>
        </row>
        <row r="1135">
          <cell r="A1135" t="str">
            <v>C11761</v>
          </cell>
          <cell r="B1135" t="str">
            <v>Organization</v>
          </cell>
          <cell r="C1135" t="str">
            <v>DHIRAJLAL &amp; COMPANY (SERVICED BY CLOSURE DIV)</v>
          </cell>
          <cell r="D1135" t="str">
            <v>1</v>
          </cell>
        </row>
        <row r="1136">
          <cell r="A1136" t="str">
            <v>C11762</v>
          </cell>
          <cell r="B1136" t="str">
            <v>Organization</v>
          </cell>
          <cell r="C1136" t="str">
            <v>DIMPLE DRUMS &amp; BARRELS PVT. LTD. - RASAYANI</v>
          </cell>
          <cell r="D1136" t="str">
            <v>30</v>
          </cell>
        </row>
        <row r="1137">
          <cell r="A1137" t="str">
            <v>C11763</v>
          </cell>
          <cell r="B1137" t="str">
            <v>Organization</v>
          </cell>
          <cell r="C1137" t="str">
            <v>BALMER LAWRIE - VAN LEER LIMITED - DEHARADUN</v>
          </cell>
          <cell r="D1137" t="str">
            <v>0</v>
          </cell>
        </row>
        <row r="1138">
          <cell r="A1138" t="str">
            <v>C11764</v>
          </cell>
          <cell r="B1138" t="str">
            <v>Organization</v>
          </cell>
          <cell r="C1138" t="str">
            <v>BOMBAY CHEMICALS P. LTD.</v>
          </cell>
          <cell r="D1138" t="str">
            <v>30</v>
          </cell>
        </row>
        <row r="1139">
          <cell r="A1139" t="str">
            <v>C11765</v>
          </cell>
          <cell r="B1139" t="str">
            <v>Organization</v>
          </cell>
          <cell r="C1139" t="str">
            <v>PIRAMAL  HEALTH CARE LTD.</v>
          </cell>
          <cell r="D1139" t="str">
            <v>30</v>
          </cell>
        </row>
        <row r="1140">
          <cell r="A1140" t="str">
            <v>C11766</v>
          </cell>
          <cell r="B1140" t="str">
            <v>Organization</v>
          </cell>
          <cell r="C1140" t="str">
            <v>POONAM DRUMS &amp; CONTAINERS - MOHALI</v>
          </cell>
          <cell r="D1140" t="str">
            <v>90</v>
          </cell>
        </row>
        <row r="1141">
          <cell r="A1141" t="str">
            <v>C11767</v>
          </cell>
          <cell r="B1141" t="str">
            <v>Organization</v>
          </cell>
          <cell r="C1141" t="str">
            <v>SAVITA OIL TECHNOLOGIES LIMITED. - SILVASSA</v>
          </cell>
          <cell r="D1141" t="str">
            <v>30</v>
          </cell>
        </row>
        <row r="1142">
          <cell r="A1142" t="str">
            <v>C11768</v>
          </cell>
          <cell r="B1142" t="str">
            <v>Organization</v>
          </cell>
          <cell r="C1142" t="str">
            <v>SAVITA OIL TECHNOLOGIES LIMITED. - TURBHE</v>
          </cell>
          <cell r="D1142" t="str">
            <v>30</v>
          </cell>
        </row>
        <row r="1143">
          <cell r="A1143" t="str">
            <v>C11769</v>
          </cell>
          <cell r="B1143" t="str">
            <v>Organization</v>
          </cell>
          <cell r="C1143" t="str">
            <v>A.M KHAN &amp; COMPANY.</v>
          </cell>
          <cell r="D1143" t="str">
            <v>1</v>
          </cell>
        </row>
        <row r="1144">
          <cell r="A1144" t="str">
            <v>C11770</v>
          </cell>
          <cell r="B1144" t="str">
            <v>Organization</v>
          </cell>
          <cell r="C1144" t="str">
            <v>ADORE CONTAINERS</v>
          </cell>
          <cell r="D1144" t="str">
            <v>1</v>
          </cell>
        </row>
        <row r="1145">
          <cell r="A1145" t="str">
            <v>C11771</v>
          </cell>
          <cell r="B1145" t="str">
            <v>Organization</v>
          </cell>
          <cell r="C1145" t="str">
            <v>AMINES &amp; PLASTICIZERS LIMITED</v>
          </cell>
          <cell r="D1145" t="str">
            <v>30</v>
          </cell>
        </row>
        <row r="1146">
          <cell r="A1146" t="str">
            <v>C11772</v>
          </cell>
          <cell r="B1146" t="str">
            <v>Organization</v>
          </cell>
          <cell r="C1146" t="str">
            <v>ANUP INDUSTRIES LIMITED</v>
          </cell>
          <cell r="D1146" t="str">
            <v>30</v>
          </cell>
        </row>
        <row r="1147">
          <cell r="A1147" t="str">
            <v>C11773</v>
          </cell>
          <cell r="B1147" t="str">
            <v>Organization</v>
          </cell>
          <cell r="C1147" t="str">
            <v>AP COATED DRUMS &amp; BARRELS PVT. LTD.</v>
          </cell>
          <cell r="D1147" t="str">
            <v>60</v>
          </cell>
        </row>
        <row r="1148">
          <cell r="A1148" t="str">
            <v>C11774</v>
          </cell>
          <cell r="B1148" t="str">
            <v>Organization</v>
          </cell>
          <cell r="C1148" t="str">
            <v>APAR INDUSTRIES LTD. - NAVI MUMBAI</v>
          </cell>
          <cell r="D1148" t="str">
            <v>45</v>
          </cell>
        </row>
        <row r="1149">
          <cell r="A1149" t="str">
            <v>C11775</v>
          </cell>
          <cell r="B1149" t="str">
            <v>Organization</v>
          </cell>
          <cell r="C1149" t="str">
            <v>GANDHAR OIL REFINERY INDIA LTD. - SILVASSA</v>
          </cell>
          <cell r="D1149" t="str">
            <v>45</v>
          </cell>
        </row>
        <row r="1150">
          <cell r="A1150" t="str">
            <v>C11776</v>
          </cell>
          <cell r="B1150" t="str">
            <v>Organization</v>
          </cell>
          <cell r="C1150" t="str">
            <v>GANDHAR OIL REFINERY INDIA LTD. - TALOJA</v>
          </cell>
          <cell r="D1150" t="str">
            <v>45</v>
          </cell>
        </row>
        <row r="1151">
          <cell r="A1151" t="str">
            <v>C11777</v>
          </cell>
          <cell r="B1151" t="str">
            <v>Organization</v>
          </cell>
          <cell r="C1151" t="str">
            <v>GS CALTEX LUBE INDIA PVT. LTD</v>
          </cell>
          <cell r="D1151" t="str">
            <v>30</v>
          </cell>
        </row>
        <row r="1152">
          <cell r="A1152" t="str">
            <v>C11778</v>
          </cell>
          <cell r="B1152" t="str">
            <v>Organization</v>
          </cell>
          <cell r="C1152" t="str">
            <v>GUJARAT CONTAINERS LTD. - SAVLI</v>
          </cell>
          <cell r="D1152" t="str">
            <v>60</v>
          </cell>
        </row>
        <row r="1153">
          <cell r="A1153" t="str">
            <v>C11779</v>
          </cell>
          <cell r="B1153" t="str">
            <v>Organization</v>
          </cell>
          <cell r="C1153" t="str">
            <v>GULF OIL CORPORATION LTD</v>
          </cell>
          <cell r="D1153" t="str">
            <v>30</v>
          </cell>
        </row>
        <row r="1154">
          <cell r="A1154" t="str">
            <v>C11780</v>
          </cell>
          <cell r="B1154" t="str">
            <v>Organization</v>
          </cell>
          <cell r="C1154" t="str">
            <v>HINDUSTAN POLYMIDES &amp; FIBRES LIMITED</v>
          </cell>
          <cell r="D1154" t="str">
            <v>30</v>
          </cell>
        </row>
        <row r="1155">
          <cell r="A1155" t="str">
            <v>C11781</v>
          </cell>
          <cell r="B1155" t="str">
            <v>Organization</v>
          </cell>
          <cell r="C1155" t="str">
            <v>JAYANT AGRO-ORGANICS LIMITED</v>
          </cell>
          <cell r="D1155" t="str">
            <v>60</v>
          </cell>
        </row>
        <row r="1156">
          <cell r="A1156" t="str">
            <v>C11782</v>
          </cell>
          <cell r="B1156" t="str">
            <v>Organization</v>
          </cell>
          <cell r="C1156" t="str">
            <v>K.C. INDUSTRIES</v>
          </cell>
          <cell r="D1156" t="str">
            <v>45</v>
          </cell>
        </row>
        <row r="1157">
          <cell r="A1157" t="str">
            <v>C11783</v>
          </cell>
          <cell r="B1157" t="str">
            <v>Organization</v>
          </cell>
          <cell r="C1157" t="str">
            <v>KOTHARI  PETROCHEMICALS LTD.</v>
          </cell>
          <cell r="D1157" t="str">
            <v>15</v>
          </cell>
        </row>
        <row r="1158">
          <cell r="A1158" t="str">
            <v>C11784</v>
          </cell>
          <cell r="B1158" t="str">
            <v>Organization</v>
          </cell>
          <cell r="C1158" t="str">
            <v>KRISHNA ANTIOXIDANTS PVT. LTD. - RATNAGIRI</v>
          </cell>
          <cell r="D1158" t="str">
            <v>30</v>
          </cell>
        </row>
        <row r="1159">
          <cell r="A1159" t="str">
            <v>C11785</v>
          </cell>
          <cell r="B1159" t="str">
            <v>Organization</v>
          </cell>
          <cell r="C1159" t="str">
            <v>KRISHNA BARRELS PVT LTD</v>
          </cell>
          <cell r="D1159" t="str">
            <v>30</v>
          </cell>
        </row>
        <row r="1160">
          <cell r="A1160" t="str">
            <v>C11786</v>
          </cell>
          <cell r="B1160" t="str">
            <v>Organization</v>
          </cell>
          <cell r="C1160" t="str">
            <v>KUMAR CONTAINERS - WORKS  (KANNAUJ)</v>
          </cell>
          <cell r="D1160" t="str">
            <v>60</v>
          </cell>
        </row>
        <row r="1161">
          <cell r="A1161" t="str">
            <v>C11787</v>
          </cell>
          <cell r="B1161" t="str">
            <v>Organization</v>
          </cell>
          <cell r="C1161" t="str">
            <v>LSR SEPCIALITY OILS PVT. LTD.  - TALOJA-ELF</v>
          </cell>
          <cell r="D1161" t="str">
            <v>30</v>
          </cell>
        </row>
        <row r="1162">
          <cell r="A1162" t="str">
            <v>C11788</v>
          </cell>
          <cell r="B1162" t="str">
            <v>Organization</v>
          </cell>
          <cell r="C1162" t="str">
            <v>LSR SPECIALITY OILS PVT. LTD. - TALOJA-EXXON</v>
          </cell>
          <cell r="D1162" t="str">
            <v>30</v>
          </cell>
        </row>
        <row r="1163">
          <cell r="A1163" t="str">
            <v>C11789</v>
          </cell>
          <cell r="B1163" t="str">
            <v>Organization</v>
          </cell>
          <cell r="C1163" t="str">
            <v>MAHATA PETROLEUM PRIVATE LTD</v>
          </cell>
          <cell r="D1163" t="str">
            <v>0</v>
          </cell>
        </row>
        <row r="1164">
          <cell r="A1164" t="str">
            <v>C11790</v>
          </cell>
          <cell r="B1164" t="str">
            <v>Organization</v>
          </cell>
          <cell r="C1164" t="str">
            <v>MANALI PTROCHEMICALS LTD (PLANT1)</v>
          </cell>
          <cell r="D1164" t="str">
            <v>60</v>
          </cell>
        </row>
        <row r="1165">
          <cell r="A1165" t="str">
            <v>C11791</v>
          </cell>
          <cell r="B1165" t="str">
            <v>Organization</v>
          </cell>
          <cell r="C1165" t="str">
            <v>NEW BOMBAY DRUMS CO.</v>
          </cell>
          <cell r="D1165" t="str">
            <v>30</v>
          </cell>
        </row>
        <row r="1166">
          <cell r="A1166" t="str">
            <v>C11792</v>
          </cell>
          <cell r="B1166" t="str">
            <v>Organization</v>
          </cell>
          <cell r="C1166" t="str">
            <v>OASIS IMPEX</v>
          </cell>
          <cell r="D1166" t="str">
            <v>1</v>
          </cell>
        </row>
        <row r="1167">
          <cell r="A1167" t="str">
            <v>C11793</v>
          </cell>
          <cell r="B1167" t="str">
            <v>Organization</v>
          </cell>
          <cell r="C1167" t="str">
            <v>PACK WELL INDUSTRIES</v>
          </cell>
          <cell r="D1167" t="str">
            <v>30</v>
          </cell>
        </row>
        <row r="1168">
          <cell r="A1168" t="str">
            <v>C11794</v>
          </cell>
          <cell r="B1168" t="str">
            <v>Organization</v>
          </cell>
          <cell r="C1168" t="str">
            <v>PACKME INDUSTRIES Pvt.Ltd.</v>
          </cell>
          <cell r="D1168" t="str">
            <v>30</v>
          </cell>
        </row>
        <row r="1169">
          <cell r="A1169" t="str">
            <v>C11795</v>
          </cell>
          <cell r="B1169" t="str">
            <v>Organization</v>
          </cell>
          <cell r="C1169" t="str">
            <v>POONAM  DRUMS &amp; CONTAINERS P. LTD. - KHOPOLI</v>
          </cell>
          <cell r="D1169" t="str">
            <v>90</v>
          </cell>
        </row>
        <row r="1170">
          <cell r="A1170" t="str">
            <v>C11796</v>
          </cell>
          <cell r="B1170" t="str">
            <v>Organization</v>
          </cell>
          <cell r="C1170" t="str">
            <v>E-CON PACKAGING PVT. LTD - KHARADPADA</v>
          </cell>
          <cell r="D1170" t="str">
            <v>90</v>
          </cell>
        </row>
        <row r="1171">
          <cell r="A1171" t="str">
            <v>C11797</v>
          </cell>
          <cell r="B1171" t="str">
            <v>Organization</v>
          </cell>
          <cell r="C1171" t="str">
            <v>E-CON PACKAGING PVT. LTD - CHICHPADA</v>
          </cell>
          <cell r="D1171" t="str">
            <v>90</v>
          </cell>
        </row>
        <row r="1172">
          <cell r="A1172" t="str">
            <v>C11798</v>
          </cell>
          <cell r="B1172" t="str">
            <v>Organization</v>
          </cell>
          <cell r="C1172" t="str">
            <v>RAJ PETRO SPECIALITIES PVT. LTD. - SILVASSA</v>
          </cell>
          <cell r="D1172" t="str">
            <v>45</v>
          </cell>
        </row>
        <row r="1173">
          <cell r="A1173" t="str">
            <v>C11799</v>
          </cell>
          <cell r="B1173" t="str">
            <v>Organization</v>
          </cell>
          <cell r="C1173" t="str">
            <v>RAJ PETRO SPECIALITIES PVT LTD.CHENNAI (CLOSED)</v>
          </cell>
          <cell r="D1173" t="str">
            <v>45</v>
          </cell>
        </row>
        <row r="1174">
          <cell r="A1174" t="str">
            <v>C11800</v>
          </cell>
          <cell r="B1174" t="str">
            <v>Organization</v>
          </cell>
          <cell r="C1174" t="str">
            <v>SAVITA POLYMERS LIMITED -MAHAD</v>
          </cell>
          <cell r="D1174" t="str">
            <v>30</v>
          </cell>
        </row>
        <row r="1175">
          <cell r="A1175" t="str">
            <v>C11801</v>
          </cell>
          <cell r="B1175" t="str">
            <v>Organization</v>
          </cell>
          <cell r="C1175" t="str">
            <v>*STOPPED*SUVIDA DRUMS</v>
          </cell>
          <cell r="D1175" t="str">
            <v>60</v>
          </cell>
        </row>
        <row r="1176">
          <cell r="A1176" t="str">
            <v>C11802</v>
          </cell>
          <cell r="B1176" t="str">
            <v>Organization</v>
          </cell>
          <cell r="C1176" t="str">
            <v>T &amp; D GALIAKOT CONTAINERS PVT. LTD. (SILVASSA)</v>
          </cell>
          <cell r="D1176" t="str">
            <v>45</v>
          </cell>
        </row>
        <row r="1177">
          <cell r="A1177" t="str">
            <v>C11803</v>
          </cell>
          <cell r="B1177" t="str">
            <v>Organization</v>
          </cell>
          <cell r="C1177" t="str">
            <v>TECHNOSTAR ENGINEERING PVT. LTD.</v>
          </cell>
          <cell r="D1177" t="str">
            <v>90</v>
          </cell>
        </row>
        <row r="1178">
          <cell r="A1178" t="str">
            <v>C11804</v>
          </cell>
          <cell r="B1178" t="str">
            <v>Organization</v>
          </cell>
          <cell r="C1178" t="str">
            <v>THE GENERAL MANAGER (BHUSAWAL)</v>
          </cell>
          <cell r="D1178" t="str">
            <v>30</v>
          </cell>
        </row>
        <row r="1179">
          <cell r="A1179" t="str">
            <v>C11805</v>
          </cell>
          <cell r="B1179" t="str">
            <v>Organization</v>
          </cell>
          <cell r="C1179" t="str">
            <v>TIDE WATER OIL CO. (INDIA) LTD. - TURBHE</v>
          </cell>
          <cell r="D1179" t="str">
            <v>30</v>
          </cell>
        </row>
        <row r="1180">
          <cell r="A1180" t="str">
            <v>C11806</v>
          </cell>
          <cell r="B1180" t="str">
            <v>Organization</v>
          </cell>
          <cell r="C1180" t="str">
            <v>TIDE WATER OIL CO. (INDIA) LTD. - SILVASSA</v>
          </cell>
          <cell r="D1180" t="str">
            <v>30</v>
          </cell>
        </row>
        <row r="1181">
          <cell r="A1181" t="str">
            <v>C11807</v>
          </cell>
          <cell r="B1181" t="str">
            <v>Organization</v>
          </cell>
          <cell r="C1181" t="str">
            <v>TOTAL OIL INDIA LTD.</v>
          </cell>
          <cell r="D1181" t="str">
            <v>60</v>
          </cell>
        </row>
        <row r="1182">
          <cell r="A1182" t="str">
            <v>C11808</v>
          </cell>
          <cell r="B1182" t="str">
            <v>Organization</v>
          </cell>
          <cell r="C1182" t="str">
            <v>ULTRA PLUS LUBES PVT.. LTD.</v>
          </cell>
          <cell r="D1182" t="str">
            <v>60</v>
          </cell>
        </row>
        <row r="1183">
          <cell r="A1183" t="str">
            <v>C11809</v>
          </cell>
          <cell r="B1183" t="str">
            <v>Organization</v>
          </cell>
          <cell r="C1183" t="str">
            <v>VIKATMEV CONTAINERS LTD.  -ANKLESHWAR</v>
          </cell>
          <cell r="D1183" t="str">
            <v>60</v>
          </cell>
        </row>
        <row r="1184">
          <cell r="A1184" t="str">
            <v>C11810</v>
          </cell>
          <cell r="B1184" t="str">
            <v>Organization</v>
          </cell>
          <cell r="C1184" t="str">
            <v>WACKER METROARK CHEMICALS PVT. LTD.</v>
          </cell>
          <cell r="D1184" t="str">
            <v>30</v>
          </cell>
        </row>
        <row r="1185">
          <cell r="A1185" t="str">
            <v>C11811</v>
          </cell>
          <cell r="B1185" t="str">
            <v>Organization</v>
          </cell>
          <cell r="C1185" t="str">
            <v>WESTERN STEEL DRUMS PVT. LTD..</v>
          </cell>
          <cell r="D1185" t="str">
            <v>60</v>
          </cell>
        </row>
        <row r="1186">
          <cell r="A1186" t="str">
            <v>C11812</v>
          </cell>
          <cell r="B1186" t="str">
            <v>Organization</v>
          </cell>
          <cell r="C1186" t="str">
            <v>YASHRAJ CONTAINEURS LIMITED - DAMAN</v>
          </cell>
          <cell r="D1186" t="str">
            <v>15</v>
          </cell>
        </row>
        <row r="1187">
          <cell r="A1187" t="str">
            <v>C11813</v>
          </cell>
          <cell r="B1187" t="str">
            <v>Organization</v>
          </cell>
          <cell r="C1187" t="str">
            <v>GOPANI METAL INDUSTRIES PVT. LTD.</v>
          </cell>
          <cell r="D1187" t="str">
            <v>1</v>
          </cell>
        </row>
        <row r="1188">
          <cell r="A1188" t="str">
            <v>C11814</v>
          </cell>
          <cell r="B1188" t="str">
            <v>Organization</v>
          </cell>
          <cell r="C1188" t="str">
            <v>BALMER LAWRIE &amp; CO. LTD (DO NOT USE)</v>
          </cell>
          <cell r="D1188" t="str">
            <v>45</v>
          </cell>
        </row>
        <row r="1189">
          <cell r="A1189" t="str">
            <v>C11815</v>
          </cell>
          <cell r="B1189" t="str">
            <v>Organization</v>
          </cell>
          <cell r="C1189" t="str">
            <v>BENZSAL CORPORATION</v>
          </cell>
          <cell r="D1189" t="str">
            <v>1</v>
          </cell>
        </row>
        <row r="1190">
          <cell r="A1190" t="str">
            <v>C11816</v>
          </cell>
          <cell r="B1190" t="str">
            <v>Organization</v>
          </cell>
          <cell r="C1190" t="str">
            <v>BOS NATURAL A FLAVOURS (P) LIMITED</v>
          </cell>
          <cell r="D1190" t="str">
            <v>0</v>
          </cell>
        </row>
        <row r="1191">
          <cell r="A1191" t="str">
            <v>C11817</v>
          </cell>
          <cell r="B1191" t="str">
            <v>Organization</v>
          </cell>
          <cell r="C1191" t="str">
            <v>CHOUDHARY  BIOSYS (NEPAL) PVT. LTD</v>
          </cell>
          <cell r="D1191" t="str">
            <v>1</v>
          </cell>
        </row>
        <row r="1192">
          <cell r="A1192" t="str">
            <v>C11818</v>
          </cell>
          <cell r="B1192" t="str">
            <v>Organization</v>
          </cell>
          <cell r="C1192" t="str">
            <v>COCA COLA INDIA PRIVATE LIMITED</v>
          </cell>
          <cell r="D1192" t="str">
            <v>30</v>
          </cell>
        </row>
        <row r="1193">
          <cell r="A1193" t="str">
            <v>C11820</v>
          </cell>
          <cell r="B1193" t="str">
            <v>Organization</v>
          </cell>
          <cell r="C1193" t="str">
            <v>GOLDEN LUBES PVT. LTD</v>
          </cell>
          <cell r="D1193" t="str">
            <v>1</v>
          </cell>
        </row>
        <row r="1194">
          <cell r="A1194" t="str">
            <v>C11822</v>
          </cell>
          <cell r="B1194" t="str">
            <v>Organization</v>
          </cell>
          <cell r="C1194" t="str">
            <v>GREASE PLANT, VASHI,</v>
          </cell>
          <cell r="D1194" t="str">
            <v>1</v>
          </cell>
        </row>
        <row r="1195">
          <cell r="A1195" t="str">
            <v>C11823</v>
          </cell>
          <cell r="B1195" t="str">
            <v>Organization</v>
          </cell>
          <cell r="C1195" t="str">
            <v>KLUBER LUBRICATION INDIA PVT. LTD..</v>
          </cell>
          <cell r="D1195" t="str">
            <v>0</v>
          </cell>
        </row>
        <row r="1196">
          <cell r="A1196" t="str">
            <v>C11824</v>
          </cell>
          <cell r="B1196" t="str">
            <v>Organization</v>
          </cell>
          <cell r="C1196" t="str">
            <v>MEXICO OIL</v>
          </cell>
          <cell r="D1196" t="str">
            <v>0</v>
          </cell>
        </row>
        <row r="1197">
          <cell r="A1197" t="str">
            <v>C11826</v>
          </cell>
          <cell r="B1197" t="str">
            <v>Organization</v>
          </cell>
          <cell r="C1197" t="str">
            <v>BPCL LUBES TALOJA (RAIGARH DIST)</v>
          </cell>
          <cell r="D1197" t="str">
            <v>30</v>
          </cell>
        </row>
        <row r="1198">
          <cell r="A1198" t="str">
            <v>C11827</v>
          </cell>
          <cell r="B1198" t="str">
            <v>Organization</v>
          </cell>
          <cell r="C1198" t="str">
            <v>NANDAN PETROCHEM LTD. - SILVASSA</v>
          </cell>
          <cell r="D1198" t="str">
            <v>30</v>
          </cell>
        </row>
        <row r="1199">
          <cell r="A1199" t="str">
            <v>C11828</v>
          </cell>
          <cell r="B1199" t="str">
            <v>Organization</v>
          </cell>
          <cell r="C1199" t="str">
            <v>OXYCHEM TECHNOLOGIES PVT. LTD.</v>
          </cell>
          <cell r="D1199" t="str">
            <v>30</v>
          </cell>
        </row>
        <row r="1200">
          <cell r="A1200" t="str">
            <v>C11829</v>
          </cell>
          <cell r="B1200" t="str">
            <v>Organization</v>
          </cell>
          <cell r="C1200" t="str">
            <v>RESHMA ORGANICS CHEMICALS PVT. LTD..</v>
          </cell>
          <cell r="D1200" t="str">
            <v>0</v>
          </cell>
        </row>
        <row r="1201">
          <cell r="A1201" t="str">
            <v>C11830</v>
          </cell>
          <cell r="B1201" t="str">
            <v>Organization</v>
          </cell>
          <cell r="C1201" t="str">
            <v>ROCHAAN TRADERS</v>
          </cell>
          <cell r="D1201" t="str">
            <v>0</v>
          </cell>
        </row>
        <row r="1202">
          <cell r="A1202" t="str">
            <v>C11832</v>
          </cell>
          <cell r="B1202" t="str">
            <v>Organization</v>
          </cell>
          <cell r="C1202" t="str">
            <v>SABERO ORGANICS GUJARAT LTD. - BULSAR</v>
          </cell>
          <cell r="D1202" t="str">
            <v>0</v>
          </cell>
        </row>
        <row r="1203">
          <cell r="A1203" t="str">
            <v>C11833</v>
          </cell>
          <cell r="B1203" t="str">
            <v>Organization</v>
          </cell>
          <cell r="C1203" t="str">
            <v>SAI PETROCHEM</v>
          </cell>
          <cell r="D1203" t="str">
            <v>1</v>
          </cell>
        </row>
        <row r="1204">
          <cell r="A1204" t="str">
            <v>C11834</v>
          </cell>
          <cell r="B1204" t="str">
            <v>Organization</v>
          </cell>
          <cell r="C1204" t="str">
            <v>SHRINIWAS INDUSTRIES</v>
          </cell>
          <cell r="D1204" t="str">
            <v>0</v>
          </cell>
        </row>
        <row r="1205">
          <cell r="A1205" t="str">
            <v>C11835</v>
          </cell>
          <cell r="B1205" t="str">
            <v>Organization</v>
          </cell>
          <cell r="C1205" t="str">
            <v>SIKA INDIA PRIVATE LIMITED - NEW BOMBAY</v>
          </cell>
          <cell r="D1205" t="str">
            <v>90</v>
          </cell>
        </row>
        <row r="1206">
          <cell r="A1206" t="str">
            <v>C11836</v>
          </cell>
          <cell r="B1206" t="str">
            <v>Organization</v>
          </cell>
          <cell r="C1206" t="str">
            <v>STANDARD PETRO-LUB</v>
          </cell>
          <cell r="D1206" t="str">
            <v>0</v>
          </cell>
        </row>
        <row r="1207">
          <cell r="A1207" t="str">
            <v>C11837</v>
          </cell>
          <cell r="B1207" t="str">
            <v>Organization</v>
          </cell>
          <cell r="C1207" t="str">
            <v>STANLUBES &amp; SPECIALITIES (INDIA) PVT.. LTD</v>
          </cell>
          <cell r="D1207" t="str">
            <v>1</v>
          </cell>
        </row>
        <row r="1208">
          <cell r="A1208" t="str">
            <v>C11839</v>
          </cell>
          <cell r="B1208" t="str">
            <v>Organization</v>
          </cell>
          <cell r="C1208" t="str">
            <v>INDIAN OIL CORPORATION LTD - (SCFP)</v>
          </cell>
          <cell r="D1208" t="str">
            <v>30</v>
          </cell>
        </row>
        <row r="1209">
          <cell r="A1209" t="str">
            <v>C11841</v>
          </cell>
          <cell r="B1209" t="str">
            <v>Organization</v>
          </cell>
          <cell r="C1209" t="str">
            <v>VIDARBHA MINING PVT. LTD</v>
          </cell>
          <cell r="D1209" t="str">
            <v>0</v>
          </cell>
        </row>
        <row r="1210">
          <cell r="A1210" t="str">
            <v>C11843</v>
          </cell>
          <cell r="B1210" t="str">
            <v>Organization</v>
          </cell>
          <cell r="C1210" t="str">
            <v>A CHANDRASEKAR</v>
          </cell>
          <cell r="D1210" t="str">
            <v>1</v>
          </cell>
        </row>
        <row r="1211">
          <cell r="A1211" t="str">
            <v>C11844</v>
          </cell>
          <cell r="B1211" t="str">
            <v>Organization</v>
          </cell>
          <cell r="C1211" t="str">
            <v>A.M. AROMATICS PVT. LTD.</v>
          </cell>
          <cell r="D1211" t="str">
            <v>7</v>
          </cell>
        </row>
        <row r="1212">
          <cell r="A1212" t="str">
            <v>C11845</v>
          </cell>
          <cell r="B1212" t="str">
            <v>Organization</v>
          </cell>
          <cell r="C1212" t="str">
            <v>A.R. STANCHEM PVT. LTD..</v>
          </cell>
          <cell r="D1212" t="str">
            <v>15</v>
          </cell>
        </row>
        <row r="1213">
          <cell r="A1213" t="str">
            <v>C11847</v>
          </cell>
          <cell r="B1213" t="str">
            <v>Organization</v>
          </cell>
          <cell r="C1213" t="str">
            <v>A.V.M. AROMATICS</v>
          </cell>
          <cell r="D1213" t="str">
            <v>1</v>
          </cell>
        </row>
        <row r="1214">
          <cell r="A1214" t="str">
            <v>C11848</v>
          </cell>
          <cell r="B1214" t="str">
            <v>Organization</v>
          </cell>
          <cell r="C1214" t="str">
            <v>ABHILASH CHEMICALS PVT. LTD.</v>
          </cell>
          <cell r="D1214" t="str">
            <v>1</v>
          </cell>
        </row>
        <row r="1215">
          <cell r="A1215" t="str">
            <v>C11849</v>
          </cell>
          <cell r="B1215" t="str">
            <v>Organization</v>
          </cell>
          <cell r="C1215" t="str">
            <v>ACCELERATED FREEZE DRYING COMPANY LTD .</v>
          </cell>
          <cell r="D1215" t="str">
            <v>60</v>
          </cell>
        </row>
        <row r="1216">
          <cell r="A1216" t="str">
            <v>C11850</v>
          </cell>
          <cell r="B1216" t="str">
            <v>Organization</v>
          </cell>
          <cell r="C1216" t="str">
            <v>ADHESIVES &amp; POLYMERIC PRODUCTS</v>
          </cell>
          <cell r="D1216" t="str">
            <v>15</v>
          </cell>
        </row>
        <row r="1217">
          <cell r="A1217" t="str">
            <v>C11851</v>
          </cell>
          <cell r="B1217" t="str">
            <v>Organization</v>
          </cell>
          <cell r="C1217" t="str">
            <v>ADHESWARA CHEMICALS PVT. LTD.</v>
          </cell>
          <cell r="D1217" t="str">
            <v>45</v>
          </cell>
        </row>
        <row r="1218">
          <cell r="A1218" t="str">
            <v>C11852</v>
          </cell>
          <cell r="B1218" t="str">
            <v>Organization</v>
          </cell>
          <cell r="C1218" t="str">
            <v>ADHESWARA EXPORTS  PVT. LTD..</v>
          </cell>
          <cell r="D1218" t="str">
            <v>30</v>
          </cell>
        </row>
        <row r="1219">
          <cell r="A1219" t="str">
            <v>C11853</v>
          </cell>
          <cell r="B1219" t="str">
            <v>Organization</v>
          </cell>
          <cell r="C1219" t="str">
            <v>AKAY FLAVOURS &amp; AROMATICS LTD.</v>
          </cell>
          <cell r="D1219" t="str">
            <v>7</v>
          </cell>
        </row>
        <row r="1220">
          <cell r="A1220" t="str">
            <v>C11856</v>
          </cell>
          <cell r="B1220" t="str">
            <v>Organization</v>
          </cell>
          <cell r="C1220" t="str">
            <v>ALEEF CONTAINERS</v>
          </cell>
          <cell r="D1220" t="str">
            <v>1</v>
          </cell>
        </row>
        <row r="1221">
          <cell r="A1221" t="str">
            <v>C11857</v>
          </cell>
          <cell r="B1221" t="str">
            <v>Organization</v>
          </cell>
          <cell r="C1221" t="str">
            <v>ALPHA AMINES PVT. LTD..</v>
          </cell>
          <cell r="D1221" t="str">
            <v>15</v>
          </cell>
        </row>
        <row r="1222">
          <cell r="A1222" t="str">
            <v>C11858</v>
          </cell>
          <cell r="B1222" t="str">
            <v>Organization</v>
          </cell>
          <cell r="C1222" t="str">
            <v>ALPHA FRY TECHNOLOGIES DEVELOPMENT</v>
          </cell>
          <cell r="D1222" t="str">
            <v>1</v>
          </cell>
        </row>
        <row r="1223">
          <cell r="A1223" t="str">
            <v>C11859</v>
          </cell>
          <cell r="B1223" t="str">
            <v>Organization</v>
          </cell>
          <cell r="C1223" t="str">
            <v>ALPHA TRADING AGENCY</v>
          </cell>
          <cell r="D1223" t="str">
            <v>7</v>
          </cell>
        </row>
        <row r="1224">
          <cell r="A1224" t="str">
            <v>C11861</v>
          </cell>
          <cell r="B1224" t="str">
            <v>Organization</v>
          </cell>
          <cell r="C1224" t="str">
            <v>AMBER CHEMICALS &amp; PHARMACEUTICALS P LTD</v>
          </cell>
          <cell r="D1224" t="str">
            <v>30</v>
          </cell>
        </row>
        <row r="1225">
          <cell r="A1225" t="str">
            <v>C11862</v>
          </cell>
          <cell r="B1225" t="str">
            <v>Organization</v>
          </cell>
          <cell r="C1225" t="str">
            <v>AMCO BATTERIES</v>
          </cell>
          <cell r="D1225" t="str">
            <v>1</v>
          </cell>
        </row>
        <row r="1226">
          <cell r="A1226" t="str">
            <v>C11863</v>
          </cell>
          <cell r="B1226" t="str">
            <v>Organization</v>
          </cell>
          <cell r="C1226" t="str">
            <v>AMERICAN REMEDIES LTD.</v>
          </cell>
          <cell r="D1226" t="str">
            <v>7</v>
          </cell>
        </row>
        <row r="1227">
          <cell r="A1227" t="str">
            <v>C11864</v>
          </cell>
          <cell r="B1227" t="str">
            <v>Organization</v>
          </cell>
          <cell r="C1227" t="str">
            <v>AMRUTANJAN LTD.</v>
          </cell>
          <cell r="D1227" t="str">
            <v>30</v>
          </cell>
        </row>
        <row r="1228">
          <cell r="A1228" t="str">
            <v>C11865</v>
          </cell>
          <cell r="B1228" t="str">
            <v>Organization</v>
          </cell>
          <cell r="C1228" t="str">
            <v>ANAN DRUG &amp; CHEM LTD</v>
          </cell>
          <cell r="D1228" t="str">
            <v>30</v>
          </cell>
        </row>
        <row r="1229">
          <cell r="A1229" t="str">
            <v>C11866</v>
          </cell>
          <cell r="B1229" t="str">
            <v>Organization</v>
          </cell>
          <cell r="C1229" t="str">
            <v>ANAND  HARDWARES</v>
          </cell>
          <cell r="D1229" t="str">
            <v>1</v>
          </cell>
        </row>
        <row r="1230">
          <cell r="A1230" t="str">
            <v>C11867</v>
          </cell>
          <cell r="B1230" t="str">
            <v>Organization</v>
          </cell>
          <cell r="C1230" t="str">
            <v>ANJALI FOODS</v>
          </cell>
          <cell r="D1230" t="str">
            <v>30</v>
          </cell>
        </row>
        <row r="1231">
          <cell r="A1231" t="str">
            <v>C11868</v>
          </cell>
          <cell r="B1231" t="str">
            <v>Organization</v>
          </cell>
          <cell r="C1231" t="str">
            <v>ANJAN DRUGS PRIVATE LIMITED</v>
          </cell>
          <cell r="D1231" t="str">
            <v>30</v>
          </cell>
        </row>
        <row r="1232">
          <cell r="A1232" t="str">
            <v>C11869</v>
          </cell>
          <cell r="B1232" t="str">
            <v>Organization</v>
          </cell>
          <cell r="C1232" t="str">
            <v>ANURADHA CHEMICALS ENTERPRISES</v>
          </cell>
          <cell r="D1232" t="str">
            <v>1</v>
          </cell>
        </row>
        <row r="1233">
          <cell r="A1233" t="str">
            <v>C11870</v>
          </cell>
          <cell r="B1233" t="str">
            <v>Organization</v>
          </cell>
          <cell r="C1233" t="str">
            <v>ANU'S LABORATORIES LIMITED</v>
          </cell>
          <cell r="D1233" t="str">
            <v>1</v>
          </cell>
        </row>
        <row r="1234">
          <cell r="A1234" t="str">
            <v>C11871</v>
          </cell>
          <cell r="B1234" t="str">
            <v>Organization</v>
          </cell>
          <cell r="C1234" t="str">
            <v>ARCH PHARMALABS LIMITED</v>
          </cell>
          <cell r="D1234" t="str">
            <v>30</v>
          </cell>
        </row>
        <row r="1235">
          <cell r="A1235" t="str">
            <v>C11874</v>
          </cell>
          <cell r="B1235" t="str">
            <v>Organization</v>
          </cell>
          <cell r="C1235" t="str">
            <v>ARLE CHEMIS</v>
          </cell>
          <cell r="D1235" t="str">
            <v>60</v>
          </cell>
        </row>
        <row r="1236">
          <cell r="A1236" t="str">
            <v>C11876</v>
          </cell>
          <cell r="B1236" t="str">
            <v>Organization</v>
          </cell>
          <cell r="C1236" t="str">
            <v>ARTMIS PERFCHEM</v>
          </cell>
          <cell r="D1236" t="str">
            <v>7</v>
          </cell>
        </row>
        <row r="1237">
          <cell r="A1237" t="str">
            <v>C11877</v>
          </cell>
          <cell r="B1237" t="str">
            <v>Organization</v>
          </cell>
          <cell r="C1237" t="str">
            <v>ARVEE CHEM PHARMA PVT. LTD.,</v>
          </cell>
          <cell r="D1237" t="str">
            <v>15</v>
          </cell>
        </row>
        <row r="1238">
          <cell r="A1238" t="str">
            <v>C11878</v>
          </cell>
          <cell r="B1238" t="str">
            <v>Organization</v>
          </cell>
          <cell r="C1238" t="str">
            <v>ASHOK ENTERPRISES - CUDDALORE</v>
          </cell>
          <cell r="D1238" t="str">
            <v>7</v>
          </cell>
        </row>
        <row r="1239">
          <cell r="A1239" t="str">
            <v>C11879</v>
          </cell>
          <cell r="B1239" t="str">
            <v>Organization</v>
          </cell>
          <cell r="C1239" t="str">
            <v>ASHOKA MARKETING AGENCIES</v>
          </cell>
          <cell r="D1239" t="str">
            <v>1</v>
          </cell>
        </row>
        <row r="1240">
          <cell r="A1240" t="str">
            <v>C11880</v>
          </cell>
          <cell r="B1240" t="str">
            <v>Organization</v>
          </cell>
          <cell r="C1240" t="str">
            <v>ASIAN PEROXIDES LIMITED</v>
          </cell>
          <cell r="D1240" t="str">
            <v>30</v>
          </cell>
        </row>
        <row r="1241">
          <cell r="A1241" t="str">
            <v>C11881</v>
          </cell>
          <cell r="B1241" t="str">
            <v>Organization</v>
          </cell>
          <cell r="C1241" t="str">
            <v>ASSOCIATED INSTRUMENT &amp; CHEMICALS</v>
          </cell>
          <cell r="D1241" t="str">
            <v>1</v>
          </cell>
        </row>
        <row r="1242">
          <cell r="A1242" t="str">
            <v>C11882</v>
          </cell>
          <cell r="B1242" t="str">
            <v>Organization</v>
          </cell>
          <cell r="C1242" t="str">
            <v>ASSOCIATED RUBBER CHEMICALS KOCHI - PVT.  LTD</v>
          </cell>
          <cell r="D1242" t="str">
            <v>45</v>
          </cell>
        </row>
        <row r="1243">
          <cell r="A1243" t="str">
            <v>C11883</v>
          </cell>
          <cell r="B1243" t="str">
            <v>Organization</v>
          </cell>
          <cell r="C1243" t="str">
            <v>ASHWINI BIOPHARMA LIMITED</v>
          </cell>
          <cell r="D1243" t="str">
            <v>90</v>
          </cell>
        </row>
        <row r="1244">
          <cell r="A1244" t="str">
            <v>C11884</v>
          </cell>
          <cell r="B1244" t="str">
            <v>Organization</v>
          </cell>
          <cell r="C1244" t="str">
            <v>ATC CHEMICAL INDIA PVT. LTD.,</v>
          </cell>
          <cell r="D1244" t="str">
            <v>45</v>
          </cell>
        </row>
        <row r="1245">
          <cell r="A1245" t="str">
            <v>C11885</v>
          </cell>
          <cell r="B1245" t="str">
            <v>Organization</v>
          </cell>
          <cell r="C1245" t="str">
            <v>ATTAR MD. SHAREEF &amp; SONS</v>
          </cell>
          <cell r="D1245" t="str">
            <v>1</v>
          </cell>
        </row>
        <row r="1246">
          <cell r="A1246" t="str">
            <v>C11887</v>
          </cell>
          <cell r="B1246" t="str">
            <v>Organization</v>
          </cell>
          <cell r="C1246" t="str">
            <v>AYISWARYA POLYMERS</v>
          </cell>
          <cell r="D1246" t="str">
            <v>1</v>
          </cell>
        </row>
        <row r="1247">
          <cell r="A1247" t="str">
            <v>C11888</v>
          </cell>
          <cell r="B1247" t="str">
            <v>Organization</v>
          </cell>
          <cell r="C1247" t="str">
            <v>BAFNA PHARMACEUTICALS LIMITED</v>
          </cell>
          <cell r="D1247" t="str">
            <v>1</v>
          </cell>
        </row>
        <row r="1248">
          <cell r="A1248" t="str">
            <v>C11889</v>
          </cell>
          <cell r="B1248" t="str">
            <v>Organization</v>
          </cell>
          <cell r="C1248" t="str">
            <v>BALMER LAWRIE &amp; CO. LTD. - CHENNAI - A/C - TIDEWATER OIL</v>
          </cell>
          <cell r="D1248" t="str">
            <v>45</v>
          </cell>
        </row>
        <row r="1249">
          <cell r="A1249" t="str">
            <v>C11895</v>
          </cell>
          <cell r="B1249" t="str">
            <v>Organization</v>
          </cell>
          <cell r="C1249" t="str">
            <v>BASCHEM PHARMA LTD.,</v>
          </cell>
          <cell r="D1249" t="str">
            <v>30</v>
          </cell>
        </row>
        <row r="1250">
          <cell r="A1250" t="str">
            <v>C11897</v>
          </cell>
          <cell r="B1250" t="str">
            <v>Organization</v>
          </cell>
          <cell r="C1250" t="str">
            <v>BASF INDIA LTD. (MANGALORE)</v>
          </cell>
          <cell r="D1250" t="str">
            <v>60</v>
          </cell>
        </row>
        <row r="1251">
          <cell r="A1251" t="str">
            <v>C11898</v>
          </cell>
          <cell r="B1251" t="str">
            <v>Organization</v>
          </cell>
          <cell r="C1251" t="str">
            <v>BAYER SPECIALITY PRODUCT P LTD.</v>
          </cell>
          <cell r="D1251" t="str">
            <v>90</v>
          </cell>
        </row>
        <row r="1252">
          <cell r="A1252" t="str">
            <v>C11899</v>
          </cell>
          <cell r="B1252" t="str">
            <v>Organization</v>
          </cell>
          <cell r="C1252" t="str">
            <v>BHARAT PETROLEUM CORPORATION LIMITED - TONDIARPET</v>
          </cell>
          <cell r="D1252" t="str">
            <v>30</v>
          </cell>
        </row>
        <row r="1253">
          <cell r="A1253" t="str">
            <v>C11900</v>
          </cell>
          <cell r="B1253" t="str">
            <v>Organization</v>
          </cell>
          <cell r="C1253" t="str">
            <v>** NOT TO USE**BHOOMI ENTERPRISE SOURCING &amp; TRADING PVT. LTD</v>
          </cell>
          <cell r="D1253" t="str">
            <v>1</v>
          </cell>
        </row>
        <row r="1254">
          <cell r="A1254" t="str">
            <v>C11902</v>
          </cell>
          <cell r="B1254" t="str">
            <v>Organization</v>
          </cell>
          <cell r="C1254" t="str">
            <v>BIOTAN LABORATORIES INDIA LIMITED</v>
          </cell>
          <cell r="D1254" t="str">
            <v>30</v>
          </cell>
        </row>
        <row r="1255">
          <cell r="A1255" t="str">
            <v>C11903</v>
          </cell>
          <cell r="B1255" t="str">
            <v>Organization</v>
          </cell>
          <cell r="C1255" t="str">
            <v>BONFIGLIOLI TRANSMISSION P LTD.</v>
          </cell>
          <cell r="D1255" t="str">
            <v>7</v>
          </cell>
        </row>
        <row r="1256">
          <cell r="A1256" t="str">
            <v>C11904</v>
          </cell>
          <cell r="B1256" t="str">
            <v>Organization</v>
          </cell>
          <cell r="C1256" t="str">
            <v>BOS NATURAL FLAVOURS (P) LTD(DO NOT USE)</v>
          </cell>
          <cell r="D1256" t="str">
            <v>0</v>
          </cell>
        </row>
        <row r="1257">
          <cell r="A1257" t="str">
            <v>C11905</v>
          </cell>
          <cell r="B1257" t="str">
            <v>Organization</v>
          </cell>
          <cell r="C1257" t="str">
            <v>BSNL,  TELEPHONES,</v>
          </cell>
          <cell r="D1257" t="str">
            <v>1</v>
          </cell>
        </row>
        <row r="1258">
          <cell r="A1258" t="str">
            <v>C11908</v>
          </cell>
          <cell r="B1258" t="str">
            <v>Organization</v>
          </cell>
          <cell r="C1258" t="str">
            <v>BUSH BOAKE ALLEN (INDIA) LTD.</v>
          </cell>
          <cell r="D1258" t="str">
            <v>30</v>
          </cell>
        </row>
        <row r="1259">
          <cell r="A1259" t="str">
            <v>C11909</v>
          </cell>
          <cell r="B1259" t="str">
            <v>Organization</v>
          </cell>
          <cell r="C1259" t="str">
            <v>C.I. LABORATORIES (SHIBPORE)</v>
          </cell>
          <cell r="D1259" t="str">
            <v>45</v>
          </cell>
        </row>
        <row r="1260">
          <cell r="A1260" t="str">
            <v>C11910</v>
          </cell>
          <cell r="B1260" t="str">
            <v>Organization</v>
          </cell>
          <cell r="C1260" t="str">
            <v>CABOT SANMAR LTD.</v>
          </cell>
          <cell r="D1260" t="str">
            <v>30</v>
          </cell>
        </row>
        <row r="1261">
          <cell r="A1261" t="str">
            <v>C11912</v>
          </cell>
          <cell r="B1261" t="str">
            <v>Organization</v>
          </cell>
          <cell r="C1261" t="str">
            <v>CARAVAN SUPPLIERS</v>
          </cell>
          <cell r="D1261" t="str">
            <v>1</v>
          </cell>
        </row>
        <row r="1262">
          <cell r="A1262" t="str">
            <v>C11914</v>
          </cell>
          <cell r="B1262" t="str">
            <v>Organization</v>
          </cell>
          <cell r="C1262" t="str">
            <v>CATAZYME</v>
          </cell>
          <cell r="D1262" t="str">
            <v>60</v>
          </cell>
        </row>
        <row r="1263">
          <cell r="A1263" t="str">
            <v>C11915</v>
          </cell>
          <cell r="B1263" t="str">
            <v>Organization</v>
          </cell>
          <cell r="C1263" t="str">
            <v>CAVINKARE PRIVATE LIMITED - CHENNAI</v>
          </cell>
          <cell r="D1263" t="str">
            <v>1</v>
          </cell>
        </row>
        <row r="1264">
          <cell r="A1264" t="str">
            <v>C11916</v>
          </cell>
          <cell r="B1264" t="str">
            <v>Organization</v>
          </cell>
          <cell r="C1264" t="str">
            <v>CAVINKARE PVT. LTD. - ANDHRA PRADESH</v>
          </cell>
          <cell r="D1264" t="str">
            <v>30</v>
          </cell>
        </row>
        <row r="1265">
          <cell r="A1265" t="str">
            <v>C11917</v>
          </cell>
          <cell r="B1265" t="str">
            <v>Organization</v>
          </cell>
          <cell r="C1265" t="str">
            <v>CERACHEM (P) LTD</v>
          </cell>
          <cell r="D1265" t="str">
            <v>30</v>
          </cell>
        </row>
        <row r="1266">
          <cell r="A1266" t="str">
            <v>C11918</v>
          </cell>
          <cell r="B1266" t="str">
            <v>Organization</v>
          </cell>
          <cell r="C1266" t="str">
            <v>CHEMASIA INDUSTRIES LIMITED</v>
          </cell>
          <cell r="D1266" t="str">
            <v>30</v>
          </cell>
        </row>
        <row r="1267">
          <cell r="A1267" t="str">
            <v>C11919</v>
          </cell>
          <cell r="B1267" t="str">
            <v>Organization</v>
          </cell>
          <cell r="C1267" t="str">
            <v>CHEMBOND CHEMICALS LIMITED</v>
          </cell>
          <cell r="D1267" t="str">
            <v>15</v>
          </cell>
        </row>
        <row r="1268">
          <cell r="A1268" t="str">
            <v>C11920</v>
          </cell>
          <cell r="B1268" t="str">
            <v>Organization</v>
          </cell>
          <cell r="C1268" t="str">
            <v>CHEMCON TECSYS</v>
          </cell>
          <cell r="D1268" t="str">
            <v>1</v>
          </cell>
        </row>
        <row r="1269">
          <cell r="A1269" t="str">
            <v>C11921</v>
          </cell>
          <cell r="B1269" t="str">
            <v>Organization</v>
          </cell>
          <cell r="C1269" t="str">
            <v>CHEMCROWN EXPORTS LIMITED</v>
          </cell>
          <cell r="D1269" t="str">
            <v>60</v>
          </cell>
        </row>
        <row r="1270">
          <cell r="A1270" t="str">
            <v>C11922</v>
          </cell>
          <cell r="B1270" t="str">
            <v>Organization</v>
          </cell>
          <cell r="C1270" t="str">
            <v>CHEMFAB ALKALIS LIMITED</v>
          </cell>
          <cell r="D1270" t="str">
            <v>7</v>
          </cell>
        </row>
        <row r="1271">
          <cell r="A1271" t="str">
            <v>C11923</v>
          </cell>
          <cell r="B1271" t="str">
            <v>Organization</v>
          </cell>
          <cell r="C1271" t="str">
            <v>CHEMIDYE MANUFACTURING CO. PVT.  LTD.</v>
          </cell>
          <cell r="D1271" t="str">
            <v>15</v>
          </cell>
        </row>
        <row r="1272">
          <cell r="A1272" t="str">
            <v>C11924</v>
          </cell>
          <cell r="B1272" t="str">
            <v>Organization</v>
          </cell>
          <cell r="C1272" t="str">
            <v>CHEMOLEUMS INDIA PVT LTD LIMITED</v>
          </cell>
          <cell r="D1272" t="str">
            <v>45</v>
          </cell>
        </row>
        <row r="1273">
          <cell r="A1273" t="str">
            <v>C11925</v>
          </cell>
          <cell r="B1273" t="str">
            <v>Organization</v>
          </cell>
          <cell r="C1273" t="str">
            <v>CHEMPLAST SANMAR LTD. - PLANT II</v>
          </cell>
          <cell r="D1273" t="str">
            <v>90</v>
          </cell>
        </row>
        <row r="1274">
          <cell r="A1274" t="str">
            <v>C11926</v>
          </cell>
          <cell r="B1274" t="str">
            <v>Organization</v>
          </cell>
          <cell r="C1274" t="str">
            <v>CHEVRON LUBRICANTS INDIA PRIVATE LIMITED - CHENNAI</v>
          </cell>
          <cell r="D1274" t="str">
            <v>30</v>
          </cell>
        </row>
        <row r="1275">
          <cell r="A1275" t="str">
            <v>C11927</v>
          </cell>
          <cell r="B1275" t="str">
            <v>Organization</v>
          </cell>
          <cell r="C1275" t="str">
            <v>CHILLIES EXPORT HOUSE LIMITED</v>
          </cell>
          <cell r="D1275" t="str">
            <v>0</v>
          </cell>
        </row>
        <row r="1276">
          <cell r="A1276" t="str">
            <v>C11928</v>
          </cell>
          <cell r="B1276" t="str">
            <v>Organization</v>
          </cell>
          <cell r="C1276" t="str">
            <v>CHIMIQUE LABORATORIES (I) LTD.</v>
          </cell>
          <cell r="D1276" t="str">
            <v>7</v>
          </cell>
        </row>
        <row r="1277">
          <cell r="A1277" t="str">
            <v>C11929</v>
          </cell>
          <cell r="B1277" t="str">
            <v>Organization</v>
          </cell>
          <cell r="C1277" t="str">
            <v>CIBA SPECIALTY CHEMICALS (INDIA) LIMITED</v>
          </cell>
          <cell r="D1277" t="str">
            <v>30</v>
          </cell>
        </row>
        <row r="1278">
          <cell r="A1278" t="str">
            <v>C11930</v>
          </cell>
          <cell r="B1278" t="str">
            <v>Organization</v>
          </cell>
          <cell r="C1278" t="str">
            <v>CITY LUBRICANTS PRIVATE LIMITED</v>
          </cell>
          <cell r="D1278" t="str">
            <v>30</v>
          </cell>
        </row>
        <row r="1279">
          <cell r="A1279" t="str">
            <v>C11931</v>
          </cell>
          <cell r="B1279" t="str">
            <v>Organization</v>
          </cell>
          <cell r="C1279" t="str">
            <v>CLARIANT CHEMICALS (INDIA) LIMITED. - CUDDALORE</v>
          </cell>
          <cell r="D1279" t="str">
            <v>30</v>
          </cell>
        </row>
        <row r="1280">
          <cell r="A1280" t="str">
            <v>C11932</v>
          </cell>
          <cell r="B1280" t="str">
            <v>Organization</v>
          </cell>
          <cell r="C1280" t="str">
            <v>CLARIANT CHEMICALS (INDIA) LIMITED. - RAIGAD</v>
          </cell>
          <cell r="D1280" t="str">
            <v>60</v>
          </cell>
        </row>
        <row r="1281">
          <cell r="A1281" t="str">
            <v>C11933</v>
          </cell>
          <cell r="B1281" t="str">
            <v>Organization</v>
          </cell>
          <cell r="C1281" t="str">
            <v>CLARIANT CHEMICALS (INDIA) LIMITED. - KANCHEEPURAM</v>
          </cell>
          <cell r="D1281" t="str">
            <v>60</v>
          </cell>
        </row>
        <row r="1282">
          <cell r="A1282" t="str">
            <v>C11935</v>
          </cell>
          <cell r="B1282" t="str">
            <v>Organization</v>
          </cell>
          <cell r="C1282" t="str">
            <v>CLARO INDIA LIMITED</v>
          </cell>
          <cell r="D1282" t="str">
            <v>30</v>
          </cell>
        </row>
        <row r="1283">
          <cell r="A1283" t="str">
            <v>C11936</v>
          </cell>
          <cell r="B1283" t="str">
            <v>Organization</v>
          </cell>
          <cell r="C1283" t="str">
            <v>CLASSIC IMAGE</v>
          </cell>
          <cell r="D1283" t="str">
            <v>1</v>
          </cell>
        </row>
        <row r="1284">
          <cell r="A1284" t="str">
            <v>C11937</v>
          </cell>
          <cell r="B1284" t="str">
            <v>Organization</v>
          </cell>
          <cell r="C1284" t="str">
            <v>CLEANCITIES BIODIESEL INDIA LIMITED</v>
          </cell>
          <cell r="D1284" t="str">
            <v>1</v>
          </cell>
        </row>
        <row r="1285">
          <cell r="A1285" t="str">
            <v>C11939</v>
          </cell>
          <cell r="B1285" t="str">
            <v>Organization</v>
          </cell>
          <cell r="C1285" t="str">
            <v>CONCORD MARKETING</v>
          </cell>
          <cell r="D1285" t="str">
            <v>7</v>
          </cell>
        </row>
        <row r="1286">
          <cell r="A1286" t="str">
            <v>C11940</v>
          </cell>
          <cell r="B1286" t="str">
            <v>Organization</v>
          </cell>
          <cell r="C1286" t="str">
            <v>COOKSON INDIA LIMITED</v>
          </cell>
          <cell r="D1286" t="str">
            <v>1</v>
          </cell>
        </row>
        <row r="1287">
          <cell r="A1287" t="str">
            <v>C11941</v>
          </cell>
          <cell r="B1287" t="str">
            <v>Organization</v>
          </cell>
          <cell r="C1287" t="str">
            <v>CORRESPONDENT,</v>
          </cell>
          <cell r="D1287" t="str">
            <v>1</v>
          </cell>
        </row>
        <row r="1288">
          <cell r="A1288" t="str">
            <v>C11942</v>
          </cell>
          <cell r="B1288" t="str">
            <v>Organization</v>
          </cell>
          <cell r="C1288" t="str">
            <v>COURTAULDS COATINGS &amp; SEALANTS ( INDIA )</v>
          </cell>
          <cell r="D1288" t="str">
            <v>45</v>
          </cell>
        </row>
        <row r="1289">
          <cell r="A1289" t="str">
            <v>C11943</v>
          </cell>
          <cell r="B1289" t="str">
            <v>Organization</v>
          </cell>
          <cell r="C1289" t="str">
            <v>CROP HEALTH PRODUCTS LTD.</v>
          </cell>
          <cell r="D1289" t="str">
            <v>60</v>
          </cell>
        </row>
        <row r="1290">
          <cell r="A1290" t="str">
            <v>C11944</v>
          </cell>
          <cell r="B1290" t="str">
            <v>Organization</v>
          </cell>
          <cell r="C1290" t="str">
            <v>CUREKRAFT CHEMICALS (INDIA) P LTD</v>
          </cell>
          <cell r="D1290" t="str">
            <v>45</v>
          </cell>
        </row>
        <row r="1291">
          <cell r="A1291" t="str">
            <v>C11946</v>
          </cell>
          <cell r="B1291" t="str">
            <v>Organization</v>
          </cell>
          <cell r="C1291" t="str">
            <v>DANIEL TRADERS</v>
          </cell>
          <cell r="D1291" t="str">
            <v>1</v>
          </cell>
        </row>
        <row r="1292">
          <cell r="A1292" t="str">
            <v>C11949</v>
          </cell>
          <cell r="B1292" t="str">
            <v>Organization</v>
          </cell>
          <cell r="C1292" t="str">
            <v>DECCAN FINE CHEMICALS (I) LIMITED</v>
          </cell>
          <cell r="D1292" t="str">
            <v>1</v>
          </cell>
        </row>
        <row r="1293">
          <cell r="A1293" t="str">
            <v>C11950</v>
          </cell>
          <cell r="B1293" t="str">
            <v>Organization</v>
          </cell>
          <cell r="C1293" t="str">
            <v>DEEKAY EXPORTS LTD</v>
          </cell>
          <cell r="D1293" t="str">
            <v>7</v>
          </cell>
        </row>
        <row r="1294">
          <cell r="A1294" t="str">
            <v>C11951</v>
          </cell>
          <cell r="B1294" t="str">
            <v>Organization</v>
          </cell>
          <cell r="C1294" t="str">
            <v>DEGUSSA CONSTRUCTION</v>
          </cell>
          <cell r="D1294" t="str">
            <v>30</v>
          </cell>
        </row>
        <row r="1295">
          <cell r="A1295" t="str">
            <v>C11952</v>
          </cell>
          <cell r="B1295" t="str">
            <v>Organization</v>
          </cell>
          <cell r="C1295" t="str">
            <v>DIACARD TOOLS PVT. LTD.</v>
          </cell>
          <cell r="D1295" t="str">
            <v>1</v>
          </cell>
        </row>
        <row r="1296">
          <cell r="A1296" t="str">
            <v>C11953</v>
          </cell>
          <cell r="B1296" t="str">
            <v>Organization</v>
          </cell>
          <cell r="C1296" t="str">
            <v>DOHLER FLAVORADE PRIVATE LIMITED</v>
          </cell>
          <cell r="D1296" t="str">
            <v>7</v>
          </cell>
        </row>
        <row r="1297">
          <cell r="A1297" t="str">
            <v>C11954</v>
          </cell>
          <cell r="B1297" t="str">
            <v>Organization</v>
          </cell>
          <cell r="C1297" t="str">
            <v>DON CONSTRUCTION CHEMICALS INDIA LTD - NANDANAM</v>
          </cell>
          <cell r="D1297" t="str">
            <v>15</v>
          </cell>
        </row>
        <row r="1298">
          <cell r="A1298" t="str">
            <v>C11955</v>
          </cell>
          <cell r="B1298" t="str">
            <v>Organization</v>
          </cell>
          <cell r="C1298" t="str">
            <v>DON CONSTRUCTION CHEMICALS INDIA LTD - CHENNAI</v>
          </cell>
          <cell r="D1298" t="str">
            <v>1</v>
          </cell>
        </row>
        <row r="1299">
          <cell r="A1299" t="str">
            <v>C11956</v>
          </cell>
          <cell r="B1299" t="str">
            <v>Organization</v>
          </cell>
          <cell r="C1299" t="str">
            <v>DRAGOCO ASIA PACIFIC PTE. LTD.</v>
          </cell>
          <cell r="D1299" t="str">
            <v>7</v>
          </cell>
        </row>
        <row r="1300">
          <cell r="A1300" t="str">
            <v>C11957</v>
          </cell>
          <cell r="B1300" t="str">
            <v>Organization</v>
          </cell>
          <cell r="C1300" t="str">
            <v>DRAGOCO INDIA LTD. - PERUNGUDI</v>
          </cell>
          <cell r="D1300" t="str">
            <v>30</v>
          </cell>
        </row>
        <row r="1301">
          <cell r="A1301" t="str">
            <v>C11958</v>
          </cell>
          <cell r="B1301" t="str">
            <v>Organization</v>
          </cell>
          <cell r="C1301" t="str">
            <v>DRAGOCO INDIA LTD. - SEMMANCHERI</v>
          </cell>
          <cell r="D1301" t="str">
            <v>30</v>
          </cell>
        </row>
        <row r="1302">
          <cell r="A1302" t="str">
            <v>C11959</v>
          </cell>
          <cell r="B1302" t="str">
            <v>Organization</v>
          </cell>
          <cell r="C1302" t="str">
            <v>DSQ COLIX BEVERAGES LIMITED</v>
          </cell>
          <cell r="D1302" t="str">
            <v>30</v>
          </cell>
        </row>
        <row r="1303">
          <cell r="A1303" t="str">
            <v>C11961</v>
          </cell>
          <cell r="B1303" t="str">
            <v>Organization</v>
          </cell>
          <cell r="C1303" t="str">
            <v>DUMAS LABORATORIES PVT. LTD.</v>
          </cell>
          <cell r="D1303" t="str">
            <v>1</v>
          </cell>
        </row>
        <row r="1304">
          <cell r="A1304" t="str">
            <v>C11963</v>
          </cell>
          <cell r="B1304" t="str">
            <v>Organization</v>
          </cell>
          <cell r="C1304" t="str">
            <v>E.I. DUPONT INDIA LIMITED</v>
          </cell>
          <cell r="D1304" t="str">
            <v>1</v>
          </cell>
        </row>
        <row r="1305">
          <cell r="A1305" t="str">
            <v>C11964</v>
          </cell>
          <cell r="B1305" t="str">
            <v>Organization</v>
          </cell>
          <cell r="C1305" t="str">
            <v>EAC INDUSTRIAL INGREDIENTS (INDIA) PVT. LTD.,</v>
          </cell>
          <cell r="D1305" t="str">
            <v>1</v>
          </cell>
        </row>
        <row r="1306">
          <cell r="A1306" t="str">
            <v>C11965</v>
          </cell>
          <cell r="B1306" t="str">
            <v>Organization</v>
          </cell>
          <cell r="C1306" t="str">
            <v>EAST COAST ORGANICS P LTD.</v>
          </cell>
          <cell r="D1306" t="str">
            <v>20</v>
          </cell>
        </row>
        <row r="1307">
          <cell r="A1307" t="str">
            <v>C11967</v>
          </cell>
          <cell r="B1307" t="str">
            <v>Organization</v>
          </cell>
          <cell r="C1307" t="str">
            <v>ELFOTECH ELECTROCHEM. LTD.</v>
          </cell>
          <cell r="D1307" t="str">
            <v>60</v>
          </cell>
        </row>
        <row r="1308">
          <cell r="A1308" t="str">
            <v>C11969</v>
          </cell>
          <cell r="B1308" t="str">
            <v>Organization</v>
          </cell>
          <cell r="C1308" t="str">
            <v>ELOF HANSSON ( INDIA) PVT. LTD.,</v>
          </cell>
          <cell r="D1308" t="str">
            <v>30</v>
          </cell>
        </row>
        <row r="1309">
          <cell r="A1309" t="str">
            <v>C11970</v>
          </cell>
          <cell r="B1309" t="str">
            <v>Organization</v>
          </cell>
          <cell r="C1309" t="str">
            <v>EMKAY AROMATICS LTD,</v>
          </cell>
          <cell r="D1309" t="str">
            <v>60</v>
          </cell>
        </row>
        <row r="1310">
          <cell r="A1310" t="str">
            <v>C11973</v>
          </cell>
          <cell r="B1310" t="str">
            <v>Organization</v>
          </cell>
          <cell r="C1310" t="str">
            <v>ESSEN SUPPLEMENTS INDIA LTD.</v>
          </cell>
          <cell r="D1310" t="str">
            <v>15</v>
          </cell>
        </row>
        <row r="1311">
          <cell r="A1311" t="str">
            <v>C11974</v>
          </cell>
          <cell r="B1311" t="str">
            <v>Organization</v>
          </cell>
          <cell r="C1311" t="str">
            <v>ESVIN BIOSYS INTERNATIONAL LIMITED</v>
          </cell>
          <cell r="D1311" t="str">
            <v>30</v>
          </cell>
        </row>
        <row r="1312">
          <cell r="A1312" t="str">
            <v>C11975</v>
          </cell>
          <cell r="B1312" t="str">
            <v>Organization</v>
          </cell>
          <cell r="C1312" t="str">
            <v>FABPRO SPECIALITIES</v>
          </cell>
          <cell r="D1312" t="str">
            <v>1</v>
          </cell>
        </row>
        <row r="1313">
          <cell r="A1313" t="str">
            <v>C11976</v>
          </cell>
          <cell r="B1313" t="str">
            <v>Organization</v>
          </cell>
          <cell r="C1313" t="str">
            <v>FARMTRO INTERNATIONAL</v>
          </cell>
          <cell r="D1313" t="str">
            <v>7</v>
          </cell>
        </row>
        <row r="1314">
          <cell r="A1314" t="str">
            <v>C11978</v>
          </cell>
          <cell r="B1314" t="str">
            <v>Organization</v>
          </cell>
          <cell r="C1314" t="str">
            <v>FENASIA LTD  ( 100% E.O.U)</v>
          </cell>
          <cell r="D1314" t="str">
            <v>45</v>
          </cell>
        </row>
        <row r="1315">
          <cell r="A1315" t="str">
            <v>C11979</v>
          </cell>
          <cell r="B1315" t="str">
            <v>Organization</v>
          </cell>
          <cell r="C1315" t="str">
            <v>FILLER FORMULATIONS</v>
          </cell>
          <cell r="D1315" t="str">
            <v>30</v>
          </cell>
        </row>
        <row r="1316">
          <cell r="A1316" t="str">
            <v>C11980</v>
          </cell>
          <cell r="B1316" t="str">
            <v>Organization</v>
          </cell>
          <cell r="C1316" t="str">
            <v>FISCHER INORGANICS &amp; AROMATICS LTD.</v>
          </cell>
          <cell r="D1316" t="str">
            <v>30</v>
          </cell>
        </row>
        <row r="1317">
          <cell r="A1317" t="str">
            <v>C11981</v>
          </cell>
          <cell r="B1317" t="str">
            <v>Organization</v>
          </cell>
          <cell r="C1317" t="str">
            <v>FOMAS INDIA LIMITED</v>
          </cell>
          <cell r="D1317" t="str">
            <v>7</v>
          </cell>
        </row>
        <row r="1318">
          <cell r="A1318" t="str">
            <v>C11982</v>
          </cell>
          <cell r="B1318" t="str">
            <v>Organization</v>
          </cell>
          <cell r="C1318" t="str">
            <v>FOOD INGREDIENT SPECIALITIES PVT. LTD.</v>
          </cell>
          <cell r="D1318" t="str">
            <v>15</v>
          </cell>
        </row>
        <row r="1319">
          <cell r="A1319" t="str">
            <v>C11985</v>
          </cell>
          <cell r="B1319" t="str">
            <v>Organization</v>
          </cell>
          <cell r="C1319" t="str">
            <v>FRAGRANCE</v>
          </cell>
          <cell r="D1319" t="str">
            <v>30</v>
          </cell>
        </row>
        <row r="1320">
          <cell r="A1320" t="str">
            <v>C11986</v>
          </cell>
          <cell r="B1320" t="str">
            <v>Organization</v>
          </cell>
          <cell r="C1320" t="str">
            <v>FRESH FLAVOURS &amp; FRAGRANCES P LTD.</v>
          </cell>
          <cell r="D1320" t="str">
            <v>30</v>
          </cell>
        </row>
        <row r="1321">
          <cell r="A1321" t="str">
            <v>C11988</v>
          </cell>
          <cell r="B1321" t="str">
            <v>Organization</v>
          </cell>
          <cell r="C1321" t="str">
            <v>G. DAS &amp; CO. LTD.</v>
          </cell>
          <cell r="D1321" t="str">
            <v>30</v>
          </cell>
        </row>
        <row r="1322">
          <cell r="A1322" t="str">
            <v>C11989</v>
          </cell>
          <cell r="B1322" t="str">
            <v>Organization</v>
          </cell>
          <cell r="C1322" t="str">
            <v>G.G. ORGANICS PVT. LTD ,</v>
          </cell>
          <cell r="D1322" t="str">
            <v>1</v>
          </cell>
        </row>
        <row r="1323">
          <cell r="A1323" t="str">
            <v>C11990</v>
          </cell>
          <cell r="B1323" t="str">
            <v>Organization</v>
          </cell>
          <cell r="C1323" t="str">
            <v>GALAXY SURFACTANTS LTD.</v>
          </cell>
          <cell r="D1323" t="str">
            <v>0</v>
          </cell>
        </row>
        <row r="1324">
          <cell r="A1324" t="str">
            <v>C11991</v>
          </cell>
          <cell r="B1324" t="str">
            <v>Organization</v>
          </cell>
          <cell r="C1324" t="str">
            <v>GANESH HARDWARES &amp; ALUMINIUM</v>
          </cell>
          <cell r="D1324" t="str">
            <v>7</v>
          </cell>
        </row>
        <row r="1325">
          <cell r="A1325" t="str">
            <v>C11992</v>
          </cell>
          <cell r="B1325" t="str">
            <v>Organization</v>
          </cell>
          <cell r="C1325" t="str">
            <v>GANGA CHEMICALS</v>
          </cell>
          <cell r="D1325" t="str">
            <v>7</v>
          </cell>
        </row>
        <row r="1326">
          <cell r="A1326" t="str">
            <v>C11993</v>
          </cell>
          <cell r="B1326" t="str">
            <v>Organization</v>
          </cell>
          <cell r="C1326" t="str">
            <v>GANRAM INDUSTRIES</v>
          </cell>
          <cell r="D1326" t="str">
            <v>30</v>
          </cell>
        </row>
        <row r="1327">
          <cell r="A1327" t="str">
            <v>C11996</v>
          </cell>
          <cell r="B1327" t="str">
            <v>Organization</v>
          </cell>
          <cell r="C1327" t="str">
            <v>GE PE INDUSTRIES</v>
          </cell>
          <cell r="D1327" t="str">
            <v>1</v>
          </cell>
        </row>
        <row r="1328">
          <cell r="A1328" t="str">
            <v>C11997</v>
          </cell>
          <cell r="B1328" t="str">
            <v>Organization</v>
          </cell>
          <cell r="C1328" t="str">
            <v>GEE GEE KHAY CHEMICALS</v>
          </cell>
          <cell r="D1328" t="str">
            <v>1</v>
          </cell>
        </row>
        <row r="1329">
          <cell r="A1329" t="str">
            <v>C11998</v>
          </cell>
          <cell r="B1329" t="str">
            <v>Organization</v>
          </cell>
          <cell r="C1329" t="str">
            <v>GENOTEX INTERNATIONAL (INDIA) PVT.LTD.</v>
          </cell>
          <cell r="D1329" t="str">
            <v>1</v>
          </cell>
        </row>
        <row r="1330">
          <cell r="A1330" t="str">
            <v>C11999</v>
          </cell>
          <cell r="B1330" t="str">
            <v>Organization</v>
          </cell>
          <cell r="C1330" t="str">
            <v>GERMAN POLYMERS AND COATINGS (PVTE) LTD.</v>
          </cell>
          <cell r="D1330" t="str">
            <v>7</v>
          </cell>
        </row>
        <row r="1331">
          <cell r="A1331" t="str">
            <v>C12000</v>
          </cell>
          <cell r="B1331" t="str">
            <v>Organization</v>
          </cell>
          <cell r="C1331" t="str">
            <v>GESHMACK</v>
          </cell>
          <cell r="D1331" t="str">
            <v>0</v>
          </cell>
        </row>
        <row r="1332">
          <cell r="A1332" t="str">
            <v>C12001</v>
          </cell>
          <cell r="B1332" t="str">
            <v>Organization</v>
          </cell>
          <cell r="C1332" t="str">
            <v>GILLANDERS ARBUTHNOT &amp; CO. LTD. - KOLKATA</v>
          </cell>
          <cell r="D1332" t="str">
            <v>1</v>
          </cell>
        </row>
        <row r="1333">
          <cell r="A1333" t="str">
            <v>C12002</v>
          </cell>
          <cell r="B1333" t="str">
            <v>Organization</v>
          </cell>
          <cell r="C1333" t="str">
            <v>GILLANDERS ARBUTHNOT &amp; CO. LTD. - CHENNAI</v>
          </cell>
          <cell r="D1333" t="str">
            <v>1</v>
          </cell>
        </row>
        <row r="1334">
          <cell r="A1334" t="str">
            <v>C12003</v>
          </cell>
          <cell r="B1334" t="str">
            <v>Organization</v>
          </cell>
          <cell r="C1334" t="str">
            <v>GILLANDERS ARBUTHNOT &amp; CO. LTD.  - MUMBAI</v>
          </cell>
          <cell r="D1334" t="str">
            <v>1</v>
          </cell>
        </row>
        <row r="1335">
          <cell r="A1335" t="str">
            <v>C12004</v>
          </cell>
          <cell r="B1335" t="str">
            <v>Organization</v>
          </cell>
          <cell r="C1335" t="str">
            <v>GILLANDERS ARBUTHNOT &amp; CO. LTD.  - NEW DELHI</v>
          </cell>
          <cell r="D1335" t="str">
            <v>1</v>
          </cell>
        </row>
        <row r="1336">
          <cell r="A1336" t="str">
            <v>C12005</v>
          </cell>
          <cell r="B1336" t="str">
            <v>Organization</v>
          </cell>
          <cell r="C1336" t="str">
            <v>GLOBAL SWEETENERS PVT. LTD.</v>
          </cell>
          <cell r="D1336" t="str">
            <v>7</v>
          </cell>
        </row>
        <row r="1337">
          <cell r="A1337" t="str">
            <v>C12006</v>
          </cell>
          <cell r="B1337" t="str">
            <v>Organization</v>
          </cell>
          <cell r="C1337" t="str">
            <v>GLOBAL TRADING NETWORK</v>
          </cell>
          <cell r="D1337" t="str">
            <v>30</v>
          </cell>
        </row>
        <row r="1338">
          <cell r="A1338" t="str">
            <v>C12007</v>
          </cell>
          <cell r="B1338" t="str">
            <v>Organization</v>
          </cell>
          <cell r="C1338" t="str">
            <v>GOODWILL EXPORTS &amp; IMPORTS</v>
          </cell>
          <cell r="D1338" t="str">
            <v>30</v>
          </cell>
        </row>
        <row r="1339">
          <cell r="A1339" t="str">
            <v>C12008</v>
          </cell>
          <cell r="B1339" t="str">
            <v>Organization</v>
          </cell>
          <cell r="C1339" t="str">
            <v>GOPALJI KETAKI KHARA MASALA</v>
          </cell>
          <cell r="D1339" t="str">
            <v>15</v>
          </cell>
        </row>
        <row r="1340">
          <cell r="A1340" t="str">
            <v>C12009</v>
          </cell>
          <cell r="B1340" t="str">
            <v>Organization</v>
          </cell>
          <cell r="C1340" t="str">
            <v>GOVERNMENT OF INDIA</v>
          </cell>
          <cell r="D1340" t="str">
            <v>7</v>
          </cell>
        </row>
        <row r="1341">
          <cell r="A1341" t="str">
            <v>C12010</v>
          </cell>
          <cell r="B1341" t="str">
            <v>Organization</v>
          </cell>
          <cell r="C1341" t="str">
            <v>GOVINDHARAJAN (BIS)</v>
          </cell>
          <cell r="D1341" t="str">
            <v>1</v>
          </cell>
        </row>
        <row r="1342">
          <cell r="A1342" t="str">
            <v>C12011</v>
          </cell>
          <cell r="B1342" t="str">
            <v>Organization</v>
          </cell>
          <cell r="C1342" t="str">
            <v>GRASSE INTERNATIONAL</v>
          </cell>
          <cell r="D1342" t="str">
            <v>1</v>
          </cell>
        </row>
        <row r="1343">
          <cell r="A1343" t="str">
            <v>C12012</v>
          </cell>
          <cell r="B1343" t="str">
            <v>Organization</v>
          </cell>
          <cell r="C1343" t="str">
            <v>GSL NATURALS PRIVATE LTD.</v>
          </cell>
          <cell r="D1343" t="str">
            <v>1</v>
          </cell>
        </row>
        <row r="1344">
          <cell r="A1344" t="str">
            <v>C12013</v>
          </cell>
          <cell r="B1344" t="str">
            <v>Organization</v>
          </cell>
          <cell r="C1344" t="str">
            <v>GSR PRODUCTS LTD. (A/C. NAGARJUNA AGRICHEM LTD.)</v>
          </cell>
          <cell r="D1344" t="str">
            <v>1</v>
          </cell>
        </row>
        <row r="1345">
          <cell r="A1345" t="str">
            <v>C12014</v>
          </cell>
          <cell r="B1345" t="str">
            <v>Organization</v>
          </cell>
          <cell r="C1345" t="str">
            <v>GUARDIAN ANTI CORROSIVES (P) LTD.</v>
          </cell>
          <cell r="D1345" t="str">
            <v>1</v>
          </cell>
        </row>
        <row r="1346">
          <cell r="A1346" t="str">
            <v>C12015</v>
          </cell>
          <cell r="B1346" t="str">
            <v>Organization</v>
          </cell>
          <cell r="C1346" t="str">
            <v>HACKBRIDGE-HEWITTIC AND EASUN LTD.</v>
          </cell>
          <cell r="D1346" t="str">
            <v>30</v>
          </cell>
        </row>
        <row r="1347">
          <cell r="A1347" t="str">
            <v>C12016</v>
          </cell>
          <cell r="B1347" t="str">
            <v>Organization</v>
          </cell>
          <cell r="C1347" t="str">
            <v>HANSRAJ &amp; SONS</v>
          </cell>
          <cell r="D1347" t="str">
            <v>30</v>
          </cell>
        </row>
        <row r="1348">
          <cell r="A1348" t="str">
            <v>C12017</v>
          </cell>
          <cell r="B1348" t="str">
            <v>Organization</v>
          </cell>
          <cell r="C1348" t="str">
            <v>HARRIS &amp; MANUK</v>
          </cell>
          <cell r="D1348" t="str">
            <v>1</v>
          </cell>
        </row>
        <row r="1349">
          <cell r="A1349" t="str">
            <v>C12018</v>
          </cell>
          <cell r="B1349" t="str">
            <v>Organization</v>
          </cell>
          <cell r="C1349" t="str">
            <v>HARRISONS MALAYALAM  LTD</v>
          </cell>
          <cell r="D1349" t="str">
            <v>15</v>
          </cell>
        </row>
        <row r="1350">
          <cell r="A1350" t="str">
            <v>C12019</v>
          </cell>
          <cell r="B1350" t="str">
            <v>Organization</v>
          </cell>
          <cell r="C1350" t="str">
            <v>HARSHA CHEMICALS PVT. LTD..</v>
          </cell>
          <cell r="D1350" t="str">
            <v>7</v>
          </cell>
        </row>
        <row r="1351">
          <cell r="A1351" t="str">
            <v>C12020</v>
          </cell>
          <cell r="B1351" t="str">
            <v>Organization</v>
          </cell>
          <cell r="C1351" t="str">
            <v>HEALTH INSPECTOR,</v>
          </cell>
          <cell r="D1351" t="str">
            <v>1</v>
          </cell>
        </row>
        <row r="1352">
          <cell r="A1352" t="str">
            <v>C12021</v>
          </cell>
          <cell r="B1352" t="str">
            <v>Organization</v>
          </cell>
          <cell r="C1352" t="str">
            <v>HEMALATHA CHEMICALS PRIVATE LTD</v>
          </cell>
          <cell r="D1352" t="str">
            <v>7</v>
          </cell>
        </row>
        <row r="1353">
          <cell r="A1353" t="str">
            <v>C12022</v>
          </cell>
          <cell r="B1353" t="str">
            <v>Organization</v>
          </cell>
          <cell r="C1353" t="str">
            <v>HERBAL ISOLATES - COCHIN</v>
          </cell>
          <cell r="D1353" t="str">
            <v>0</v>
          </cell>
        </row>
        <row r="1354">
          <cell r="A1354" t="str">
            <v>C12023</v>
          </cell>
          <cell r="B1354" t="str">
            <v>Organization</v>
          </cell>
          <cell r="C1354" t="str">
            <v>HINDUSTAN COLAS LIMITED - VISHAKAPATNAM</v>
          </cell>
          <cell r="D1354" t="str">
            <v>15</v>
          </cell>
        </row>
        <row r="1355">
          <cell r="A1355" t="str">
            <v>C12024</v>
          </cell>
          <cell r="B1355" t="str">
            <v>Organization</v>
          </cell>
          <cell r="C1355" t="str">
            <v>HINDUSTAN COLAS LIMITED - PERUMBUTHUR</v>
          </cell>
          <cell r="D1355" t="str">
            <v>15</v>
          </cell>
        </row>
        <row r="1356">
          <cell r="A1356" t="str">
            <v>C12025</v>
          </cell>
          <cell r="B1356" t="str">
            <v>Organization</v>
          </cell>
          <cell r="C1356" t="str">
            <v>HINDUSTAN COLAS LIMITED - MANGALROE</v>
          </cell>
          <cell r="D1356" t="str">
            <v>15</v>
          </cell>
        </row>
        <row r="1357">
          <cell r="A1357" t="str">
            <v>C12026</v>
          </cell>
          <cell r="B1357" t="str">
            <v>Organization</v>
          </cell>
          <cell r="C1357" t="str">
            <v>HINDUSTAN LEVER LIMITED   - MUMBAI</v>
          </cell>
          <cell r="D1357" t="str">
            <v>30</v>
          </cell>
        </row>
        <row r="1358">
          <cell r="A1358" t="str">
            <v>C12027</v>
          </cell>
          <cell r="B1358" t="str">
            <v>Organization</v>
          </cell>
          <cell r="C1358" t="str">
            <v>HINDUSTAN LEVER LIMITED   - PONDY</v>
          </cell>
          <cell r="D1358" t="str">
            <v>60</v>
          </cell>
        </row>
        <row r="1359">
          <cell r="A1359" t="str">
            <v>C12028</v>
          </cell>
          <cell r="B1359" t="str">
            <v>Organization</v>
          </cell>
          <cell r="C1359" t="str">
            <v>HINDUSTAN LEVER LIMITED   - SEWREE</v>
          </cell>
          <cell r="D1359" t="str">
            <v>30</v>
          </cell>
        </row>
        <row r="1360">
          <cell r="A1360" t="str">
            <v>C12030</v>
          </cell>
          <cell r="B1360" t="str">
            <v>Organization</v>
          </cell>
          <cell r="C1360" t="str">
            <v>HINUSTAN PETROLEUM CORPORATION LIMITED</v>
          </cell>
          <cell r="D1360" t="str">
            <v>30</v>
          </cell>
        </row>
        <row r="1361">
          <cell r="A1361" t="str">
            <v>C12031</v>
          </cell>
          <cell r="B1361" t="str">
            <v>Organization</v>
          </cell>
          <cell r="C1361" t="str">
            <v>HINDUSTAN UNILEVER LIMITED   - KOLKATA</v>
          </cell>
          <cell r="D1361" t="str">
            <v>60</v>
          </cell>
        </row>
        <row r="1362">
          <cell r="A1362" t="str">
            <v>C12033</v>
          </cell>
          <cell r="B1362" t="str">
            <v>Organization</v>
          </cell>
          <cell r="C1362" t="str">
            <v>HUNTSMAN INTERNATIONAL (I) PVT. LTD,TAMILNADU</v>
          </cell>
          <cell r="D1362" t="str">
            <v>60</v>
          </cell>
        </row>
        <row r="1363">
          <cell r="A1363" t="str">
            <v>C12034</v>
          </cell>
          <cell r="B1363" t="str">
            <v>Organization</v>
          </cell>
          <cell r="C1363" t="str">
            <v>HYDROCHEM SERVICES</v>
          </cell>
          <cell r="D1363" t="str">
            <v>15</v>
          </cell>
        </row>
        <row r="1364">
          <cell r="A1364" t="str">
            <v>C12035</v>
          </cell>
          <cell r="B1364" t="str">
            <v>Organization</v>
          </cell>
          <cell r="C1364" t="str">
            <v>IBP CO. LIMITED - CHENNAI (LUBE BLENDING PLANT)</v>
          </cell>
          <cell r="D1364" t="str">
            <v>30</v>
          </cell>
        </row>
        <row r="1365">
          <cell r="A1365" t="str">
            <v>C12036</v>
          </cell>
          <cell r="B1365" t="str">
            <v>Organization</v>
          </cell>
          <cell r="C1365" t="str">
            <v>IND BARATH COMMODITIES LTD</v>
          </cell>
          <cell r="D1365" t="str">
            <v>7</v>
          </cell>
        </row>
        <row r="1366">
          <cell r="A1366" t="str">
            <v>C12038</v>
          </cell>
          <cell r="B1366" t="str">
            <v>Organization</v>
          </cell>
          <cell r="C1366" t="str">
            <v>INDIAN INSTITUTE OF PACKAGING - ANDHERI</v>
          </cell>
          <cell r="D1366" t="str">
            <v>0</v>
          </cell>
        </row>
        <row r="1367">
          <cell r="A1367" t="str">
            <v>C12039</v>
          </cell>
          <cell r="B1367" t="str">
            <v>Organization</v>
          </cell>
          <cell r="C1367" t="str">
            <v>INDIAN INSTITUTE OF PACKAGING - CHENNAI</v>
          </cell>
          <cell r="D1367" t="str">
            <v>0</v>
          </cell>
        </row>
        <row r="1368">
          <cell r="A1368" t="str">
            <v>C12040</v>
          </cell>
          <cell r="B1368" t="str">
            <v>Organization</v>
          </cell>
          <cell r="C1368" t="str">
            <v>INDIAN OIL CORPORATION LTD - TONDIARPET</v>
          </cell>
          <cell r="D1368" t="str">
            <v>45</v>
          </cell>
        </row>
        <row r="1369">
          <cell r="A1369" t="str">
            <v>C12041</v>
          </cell>
          <cell r="B1369" t="str">
            <v>Organization</v>
          </cell>
          <cell r="C1369" t="str">
            <v>INDIAN SYNTANS LTD,</v>
          </cell>
          <cell r="D1369" t="str">
            <v>15</v>
          </cell>
        </row>
        <row r="1370">
          <cell r="A1370" t="str">
            <v>C12042</v>
          </cell>
          <cell r="B1370" t="str">
            <v>Organization</v>
          </cell>
          <cell r="C1370" t="str">
            <v>INDU CHEMICALS</v>
          </cell>
          <cell r="D1370" t="str">
            <v>100</v>
          </cell>
        </row>
        <row r="1371">
          <cell r="A1371" t="str">
            <v>C12043</v>
          </cell>
          <cell r="B1371" t="str">
            <v>Organization</v>
          </cell>
          <cell r="C1371" t="str">
            <v>INDUS MEDICARE LTD.</v>
          </cell>
          <cell r="D1371" t="str">
            <v>7</v>
          </cell>
        </row>
        <row r="1372">
          <cell r="A1372" t="str">
            <v>C12048</v>
          </cell>
          <cell r="B1372" t="str">
            <v>Organization</v>
          </cell>
          <cell r="C1372" t="str">
            <v>ION EXCHANGE (INDIA) LTD</v>
          </cell>
          <cell r="D1372" t="str">
            <v>1</v>
          </cell>
        </row>
        <row r="1373">
          <cell r="A1373" t="str">
            <v>C12052</v>
          </cell>
          <cell r="B1373" t="str">
            <v>Organization</v>
          </cell>
          <cell r="C1373" t="str">
            <v>J.K. PHARMACHEM LTD.</v>
          </cell>
          <cell r="D1373" t="str">
            <v>15</v>
          </cell>
        </row>
        <row r="1374">
          <cell r="A1374" t="str">
            <v>C12053</v>
          </cell>
          <cell r="B1374" t="str">
            <v>Organization</v>
          </cell>
          <cell r="C1374" t="str">
            <v>JABEZ CHEMICALS</v>
          </cell>
          <cell r="D1374" t="str">
            <v>1</v>
          </cell>
        </row>
        <row r="1375">
          <cell r="A1375" t="str">
            <v>C12054</v>
          </cell>
          <cell r="B1375" t="str">
            <v>Organization</v>
          </cell>
          <cell r="C1375" t="str">
            <v>JANSONS BALERS</v>
          </cell>
          <cell r="D1375" t="str">
            <v>15</v>
          </cell>
        </row>
        <row r="1376">
          <cell r="A1376" t="str">
            <v>C12058</v>
          </cell>
          <cell r="B1376" t="str">
            <v>Organization</v>
          </cell>
          <cell r="C1376" t="str">
            <v>CADILA PHARMACEUTICALS LTD.,ANKLESHWAR(CLOSED)</v>
          </cell>
          <cell r="D1376" t="str">
            <v>60</v>
          </cell>
        </row>
        <row r="1377">
          <cell r="A1377" t="str">
            <v>C12059</v>
          </cell>
          <cell r="B1377" t="str">
            <v>Organization</v>
          </cell>
          <cell r="C1377" t="str">
            <v>KA PREVULCANISED LATEX P LTD</v>
          </cell>
          <cell r="D1377" t="str">
            <v>30</v>
          </cell>
        </row>
        <row r="1378">
          <cell r="A1378" t="str">
            <v>C12060</v>
          </cell>
          <cell r="B1378" t="str">
            <v>Organization</v>
          </cell>
          <cell r="C1378" t="str">
            <v>KALLARACKAL AGENCIES</v>
          </cell>
          <cell r="D1378" t="str">
            <v>1</v>
          </cell>
        </row>
        <row r="1379">
          <cell r="A1379" t="str">
            <v>C12061</v>
          </cell>
          <cell r="B1379" t="str">
            <v>Organization</v>
          </cell>
          <cell r="C1379" t="str">
            <v>KAMALA SUGAR MILLS LTD</v>
          </cell>
          <cell r="D1379" t="str">
            <v>7</v>
          </cell>
        </row>
        <row r="1380">
          <cell r="A1380" t="str">
            <v>C12062</v>
          </cell>
          <cell r="B1380" t="str">
            <v>Organization</v>
          </cell>
          <cell r="C1380" t="str">
            <v>KAMAR CHEMICALS &amp; INDUSTRIES LTD.</v>
          </cell>
          <cell r="D1380" t="str">
            <v>45</v>
          </cell>
        </row>
        <row r="1381">
          <cell r="A1381" t="str">
            <v>C12063</v>
          </cell>
          <cell r="B1381" t="str">
            <v>Organization</v>
          </cell>
          <cell r="C1381" t="str">
            <v>KANCOR INGREDIENTS LIMITED -  BYADGI</v>
          </cell>
          <cell r="D1381" t="str">
            <v>30</v>
          </cell>
        </row>
        <row r="1382">
          <cell r="A1382" t="str">
            <v>C12065</v>
          </cell>
          <cell r="B1382" t="str">
            <v>Organization</v>
          </cell>
          <cell r="C1382" t="str">
            <v>KAPOOR SALES INDIA PVT. LTD.</v>
          </cell>
          <cell r="D1382" t="str">
            <v>7</v>
          </cell>
        </row>
        <row r="1383">
          <cell r="A1383" t="str">
            <v>C12066</v>
          </cell>
          <cell r="B1383" t="str">
            <v>Organization</v>
          </cell>
          <cell r="C1383" t="str">
            <v>KAROL LUBRICANTS INDIA LIMITED</v>
          </cell>
          <cell r="D1383" t="str">
            <v>7</v>
          </cell>
        </row>
        <row r="1384">
          <cell r="A1384" t="str">
            <v>C12067</v>
          </cell>
          <cell r="B1384" t="str">
            <v>Organization</v>
          </cell>
          <cell r="C1384" t="str">
            <v>KASIRAJA HERBAL GARDEN (P) LTD.</v>
          </cell>
          <cell r="D1384" t="str">
            <v>15</v>
          </cell>
        </row>
        <row r="1385">
          <cell r="A1385" t="str">
            <v>C12068</v>
          </cell>
          <cell r="B1385" t="str">
            <v>Organization</v>
          </cell>
          <cell r="C1385" t="str">
            <v>KASTURI &amp; SONS LTD.</v>
          </cell>
          <cell r="D1385" t="str">
            <v>15</v>
          </cell>
        </row>
        <row r="1386">
          <cell r="A1386" t="str">
            <v>C12069</v>
          </cell>
          <cell r="B1386" t="str">
            <v>Organization</v>
          </cell>
          <cell r="C1386" t="str">
            <v>KAUSHIK CHEMICALS LTD.</v>
          </cell>
          <cell r="D1386" t="str">
            <v>60</v>
          </cell>
        </row>
        <row r="1387">
          <cell r="A1387" t="str">
            <v>C12070</v>
          </cell>
          <cell r="B1387" t="str">
            <v>Organization</v>
          </cell>
          <cell r="C1387" t="str">
            <v>KAYVEE LABORATORIES</v>
          </cell>
          <cell r="D1387" t="str">
            <v>100</v>
          </cell>
        </row>
        <row r="1388">
          <cell r="A1388" t="str">
            <v>C12074</v>
          </cell>
          <cell r="B1388" t="str">
            <v>Organization</v>
          </cell>
          <cell r="C1388" t="str">
            <v>KIWI TTK LIMITED</v>
          </cell>
          <cell r="D1388" t="str">
            <v>30</v>
          </cell>
        </row>
        <row r="1389">
          <cell r="A1389" t="str">
            <v>C12075</v>
          </cell>
          <cell r="B1389" t="str">
            <v>Organization</v>
          </cell>
          <cell r="C1389" t="str">
            <v>KLF NIRMAL INDUSTRIES PVT. LTD</v>
          </cell>
          <cell r="D1389" t="str">
            <v>1</v>
          </cell>
        </row>
        <row r="1390">
          <cell r="A1390" t="str">
            <v>C12076</v>
          </cell>
          <cell r="B1390" t="str">
            <v>Organization</v>
          </cell>
          <cell r="C1390" t="str">
            <v>KLUBER LUBRICATION</v>
          </cell>
          <cell r="D1390" t="str">
            <v>0</v>
          </cell>
        </row>
        <row r="1391">
          <cell r="A1391" t="str">
            <v>C12077</v>
          </cell>
          <cell r="B1391" t="str">
            <v>Organization</v>
          </cell>
          <cell r="C1391" t="str">
            <v>KNISS LABORATORIES PVT. LTD.</v>
          </cell>
          <cell r="D1391" t="str">
            <v>7</v>
          </cell>
        </row>
        <row r="1392">
          <cell r="A1392" t="str">
            <v>C12078</v>
          </cell>
          <cell r="B1392" t="str">
            <v>Organization</v>
          </cell>
          <cell r="C1392" t="str">
            <v>KOPSON SURFACTANTS PVT. LTD. - MARAIMALAI</v>
          </cell>
          <cell r="D1392" t="str">
            <v>1</v>
          </cell>
        </row>
        <row r="1393">
          <cell r="A1393" t="str">
            <v>C12080</v>
          </cell>
          <cell r="B1393" t="str">
            <v>Organization</v>
          </cell>
          <cell r="C1393" t="str">
            <v>KOTHARI INDUSTRIAL CORPORATION LIMITED</v>
          </cell>
          <cell r="D1393" t="str">
            <v>30</v>
          </cell>
        </row>
        <row r="1394">
          <cell r="A1394" t="str">
            <v>C12081</v>
          </cell>
          <cell r="B1394" t="str">
            <v>Organization</v>
          </cell>
          <cell r="C1394" t="str">
            <v>KOTHARI SUGARS &amp; CHEMICALS LIMITED - MANALI</v>
          </cell>
          <cell r="D1394" t="str">
            <v>30</v>
          </cell>
        </row>
        <row r="1395">
          <cell r="A1395" t="str">
            <v>C12082</v>
          </cell>
          <cell r="B1395" t="str">
            <v>Organization</v>
          </cell>
          <cell r="C1395" t="str">
            <v>KOTHARI SUGARS &amp; CHEMICALS LIMITED - KARAIKAL</v>
          </cell>
          <cell r="D1395" t="str">
            <v>30</v>
          </cell>
        </row>
        <row r="1396">
          <cell r="A1396" t="str">
            <v>C12083</v>
          </cell>
          <cell r="B1396" t="str">
            <v>Organization</v>
          </cell>
          <cell r="C1396" t="str">
            <v>KRISHNA ENGINEERING WORKS</v>
          </cell>
          <cell r="D1396" t="str">
            <v>1</v>
          </cell>
        </row>
        <row r="1397">
          <cell r="A1397" t="str">
            <v>C12084</v>
          </cell>
          <cell r="B1397" t="str">
            <v>Organization</v>
          </cell>
          <cell r="C1397" t="str">
            <v>KURIAN ABRAHAM (P) LTD. - KOTTAYAM</v>
          </cell>
          <cell r="D1397" t="str">
            <v>1</v>
          </cell>
        </row>
        <row r="1398">
          <cell r="A1398" t="str">
            <v>C12085</v>
          </cell>
          <cell r="B1398" t="str">
            <v>Organization</v>
          </cell>
          <cell r="C1398" t="str">
            <v>KURIAN ABRAHAM LTD.     - THUCKALAY</v>
          </cell>
          <cell r="D1398" t="str">
            <v>30</v>
          </cell>
        </row>
        <row r="1399">
          <cell r="A1399" t="str">
            <v>C12086</v>
          </cell>
          <cell r="B1399" t="str">
            <v>Organization</v>
          </cell>
          <cell r="C1399" t="str">
            <v>KURIAN ABRAHAM (P) LTD. - PARVATIPURAM</v>
          </cell>
          <cell r="D1399" t="str">
            <v>1</v>
          </cell>
        </row>
        <row r="1400">
          <cell r="A1400" t="str">
            <v>C12087</v>
          </cell>
          <cell r="B1400" t="str">
            <v>Organization</v>
          </cell>
          <cell r="C1400" t="str">
            <v>L.K. FARMPRO INTERNATIONAL</v>
          </cell>
          <cell r="D1400" t="str">
            <v>90</v>
          </cell>
        </row>
        <row r="1401">
          <cell r="A1401" t="str">
            <v>C12088</v>
          </cell>
          <cell r="B1401" t="str">
            <v>Organization</v>
          </cell>
          <cell r="C1401" t="str">
            <v>LACTOCHEM LIMITED</v>
          </cell>
          <cell r="D1401" t="str">
            <v>30</v>
          </cell>
        </row>
        <row r="1402">
          <cell r="A1402" t="str">
            <v>C12089</v>
          </cell>
          <cell r="B1402" t="str">
            <v>Organization</v>
          </cell>
          <cell r="C1402" t="str">
            <v>LAKSHMI SERVICES</v>
          </cell>
          <cell r="D1402" t="str">
            <v>15</v>
          </cell>
        </row>
        <row r="1403">
          <cell r="A1403" t="str">
            <v>C12090</v>
          </cell>
          <cell r="B1403" t="str">
            <v>Organization</v>
          </cell>
          <cell r="C1403" t="str">
            <v>LANXESS INDIA PRIVATE LIMITED</v>
          </cell>
          <cell r="D1403" t="str">
            <v>30</v>
          </cell>
        </row>
        <row r="1404">
          <cell r="A1404" t="str">
            <v>C12092</v>
          </cell>
          <cell r="B1404" t="str">
            <v>Organization</v>
          </cell>
          <cell r="C1404" t="str">
            <v>LAUREL AROMATICS PVT. LTD.</v>
          </cell>
          <cell r="D1404" t="str">
            <v>30</v>
          </cell>
        </row>
        <row r="1405">
          <cell r="A1405" t="str">
            <v>C12093</v>
          </cell>
          <cell r="B1405" t="str">
            <v>Organization</v>
          </cell>
          <cell r="C1405" t="str">
            <v>LEO SCREEN PRINTERS</v>
          </cell>
          <cell r="D1405" t="str">
            <v>15</v>
          </cell>
        </row>
        <row r="1406">
          <cell r="A1406" t="str">
            <v>C12094</v>
          </cell>
          <cell r="B1406" t="str">
            <v>Organization</v>
          </cell>
          <cell r="C1406" t="str">
            <v>LOTTE INDIA  CORPORATION LIMITED</v>
          </cell>
          <cell r="D1406" t="str">
            <v>1</v>
          </cell>
        </row>
        <row r="1407">
          <cell r="A1407" t="str">
            <v>C12095</v>
          </cell>
          <cell r="B1407" t="str">
            <v>Organization</v>
          </cell>
          <cell r="C1407" t="str">
            <v>LRC SPECIALITY CHEMICALS PRIVATE LIMITED - THIRUVALLUR</v>
          </cell>
          <cell r="D1407" t="str">
            <v>30</v>
          </cell>
        </row>
        <row r="1408">
          <cell r="A1408" t="str">
            <v>C12096</v>
          </cell>
          <cell r="B1408" t="str">
            <v>Organization</v>
          </cell>
          <cell r="C1408" t="str">
            <v>LUBE TECH</v>
          </cell>
          <cell r="D1408" t="str">
            <v>1</v>
          </cell>
        </row>
        <row r="1409">
          <cell r="A1409" t="str">
            <v>C12097</v>
          </cell>
          <cell r="B1409" t="str">
            <v>Organization</v>
          </cell>
          <cell r="C1409" t="str">
            <v>M. EDDISON &amp; CO. - TUTICORIN</v>
          </cell>
          <cell r="D1409" t="str">
            <v>1</v>
          </cell>
        </row>
        <row r="1410">
          <cell r="A1410" t="str">
            <v>C12099</v>
          </cell>
          <cell r="B1410" t="str">
            <v>Organization</v>
          </cell>
          <cell r="C1410" t="str">
            <v>M.N. POLYESTER (INDIA) PVT. LTD</v>
          </cell>
          <cell r="D1410" t="str">
            <v>1</v>
          </cell>
        </row>
        <row r="1411">
          <cell r="A1411" t="str">
            <v>C12100</v>
          </cell>
          <cell r="B1411" t="str">
            <v>Organization</v>
          </cell>
          <cell r="C1411" t="str">
            <v>M/S. PRAMILA</v>
          </cell>
          <cell r="D1411" t="str">
            <v>1</v>
          </cell>
        </row>
        <row r="1412">
          <cell r="A1412" t="str">
            <v>C12101</v>
          </cell>
          <cell r="B1412" t="str">
            <v>Organization</v>
          </cell>
          <cell r="C1412" t="str">
            <v>MADHUSUDHAN INDUSTRIES</v>
          </cell>
          <cell r="D1412" t="str">
            <v>7</v>
          </cell>
        </row>
        <row r="1413">
          <cell r="A1413" t="str">
            <v>C12102</v>
          </cell>
          <cell r="B1413" t="str">
            <v>Organization</v>
          </cell>
          <cell r="C1413" t="str">
            <v>CHENNAI FLUORINE PRODUCTS LIMITED</v>
          </cell>
          <cell r="D1413" t="str">
            <v>1</v>
          </cell>
        </row>
        <row r="1414">
          <cell r="A1414" t="str">
            <v>C12103</v>
          </cell>
          <cell r="B1414" t="str">
            <v>Organization</v>
          </cell>
          <cell r="C1414" t="str">
            <v>CHENNAI PETROCHEM LIMITED</v>
          </cell>
          <cell r="D1414" t="str">
            <v>60</v>
          </cell>
        </row>
        <row r="1415">
          <cell r="A1415" t="str">
            <v>C12104</v>
          </cell>
          <cell r="B1415" t="str">
            <v>Organization</v>
          </cell>
          <cell r="C1415" t="str">
            <v>MAGNA COLOURS (I) PVT. LTD - NAVI MUMBAI</v>
          </cell>
          <cell r="D1415" t="str">
            <v>30</v>
          </cell>
        </row>
        <row r="1416">
          <cell r="A1416" t="str">
            <v>C12106</v>
          </cell>
          <cell r="B1416" t="str">
            <v>Organization</v>
          </cell>
          <cell r="C1416" t="str">
            <v>MAKARA CHEMO CORPORATION</v>
          </cell>
          <cell r="D1416" t="str">
            <v>1</v>
          </cell>
        </row>
        <row r="1417">
          <cell r="A1417" t="str">
            <v>C12108</v>
          </cell>
          <cell r="B1417" t="str">
            <v>Organization</v>
          </cell>
          <cell r="C1417" t="str">
            <v>MALLADI DRUGS &amp; PHARMACEUTICALS LTD.</v>
          </cell>
          <cell r="D1417" t="str">
            <v>90</v>
          </cell>
        </row>
        <row r="1418">
          <cell r="A1418" t="str">
            <v>C12109</v>
          </cell>
          <cell r="B1418" t="str">
            <v>Organization</v>
          </cell>
          <cell r="C1418" t="str">
            <v>MANALI LUBRICANTS PVT. LTD. - THIRUMUDIVAKKAM</v>
          </cell>
          <cell r="D1418" t="str">
            <v>15</v>
          </cell>
        </row>
        <row r="1419">
          <cell r="A1419" t="str">
            <v>C12110</v>
          </cell>
          <cell r="B1419" t="str">
            <v>Organization</v>
          </cell>
          <cell r="C1419" t="str">
            <v>MANALI LUBRICANTS PVT. LTD. - MOULIVAKKAM</v>
          </cell>
          <cell r="D1419" t="str">
            <v>30</v>
          </cell>
        </row>
        <row r="1420">
          <cell r="A1420" t="str">
            <v>C12112</v>
          </cell>
          <cell r="B1420" t="str">
            <v>Organization</v>
          </cell>
          <cell r="C1420" t="str">
            <v>MARATHA CHEMICALS</v>
          </cell>
          <cell r="D1420" t="str">
            <v>1</v>
          </cell>
        </row>
        <row r="1421">
          <cell r="A1421" t="str">
            <v>C12113</v>
          </cell>
          <cell r="B1421" t="str">
            <v>Organization</v>
          </cell>
          <cell r="C1421" t="str">
            <v>MARS LOGISTICS</v>
          </cell>
          <cell r="D1421" t="str">
            <v>15</v>
          </cell>
        </row>
        <row r="1422">
          <cell r="A1422" t="str">
            <v>C12114</v>
          </cell>
          <cell r="B1422" t="str">
            <v>Organization</v>
          </cell>
          <cell r="C1422" t="str">
            <v>MASCHMEIJER AROMATICS (INDIA) LTD.,</v>
          </cell>
          <cell r="D1422" t="str">
            <v>30</v>
          </cell>
        </row>
        <row r="1423">
          <cell r="A1423" t="str">
            <v>C12115</v>
          </cell>
          <cell r="B1423" t="str">
            <v>Organization</v>
          </cell>
          <cell r="C1423" t="str">
            <v>MASTER BUILDERS TECHNOLOGIES (INDIA) P L</v>
          </cell>
          <cell r="D1423" t="str">
            <v>0</v>
          </cell>
        </row>
        <row r="1424">
          <cell r="A1424" t="str">
            <v>C12117</v>
          </cell>
          <cell r="B1424" t="str">
            <v>Organization</v>
          </cell>
          <cell r="C1424" t="str">
            <v>MEDCHL CHEMICALS AND PHARMACEUTICALS P LTD</v>
          </cell>
          <cell r="D1424" t="str">
            <v>1</v>
          </cell>
        </row>
        <row r="1425">
          <cell r="A1425" t="str">
            <v>C12118</v>
          </cell>
          <cell r="B1425" t="str">
            <v>Organization</v>
          </cell>
          <cell r="C1425" t="str">
            <v>MEDOPHARM</v>
          </cell>
          <cell r="D1425" t="str">
            <v>15</v>
          </cell>
        </row>
        <row r="1426">
          <cell r="A1426" t="str">
            <v>C12119</v>
          </cell>
          <cell r="B1426" t="str">
            <v>Organization</v>
          </cell>
          <cell r="C1426" t="str">
            <v>MERCHEM LIMITED</v>
          </cell>
          <cell r="D1426" t="str">
            <v>30</v>
          </cell>
        </row>
        <row r="1427">
          <cell r="A1427" t="str">
            <v>C12120</v>
          </cell>
          <cell r="B1427" t="str">
            <v>Organization</v>
          </cell>
          <cell r="C1427" t="str">
            <v>METAL GUARD</v>
          </cell>
          <cell r="D1427" t="str">
            <v>1</v>
          </cell>
        </row>
        <row r="1428">
          <cell r="A1428" t="str">
            <v>C12121</v>
          </cell>
          <cell r="B1428" t="str">
            <v>Organization</v>
          </cell>
          <cell r="C1428" t="str">
            <v>METROCHEM (INDIA)</v>
          </cell>
          <cell r="D1428" t="str">
            <v>30</v>
          </cell>
        </row>
        <row r="1429">
          <cell r="A1429" t="str">
            <v>C12122</v>
          </cell>
          <cell r="B1429" t="str">
            <v>Organization</v>
          </cell>
          <cell r="C1429" t="str">
            <v>MFPL FLUORINE PRODUCTS LTD.</v>
          </cell>
          <cell r="D1429" t="str">
            <v>60</v>
          </cell>
        </row>
        <row r="1430">
          <cell r="A1430" t="str">
            <v>C12124</v>
          </cell>
          <cell r="B1430" t="str">
            <v>Organization</v>
          </cell>
          <cell r="C1430" t="str">
            <v>MOHAN MUTHA EXPORTS PVT. LTD</v>
          </cell>
          <cell r="D1430" t="str">
            <v>7</v>
          </cell>
        </row>
        <row r="1431">
          <cell r="A1431" t="str">
            <v>C12125</v>
          </cell>
          <cell r="B1431" t="str">
            <v>Organization</v>
          </cell>
          <cell r="C1431" t="str">
            <v>MOTHERSON AUTOMOTIVE &amp; ENGINEERS</v>
          </cell>
          <cell r="D1431" t="str">
            <v>1</v>
          </cell>
        </row>
        <row r="1432">
          <cell r="A1432" t="str">
            <v>C12126</v>
          </cell>
          <cell r="B1432" t="str">
            <v>Organization</v>
          </cell>
          <cell r="C1432" t="str">
            <v>MR. RAJENDRAN</v>
          </cell>
          <cell r="D1432" t="str">
            <v>1</v>
          </cell>
        </row>
        <row r="1433">
          <cell r="A1433" t="str">
            <v>C12127</v>
          </cell>
          <cell r="B1433" t="str">
            <v>Organization</v>
          </cell>
          <cell r="C1433" t="str">
            <v>MR. A. SURESH KUMAR</v>
          </cell>
          <cell r="D1433" t="str">
            <v>7</v>
          </cell>
        </row>
        <row r="1434">
          <cell r="A1434" t="str">
            <v>C12128</v>
          </cell>
          <cell r="B1434" t="str">
            <v>Organization</v>
          </cell>
          <cell r="C1434" t="str">
            <v>MR. A.T. PILLAI</v>
          </cell>
          <cell r="D1434" t="str">
            <v>7</v>
          </cell>
        </row>
        <row r="1435">
          <cell r="A1435" t="str">
            <v>C12129</v>
          </cell>
          <cell r="B1435" t="str">
            <v>Organization</v>
          </cell>
          <cell r="C1435" t="str">
            <v>MR.C.R.SUDHARSANAM</v>
          </cell>
          <cell r="D1435" t="str">
            <v>1</v>
          </cell>
        </row>
        <row r="1436">
          <cell r="A1436" t="str">
            <v>C12130</v>
          </cell>
          <cell r="B1436" t="str">
            <v>Organization</v>
          </cell>
          <cell r="C1436" t="str">
            <v>MR.GNYANA SAHARAN</v>
          </cell>
          <cell r="D1436" t="str">
            <v>1</v>
          </cell>
        </row>
        <row r="1437">
          <cell r="A1437" t="str">
            <v>C12131</v>
          </cell>
          <cell r="B1437" t="str">
            <v>Organization</v>
          </cell>
          <cell r="C1437" t="str">
            <v>MR. K.V.L.L. SHARMA</v>
          </cell>
          <cell r="D1437" t="str">
            <v>1</v>
          </cell>
        </row>
        <row r="1438">
          <cell r="A1438" t="str">
            <v>C12132</v>
          </cell>
          <cell r="B1438" t="str">
            <v>Organization</v>
          </cell>
          <cell r="C1438" t="str">
            <v>MR. RAJAGOPAL</v>
          </cell>
          <cell r="D1438" t="str">
            <v>1</v>
          </cell>
        </row>
        <row r="1439">
          <cell r="A1439" t="str">
            <v>C12133</v>
          </cell>
          <cell r="B1439" t="str">
            <v>Organization</v>
          </cell>
          <cell r="C1439" t="str">
            <v>MR.RAMLINGAM</v>
          </cell>
          <cell r="D1439" t="str">
            <v>90</v>
          </cell>
        </row>
        <row r="1440">
          <cell r="A1440" t="str">
            <v>C12134</v>
          </cell>
          <cell r="B1440" t="str">
            <v>Organization</v>
          </cell>
          <cell r="C1440" t="str">
            <v>MR. S.CHIDAMBARAM, DY, TAHILDAR</v>
          </cell>
          <cell r="D1440" t="str">
            <v>1</v>
          </cell>
        </row>
        <row r="1441">
          <cell r="A1441" t="str">
            <v>C12136</v>
          </cell>
          <cell r="B1441" t="str">
            <v>Organization</v>
          </cell>
          <cell r="C1441" t="str">
            <v>MURRAY &amp; CO</v>
          </cell>
          <cell r="D1441" t="str">
            <v>1</v>
          </cell>
        </row>
        <row r="1442">
          <cell r="A1442" t="str">
            <v>C12137</v>
          </cell>
          <cell r="B1442" t="str">
            <v>Organization</v>
          </cell>
          <cell r="C1442" t="str">
            <v>N C H INDIA LIMITED</v>
          </cell>
          <cell r="D1442" t="str">
            <v>60</v>
          </cell>
        </row>
        <row r="1443">
          <cell r="A1443" t="str">
            <v>C12138</v>
          </cell>
          <cell r="B1443" t="str">
            <v>Organization</v>
          </cell>
          <cell r="C1443" t="str">
            <v>N. RAMANLAL &amp; BROS.</v>
          </cell>
          <cell r="D1443" t="str">
            <v>1</v>
          </cell>
        </row>
        <row r="1444">
          <cell r="A1444" t="str">
            <v>C12141</v>
          </cell>
          <cell r="B1444" t="str">
            <v>Organization</v>
          </cell>
          <cell r="C1444" t="str">
            <v>NAMASTE EXPORTS LTD.,</v>
          </cell>
          <cell r="D1444" t="str">
            <v>7</v>
          </cell>
        </row>
        <row r="1445">
          <cell r="A1445" t="str">
            <v>C12142</v>
          </cell>
          <cell r="B1445" t="str">
            <v>Organization</v>
          </cell>
          <cell r="C1445" t="str">
            <v>NAPTHA RESINS AND CHEMICALS PVT. LTD.</v>
          </cell>
          <cell r="D1445" t="str">
            <v>1</v>
          </cell>
        </row>
        <row r="1446">
          <cell r="A1446" t="str">
            <v>C12143</v>
          </cell>
          <cell r="B1446" t="str">
            <v>Organization</v>
          </cell>
          <cell r="C1446" t="str">
            <v>NATHAN INDUSTRIES</v>
          </cell>
          <cell r="D1446" t="str">
            <v>1</v>
          </cell>
        </row>
        <row r="1447">
          <cell r="A1447" t="str">
            <v>C12145</v>
          </cell>
          <cell r="B1447" t="str">
            <v>Organization</v>
          </cell>
          <cell r="C1447" t="str">
            <v>NATURAL BIOENERGY LIMITED</v>
          </cell>
          <cell r="D1447" t="str">
            <v>1</v>
          </cell>
        </row>
        <row r="1448">
          <cell r="A1448" t="str">
            <v>C12146</v>
          </cell>
          <cell r="B1448" t="str">
            <v>Organization</v>
          </cell>
          <cell r="C1448" t="str">
            <v>NEC ENGINEERS PRIVATE LIMITED</v>
          </cell>
          <cell r="D1448" t="str">
            <v>7</v>
          </cell>
        </row>
        <row r="1449">
          <cell r="A1449" t="str">
            <v>C12147</v>
          </cell>
          <cell r="B1449" t="str">
            <v>Organization</v>
          </cell>
          <cell r="C1449" t="str">
            <v>NETAFIM IRRIGATION INDIA PVT. LTD.,</v>
          </cell>
          <cell r="D1449" t="str">
            <v>1</v>
          </cell>
        </row>
        <row r="1450">
          <cell r="A1450" t="str">
            <v>C12149</v>
          </cell>
          <cell r="B1450" t="str">
            <v>Organization</v>
          </cell>
          <cell r="C1450" t="str">
            <v>NEW AMBADI ESTATES PVT. LIMITED - CHENNAI</v>
          </cell>
          <cell r="D1450" t="str">
            <v>7</v>
          </cell>
        </row>
        <row r="1451">
          <cell r="A1451" t="str">
            <v>C12150</v>
          </cell>
          <cell r="B1451" t="str">
            <v>Organization</v>
          </cell>
          <cell r="C1451" t="str">
            <v>NEW RUSI AGRO FOODS PVT. LTD..,</v>
          </cell>
          <cell r="D1451" t="str">
            <v>30</v>
          </cell>
        </row>
        <row r="1452">
          <cell r="A1452" t="str">
            <v>C12151</v>
          </cell>
          <cell r="B1452" t="str">
            <v>Organization</v>
          </cell>
          <cell r="C1452" t="str">
            <v>NICHOLAS PIRAMAL (I) LTD.</v>
          </cell>
          <cell r="D1452" t="str">
            <v>30</v>
          </cell>
        </row>
        <row r="1453">
          <cell r="A1453" t="str">
            <v>C12152</v>
          </cell>
          <cell r="B1453" t="str">
            <v>Organization</v>
          </cell>
          <cell r="C1453" t="str">
            <v>NOBLE CHEMMO ORGANIC PVT. LTD..</v>
          </cell>
          <cell r="D1453" t="str">
            <v>7</v>
          </cell>
        </row>
        <row r="1454">
          <cell r="A1454" t="str">
            <v>C12153</v>
          </cell>
          <cell r="B1454" t="str">
            <v>Organization</v>
          </cell>
          <cell r="C1454" t="str">
            <v>NOVEON DIAMALT PVT. LTD.</v>
          </cell>
          <cell r="D1454" t="str">
            <v>1</v>
          </cell>
        </row>
        <row r="1455">
          <cell r="A1455" t="str">
            <v>C12154</v>
          </cell>
          <cell r="B1455" t="str">
            <v>Organization</v>
          </cell>
          <cell r="C1455" t="str">
            <v>NOVO AGRITECH LIMITED</v>
          </cell>
          <cell r="D1455" t="str">
            <v>30</v>
          </cell>
        </row>
        <row r="1456">
          <cell r="A1456" t="str">
            <v>C12155</v>
          </cell>
          <cell r="B1456" t="str">
            <v>Organization</v>
          </cell>
          <cell r="C1456" t="str">
            <v>NUTRINE CONFECTIONERY COMPANY LTD.</v>
          </cell>
          <cell r="D1456" t="str">
            <v>30</v>
          </cell>
        </row>
        <row r="1457">
          <cell r="A1457" t="str">
            <v>C12156</v>
          </cell>
          <cell r="B1457" t="str">
            <v>Organization</v>
          </cell>
          <cell r="C1457" t="str">
            <v>ODDS &amp; ENDS</v>
          </cell>
          <cell r="D1457" t="str">
            <v>7</v>
          </cell>
        </row>
        <row r="1458">
          <cell r="A1458" t="str">
            <v>C12157</v>
          </cell>
          <cell r="B1458" t="str">
            <v>Organization</v>
          </cell>
          <cell r="C1458" t="str">
            <v>OILFIELD SUPPLIES &amp; SERVICES</v>
          </cell>
          <cell r="D1458" t="str">
            <v>15</v>
          </cell>
        </row>
        <row r="1459">
          <cell r="A1459" t="str">
            <v>C12158</v>
          </cell>
          <cell r="B1459" t="str">
            <v>Organization</v>
          </cell>
          <cell r="C1459" t="str">
            <v>OKS SPECIALITY LUBRICANTS</v>
          </cell>
          <cell r="D1459" t="str">
            <v>0</v>
          </cell>
        </row>
        <row r="1460">
          <cell r="A1460" t="str">
            <v>C12161</v>
          </cell>
          <cell r="B1460" t="str">
            <v>Organization</v>
          </cell>
          <cell r="C1460" t="str">
            <v>P. SRIDHAR &amp; COMPANY</v>
          </cell>
          <cell r="D1460" t="str">
            <v>1</v>
          </cell>
        </row>
        <row r="1461">
          <cell r="A1461" t="str">
            <v>C12162</v>
          </cell>
          <cell r="B1461" t="str">
            <v>Organization</v>
          </cell>
          <cell r="C1461" t="str">
            <v>PADMA CHEMICALS</v>
          </cell>
          <cell r="D1461" t="str">
            <v>1</v>
          </cell>
        </row>
        <row r="1462">
          <cell r="A1462" t="str">
            <v>C12163</v>
          </cell>
          <cell r="B1462" t="str">
            <v>Organization</v>
          </cell>
          <cell r="C1462" t="str">
            <v>PADMAVATHI POLYMERS PRIVATE LIMITED</v>
          </cell>
          <cell r="D1462" t="str">
            <v>60</v>
          </cell>
        </row>
        <row r="1463">
          <cell r="A1463" t="str">
            <v>C12164</v>
          </cell>
          <cell r="B1463" t="str">
            <v>Organization</v>
          </cell>
          <cell r="C1463" t="str">
            <v>PADMINI AROMATICS PVT. LTD..,</v>
          </cell>
          <cell r="D1463" t="str">
            <v>15</v>
          </cell>
        </row>
        <row r="1464">
          <cell r="A1464" t="str">
            <v>C12166</v>
          </cell>
          <cell r="B1464" t="str">
            <v>Organization</v>
          </cell>
          <cell r="C1464" t="str">
            <v>PAPRIKA OLEO'S (INDIA) LIMITED - VIRUDHUNAGAR</v>
          </cell>
          <cell r="D1464" t="str">
            <v>7</v>
          </cell>
        </row>
        <row r="1465">
          <cell r="A1465" t="str">
            <v>C12167</v>
          </cell>
          <cell r="B1465" t="str">
            <v>Organization</v>
          </cell>
          <cell r="C1465" t="str">
            <v>PARRYS CONFECTIONERY LIMITED - CUDDALORE</v>
          </cell>
          <cell r="D1465" t="str">
            <v>45</v>
          </cell>
        </row>
        <row r="1466">
          <cell r="A1466" t="str">
            <v>C12168</v>
          </cell>
          <cell r="B1466" t="str">
            <v>Organization</v>
          </cell>
          <cell r="C1466" t="str">
            <v>PCS INDUSTRIES PRIVATE LTD.,</v>
          </cell>
          <cell r="D1466" t="str">
            <v>1</v>
          </cell>
        </row>
        <row r="1467">
          <cell r="A1467" t="str">
            <v>C12170</v>
          </cell>
          <cell r="B1467" t="str">
            <v>Organization</v>
          </cell>
          <cell r="C1467" t="str">
            <v>###not to use###PENTAGON LUBRICANTS (INDIA) PRIVATE LIMITED</v>
          </cell>
          <cell r="D1467" t="str">
            <v>0</v>
          </cell>
        </row>
        <row r="1468">
          <cell r="A1468" t="str">
            <v>C12172</v>
          </cell>
          <cell r="B1468" t="str">
            <v>Organization</v>
          </cell>
          <cell r="C1468" t="str">
            <v>PERIYAR LATEX LTD</v>
          </cell>
          <cell r="D1468" t="str">
            <v>1</v>
          </cell>
        </row>
        <row r="1469">
          <cell r="A1469" t="str">
            <v>C12174</v>
          </cell>
          <cell r="B1469" t="str">
            <v>Organization</v>
          </cell>
          <cell r="C1469" t="str">
            <v>PETRO ARALDITE PVT. LTD..  - MANALI</v>
          </cell>
          <cell r="D1469" t="str">
            <v>30</v>
          </cell>
        </row>
        <row r="1470">
          <cell r="A1470" t="str">
            <v>C12175</v>
          </cell>
          <cell r="B1470" t="str">
            <v>Organization</v>
          </cell>
          <cell r="C1470" t="str">
            <v>PETROGEL (INDIA) PVT. LTD ,</v>
          </cell>
          <cell r="D1470" t="str">
            <v>1</v>
          </cell>
        </row>
        <row r="1471">
          <cell r="A1471" t="str">
            <v>C12176</v>
          </cell>
          <cell r="B1471" t="str">
            <v>Organization</v>
          </cell>
          <cell r="C1471" t="str">
            <v>PIDILITE INDUSTRIES LIMITED - BANGALORE</v>
          </cell>
          <cell r="D1471" t="str">
            <v>30</v>
          </cell>
        </row>
        <row r="1472">
          <cell r="A1472" t="str">
            <v>C12179</v>
          </cell>
          <cell r="B1472" t="str">
            <v>Organization</v>
          </cell>
          <cell r="C1472" t="str">
            <v>POLARRTECH INDIA PVT. LTD</v>
          </cell>
          <cell r="D1472" t="str">
            <v>30</v>
          </cell>
        </row>
        <row r="1473">
          <cell r="A1473" t="str">
            <v>C12180</v>
          </cell>
          <cell r="B1473" t="str">
            <v>Organization</v>
          </cell>
          <cell r="C1473" t="str">
            <v>POLJO AGENTS &amp; DISTRIBUTORS,</v>
          </cell>
          <cell r="D1473" t="str">
            <v>1</v>
          </cell>
        </row>
        <row r="1474">
          <cell r="A1474" t="str">
            <v>C12181</v>
          </cell>
          <cell r="B1474" t="str">
            <v>Organization</v>
          </cell>
          <cell r="C1474" t="str">
            <v>POLSON LIMITED</v>
          </cell>
          <cell r="D1474" t="str">
            <v>60</v>
          </cell>
        </row>
        <row r="1475">
          <cell r="A1475" t="str">
            <v>C12182</v>
          </cell>
          <cell r="B1475" t="str">
            <v>Organization</v>
          </cell>
          <cell r="C1475" t="str">
            <v>POLY PLAST</v>
          </cell>
          <cell r="D1475" t="str">
            <v>1</v>
          </cell>
        </row>
        <row r="1476">
          <cell r="A1476" t="str">
            <v>C12183</v>
          </cell>
          <cell r="B1476" t="str">
            <v>Organization</v>
          </cell>
          <cell r="C1476" t="str">
            <v>POLYTOUGH TUBES LTD</v>
          </cell>
          <cell r="D1476" t="str">
            <v>1</v>
          </cell>
        </row>
        <row r="1477">
          <cell r="A1477" t="str">
            <v>C12184</v>
          </cell>
          <cell r="B1477" t="str">
            <v>Organization</v>
          </cell>
          <cell r="C1477" t="str">
            <v>PONDY AGROCHEMICALS PVT. LTD..,</v>
          </cell>
          <cell r="D1477" t="str">
            <v>7</v>
          </cell>
        </row>
        <row r="1478">
          <cell r="A1478" t="str">
            <v>C12185</v>
          </cell>
          <cell r="B1478" t="str">
            <v>Organization</v>
          </cell>
          <cell r="C1478" t="str">
            <v>POORNIMA ENTERPRISES  - THAYAR SAHIB STREET</v>
          </cell>
          <cell r="D1478" t="str">
            <v>1</v>
          </cell>
        </row>
        <row r="1479">
          <cell r="A1479" t="str">
            <v>C12186</v>
          </cell>
          <cell r="B1479" t="str">
            <v>Organization</v>
          </cell>
          <cell r="C1479" t="str">
            <v>POORVAJA ENTERPRISES  - THAMBU CHETTY STREET</v>
          </cell>
          <cell r="D1479" t="str">
            <v>30</v>
          </cell>
        </row>
        <row r="1480">
          <cell r="A1480" t="str">
            <v>C12187</v>
          </cell>
          <cell r="B1480" t="str">
            <v>Organization</v>
          </cell>
          <cell r="C1480" t="str">
            <v>PRADEEP DEO &amp; CO</v>
          </cell>
          <cell r="D1480" t="str">
            <v>7</v>
          </cell>
        </row>
        <row r="1481">
          <cell r="A1481" t="str">
            <v>C12188</v>
          </cell>
          <cell r="B1481" t="str">
            <v>Organization</v>
          </cell>
          <cell r="C1481" t="str">
            <v>PRADEEP DRUG COMPANY LTD.</v>
          </cell>
          <cell r="D1481" t="str">
            <v>7</v>
          </cell>
        </row>
        <row r="1482">
          <cell r="A1482" t="str">
            <v>C12189</v>
          </cell>
          <cell r="B1482" t="str">
            <v>Organization</v>
          </cell>
          <cell r="C1482" t="str">
            <v>PROALGEN BIOTECH LTD.</v>
          </cell>
          <cell r="D1482" t="str">
            <v>1</v>
          </cell>
        </row>
        <row r="1483">
          <cell r="A1483" t="str">
            <v>C12190</v>
          </cell>
          <cell r="B1483" t="str">
            <v>Organization</v>
          </cell>
          <cell r="C1483" t="str">
            <v>PROSEAL CLOSURES LTD (BLVL)</v>
          </cell>
          <cell r="D1483" t="str">
            <v>30</v>
          </cell>
        </row>
        <row r="1484">
          <cell r="A1484" t="str">
            <v>C12191</v>
          </cell>
          <cell r="B1484" t="str">
            <v>Organization</v>
          </cell>
          <cell r="C1484" t="str">
            <v>PROTCHEM INDUSTRIES (INDIA) LTD. - PONDICHERRY</v>
          </cell>
          <cell r="D1484" t="str">
            <v>15</v>
          </cell>
        </row>
        <row r="1485">
          <cell r="A1485" t="str">
            <v>C12192</v>
          </cell>
          <cell r="B1485" t="str">
            <v>Organization</v>
          </cell>
          <cell r="C1485" t="str">
            <v>PROTCHEM INDUSTRIES (INDIA) LTD. - CHENNAI</v>
          </cell>
          <cell r="D1485" t="str">
            <v>0</v>
          </cell>
        </row>
        <row r="1486">
          <cell r="A1486" t="str">
            <v>C12193</v>
          </cell>
          <cell r="B1486" t="str">
            <v>Organization</v>
          </cell>
          <cell r="C1486" t="str">
            <v>PURE CHEM PRODUCTS PVT. LTD.</v>
          </cell>
          <cell r="D1486" t="str">
            <v>30</v>
          </cell>
        </row>
        <row r="1487">
          <cell r="A1487" t="str">
            <v>C12194</v>
          </cell>
          <cell r="B1487" t="str">
            <v>Organization</v>
          </cell>
          <cell r="C1487" t="str">
            <v>PURE CHEMICALS CO.</v>
          </cell>
          <cell r="D1487" t="str">
            <v>0</v>
          </cell>
        </row>
        <row r="1488">
          <cell r="A1488" t="str">
            <v>C12195</v>
          </cell>
          <cell r="B1488" t="str">
            <v>Organization</v>
          </cell>
          <cell r="C1488" t="str">
            <v>PURE ENTERPRISES</v>
          </cell>
          <cell r="D1488" t="str">
            <v>7</v>
          </cell>
        </row>
        <row r="1489">
          <cell r="A1489" t="str">
            <v>C12196</v>
          </cell>
          <cell r="B1489" t="str">
            <v>Organization</v>
          </cell>
          <cell r="C1489" t="str">
            <v>PURE ORGANIC INDUSTRIES</v>
          </cell>
          <cell r="D1489" t="str">
            <v>7</v>
          </cell>
        </row>
        <row r="1490">
          <cell r="A1490" t="str">
            <v>C12197</v>
          </cell>
          <cell r="B1490" t="str">
            <v>Organization</v>
          </cell>
          <cell r="C1490" t="str">
            <v>R V SPECIALITY INGREDIENTS</v>
          </cell>
          <cell r="D1490" t="str">
            <v>15</v>
          </cell>
        </row>
        <row r="1491">
          <cell r="A1491" t="str">
            <v>C12198</v>
          </cell>
          <cell r="B1491" t="str">
            <v>Organization</v>
          </cell>
          <cell r="C1491" t="str">
            <v>RAJ AROMA ENTERPRISES</v>
          </cell>
          <cell r="D1491" t="str">
            <v>1</v>
          </cell>
        </row>
        <row r="1492">
          <cell r="A1492" t="str">
            <v>C12199</v>
          </cell>
          <cell r="B1492" t="str">
            <v>Organization</v>
          </cell>
          <cell r="C1492" t="str">
            <v>RAJ HERBOMATICS PRIVATE LTD.</v>
          </cell>
          <cell r="D1492" t="str">
            <v>1</v>
          </cell>
        </row>
        <row r="1493">
          <cell r="A1493" t="str">
            <v>C12201</v>
          </cell>
          <cell r="B1493" t="str">
            <v>Organization</v>
          </cell>
          <cell r="C1493" t="str">
            <v>RAJ PETRO SPECIALITIES PVT. LTD. - CHENNAI</v>
          </cell>
          <cell r="D1493" t="str">
            <v>30</v>
          </cell>
        </row>
        <row r="1494">
          <cell r="A1494" t="str">
            <v>C12202</v>
          </cell>
          <cell r="B1494" t="str">
            <v>Organization</v>
          </cell>
          <cell r="C1494" t="str">
            <v>RAJAM CHEMICALS</v>
          </cell>
          <cell r="D1494" t="str">
            <v>30</v>
          </cell>
        </row>
        <row r="1495">
          <cell r="A1495" t="str">
            <v>C12203</v>
          </cell>
          <cell r="B1495" t="str">
            <v>Organization</v>
          </cell>
          <cell r="C1495" t="str">
            <v>RAJARAM AND COMPANY</v>
          </cell>
          <cell r="D1495" t="str">
            <v>7</v>
          </cell>
        </row>
        <row r="1496">
          <cell r="A1496" t="str">
            <v>C12205</v>
          </cell>
          <cell r="B1496" t="str">
            <v>Organization</v>
          </cell>
          <cell r="C1496" t="str">
            <v>RAMANI SCREEN</v>
          </cell>
          <cell r="D1496" t="str">
            <v>1</v>
          </cell>
        </row>
        <row r="1497">
          <cell r="A1497" t="str">
            <v>C12206</v>
          </cell>
          <cell r="B1497" t="str">
            <v>Organization</v>
          </cell>
          <cell r="C1497" t="str">
            <v>RAMESH FLOWERS PVT. LTD.</v>
          </cell>
          <cell r="D1497" t="str">
            <v>7</v>
          </cell>
        </row>
        <row r="1498">
          <cell r="A1498" t="str">
            <v>C12207</v>
          </cell>
          <cell r="B1498" t="str">
            <v>Organization</v>
          </cell>
          <cell r="C1498" t="str">
            <v>RANQ REMEDIES PVT. LTD.,</v>
          </cell>
          <cell r="D1498" t="str">
            <v>1</v>
          </cell>
        </row>
        <row r="1499">
          <cell r="A1499" t="str">
            <v>C12208</v>
          </cell>
          <cell r="B1499" t="str">
            <v>Organization</v>
          </cell>
          <cell r="C1499" t="str">
            <v>RENAISSANCE PETROLUBE LTD.</v>
          </cell>
          <cell r="D1499" t="str">
            <v>20</v>
          </cell>
        </row>
        <row r="1500">
          <cell r="A1500" t="str">
            <v>C12210</v>
          </cell>
          <cell r="B1500" t="str">
            <v>Organization</v>
          </cell>
          <cell r="C1500" t="str">
            <v>REVE CHEMISTS OF ASSOCIATES</v>
          </cell>
          <cell r="D1500" t="str">
            <v>1</v>
          </cell>
        </row>
        <row r="1501">
          <cell r="A1501" t="str">
            <v>C12211</v>
          </cell>
          <cell r="B1501" t="str">
            <v>Organization</v>
          </cell>
          <cell r="C1501" t="str">
            <v>REVERTEX-KA LATEX (INDIA) PVT. LTD..</v>
          </cell>
          <cell r="D1501" t="str">
            <v>30</v>
          </cell>
        </row>
        <row r="1502">
          <cell r="A1502" t="str">
            <v>C12212</v>
          </cell>
          <cell r="B1502" t="str">
            <v>Organization</v>
          </cell>
          <cell r="C1502" t="str">
            <v>RG INDUSTRIES</v>
          </cell>
          <cell r="D1502" t="str">
            <v>0</v>
          </cell>
        </row>
        <row r="1503">
          <cell r="A1503" t="str">
            <v>C12213</v>
          </cell>
          <cell r="B1503" t="str">
            <v>Organization</v>
          </cell>
          <cell r="C1503" t="str">
            <v>RIDDHI SIDDHI CLUCO BIOLS LTD.</v>
          </cell>
          <cell r="D1503" t="str">
            <v>90</v>
          </cell>
        </row>
        <row r="1504">
          <cell r="A1504" t="str">
            <v>C12214</v>
          </cell>
          <cell r="B1504" t="str">
            <v>Organization</v>
          </cell>
          <cell r="C1504" t="str">
            <v>ROCHEM (INDIA) PVT. LTD. - CHENNAI</v>
          </cell>
          <cell r="D1504" t="str">
            <v>1</v>
          </cell>
        </row>
        <row r="1505">
          <cell r="A1505" t="str">
            <v>C12215</v>
          </cell>
          <cell r="B1505" t="str">
            <v>Organization</v>
          </cell>
          <cell r="C1505" t="str">
            <v>ROHM AND HAAS (I) PVT. LTD</v>
          </cell>
          <cell r="D1505" t="str">
            <v>0</v>
          </cell>
        </row>
        <row r="1506">
          <cell r="A1506" t="str">
            <v>C12216</v>
          </cell>
          <cell r="B1506" t="str">
            <v>Organization</v>
          </cell>
          <cell r="C1506" t="str">
            <v>ROYEL EMULSIFIERS</v>
          </cell>
          <cell r="D1506" t="str">
            <v>1</v>
          </cell>
        </row>
        <row r="1507">
          <cell r="A1507" t="str">
            <v>C12217</v>
          </cell>
          <cell r="B1507" t="str">
            <v>Organization</v>
          </cell>
          <cell r="C1507" t="str">
            <v>RPG-BTP (INDIA) LTD.</v>
          </cell>
          <cell r="D1507" t="str">
            <v>60</v>
          </cell>
        </row>
        <row r="1508">
          <cell r="A1508" t="str">
            <v>C12218</v>
          </cell>
          <cell r="B1508" t="str">
            <v>Organization</v>
          </cell>
          <cell r="C1508" t="str">
            <v>RR RETORTS FOODS PVT. LTD</v>
          </cell>
          <cell r="D1508" t="str">
            <v>0</v>
          </cell>
        </row>
        <row r="1509">
          <cell r="A1509" t="str">
            <v>C12219</v>
          </cell>
          <cell r="B1509" t="str">
            <v>Organization</v>
          </cell>
          <cell r="C1509" t="str">
            <v>RUPAL LUBRICANTS</v>
          </cell>
          <cell r="D1509" t="str">
            <v>7</v>
          </cell>
        </row>
        <row r="1510">
          <cell r="A1510" t="str">
            <v>C12220</v>
          </cell>
          <cell r="B1510" t="str">
            <v>Organization</v>
          </cell>
          <cell r="C1510" t="str">
            <v>S. AKBARALI HAIDARALI &amp; CO.,</v>
          </cell>
          <cell r="D1510" t="str">
            <v>1</v>
          </cell>
        </row>
        <row r="1511">
          <cell r="A1511" t="str">
            <v>C12221</v>
          </cell>
          <cell r="B1511" t="str">
            <v>Organization</v>
          </cell>
          <cell r="C1511" t="str">
            <v>S. ALBERT &amp; CO</v>
          </cell>
          <cell r="D1511" t="str">
            <v>10</v>
          </cell>
        </row>
        <row r="1512">
          <cell r="A1512" t="str">
            <v>C12222</v>
          </cell>
          <cell r="B1512" t="str">
            <v>Organization</v>
          </cell>
          <cell r="C1512" t="str">
            <v>S.G. CORPORATION</v>
          </cell>
          <cell r="D1512" t="str">
            <v>7</v>
          </cell>
        </row>
        <row r="1513">
          <cell r="A1513" t="str">
            <v>C12224</v>
          </cell>
          <cell r="B1513" t="str">
            <v>Organization</v>
          </cell>
          <cell r="C1513" t="str">
            <v>SAANJU EXPORTS - EKKADUTHANGAL</v>
          </cell>
          <cell r="D1513" t="str">
            <v>15</v>
          </cell>
        </row>
        <row r="1514">
          <cell r="A1514" t="str">
            <v>C12225</v>
          </cell>
          <cell r="B1514" t="str">
            <v>Organization</v>
          </cell>
          <cell r="C1514" t="str">
            <v>SAANJU EXPORTS - CHENNAI</v>
          </cell>
          <cell r="D1514" t="str">
            <v>7</v>
          </cell>
        </row>
        <row r="1515">
          <cell r="A1515" t="str">
            <v>C12226</v>
          </cell>
          <cell r="B1515" t="str">
            <v>Organization</v>
          </cell>
          <cell r="C1515" t="str">
            <v>SAARS EXPORTS</v>
          </cell>
          <cell r="D1515" t="str">
            <v>1</v>
          </cell>
        </row>
        <row r="1516">
          <cell r="A1516" t="str">
            <v>C12227</v>
          </cell>
          <cell r="B1516" t="str">
            <v>Organization</v>
          </cell>
          <cell r="C1516" t="str">
            <v>SACH EXPORTS PRIVATE LIMITED</v>
          </cell>
          <cell r="D1516" t="str">
            <v>30</v>
          </cell>
        </row>
        <row r="1517">
          <cell r="A1517" t="str">
            <v>C12228</v>
          </cell>
          <cell r="B1517" t="str">
            <v>Organization</v>
          </cell>
          <cell r="C1517" t="str">
            <v>SAI MIRRA FINECHEM PRIVATE LIMITED</v>
          </cell>
          <cell r="D1517" t="str">
            <v>30</v>
          </cell>
        </row>
        <row r="1518">
          <cell r="A1518" t="str">
            <v>C12229</v>
          </cell>
          <cell r="B1518" t="str">
            <v>Organization</v>
          </cell>
          <cell r="C1518" t="str">
            <v>SAIBABA PLASTIC</v>
          </cell>
          <cell r="D1518" t="str">
            <v>60</v>
          </cell>
        </row>
        <row r="1519">
          <cell r="A1519" t="str">
            <v>C12230</v>
          </cell>
          <cell r="B1519" t="str">
            <v>Organization</v>
          </cell>
          <cell r="C1519" t="str">
            <v>SANMAR SPECIALITY CHEMICALS LTD.</v>
          </cell>
          <cell r="D1519" t="str">
            <v>30</v>
          </cell>
        </row>
        <row r="1520">
          <cell r="A1520" t="str">
            <v>C12232</v>
          </cell>
          <cell r="B1520" t="str">
            <v>Organization</v>
          </cell>
          <cell r="C1520" t="str">
            <v>SARA LEE HOUSEHOLD &amp; BODY CARE</v>
          </cell>
          <cell r="D1520" t="str">
            <v>1</v>
          </cell>
        </row>
        <row r="1521">
          <cell r="A1521" t="str">
            <v>C12233</v>
          </cell>
          <cell r="B1521" t="str">
            <v>Organization</v>
          </cell>
          <cell r="C1521" t="str">
            <v>SATHYA CASHEW &amp; CHEMICALS (P) LTD.</v>
          </cell>
          <cell r="D1521" t="str">
            <v>15</v>
          </cell>
        </row>
        <row r="1522">
          <cell r="A1522" t="str">
            <v>C12234</v>
          </cell>
          <cell r="B1522" t="str">
            <v>Organization</v>
          </cell>
          <cell r="C1522" t="str">
            <v>SCIENTIFIC FERTILISER CO P LTD</v>
          </cell>
          <cell r="D1522" t="str">
            <v>1</v>
          </cell>
        </row>
        <row r="1523">
          <cell r="A1523" t="str">
            <v>C12235</v>
          </cell>
          <cell r="B1523" t="str">
            <v>Organization</v>
          </cell>
          <cell r="C1523" t="str">
            <v>SEBASE CHEMICALS P LTD.</v>
          </cell>
          <cell r="D1523" t="str">
            <v>1</v>
          </cell>
        </row>
        <row r="1524">
          <cell r="A1524" t="str">
            <v>C12236</v>
          </cell>
          <cell r="B1524" t="str">
            <v>Organization</v>
          </cell>
          <cell r="C1524" t="str">
            <v>SHANTHI</v>
          </cell>
          <cell r="D1524" t="str">
            <v>1</v>
          </cell>
        </row>
        <row r="1525">
          <cell r="A1525" t="str">
            <v>C12237</v>
          </cell>
          <cell r="B1525" t="str">
            <v>Organization</v>
          </cell>
          <cell r="C1525" t="str">
            <v>SHARAVATHY PETRO CHEMICALS PVT. LIMITED</v>
          </cell>
          <cell r="D1525" t="str">
            <v>1</v>
          </cell>
        </row>
        <row r="1526">
          <cell r="A1526" t="str">
            <v>C12240</v>
          </cell>
          <cell r="B1526" t="str">
            <v>Organization</v>
          </cell>
          <cell r="C1526" t="str">
            <v>SHEENLAC PAINTS CORPORATION -III</v>
          </cell>
          <cell r="D1526" t="str">
            <v>30</v>
          </cell>
        </row>
        <row r="1527">
          <cell r="A1527" t="str">
            <v>C12241</v>
          </cell>
          <cell r="B1527" t="str">
            <v>Organization</v>
          </cell>
          <cell r="C1527" t="str">
            <v>SHRI KRISHNA PHARMACEUTICALS</v>
          </cell>
          <cell r="D1527" t="str">
            <v>7</v>
          </cell>
        </row>
        <row r="1528">
          <cell r="A1528" t="str">
            <v>C12245</v>
          </cell>
          <cell r="B1528" t="str">
            <v>Organization</v>
          </cell>
          <cell r="C1528" t="str">
            <v>SIJMAK OILS LIMITED</v>
          </cell>
          <cell r="D1528" t="str">
            <v>0</v>
          </cell>
        </row>
        <row r="1529">
          <cell r="A1529" t="str">
            <v>C12246</v>
          </cell>
          <cell r="B1529" t="str">
            <v>Organization</v>
          </cell>
          <cell r="C1529" t="str">
            <v>SIKA INDIA PRIVATE LIMITED - KANCHIPURAM</v>
          </cell>
          <cell r="D1529" t="str">
            <v>90</v>
          </cell>
        </row>
        <row r="1530">
          <cell r="A1530" t="str">
            <v>C12247</v>
          </cell>
          <cell r="B1530" t="str">
            <v>Organization</v>
          </cell>
          <cell r="C1530" t="str">
            <v>SIKA INDIA PRIVATE LIMITED - NADIA, WEST BENGAL</v>
          </cell>
          <cell r="D1530" t="str">
            <v>90</v>
          </cell>
        </row>
        <row r="1531">
          <cell r="A1531" t="str">
            <v>C12248</v>
          </cell>
          <cell r="B1531" t="str">
            <v>Organization</v>
          </cell>
          <cell r="C1531" t="str">
            <v>SIKA INDIA PVT LTD</v>
          </cell>
          <cell r="D1531" t="str">
            <v>0</v>
          </cell>
        </row>
        <row r="1532">
          <cell r="A1532" t="str">
            <v>C12249</v>
          </cell>
          <cell r="B1532" t="str">
            <v>Organization</v>
          </cell>
          <cell r="C1532" t="str">
            <v>SIP INDUSTRIES LIMITED</v>
          </cell>
          <cell r="D1532" t="str">
            <v>60</v>
          </cell>
        </row>
        <row r="1533">
          <cell r="A1533" t="str">
            <v>C12250</v>
          </cell>
          <cell r="B1533" t="str">
            <v>Organization</v>
          </cell>
          <cell r="C1533" t="str">
            <v>SIRIS CROP SCIENCES LIMITED</v>
          </cell>
          <cell r="D1533" t="str">
            <v>30</v>
          </cell>
        </row>
        <row r="1534">
          <cell r="A1534" t="str">
            <v>C12251</v>
          </cell>
          <cell r="B1534" t="str">
            <v>Organization</v>
          </cell>
          <cell r="C1534" t="str">
            <v>SKM HEALTH &amp; MIND WELFARE CHARITY TRUST</v>
          </cell>
          <cell r="D1534" t="str">
            <v>1</v>
          </cell>
        </row>
        <row r="1535">
          <cell r="A1535" t="str">
            <v>C12252</v>
          </cell>
          <cell r="B1535" t="str">
            <v>Organization</v>
          </cell>
          <cell r="C1535" t="str">
            <v>SKM SIDDH &amp; AYURVEDA</v>
          </cell>
          <cell r="D1535" t="str">
            <v>7</v>
          </cell>
        </row>
        <row r="1536">
          <cell r="A1536" t="str">
            <v>C12253</v>
          </cell>
          <cell r="B1536" t="str">
            <v>Organization</v>
          </cell>
          <cell r="C1536" t="str">
            <v>SMS PHARMACEUTICALS LTD</v>
          </cell>
          <cell r="D1536" t="str">
            <v>7</v>
          </cell>
        </row>
        <row r="1537">
          <cell r="A1537" t="str">
            <v>C12254</v>
          </cell>
          <cell r="B1537" t="str">
            <v>Organization</v>
          </cell>
          <cell r="C1537" t="str">
            <v>SNAP NATURAL &amp;  ALGINATE PRODUCTS LIMITED</v>
          </cell>
          <cell r="D1537" t="str">
            <v>30</v>
          </cell>
        </row>
        <row r="1538">
          <cell r="A1538" t="str">
            <v>C12257</v>
          </cell>
          <cell r="B1538" t="str">
            <v>Organization</v>
          </cell>
          <cell r="C1538" t="str">
            <v>SNOW CHEM ENTERPRISE</v>
          </cell>
          <cell r="D1538" t="str">
            <v>1</v>
          </cell>
        </row>
        <row r="1539">
          <cell r="A1539" t="str">
            <v>C12258</v>
          </cell>
          <cell r="B1539" t="str">
            <v>Organization</v>
          </cell>
          <cell r="C1539" t="str">
            <v>SNOW WHITE INDUSTRIAL CORPORATION</v>
          </cell>
          <cell r="D1539" t="str">
            <v>15</v>
          </cell>
        </row>
        <row r="1540">
          <cell r="A1540" t="str">
            <v>C12260</v>
          </cell>
          <cell r="B1540" t="str">
            <v>Organization</v>
          </cell>
          <cell r="C1540" t="str">
            <v>SONIYA INTERNATIONAL</v>
          </cell>
          <cell r="D1540" t="str">
            <v>7</v>
          </cell>
        </row>
        <row r="1541">
          <cell r="A1541" t="str">
            <v>C12261</v>
          </cell>
          <cell r="B1541" t="str">
            <v>Organization</v>
          </cell>
          <cell r="C1541" t="str">
            <v>SOUTHERN FOTOCHEM (INDIA) LIMITED</v>
          </cell>
          <cell r="D1541" t="str">
            <v>30</v>
          </cell>
        </row>
        <row r="1542">
          <cell r="A1542" t="str">
            <v>C12262</v>
          </cell>
          <cell r="B1542" t="str">
            <v>Organization</v>
          </cell>
          <cell r="C1542" t="str">
            <v>SOUTHERN PETROCHEMICAL INDUSTRIES CORPN.</v>
          </cell>
          <cell r="D1542" t="str">
            <v>1</v>
          </cell>
        </row>
        <row r="1543">
          <cell r="A1543" t="str">
            <v>C12263</v>
          </cell>
          <cell r="B1543" t="str">
            <v>Organization</v>
          </cell>
          <cell r="C1543" t="str">
            <v>SOUTHERN REFINERIES LTD.</v>
          </cell>
          <cell r="D1543" t="str">
            <v>30</v>
          </cell>
        </row>
        <row r="1544">
          <cell r="A1544" t="str">
            <v>C12264</v>
          </cell>
          <cell r="B1544" t="str">
            <v>Organization</v>
          </cell>
          <cell r="C1544" t="str">
            <v>SOUTHERN SYNTHETICS</v>
          </cell>
          <cell r="D1544" t="str">
            <v>1</v>
          </cell>
        </row>
        <row r="1545">
          <cell r="A1545" t="str">
            <v>C12266</v>
          </cell>
          <cell r="B1545" t="str">
            <v>Organization</v>
          </cell>
          <cell r="C1545" t="str">
            <v>SPECTRA AGROCHEM LIMITED</v>
          </cell>
          <cell r="D1545" t="str">
            <v>15</v>
          </cell>
        </row>
        <row r="1546">
          <cell r="A1546" t="str">
            <v>C12267</v>
          </cell>
          <cell r="B1546" t="str">
            <v>Organization</v>
          </cell>
          <cell r="C1546" t="str">
            <v>SPIC LIMITED</v>
          </cell>
          <cell r="D1546" t="str">
            <v>30</v>
          </cell>
        </row>
        <row r="1547">
          <cell r="A1547" t="str">
            <v>C12268</v>
          </cell>
          <cell r="B1547" t="str">
            <v>Organization</v>
          </cell>
          <cell r="C1547" t="str">
            <v>SPIC ORGANICS LTD.</v>
          </cell>
          <cell r="D1547" t="str">
            <v>30</v>
          </cell>
        </row>
        <row r="1548">
          <cell r="A1548" t="str">
            <v>C12269</v>
          </cell>
          <cell r="B1548" t="str">
            <v>Organization</v>
          </cell>
          <cell r="C1548" t="str">
            <v>SPILCARE-O-METACLEN (P) LTD.</v>
          </cell>
          <cell r="D1548" t="str">
            <v>30</v>
          </cell>
        </row>
        <row r="1549">
          <cell r="A1549" t="str">
            <v>C12270</v>
          </cell>
          <cell r="B1549" t="str">
            <v>Organization</v>
          </cell>
          <cell r="C1549" t="str">
            <v>SREE RAYALASEEMA HI-STRENGTH HYPO LIMITED</v>
          </cell>
          <cell r="D1549" t="str">
            <v>90</v>
          </cell>
        </row>
        <row r="1550">
          <cell r="A1550" t="str">
            <v>C12271</v>
          </cell>
          <cell r="B1550" t="str">
            <v>Organization</v>
          </cell>
          <cell r="C1550" t="str">
            <v>SREE RAYALSEEMA ALKALIES &amp; ALLIED - KURNOOL</v>
          </cell>
          <cell r="D1550" t="str">
            <v>90</v>
          </cell>
        </row>
        <row r="1551">
          <cell r="A1551" t="str">
            <v>C12272</v>
          </cell>
          <cell r="B1551" t="str">
            <v>Organization</v>
          </cell>
          <cell r="C1551" t="str">
            <v>SREE RAYALSEEMA ALKALIES AND ALLIED CHEMI - A/C HLL</v>
          </cell>
          <cell r="D1551" t="str">
            <v>1</v>
          </cell>
        </row>
        <row r="1552">
          <cell r="A1552" t="str">
            <v>C12273</v>
          </cell>
          <cell r="B1552" t="str">
            <v>Organization</v>
          </cell>
          <cell r="C1552" t="str">
            <v>SRI BHARANI STEELS &amp; INDUSTRIES(CLOSED)</v>
          </cell>
          <cell r="D1552" t="str">
            <v>1</v>
          </cell>
        </row>
        <row r="1553">
          <cell r="A1553" t="str">
            <v>C12274</v>
          </cell>
          <cell r="B1553" t="str">
            <v>Organization</v>
          </cell>
          <cell r="C1553" t="str">
            <v>SRI CHAKRA LUBES PVT. LTD.</v>
          </cell>
          <cell r="D1553" t="str">
            <v>1</v>
          </cell>
        </row>
        <row r="1554">
          <cell r="A1554" t="str">
            <v>C12275</v>
          </cell>
          <cell r="B1554" t="str">
            <v>Organization</v>
          </cell>
          <cell r="C1554" t="str">
            <v>SRI CHAKRAPANI OIL &amp; RICE MILLS</v>
          </cell>
          <cell r="D1554" t="str">
            <v>7</v>
          </cell>
        </row>
        <row r="1555">
          <cell r="A1555" t="str">
            <v>C12276</v>
          </cell>
          <cell r="B1555" t="str">
            <v>Organization</v>
          </cell>
          <cell r="C1555" t="str">
            <v>SRI CHEMENTOR PVT. LTD</v>
          </cell>
          <cell r="D1555" t="str">
            <v>1</v>
          </cell>
        </row>
        <row r="1556">
          <cell r="A1556" t="str">
            <v>C12277</v>
          </cell>
          <cell r="B1556" t="str">
            <v>Organization</v>
          </cell>
          <cell r="C1556" t="str">
            <v>SRI DEVI PLASTICS</v>
          </cell>
          <cell r="D1556" t="str">
            <v>1</v>
          </cell>
        </row>
        <row r="1557">
          <cell r="A1557" t="str">
            <v>C12278</v>
          </cell>
          <cell r="B1557" t="str">
            <v>Organization</v>
          </cell>
          <cell r="C1557" t="str">
            <v>SRI LAKSHMI PLASTICS</v>
          </cell>
          <cell r="D1557" t="str">
            <v>1</v>
          </cell>
        </row>
        <row r="1558">
          <cell r="A1558" t="str">
            <v>C12279</v>
          </cell>
          <cell r="B1558" t="str">
            <v>Organization</v>
          </cell>
          <cell r="C1558" t="str">
            <v>SRI MAHALAKSHMI SAGO RICE &amp; OIL MILL</v>
          </cell>
          <cell r="D1558" t="str">
            <v>7</v>
          </cell>
        </row>
        <row r="1559">
          <cell r="A1559" t="str">
            <v>C12280</v>
          </cell>
          <cell r="B1559" t="str">
            <v>Organization</v>
          </cell>
          <cell r="C1559" t="str">
            <v>SRI MAHESWARI &amp; CO.</v>
          </cell>
          <cell r="D1559" t="str">
            <v>1</v>
          </cell>
        </row>
        <row r="1560">
          <cell r="A1560" t="str">
            <v>C12281</v>
          </cell>
          <cell r="B1560" t="str">
            <v>Organization</v>
          </cell>
          <cell r="C1560" t="str">
            <v>SRI MANJUNATHA CORPORATION</v>
          </cell>
          <cell r="D1560" t="str">
            <v>1</v>
          </cell>
        </row>
        <row r="1561">
          <cell r="A1561" t="str">
            <v>C12282</v>
          </cell>
          <cell r="B1561" t="str">
            <v>Organization</v>
          </cell>
          <cell r="C1561" t="str">
            <v>SRI MATA BIO SOURCE</v>
          </cell>
          <cell r="D1561" t="str">
            <v>0</v>
          </cell>
        </row>
        <row r="1562">
          <cell r="A1562" t="str">
            <v>C12283</v>
          </cell>
          <cell r="B1562" t="str">
            <v>Organization</v>
          </cell>
          <cell r="C1562" t="str">
            <v>SRI RAMA LUBRICANTS</v>
          </cell>
          <cell r="D1562" t="str">
            <v>30</v>
          </cell>
        </row>
        <row r="1563">
          <cell r="A1563" t="str">
            <v>C12284</v>
          </cell>
          <cell r="B1563" t="str">
            <v>Organization</v>
          </cell>
          <cell r="C1563" t="str">
            <v>SRI SESHADRI SWAMIGAL TRUST</v>
          </cell>
          <cell r="D1563" t="str">
            <v>1</v>
          </cell>
        </row>
        <row r="1564">
          <cell r="A1564" t="str">
            <v>C12286</v>
          </cell>
          <cell r="B1564" t="str">
            <v>Organization</v>
          </cell>
          <cell r="C1564" t="str">
            <v>SRI VIDYA THEERTHA AGENCY</v>
          </cell>
          <cell r="D1564" t="str">
            <v>1</v>
          </cell>
        </row>
        <row r="1565">
          <cell r="A1565" t="str">
            <v>C12287</v>
          </cell>
          <cell r="B1565" t="str">
            <v>Organization</v>
          </cell>
          <cell r="C1565" t="str">
            <v>SRICHAITANYA CHLORIDES PVT. LTD. - HYDERABAD</v>
          </cell>
          <cell r="D1565" t="str">
            <v>60</v>
          </cell>
        </row>
        <row r="1566">
          <cell r="A1566" t="str">
            <v>C12288</v>
          </cell>
          <cell r="B1566" t="str">
            <v>Organization</v>
          </cell>
          <cell r="C1566" t="str">
            <v>SRICHAITANYA CHLORIDES PVT. LTD. - PATTANCHERU</v>
          </cell>
          <cell r="D1566" t="str">
            <v>0</v>
          </cell>
        </row>
        <row r="1567">
          <cell r="A1567" t="str">
            <v>C12289</v>
          </cell>
          <cell r="B1567" t="str">
            <v>Organization</v>
          </cell>
          <cell r="C1567" t="str">
            <v>SRINIVASA CHEMICAL ENTERPRISES</v>
          </cell>
          <cell r="D1567" t="str">
            <v>15</v>
          </cell>
        </row>
        <row r="1568">
          <cell r="A1568" t="str">
            <v>C12290</v>
          </cell>
          <cell r="B1568" t="str">
            <v>Organization</v>
          </cell>
          <cell r="C1568" t="str">
            <v>SRINIVASA CYSTINE LIMITED</v>
          </cell>
          <cell r="D1568" t="str">
            <v>7</v>
          </cell>
        </row>
        <row r="1569">
          <cell r="A1569" t="str">
            <v>C12293</v>
          </cell>
          <cell r="B1569" t="str">
            <v>Organization</v>
          </cell>
          <cell r="C1569" t="str">
            <v>STANPOL DERIMERK (P) LTD</v>
          </cell>
          <cell r="D1569" t="str">
            <v>20</v>
          </cell>
        </row>
        <row r="1570">
          <cell r="A1570" t="str">
            <v>C12294</v>
          </cell>
          <cell r="B1570" t="str">
            <v>Organization</v>
          </cell>
          <cell r="C1570" t="str">
            <v>STAR PRODUCT</v>
          </cell>
          <cell r="D1570" t="str">
            <v>1</v>
          </cell>
        </row>
        <row r="1571">
          <cell r="A1571" t="str">
            <v>C12295</v>
          </cell>
          <cell r="B1571" t="str">
            <v>Organization</v>
          </cell>
          <cell r="C1571" t="str">
            <v>STARCHEM INDUSTRIES LIMITED</v>
          </cell>
          <cell r="D1571" t="str">
            <v>60</v>
          </cell>
        </row>
        <row r="1572">
          <cell r="A1572" t="str">
            <v>C12296</v>
          </cell>
          <cell r="B1572" t="str">
            <v>Organization</v>
          </cell>
          <cell r="C1572" t="str">
            <v>STERLITE INDUSTRIES ( I ) LIMITED</v>
          </cell>
          <cell r="D1572" t="str">
            <v>1</v>
          </cell>
        </row>
        <row r="1573">
          <cell r="A1573" t="str">
            <v>C12297</v>
          </cell>
          <cell r="B1573" t="str">
            <v>Organization</v>
          </cell>
          <cell r="C1573" t="str">
            <v>SUBA ENTERPRISES (C&amp;F A PEPSI COLA INDIA</v>
          </cell>
          <cell r="D1573" t="str">
            <v>7</v>
          </cell>
        </row>
        <row r="1574">
          <cell r="A1574" t="str">
            <v>C12298</v>
          </cell>
          <cell r="B1574" t="str">
            <v>Organization</v>
          </cell>
          <cell r="C1574" t="str">
            <v>SUDHA AGRO OIL &amp; CHEMICAL INDUSTRIES LTD</v>
          </cell>
          <cell r="D1574" t="str">
            <v>30</v>
          </cell>
        </row>
        <row r="1575">
          <cell r="A1575" t="str">
            <v>C12299</v>
          </cell>
          <cell r="B1575" t="str">
            <v>Organization</v>
          </cell>
          <cell r="C1575" t="str">
            <v>SUKHJIT STARCH MILLS</v>
          </cell>
          <cell r="D1575" t="str">
            <v>45</v>
          </cell>
        </row>
        <row r="1576">
          <cell r="A1576" t="str">
            <v>C12300</v>
          </cell>
          <cell r="B1576" t="str">
            <v>Organization</v>
          </cell>
          <cell r="C1576" t="str">
            <v>SUNCO CHEMICALS LIMITED</v>
          </cell>
          <cell r="D1576" t="str">
            <v>1</v>
          </cell>
        </row>
        <row r="1577">
          <cell r="A1577" t="str">
            <v>C12301</v>
          </cell>
          <cell r="B1577" t="str">
            <v>Organization</v>
          </cell>
          <cell r="C1577" t="str">
            <v>SUPER POLY PACKS</v>
          </cell>
          <cell r="D1577" t="str">
            <v>1</v>
          </cell>
        </row>
        <row r="1578">
          <cell r="A1578" t="str">
            <v>C12302</v>
          </cell>
          <cell r="B1578" t="str">
            <v>Organization</v>
          </cell>
          <cell r="C1578" t="str">
            <v>SUPERCOAT INDUSTRIES</v>
          </cell>
          <cell r="D1578" t="str">
            <v>1</v>
          </cell>
        </row>
        <row r="1579">
          <cell r="A1579" t="str">
            <v>C12303</v>
          </cell>
          <cell r="B1579" t="str">
            <v>Organization</v>
          </cell>
          <cell r="C1579" t="str">
            <v>SUPRACHEM INDUSTRIES</v>
          </cell>
          <cell r="D1579" t="str">
            <v>7</v>
          </cell>
        </row>
        <row r="1580">
          <cell r="A1580" t="str">
            <v>C12304</v>
          </cell>
          <cell r="B1580" t="str">
            <v>Organization</v>
          </cell>
          <cell r="C1580" t="str">
            <v>SURFACE COATINGS INDUSTRIES  - POONAMALLEE</v>
          </cell>
          <cell r="D1580" t="str">
            <v>15</v>
          </cell>
        </row>
        <row r="1581">
          <cell r="A1581" t="str">
            <v>C12305</v>
          </cell>
          <cell r="B1581" t="str">
            <v>Organization</v>
          </cell>
          <cell r="C1581" t="str">
            <v>SURFACE COATINGS INDUSTRIES - UNIT II - AMBATTUR</v>
          </cell>
          <cell r="D1581" t="str">
            <v>1</v>
          </cell>
        </row>
        <row r="1582">
          <cell r="A1582" t="str">
            <v>C12306</v>
          </cell>
          <cell r="B1582" t="str">
            <v>Organization</v>
          </cell>
          <cell r="C1582" t="str">
            <v>SURUCHI REFINERY PRIVATE LIMITED</v>
          </cell>
          <cell r="D1582" t="str">
            <v>1</v>
          </cell>
        </row>
        <row r="1583">
          <cell r="A1583" t="str">
            <v>C12308</v>
          </cell>
          <cell r="B1583" t="str">
            <v>Organization</v>
          </cell>
          <cell r="C1583" t="str">
            <v>SWATHI ORGANICS &amp; SPECIALTIES  PVT. LTD.</v>
          </cell>
          <cell r="D1583" t="str">
            <v>30</v>
          </cell>
        </row>
        <row r="1584">
          <cell r="A1584" t="str">
            <v>C12309</v>
          </cell>
          <cell r="B1584" t="str">
            <v>Organization</v>
          </cell>
          <cell r="C1584" t="str">
            <v>SYGENTA INDIA LTD.</v>
          </cell>
          <cell r="D1584" t="str">
            <v>30</v>
          </cell>
        </row>
        <row r="1585">
          <cell r="A1585" t="str">
            <v>C12316</v>
          </cell>
          <cell r="B1585" t="str">
            <v>Organization</v>
          </cell>
          <cell r="C1585" t="str">
            <v>T.K. PATTABHIRAMAN</v>
          </cell>
          <cell r="D1585" t="str">
            <v>1</v>
          </cell>
        </row>
        <row r="1586">
          <cell r="A1586" t="str">
            <v>C12318</v>
          </cell>
          <cell r="B1586" t="str">
            <v>Organization</v>
          </cell>
          <cell r="C1586" t="str">
            <v>TAGROS CHEMICAL (INDIA) LTD. - CUDDALORE</v>
          </cell>
          <cell r="D1586" t="str">
            <v>30</v>
          </cell>
        </row>
        <row r="1587">
          <cell r="A1587" t="str">
            <v>C12319</v>
          </cell>
          <cell r="B1587" t="str">
            <v>Organization</v>
          </cell>
          <cell r="C1587" t="str">
            <v>TAMILNADU PETRO PRODUCTS LIMITED</v>
          </cell>
          <cell r="D1587" t="str">
            <v>0</v>
          </cell>
        </row>
        <row r="1588">
          <cell r="A1588" t="str">
            <v>C12320</v>
          </cell>
          <cell r="B1588" t="str">
            <v>Organization</v>
          </cell>
          <cell r="C1588" t="str">
            <v>TAMILNADU STATE TRANSPORT (VPM) LTD.,</v>
          </cell>
          <cell r="D1588" t="str">
            <v>1</v>
          </cell>
        </row>
        <row r="1589">
          <cell r="A1589" t="str">
            <v>C12323</v>
          </cell>
          <cell r="B1589" t="str">
            <v>Organization</v>
          </cell>
          <cell r="C1589" t="str">
            <v>TEX BIOSCIENCES (P) LIMITED</v>
          </cell>
          <cell r="D1589" t="str">
            <v>30</v>
          </cell>
        </row>
        <row r="1590">
          <cell r="A1590" t="str">
            <v>C12324</v>
          </cell>
          <cell r="B1590" t="str">
            <v>Organization</v>
          </cell>
          <cell r="C1590" t="str">
            <v>TEX CHEM</v>
          </cell>
          <cell r="D1590" t="str">
            <v>1</v>
          </cell>
        </row>
        <row r="1591">
          <cell r="A1591" t="str">
            <v>C12325</v>
          </cell>
          <cell r="B1591" t="str">
            <v>Organization</v>
          </cell>
          <cell r="C1591" t="str">
            <v>TEXCARE PRIVATE LIMITED</v>
          </cell>
          <cell r="D1591" t="str">
            <v>60</v>
          </cell>
        </row>
        <row r="1592">
          <cell r="A1592" t="str">
            <v>C12326</v>
          </cell>
          <cell r="B1592" t="str">
            <v>Organization</v>
          </cell>
          <cell r="C1592" t="str">
            <v>TEXTAN CHEMICALS PVT. LTD.</v>
          </cell>
          <cell r="D1592" t="str">
            <v>60</v>
          </cell>
        </row>
        <row r="1593">
          <cell r="A1593" t="str">
            <v>C12327</v>
          </cell>
          <cell r="B1593" t="str">
            <v>Organization</v>
          </cell>
          <cell r="C1593" t="str">
            <v>TEXTILE DYE-CHEM (P) LTD.,</v>
          </cell>
          <cell r="D1593" t="str">
            <v>1</v>
          </cell>
        </row>
        <row r="1594">
          <cell r="A1594" t="str">
            <v>C12328</v>
          </cell>
          <cell r="B1594" t="str">
            <v>Organization</v>
          </cell>
          <cell r="C1594" t="str">
            <v>TFL LEATHER TECHNIQUE PRIVATE LTD.,</v>
          </cell>
          <cell r="D1594" t="str">
            <v>15</v>
          </cell>
        </row>
        <row r="1595">
          <cell r="A1595" t="str">
            <v>C12329</v>
          </cell>
          <cell r="B1595" t="str">
            <v>Organization</v>
          </cell>
          <cell r="C1595" t="str">
            <v>TFL QUINN INDIA PVT. LTD. - 100% EOU</v>
          </cell>
          <cell r="D1595" t="str">
            <v>90</v>
          </cell>
        </row>
        <row r="1596">
          <cell r="A1596" t="str">
            <v>C12334</v>
          </cell>
          <cell r="B1596" t="str">
            <v>Organization</v>
          </cell>
          <cell r="C1596" t="str">
            <v>THE ANDHRA SUGARS LIMITED</v>
          </cell>
          <cell r="D1596" t="str">
            <v>1</v>
          </cell>
        </row>
        <row r="1597">
          <cell r="A1597" t="str">
            <v>C12335</v>
          </cell>
          <cell r="B1597" t="str">
            <v>Organization</v>
          </cell>
          <cell r="C1597" t="str">
            <v>THE ARYA VAIDYA PHARMACY (COIMBATORE) LTD. - PALAKKAD</v>
          </cell>
          <cell r="D1597" t="str">
            <v>1</v>
          </cell>
        </row>
        <row r="1598">
          <cell r="A1598" t="str">
            <v>C12336</v>
          </cell>
          <cell r="B1598" t="str">
            <v>Organization</v>
          </cell>
          <cell r="C1598" t="str">
            <v>THE ARYA VAIDYA PHARMACY (COIMBATORE) LTD. - CHENNAI</v>
          </cell>
          <cell r="D1598" t="str">
            <v>1</v>
          </cell>
        </row>
        <row r="1599">
          <cell r="A1599" t="str">
            <v>C12338</v>
          </cell>
          <cell r="B1599" t="str">
            <v>Organization</v>
          </cell>
          <cell r="C1599" t="str">
            <v>THE HIMALAYA DRUG COMPANY</v>
          </cell>
          <cell r="D1599" t="str">
            <v>1</v>
          </cell>
        </row>
        <row r="1600">
          <cell r="A1600" t="str">
            <v>C12339</v>
          </cell>
          <cell r="B1600" t="str">
            <v>Organization</v>
          </cell>
          <cell r="C1600" t="str">
            <v>THE RAJAGIRI RUBBER &amp; PRODUCE CO. LTD. - PUNALUR</v>
          </cell>
          <cell r="D1600" t="str">
            <v>45</v>
          </cell>
        </row>
        <row r="1601">
          <cell r="A1601" t="str">
            <v>C12340</v>
          </cell>
          <cell r="B1601" t="str">
            <v>Organization</v>
          </cell>
          <cell r="C1601" t="str">
            <v>THE RAJAGIRI RUBBER &amp; PRODUCE CO. LTD. - ALLEPPEY</v>
          </cell>
          <cell r="D1601" t="str">
            <v>30</v>
          </cell>
        </row>
        <row r="1602">
          <cell r="A1602" t="str">
            <v>C12341</v>
          </cell>
          <cell r="B1602" t="str">
            <v>Organization</v>
          </cell>
          <cell r="C1602" t="str">
            <v>THE SCIENTIFIC FERTILISER COMPANY (P) LTD. - TIRUCHIRAPALLI</v>
          </cell>
          <cell r="D1602" t="str">
            <v>15</v>
          </cell>
        </row>
        <row r="1603">
          <cell r="A1603" t="str">
            <v>C12342</v>
          </cell>
          <cell r="B1603" t="str">
            <v>Organization</v>
          </cell>
          <cell r="C1603" t="str">
            <v>THE SCIENTIFIC FERTILISER COMPANY (P) LTD. - MYSORE</v>
          </cell>
          <cell r="D1603" t="str">
            <v>1</v>
          </cell>
        </row>
        <row r="1604">
          <cell r="A1604" t="str">
            <v>C12344</v>
          </cell>
          <cell r="B1604" t="str">
            <v>Organization</v>
          </cell>
          <cell r="C1604" t="str">
            <v>THE STRUCTURAL WATERPROOFING CO. PVT. LTD.</v>
          </cell>
          <cell r="D1604" t="str">
            <v>30</v>
          </cell>
        </row>
        <row r="1605">
          <cell r="A1605" t="str">
            <v>C12345</v>
          </cell>
          <cell r="B1605" t="str">
            <v>Organization</v>
          </cell>
          <cell r="C1605" t="str">
            <v>THIRUMALAI CHEMICALS LTD.</v>
          </cell>
          <cell r="D1605" t="str">
            <v>60</v>
          </cell>
        </row>
        <row r="1606">
          <cell r="A1606" t="str">
            <v>C12346</v>
          </cell>
          <cell r="B1606" t="str">
            <v>Organization</v>
          </cell>
          <cell r="C1606" t="str">
            <v>THIRUVENSUN BIO-BOTANICA</v>
          </cell>
          <cell r="D1606" t="str">
            <v>1</v>
          </cell>
        </row>
        <row r="1607">
          <cell r="A1607" t="str">
            <v>C12348</v>
          </cell>
          <cell r="B1607" t="str">
            <v>Organization</v>
          </cell>
          <cell r="C1607" t="str">
            <v>TIDE WATER OIL CO. (INDIA) LTD. - ORAGADAM</v>
          </cell>
          <cell r="D1607" t="str">
            <v>30</v>
          </cell>
        </row>
        <row r="1608">
          <cell r="A1608" t="str">
            <v>C12349</v>
          </cell>
          <cell r="B1608" t="str">
            <v>Organization</v>
          </cell>
          <cell r="C1608" t="str">
            <v>TIDE WATER OIL CO. (INDIA) LTD. - ROYAPURAM</v>
          </cell>
          <cell r="D1608" t="str">
            <v>30</v>
          </cell>
        </row>
        <row r="1609">
          <cell r="A1609" t="str">
            <v>C12350</v>
          </cell>
          <cell r="B1609" t="str">
            <v>Organization</v>
          </cell>
          <cell r="C1609" t="str">
            <v>TNEB - KARUNGUZHI</v>
          </cell>
          <cell r="D1609" t="str">
            <v>1</v>
          </cell>
        </row>
        <row r="1610">
          <cell r="A1610" t="str">
            <v>C12351</v>
          </cell>
          <cell r="B1610" t="str">
            <v>Organization</v>
          </cell>
          <cell r="C1610" t="str">
            <v>TRADEWELL INTERNATIONAL PVT. LTD..</v>
          </cell>
          <cell r="D1610" t="str">
            <v>90</v>
          </cell>
        </row>
        <row r="1611">
          <cell r="A1611" t="str">
            <v>C12353</v>
          </cell>
          <cell r="B1611" t="str">
            <v>Organization</v>
          </cell>
          <cell r="C1611" t="str">
            <v>TROPICAL AGRO SYSTEMS INDIA LTD.,</v>
          </cell>
          <cell r="D1611" t="str">
            <v>7</v>
          </cell>
        </row>
        <row r="1612">
          <cell r="A1612" t="str">
            <v>C12354</v>
          </cell>
          <cell r="B1612" t="str">
            <v>Organization</v>
          </cell>
          <cell r="C1612" t="str">
            <v>TTK HEALTHCARE LTD.</v>
          </cell>
          <cell r="D1612" t="str">
            <v>7</v>
          </cell>
        </row>
        <row r="1613">
          <cell r="A1613" t="str">
            <v>C12355</v>
          </cell>
          <cell r="B1613" t="str">
            <v>Organization</v>
          </cell>
          <cell r="C1613" t="str">
            <v>ULTRAMARINE &amp; PIGMENTS LTD.</v>
          </cell>
          <cell r="D1613" t="str">
            <v>60</v>
          </cell>
        </row>
        <row r="1614">
          <cell r="A1614" t="str">
            <v>C12356</v>
          </cell>
          <cell r="B1614" t="str">
            <v>Organization</v>
          </cell>
          <cell r="C1614" t="str">
            <v>UNICHEM TRADING COMPANY</v>
          </cell>
          <cell r="D1614" t="str">
            <v>30</v>
          </cell>
        </row>
        <row r="1615">
          <cell r="A1615" t="str">
            <v>C12359</v>
          </cell>
          <cell r="B1615" t="str">
            <v>Organization</v>
          </cell>
          <cell r="C1615" t="str">
            <v>V.V. PROJECTS AND INVESTMENTS PVT. LTD.</v>
          </cell>
          <cell r="D1615" t="str">
            <v>45</v>
          </cell>
        </row>
        <row r="1616">
          <cell r="A1616" t="str">
            <v>C12360</v>
          </cell>
          <cell r="B1616" t="str">
            <v>Organization</v>
          </cell>
          <cell r="C1616" t="str">
            <v>VAN MELLE INDIA</v>
          </cell>
          <cell r="D1616" t="str">
            <v>7</v>
          </cell>
        </row>
        <row r="1617">
          <cell r="A1617" t="str">
            <v>C12361</v>
          </cell>
          <cell r="B1617" t="str">
            <v>Organization</v>
          </cell>
          <cell r="C1617" t="str">
            <v>VANAVIL DYES AND CHEMICALS LIMITED  - CUDDALORE</v>
          </cell>
          <cell r="D1617" t="str">
            <v>45</v>
          </cell>
        </row>
        <row r="1618">
          <cell r="A1618" t="str">
            <v>C12362</v>
          </cell>
          <cell r="B1618" t="str">
            <v>Organization</v>
          </cell>
          <cell r="C1618" t="str">
            <v>VANAVIL DYES AND CHEMICALS LIMITED  - MUMBAI</v>
          </cell>
          <cell r="D1618" t="str">
            <v>1</v>
          </cell>
        </row>
        <row r="1619">
          <cell r="A1619" t="str">
            <v>C12364</v>
          </cell>
          <cell r="B1619" t="str">
            <v>Organization</v>
          </cell>
          <cell r="C1619" t="str">
            <v>VASU CHEMICALS INDUSTRIES</v>
          </cell>
          <cell r="D1619" t="str">
            <v>45</v>
          </cell>
        </row>
        <row r="1620">
          <cell r="A1620" t="str">
            <v>C12366</v>
          </cell>
          <cell r="B1620" t="str">
            <v>Organization</v>
          </cell>
          <cell r="C1620" t="str">
            <v>VAYUJA CHEMICALS LTD.</v>
          </cell>
          <cell r="D1620" t="str">
            <v>30</v>
          </cell>
        </row>
        <row r="1621">
          <cell r="A1621" t="str">
            <v>C12367</v>
          </cell>
          <cell r="B1621" t="str">
            <v>Organization</v>
          </cell>
          <cell r="C1621" t="str">
            <v>VEENA TEXCHEM INDUSTRIES</v>
          </cell>
          <cell r="D1621" t="str">
            <v>30</v>
          </cell>
        </row>
        <row r="1622">
          <cell r="A1622" t="str">
            <v>C12368</v>
          </cell>
          <cell r="B1622" t="str">
            <v>Organization</v>
          </cell>
          <cell r="C1622" t="str">
            <v>VEMASI CHEMICALS</v>
          </cell>
          <cell r="D1622" t="str">
            <v>7</v>
          </cell>
        </row>
        <row r="1623">
          <cell r="A1623" t="str">
            <v>C12370</v>
          </cell>
          <cell r="B1623" t="str">
            <v>Organization</v>
          </cell>
          <cell r="C1623" t="str">
            <v>VENSBAR CHEMICALS (P) LTD</v>
          </cell>
          <cell r="D1623" t="str">
            <v>60</v>
          </cell>
        </row>
        <row r="1624">
          <cell r="A1624" t="str">
            <v>C12371</v>
          </cell>
          <cell r="B1624" t="str">
            <v>Organization</v>
          </cell>
          <cell r="C1624" t="str">
            <v>VETRI AUTOMOBILES</v>
          </cell>
          <cell r="D1624" t="str">
            <v>1</v>
          </cell>
        </row>
        <row r="1625">
          <cell r="A1625" t="str">
            <v>C12372</v>
          </cell>
          <cell r="B1625" t="str">
            <v>Organization</v>
          </cell>
          <cell r="C1625" t="str">
            <v>VIJAY CONSTRO CHEMICALS (P) LTD.</v>
          </cell>
          <cell r="D1625" t="str">
            <v>1</v>
          </cell>
        </row>
        <row r="1626">
          <cell r="A1626" t="str">
            <v>C12373</v>
          </cell>
          <cell r="B1626" t="str">
            <v>Organization</v>
          </cell>
          <cell r="C1626" t="str">
            <v>VINAROM PRIVATE LIMITED</v>
          </cell>
          <cell r="D1626" t="str">
            <v>1</v>
          </cell>
        </row>
        <row r="1627">
          <cell r="A1627" t="str">
            <v>C12374</v>
          </cell>
          <cell r="B1627" t="str">
            <v>Organization</v>
          </cell>
          <cell r="C1627" t="str">
            <v>VIPAUX ( INDIA) PRIVATE LIMITED</v>
          </cell>
          <cell r="D1627" t="str">
            <v>60</v>
          </cell>
        </row>
        <row r="1628">
          <cell r="A1628" t="str">
            <v>C12375</v>
          </cell>
          <cell r="B1628" t="str">
            <v>Organization</v>
          </cell>
          <cell r="C1628" t="str">
            <v>VITHOGA CHEMICALS PVT. LTD..</v>
          </cell>
          <cell r="D1628" t="str">
            <v>60</v>
          </cell>
        </row>
        <row r="1629">
          <cell r="A1629" t="str">
            <v>C12376</v>
          </cell>
          <cell r="B1629" t="str">
            <v>Organization</v>
          </cell>
          <cell r="C1629" t="str">
            <v>VSM AGENCIES</v>
          </cell>
          <cell r="D1629" t="str">
            <v>75</v>
          </cell>
        </row>
        <row r="1630">
          <cell r="A1630" t="str">
            <v>C12377</v>
          </cell>
          <cell r="B1630" t="str">
            <v>Organization</v>
          </cell>
          <cell r="C1630" t="str">
            <v>WATER SYSTEMS</v>
          </cell>
          <cell r="D1630" t="str">
            <v>1</v>
          </cell>
        </row>
        <row r="1631">
          <cell r="A1631" t="str">
            <v>C12380</v>
          </cell>
          <cell r="B1631" t="str">
            <v>Organization</v>
          </cell>
          <cell r="C1631" t="str">
            <v>WIPRO LIMITED, CONSUMER CARE DIVISION.</v>
          </cell>
          <cell r="D1631" t="str">
            <v>7</v>
          </cell>
        </row>
        <row r="1632">
          <cell r="A1632" t="str">
            <v>C12381</v>
          </cell>
          <cell r="B1632" t="str">
            <v>Organization</v>
          </cell>
          <cell r="C1632" t="str">
            <v>YAG  MAG LABS (P) LTD.       - HYDERABAD</v>
          </cell>
          <cell r="D1632" t="str">
            <v>60</v>
          </cell>
        </row>
        <row r="1633">
          <cell r="A1633" t="str">
            <v>C12383</v>
          </cell>
          <cell r="B1633" t="str">
            <v>Organization</v>
          </cell>
          <cell r="C1633" t="str">
            <v>YUSHIRO BUHMOO INDIA COMPANY PVT LTD.,</v>
          </cell>
          <cell r="D1633" t="str">
            <v>30</v>
          </cell>
        </row>
        <row r="1634">
          <cell r="A1634" t="str">
            <v>C12384</v>
          </cell>
          <cell r="B1634" t="str">
            <v>Organization</v>
          </cell>
          <cell r="C1634" t="str">
            <v>YUVRAJ LUBE &amp; PETROCHEMICAL P LTD</v>
          </cell>
          <cell r="D1634" t="str">
            <v>1</v>
          </cell>
        </row>
        <row r="1635">
          <cell r="A1635" t="str">
            <v>C12385</v>
          </cell>
          <cell r="B1635" t="str">
            <v>Organization</v>
          </cell>
          <cell r="C1635" t="str">
            <v>ZENECA ICI AGROCHEMICALS LTD.</v>
          </cell>
          <cell r="D1635" t="str">
            <v>30</v>
          </cell>
        </row>
        <row r="1636">
          <cell r="A1636" t="str">
            <v>C12386</v>
          </cell>
          <cell r="B1636" t="str">
            <v>Organization</v>
          </cell>
          <cell r="C1636" t="str">
            <v>MEENAKSHI &amp; CO</v>
          </cell>
          <cell r="D1636" t="str">
            <v>7</v>
          </cell>
        </row>
        <row r="1637">
          <cell r="A1637" t="str">
            <v>C12387</v>
          </cell>
          <cell r="B1637" t="str">
            <v>Organization</v>
          </cell>
          <cell r="C1637" t="str">
            <v>MR. AYYAPPAN,</v>
          </cell>
          <cell r="D1637" t="str">
            <v>1</v>
          </cell>
        </row>
        <row r="1638">
          <cell r="A1638" t="str">
            <v>C12388</v>
          </cell>
          <cell r="B1638" t="str">
            <v>Organization</v>
          </cell>
          <cell r="C1638" t="str">
            <v>SRIRAM CHEMICAL SUPPLIERS,</v>
          </cell>
          <cell r="D1638" t="str">
            <v>1</v>
          </cell>
        </row>
        <row r="1639">
          <cell r="A1639" t="str">
            <v>C12389</v>
          </cell>
          <cell r="B1639" t="str">
            <v>Organization</v>
          </cell>
          <cell r="C1639" t="str">
            <v>MOMENTIVE PERFORMANCE MATERIALS (INDIA) PVT. LTD.</v>
          </cell>
          <cell r="D1639" t="str">
            <v>15</v>
          </cell>
        </row>
        <row r="1640">
          <cell r="A1640" t="str">
            <v>C12390</v>
          </cell>
          <cell r="B1640" t="str">
            <v>Organization</v>
          </cell>
          <cell r="C1640" t="str">
            <v>IDEAL CURES PVT. LTD</v>
          </cell>
          <cell r="D1640" t="str">
            <v>30</v>
          </cell>
        </row>
        <row r="1641">
          <cell r="A1641" t="str">
            <v>C12391</v>
          </cell>
          <cell r="B1641" t="str">
            <v>Organization</v>
          </cell>
          <cell r="C1641" t="str">
            <v>LITMUS ORGANICS PVT. LTD.</v>
          </cell>
          <cell r="D1641" t="str">
            <v>30</v>
          </cell>
        </row>
        <row r="1642">
          <cell r="A1642" t="str">
            <v>C12392</v>
          </cell>
          <cell r="B1642" t="str">
            <v>Organization</v>
          </cell>
          <cell r="C1642" t="str">
            <v>MSED CO. LTD</v>
          </cell>
          <cell r="D1642" t="str">
            <v>1</v>
          </cell>
        </row>
        <row r="1643">
          <cell r="A1643" t="str">
            <v>C12393</v>
          </cell>
          <cell r="B1643" t="str">
            <v>Organization</v>
          </cell>
          <cell r="C1643" t="str">
            <v>PEGASUS INDIAN TEXTILES</v>
          </cell>
          <cell r="D1643" t="str">
            <v>30</v>
          </cell>
        </row>
        <row r="1644">
          <cell r="A1644" t="str">
            <v>C12394</v>
          </cell>
          <cell r="B1644" t="str">
            <v>Organization</v>
          </cell>
          <cell r="C1644" t="str">
            <v>RUBAMIN LABORATORIES LTD</v>
          </cell>
          <cell r="D1644" t="str">
            <v>1</v>
          </cell>
        </row>
        <row r="1645">
          <cell r="A1645" t="str">
            <v>C12395</v>
          </cell>
          <cell r="B1645" t="str">
            <v>Organization</v>
          </cell>
          <cell r="C1645" t="str">
            <v>SUBHASH CHEMICALS INDUSTRIES</v>
          </cell>
          <cell r="D1645" t="str">
            <v>1</v>
          </cell>
        </row>
        <row r="1646">
          <cell r="A1646" t="str">
            <v>C12396</v>
          </cell>
          <cell r="B1646" t="str">
            <v>Organization</v>
          </cell>
          <cell r="C1646" t="str">
            <v>VASUDHA PHARMA CHEM LTD - HYDERABAD</v>
          </cell>
          <cell r="D1646" t="str">
            <v>30</v>
          </cell>
        </row>
        <row r="1647">
          <cell r="A1647" t="str">
            <v>C12397</v>
          </cell>
          <cell r="B1647" t="str">
            <v>Organization</v>
          </cell>
          <cell r="C1647" t="str">
            <v>VEEKAY CHEMICALS</v>
          </cell>
          <cell r="D1647" t="str">
            <v>1</v>
          </cell>
        </row>
        <row r="1648">
          <cell r="A1648" t="str">
            <v>C12398</v>
          </cell>
          <cell r="B1648" t="str">
            <v>Organization</v>
          </cell>
          <cell r="C1648" t="str">
            <v>BAN LABS LTD</v>
          </cell>
          <cell r="D1648" t="str">
            <v>1</v>
          </cell>
        </row>
        <row r="1649">
          <cell r="A1649" t="str">
            <v>C12399</v>
          </cell>
          <cell r="B1649" t="str">
            <v>Organization</v>
          </cell>
          <cell r="C1649" t="str">
            <v>JAINICO CHEMTECH PVT. LTD.</v>
          </cell>
          <cell r="D1649" t="str">
            <v>30</v>
          </cell>
        </row>
        <row r="1650">
          <cell r="A1650" t="str">
            <v>C12400</v>
          </cell>
          <cell r="B1650" t="str">
            <v>Organization</v>
          </cell>
          <cell r="C1650" t="str">
            <v>CRIMSON INKS PVT. LTD.</v>
          </cell>
          <cell r="D1650" t="str">
            <v>1</v>
          </cell>
        </row>
        <row r="1651">
          <cell r="A1651" t="str">
            <v>C12401</v>
          </cell>
          <cell r="B1651" t="str">
            <v>Organization</v>
          </cell>
          <cell r="C1651" t="str">
            <v>CICO TECHNOLOGIES LTD. (HARIDWAR)</v>
          </cell>
          <cell r="D1651" t="str">
            <v>0</v>
          </cell>
        </row>
        <row r="1652">
          <cell r="A1652" t="str">
            <v>C12402</v>
          </cell>
          <cell r="B1652" t="str">
            <v>Organization</v>
          </cell>
          <cell r="C1652" t="str">
            <v>CICO TECHNOLOGIES LTD. (N.DELHI)</v>
          </cell>
          <cell r="D1652" t="str">
            <v>0</v>
          </cell>
        </row>
        <row r="1653">
          <cell r="A1653" t="str">
            <v>C12403</v>
          </cell>
          <cell r="B1653" t="str">
            <v>Organization</v>
          </cell>
          <cell r="C1653" t="str">
            <v>FORACE POLYMERS PVT. LTD</v>
          </cell>
          <cell r="D1653" t="str">
            <v>1</v>
          </cell>
        </row>
        <row r="1654">
          <cell r="A1654" t="str">
            <v>C12404</v>
          </cell>
          <cell r="B1654" t="str">
            <v>Organization</v>
          </cell>
          <cell r="C1654" t="str">
            <v>REVEX PLASTICISERS PVT. LTD.</v>
          </cell>
          <cell r="D1654" t="str">
            <v>1</v>
          </cell>
        </row>
        <row r="1655">
          <cell r="A1655" t="str">
            <v>C12405</v>
          </cell>
          <cell r="B1655" t="str">
            <v>Organization</v>
          </cell>
          <cell r="C1655" t="str">
            <v>SARU AIKOH CHEMICALS LTD.</v>
          </cell>
          <cell r="D1655" t="str">
            <v>1</v>
          </cell>
        </row>
        <row r="1656">
          <cell r="A1656" t="str">
            <v>C12406</v>
          </cell>
          <cell r="B1656" t="str">
            <v>Organization</v>
          </cell>
          <cell r="C1656" t="str">
            <v>INDIAN INKS &amp; CHEMICAL INDUSTRIES</v>
          </cell>
          <cell r="D1656" t="str">
            <v>1</v>
          </cell>
        </row>
        <row r="1657">
          <cell r="A1657" t="str">
            <v>C12407</v>
          </cell>
          <cell r="B1657" t="str">
            <v>Organization</v>
          </cell>
          <cell r="C1657" t="str">
            <v>ABHITECH ENERGYCON LTD.</v>
          </cell>
          <cell r="D1657" t="str">
            <v>0</v>
          </cell>
        </row>
        <row r="1658">
          <cell r="A1658" t="str">
            <v>C12408</v>
          </cell>
          <cell r="B1658" t="str">
            <v>Organization</v>
          </cell>
          <cell r="C1658" t="str">
            <v>ISHIKA ENTERPRISES</v>
          </cell>
          <cell r="D1658" t="str">
            <v>1</v>
          </cell>
        </row>
        <row r="1659">
          <cell r="A1659" t="str">
            <v>C12409</v>
          </cell>
          <cell r="B1659" t="str">
            <v>Organization</v>
          </cell>
          <cell r="C1659" t="str">
            <v>AQUA COLOURS</v>
          </cell>
          <cell r="D1659" t="str">
            <v>60</v>
          </cell>
        </row>
        <row r="1660">
          <cell r="A1660" t="str">
            <v>C12410</v>
          </cell>
          <cell r="B1660" t="str">
            <v>Organization</v>
          </cell>
          <cell r="C1660" t="str">
            <v>ZAVENIR DAUBERT INDIA PVT LTD</v>
          </cell>
          <cell r="D1660" t="str">
            <v>60</v>
          </cell>
        </row>
        <row r="1661">
          <cell r="A1661" t="str">
            <v>C12411</v>
          </cell>
          <cell r="B1661" t="str">
            <v>Organization</v>
          </cell>
          <cell r="C1661" t="str">
            <v>DIVERSEY INDIA PVT. LTD. - SOLAN</v>
          </cell>
          <cell r="D1661" t="str">
            <v>60</v>
          </cell>
        </row>
        <row r="1662">
          <cell r="A1662" t="str">
            <v>C12412</v>
          </cell>
          <cell r="B1662" t="str">
            <v>Organization</v>
          </cell>
          <cell r="C1662" t="str">
            <v>NATURAL RESOURCES INDUSTRIES PRIVATE LIMITED</v>
          </cell>
          <cell r="D1662" t="str">
            <v>1</v>
          </cell>
        </row>
        <row r="1663">
          <cell r="A1663" t="str">
            <v>C12413</v>
          </cell>
          <cell r="B1663" t="str">
            <v>Organization</v>
          </cell>
          <cell r="C1663" t="str">
            <v>PIDILITE INDUSTRIES LIMITED - SIRMOUR</v>
          </cell>
          <cell r="D1663" t="str">
            <v>60</v>
          </cell>
        </row>
        <row r="1664">
          <cell r="A1664" t="str">
            <v>C12414</v>
          </cell>
          <cell r="B1664" t="str">
            <v>Organization</v>
          </cell>
          <cell r="C1664" t="str">
            <v>RAJHANS CHEMICALS</v>
          </cell>
          <cell r="D1664" t="str">
            <v>1</v>
          </cell>
        </row>
        <row r="1665">
          <cell r="A1665" t="str">
            <v>C12415</v>
          </cell>
          <cell r="B1665" t="str">
            <v>Organization</v>
          </cell>
          <cell r="C1665" t="str">
            <v>AIROFINE CHEMICALS INDIA</v>
          </cell>
          <cell r="D1665" t="str">
            <v>1</v>
          </cell>
        </row>
        <row r="1666">
          <cell r="A1666" t="str">
            <v>C12416</v>
          </cell>
          <cell r="B1666" t="str">
            <v>Organization</v>
          </cell>
          <cell r="C1666" t="str">
            <v>KARAN PETROLUBES</v>
          </cell>
          <cell r="D1666" t="str">
            <v>1</v>
          </cell>
        </row>
        <row r="1667">
          <cell r="A1667" t="str">
            <v>C12417</v>
          </cell>
          <cell r="B1667" t="str">
            <v>Organization</v>
          </cell>
          <cell r="C1667" t="str">
            <v>NIRMAL INDUSTRIES</v>
          </cell>
          <cell r="D1667" t="str">
            <v>1</v>
          </cell>
        </row>
        <row r="1668">
          <cell r="A1668" t="str">
            <v>C12418</v>
          </cell>
          <cell r="B1668" t="str">
            <v>Organization</v>
          </cell>
          <cell r="C1668" t="str">
            <v>BHARAT PETROLEUM CORPORATION LTD. - LONI GAZIABAD</v>
          </cell>
          <cell r="D1668" t="str">
            <v>30</v>
          </cell>
        </row>
        <row r="1669">
          <cell r="A1669" t="str">
            <v>C12419</v>
          </cell>
          <cell r="B1669" t="str">
            <v>Organization</v>
          </cell>
          <cell r="C1669" t="str">
            <v>INDIAN OIL CORPORATION LTD - MANESAR</v>
          </cell>
          <cell r="D1669" t="str">
            <v>30</v>
          </cell>
        </row>
        <row r="1670">
          <cell r="A1670" t="str">
            <v>C12420</v>
          </cell>
          <cell r="B1670" t="str">
            <v>Organization</v>
          </cell>
          <cell r="C1670" t="str">
            <v>INDIAN OIL CORPORATION LTD - ALLAHABAD</v>
          </cell>
          <cell r="D1670" t="str">
            <v>30</v>
          </cell>
        </row>
        <row r="1671">
          <cell r="A1671" t="str">
            <v>C12421</v>
          </cell>
          <cell r="B1671" t="str">
            <v>Organization</v>
          </cell>
          <cell r="C1671" t="str">
            <v>INDIAN OIL CORPORATION LTD - FARIDABAD</v>
          </cell>
          <cell r="D1671" t="str">
            <v>30</v>
          </cell>
        </row>
        <row r="1672">
          <cell r="A1672" t="str">
            <v>C12422</v>
          </cell>
          <cell r="B1672" t="str">
            <v>Organization</v>
          </cell>
          <cell r="C1672" t="str">
            <v>BALMER LAWRIE &amp; CO. LTD. - ASAOTI</v>
          </cell>
          <cell r="D1672" t="str">
            <v>45</v>
          </cell>
        </row>
        <row r="1673">
          <cell r="A1673" t="str">
            <v>C12423</v>
          </cell>
          <cell r="B1673" t="str">
            <v>Organization</v>
          </cell>
          <cell r="C1673" t="str">
            <v>UNIVERSAL CONTAINERS PVT. LTD. - ANKLESHWAR</v>
          </cell>
          <cell r="D1673" t="str">
            <v>45</v>
          </cell>
        </row>
        <row r="1674">
          <cell r="A1674" t="str">
            <v>C12424</v>
          </cell>
          <cell r="B1674" t="str">
            <v>Organization</v>
          </cell>
          <cell r="C1674" t="str">
            <v>M/S MJL BANGLADESH LIMITED</v>
          </cell>
          <cell r="D1674" t="str">
            <v>30</v>
          </cell>
        </row>
        <row r="1675">
          <cell r="A1675" t="str">
            <v>C12425</v>
          </cell>
          <cell r="B1675" t="str">
            <v>Organization</v>
          </cell>
          <cell r="C1675" t="str">
            <v>DORF KETAL SPECIALITY CATALYST PVT. LTD.</v>
          </cell>
          <cell r="D1675" t="str">
            <v>60</v>
          </cell>
        </row>
        <row r="1676">
          <cell r="A1676" t="str">
            <v>C12426</v>
          </cell>
          <cell r="B1676" t="str">
            <v>Organization</v>
          </cell>
          <cell r="C1676" t="str">
            <v>JRD STEELPAC PRIVATE LTD.</v>
          </cell>
          <cell r="D1676" t="str">
            <v>60</v>
          </cell>
        </row>
        <row r="1677">
          <cell r="A1677" t="str">
            <v>C12427</v>
          </cell>
          <cell r="B1677" t="str">
            <v>Organization</v>
          </cell>
          <cell r="C1677" t="str">
            <v>GOA CONTAINERS PVT.LTD.</v>
          </cell>
          <cell r="D1677" t="str">
            <v>30</v>
          </cell>
        </row>
        <row r="1678">
          <cell r="A1678" t="str">
            <v>C12428</v>
          </cell>
          <cell r="B1678" t="str">
            <v>Organization</v>
          </cell>
          <cell r="C1678" t="str">
            <v>NESTLE INDIA LIMITED</v>
          </cell>
          <cell r="D1678" t="str">
            <v>30</v>
          </cell>
        </row>
        <row r="1679">
          <cell r="A1679" t="str">
            <v>C12429</v>
          </cell>
          <cell r="B1679" t="str">
            <v>Organization</v>
          </cell>
          <cell r="C1679" t="str">
            <v>P.L. AGRO TECHNOLOGIES  LTD.</v>
          </cell>
          <cell r="D1679" t="str">
            <v>30</v>
          </cell>
        </row>
        <row r="1680">
          <cell r="A1680" t="str">
            <v>C12430</v>
          </cell>
          <cell r="B1680" t="str">
            <v>Organization</v>
          </cell>
          <cell r="C1680" t="str">
            <v>S.B.A. TRADING CO.</v>
          </cell>
          <cell r="D1680" t="str">
            <v>7</v>
          </cell>
        </row>
        <row r="1681">
          <cell r="A1681" t="str">
            <v>C12431</v>
          </cell>
          <cell r="B1681" t="str">
            <v>Organization</v>
          </cell>
          <cell r="C1681" t="str">
            <v>VEGE INDUSTRIES PVT. LTD..</v>
          </cell>
          <cell r="D1681" t="str">
            <v>7</v>
          </cell>
        </row>
        <row r="1682">
          <cell r="A1682" t="str">
            <v>C12432</v>
          </cell>
          <cell r="B1682" t="str">
            <v>Organization</v>
          </cell>
          <cell r="C1682" t="str">
            <v>SYNTHITE INDUSTRIES LTD (EOU)</v>
          </cell>
          <cell r="D1682" t="str">
            <v>30</v>
          </cell>
        </row>
        <row r="1683">
          <cell r="A1683" t="str">
            <v>C12434</v>
          </cell>
          <cell r="B1683" t="str">
            <v>Organization</v>
          </cell>
          <cell r="C1683" t="str">
            <v>BALMER LAWRIE &amp; CO. LTD. - SILVASSA</v>
          </cell>
          <cell r="D1683" t="str">
            <v>45</v>
          </cell>
        </row>
        <row r="1684">
          <cell r="A1684" t="str">
            <v>C12435</v>
          </cell>
          <cell r="B1684" t="str">
            <v>Organization</v>
          </cell>
          <cell r="C1684" t="str">
            <v>SALES REVERSAL (YEAR END)</v>
          </cell>
          <cell r="D1684" t="str">
            <v>1</v>
          </cell>
        </row>
        <row r="1685">
          <cell r="A1685" t="str">
            <v>C12436</v>
          </cell>
          <cell r="B1685" t="str">
            <v>Organization</v>
          </cell>
          <cell r="C1685" t="str">
            <v>VALSPAR (INDIA) COATINGS CORPORATION PVT. LTD</v>
          </cell>
          <cell r="D1685" t="str">
            <v>30</v>
          </cell>
        </row>
        <row r="1686">
          <cell r="A1686" t="str">
            <v>C12437</v>
          </cell>
          <cell r="B1686" t="str">
            <v>Organization</v>
          </cell>
          <cell r="C1686" t="str">
            <v>HINDUSTAN COLAS LIMITED - JHANSI</v>
          </cell>
          <cell r="D1686" t="str">
            <v>30</v>
          </cell>
        </row>
        <row r="1687">
          <cell r="A1687" t="str">
            <v>C12447</v>
          </cell>
          <cell r="B1687" t="str">
            <v>Organization</v>
          </cell>
          <cell r="C1687" t="str">
            <v>BALMER LAWRIE &amp; CO. LTD. - SEWREE</v>
          </cell>
          <cell r="D1687" t="str">
            <v>45</v>
          </cell>
        </row>
        <row r="1688">
          <cell r="A1688" t="str">
            <v>C12448</v>
          </cell>
          <cell r="B1688" t="str">
            <v>Organization</v>
          </cell>
          <cell r="C1688" t="str">
            <v>BALMER LAWRIE &amp; CO. LTD -(SILVASA -DO NOT USE)</v>
          </cell>
          <cell r="D1688" t="str">
            <v>45</v>
          </cell>
        </row>
        <row r="1689">
          <cell r="A1689" t="str">
            <v>C12451</v>
          </cell>
          <cell r="B1689" t="str">
            <v>Organization</v>
          </cell>
          <cell r="C1689" t="str">
            <v>ADESH CONTAINERS</v>
          </cell>
          <cell r="D1689" t="str">
            <v>15</v>
          </cell>
        </row>
        <row r="1690">
          <cell r="A1690" t="str">
            <v>C12453</v>
          </cell>
          <cell r="B1690" t="str">
            <v>Organization</v>
          </cell>
          <cell r="C1690" t="str">
            <v>APPLE CORPORATION</v>
          </cell>
          <cell r="D1690" t="str">
            <v>1</v>
          </cell>
        </row>
        <row r="1691">
          <cell r="A1691" t="str">
            <v>C12454</v>
          </cell>
          <cell r="B1691" t="str">
            <v>Organization</v>
          </cell>
          <cell r="C1691" t="str">
            <v>INDIAN ADDITIVES LTD</v>
          </cell>
          <cell r="D1691" t="str">
            <v>30</v>
          </cell>
        </row>
        <row r="1692">
          <cell r="A1692" t="str">
            <v>C12456</v>
          </cell>
          <cell r="B1692" t="str">
            <v>Organization</v>
          </cell>
          <cell r="C1692" t="str">
            <v>BHAVYA CONTAINERS &amp; ESTATE COMPANY(NARODA)</v>
          </cell>
          <cell r="D1692" t="str">
            <v>30</v>
          </cell>
        </row>
        <row r="1693">
          <cell r="A1693" t="str">
            <v>C12457</v>
          </cell>
          <cell r="B1693" t="str">
            <v>Organization</v>
          </cell>
          <cell r="C1693" t="str">
            <v>CHANDRA CONTAINER MANUFACTURERS</v>
          </cell>
          <cell r="D1693" t="str">
            <v>60</v>
          </cell>
        </row>
        <row r="1694">
          <cell r="A1694" t="str">
            <v>C12458</v>
          </cell>
          <cell r="B1694" t="str">
            <v>Organization</v>
          </cell>
          <cell r="C1694" t="str">
            <v>KARTIK BARREL INDUSTRIES</v>
          </cell>
          <cell r="D1694" t="str">
            <v>30</v>
          </cell>
        </row>
        <row r="1695">
          <cell r="A1695" t="str">
            <v>C12459</v>
          </cell>
          <cell r="B1695" t="str">
            <v>Organization</v>
          </cell>
          <cell r="C1695" t="str">
            <v>AXAR CONTAINERS</v>
          </cell>
          <cell r="D1695" t="str">
            <v>30</v>
          </cell>
        </row>
        <row r="1696">
          <cell r="A1696" t="str">
            <v>C12460</v>
          </cell>
          <cell r="B1696" t="str">
            <v>Organization</v>
          </cell>
          <cell r="C1696" t="str">
            <v>PREMIER HOLLOWARES PVT. LTD. - CHINCHPADA</v>
          </cell>
          <cell r="D1696" t="str">
            <v>90</v>
          </cell>
        </row>
        <row r="1697">
          <cell r="A1697" t="str">
            <v>C12462</v>
          </cell>
          <cell r="B1697" t="str">
            <v>Organization</v>
          </cell>
          <cell r="C1697" t="str">
            <v>APOORVA ENTERPRISES</v>
          </cell>
          <cell r="D1697" t="str">
            <v>15</v>
          </cell>
        </row>
        <row r="1698">
          <cell r="A1698" t="str">
            <v>C12463</v>
          </cell>
          <cell r="B1698" t="str">
            <v>Organization</v>
          </cell>
          <cell r="C1698" t="str">
            <v>FIRMENICH AROMATICS (INDIA) PVT. LTD.</v>
          </cell>
          <cell r="D1698" t="str">
            <v>30</v>
          </cell>
        </row>
        <row r="1699">
          <cell r="A1699" t="str">
            <v>C12464</v>
          </cell>
          <cell r="B1699" t="str">
            <v>Organization</v>
          </cell>
          <cell r="C1699" t="str">
            <v>ASHOKA &amp; BROTHERS</v>
          </cell>
          <cell r="D1699" t="str">
            <v>30</v>
          </cell>
        </row>
        <row r="1700">
          <cell r="A1700" t="str">
            <v>C12465</v>
          </cell>
          <cell r="B1700" t="str">
            <v>Organization</v>
          </cell>
          <cell r="C1700" t="str">
            <v>PARAMOUNT AROMACHEM PVT. LTD.</v>
          </cell>
          <cell r="D1700" t="str">
            <v>30</v>
          </cell>
        </row>
        <row r="1701">
          <cell r="A1701" t="str">
            <v>C12467</v>
          </cell>
          <cell r="B1701" t="str">
            <v>Organization</v>
          </cell>
          <cell r="C1701" t="str">
            <v>K.T. KUBAL &amp; CO. PVT. LTD.</v>
          </cell>
          <cell r="D1701" t="str">
            <v>0</v>
          </cell>
        </row>
        <row r="1702">
          <cell r="A1702" t="str">
            <v>C12468</v>
          </cell>
          <cell r="B1702" t="str">
            <v>Organization</v>
          </cell>
          <cell r="C1702" t="str">
            <v>AGROPACK , A/C SYNGENTA INDIA LIMITED</v>
          </cell>
          <cell r="D1702" t="str">
            <v>30</v>
          </cell>
        </row>
        <row r="1703">
          <cell r="A1703" t="str">
            <v>C12469</v>
          </cell>
          <cell r="B1703" t="str">
            <v>Organization</v>
          </cell>
          <cell r="C1703" t="str">
            <v>ALKYL AMINES CHEMICALS LIMITED - KURKUMBH</v>
          </cell>
          <cell r="D1703" t="str">
            <v>30</v>
          </cell>
        </row>
        <row r="1704">
          <cell r="A1704" t="str">
            <v>C12471</v>
          </cell>
          <cell r="B1704" t="str">
            <v>Organization</v>
          </cell>
          <cell r="C1704" t="str">
            <v>LAUGFS LUBRICANTS LIMITED</v>
          </cell>
          <cell r="D1704" t="str">
            <v>0</v>
          </cell>
        </row>
        <row r="1705">
          <cell r="A1705" t="str">
            <v>C12472</v>
          </cell>
          <cell r="B1705" t="str">
            <v>Organization</v>
          </cell>
          <cell r="C1705" t="str">
            <v>DK DRUMS &amp; IRON CO. LTD.</v>
          </cell>
          <cell r="D1705" t="str">
            <v>30</v>
          </cell>
        </row>
        <row r="1706">
          <cell r="A1706" t="str">
            <v>C12475</v>
          </cell>
          <cell r="B1706" t="str">
            <v>Organization</v>
          </cell>
          <cell r="C1706" t="str">
            <v>SIDDHARTHA BHOSALE</v>
          </cell>
          <cell r="D1706" t="str">
            <v>0</v>
          </cell>
        </row>
        <row r="1707">
          <cell r="A1707" t="str">
            <v>C12477</v>
          </cell>
          <cell r="B1707" t="str">
            <v>Organization</v>
          </cell>
          <cell r="C1707" t="str">
            <v>MR. SHAILESH MISTRY</v>
          </cell>
          <cell r="D1707" t="str">
            <v>0</v>
          </cell>
        </row>
        <row r="1708">
          <cell r="A1708" t="str">
            <v>C12479</v>
          </cell>
          <cell r="B1708" t="str">
            <v>Organization</v>
          </cell>
          <cell r="C1708" t="str">
            <v>MR. PATEL</v>
          </cell>
          <cell r="D1708" t="str">
            <v>0</v>
          </cell>
        </row>
        <row r="1709">
          <cell r="A1709" t="str">
            <v>C12480</v>
          </cell>
          <cell r="B1709" t="str">
            <v>Organization</v>
          </cell>
          <cell r="C1709" t="str">
            <v>MR.RAJESH JUTHANI</v>
          </cell>
          <cell r="D1709" t="str">
            <v>0</v>
          </cell>
        </row>
        <row r="1710">
          <cell r="A1710" t="str">
            <v>C12481</v>
          </cell>
          <cell r="B1710" t="str">
            <v>Organization</v>
          </cell>
          <cell r="C1710" t="str">
            <v>TIKI TAR INDUSTRIES INDIA LTD</v>
          </cell>
          <cell r="D1710" t="str">
            <v>0</v>
          </cell>
        </row>
        <row r="1711">
          <cell r="A1711" t="str">
            <v>C12482</v>
          </cell>
          <cell r="B1711" t="str">
            <v>Organization</v>
          </cell>
          <cell r="C1711" t="str">
            <v>PACIFIC CONTINENTAL</v>
          </cell>
          <cell r="D1711" t="str">
            <v>30</v>
          </cell>
        </row>
        <row r="1712">
          <cell r="A1712" t="str">
            <v>C12483</v>
          </cell>
          <cell r="B1712" t="str">
            <v>Organization</v>
          </cell>
          <cell r="C1712" t="str">
            <v>DOW AGROSCIENCES INDIA PVT LTD</v>
          </cell>
          <cell r="D1712" t="str">
            <v>30</v>
          </cell>
        </row>
        <row r="1713">
          <cell r="A1713" t="str">
            <v>C12484</v>
          </cell>
          <cell r="B1713" t="str">
            <v>Organization</v>
          </cell>
          <cell r="C1713" t="str">
            <v>EBULENT PACKAGING PVT LTD</v>
          </cell>
          <cell r="D1713" t="str">
            <v>60</v>
          </cell>
        </row>
        <row r="1714">
          <cell r="A1714" t="str">
            <v>C12485</v>
          </cell>
          <cell r="B1714" t="str">
            <v>Organization</v>
          </cell>
          <cell r="C1714" t="str">
            <v>HINDUSTAN PETROLEUM CORPORATION LTD (MAZGAON)</v>
          </cell>
          <cell r="D1714" t="str">
            <v>30</v>
          </cell>
        </row>
        <row r="1715">
          <cell r="A1715" t="str">
            <v>C12486</v>
          </cell>
          <cell r="B1715" t="str">
            <v>Organization</v>
          </cell>
          <cell r="C1715" t="str">
            <v>LUBECHEM INDUSTRIES</v>
          </cell>
          <cell r="D1715" t="str">
            <v>0</v>
          </cell>
        </row>
        <row r="1716">
          <cell r="A1716" t="str">
            <v>C12487</v>
          </cell>
          <cell r="B1716" t="str">
            <v>Person</v>
          </cell>
          <cell r="C1716" t="str">
            <v>MOHAN MENON</v>
          </cell>
          <cell r="D1716" t="str">
            <v>0</v>
          </cell>
        </row>
        <row r="1717">
          <cell r="A1717" t="str">
            <v>C12488</v>
          </cell>
          <cell r="B1717" t="str">
            <v>Organization</v>
          </cell>
          <cell r="C1717" t="str">
            <v>MOHITE PACKING INDUSTRIES</v>
          </cell>
          <cell r="D1717" t="str">
            <v>0</v>
          </cell>
        </row>
        <row r="1718">
          <cell r="A1718" t="str">
            <v>C12489</v>
          </cell>
          <cell r="B1718" t="str">
            <v>Organization</v>
          </cell>
          <cell r="C1718" t="str">
            <v>P.L.AGRO TECHNOLOGIES LTD</v>
          </cell>
          <cell r="D1718" t="str">
            <v>30</v>
          </cell>
        </row>
        <row r="1719">
          <cell r="A1719" t="str">
            <v>C12490</v>
          </cell>
          <cell r="B1719" t="str">
            <v>Organization</v>
          </cell>
          <cell r="C1719" t="str">
            <v>SHIVA UDYOG BARRELS PVT LTD (PALEJ)</v>
          </cell>
          <cell r="D1719" t="str">
            <v>60</v>
          </cell>
        </row>
        <row r="1720">
          <cell r="A1720" t="str">
            <v>C12491</v>
          </cell>
          <cell r="B1720" t="str">
            <v>Organization</v>
          </cell>
          <cell r="C1720" t="str">
            <v>TRANSMETAL LIMITED</v>
          </cell>
          <cell r="D1720" t="str">
            <v>30</v>
          </cell>
        </row>
        <row r="1721">
          <cell r="A1721" t="str">
            <v>C12492</v>
          </cell>
          <cell r="B1721" t="str">
            <v>Organization</v>
          </cell>
          <cell r="C1721" t="str">
            <v>PEARSON DRUMS &amp; BARRELS P LTD</v>
          </cell>
          <cell r="D1721" t="str">
            <v>90</v>
          </cell>
        </row>
        <row r="1722">
          <cell r="A1722" t="str">
            <v>C12493</v>
          </cell>
          <cell r="B1722" t="str">
            <v>Organization</v>
          </cell>
          <cell r="C1722" t="str">
            <v>AVRA SYNTHESIS PVT LTD</v>
          </cell>
          <cell r="D1722" t="str">
            <v>30</v>
          </cell>
        </row>
        <row r="1723">
          <cell r="A1723" t="str">
            <v>C12494</v>
          </cell>
          <cell r="B1723" t="str">
            <v>Organization</v>
          </cell>
          <cell r="C1723" t="str">
            <v>CONMIX PRO-BUILD INDIA PRIVATE LTD</v>
          </cell>
          <cell r="D1723" t="str">
            <v>0</v>
          </cell>
        </row>
        <row r="1724">
          <cell r="A1724" t="str">
            <v>C12495</v>
          </cell>
          <cell r="B1724" t="str">
            <v>Organization</v>
          </cell>
          <cell r="C1724" t="str">
            <v>DOSHION LIMITED - KATHWADA</v>
          </cell>
          <cell r="D1724" t="str">
            <v>0</v>
          </cell>
        </row>
        <row r="1725">
          <cell r="A1725" t="str">
            <v>C12496</v>
          </cell>
          <cell r="B1725" t="str">
            <v>Organization</v>
          </cell>
          <cell r="C1725" t="str">
            <v>GESHMACK FOOD INGREDIENTS SOLUTION</v>
          </cell>
          <cell r="D1725" t="str">
            <v>0</v>
          </cell>
        </row>
        <row r="1726">
          <cell r="A1726" t="str">
            <v>C12497</v>
          </cell>
          <cell r="B1726" t="str">
            <v>Organization</v>
          </cell>
          <cell r="C1726" t="str">
            <v>HENI CHEMICAL INDUSTRIES</v>
          </cell>
          <cell r="D1726" t="str">
            <v>0</v>
          </cell>
        </row>
        <row r="1727">
          <cell r="A1727" t="str">
            <v>C12498</v>
          </cell>
          <cell r="B1727" t="str">
            <v>Organization</v>
          </cell>
          <cell r="C1727" t="str">
            <v>IDEAL CURES PVT LTD</v>
          </cell>
          <cell r="D1727" t="str">
            <v>0</v>
          </cell>
        </row>
        <row r="1728">
          <cell r="A1728" t="str">
            <v>C12499</v>
          </cell>
          <cell r="B1728" t="str">
            <v>Organization</v>
          </cell>
          <cell r="C1728" t="str">
            <v>KHANDELWAL BIO FERTILIZER</v>
          </cell>
          <cell r="D1728" t="str">
            <v>0</v>
          </cell>
        </row>
        <row r="1729">
          <cell r="A1729" t="str">
            <v>C12500</v>
          </cell>
          <cell r="B1729" t="str">
            <v>Organization</v>
          </cell>
          <cell r="C1729" t="str">
            <v>MOHINI ORGANICS PVT LTD</v>
          </cell>
          <cell r="D1729" t="str">
            <v>30</v>
          </cell>
        </row>
        <row r="1730">
          <cell r="A1730" t="str">
            <v>C12501</v>
          </cell>
          <cell r="B1730" t="str">
            <v>Organization</v>
          </cell>
          <cell r="C1730" t="str">
            <v>NIRJACHEM</v>
          </cell>
          <cell r="D1730" t="str">
            <v>0</v>
          </cell>
        </row>
        <row r="1731">
          <cell r="A1731" t="str">
            <v>C12502</v>
          </cell>
          <cell r="B1731" t="str">
            <v>Organization</v>
          </cell>
          <cell r="C1731" t="str">
            <v>PLATINA OIL FIELD PVT LTD</v>
          </cell>
          <cell r="D1731" t="str">
            <v>0</v>
          </cell>
        </row>
        <row r="1732">
          <cell r="A1732" t="str">
            <v>C12503</v>
          </cell>
          <cell r="B1732" t="str">
            <v>Organization</v>
          </cell>
          <cell r="C1732" t="str">
            <v>SUBODH PETROLEUM PVT LTD</v>
          </cell>
          <cell r="D1732" t="str">
            <v>0</v>
          </cell>
        </row>
        <row r="1733">
          <cell r="A1733" t="str">
            <v>C12504</v>
          </cell>
          <cell r="B1733" t="str">
            <v>Organization</v>
          </cell>
          <cell r="C1733" t="str">
            <v>TASTE MASTER FLAVOURS PRIVATE LTD</v>
          </cell>
          <cell r="D1733" t="str">
            <v>0</v>
          </cell>
        </row>
        <row r="1734">
          <cell r="A1734" t="str">
            <v>C12505</v>
          </cell>
          <cell r="B1734" t="str">
            <v>Organization</v>
          </cell>
          <cell r="C1734" t="str">
            <v>VIRGINIA LUBRICANTS INDIA INC</v>
          </cell>
          <cell r="D1734" t="str">
            <v>0</v>
          </cell>
        </row>
        <row r="1735">
          <cell r="A1735" t="str">
            <v>C12506</v>
          </cell>
          <cell r="B1735" t="str">
            <v>Organization</v>
          </cell>
          <cell r="C1735" t="str">
            <v>SALE OF SAMPLE</v>
          </cell>
          <cell r="D1735" t="str">
            <v>0</v>
          </cell>
        </row>
        <row r="1736">
          <cell r="A1736" t="str">
            <v>C12507</v>
          </cell>
          <cell r="B1736" t="str">
            <v>Organization</v>
          </cell>
          <cell r="C1736" t="str">
            <v>STANLUBES &amp; SPECIALITIES (INDIA) PV</v>
          </cell>
          <cell r="D1736" t="str">
            <v>0</v>
          </cell>
        </row>
        <row r="1737">
          <cell r="A1737" t="str">
            <v>C12508</v>
          </cell>
          <cell r="B1737" t="str">
            <v>Organization</v>
          </cell>
          <cell r="C1737" t="str">
            <v>BHAVYA CONTAINERS &amp; ESTATE COMPANY - V.U.NAGAR</v>
          </cell>
          <cell r="D1737" t="str">
            <v>30</v>
          </cell>
        </row>
        <row r="1738">
          <cell r="A1738" t="str">
            <v>C12509</v>
          </cell>
          <cell r="B1738" t="str">
            <v>Organization</v>
          </cell>
          <cell r="C1738" t="str">
            <v>CHOWGULE CONSTRUCTION CHEMICALS PVT. LTD.</v>
          </cell>
          <cell r="D1738" t="str">
            <v>30</v>
          </cell>
        </row>
        <row r="1739">
          <cell r="A1739" t="str">
            <v>C12510</v>
          </cell>
          <cell r="B1739" t="str">
            <v>Organization</v>
          </cell>
          <cell r="C1739" t="str">
            <v>SHIVAM LUBRICANTS</v>
          </cell>
          <cell r="D1739" t="str">
            <v>30</v>
          </cell>
        </row>
        <row r="1740">
          <cell r="A1740" t="str">
            <v>C12511</v>
          </cell>
          <cell r="B1740" t="str">
            <v>Organization</v>
          </cell>
          <cell r="C1740" t="str">
            <v>LEONID CHEMICALS</v>
          </cell>
          <cell r="D1740" t="str">
            <v>0</v>
          </cell>
        </row>
        <row r="1741">
          <cell r="A1741" t="str">
            <v>C12512</v>
          </cell>
          <cell r="B1741" t="str">
            <v>Organization</v>
          </cell>
          <cell r="C1741" t="str">
            <v>NIPRA PACKAGING PVT. LTD.</v>
          </cell>
          <cell r="D1741" t="str">
            <v>45</v>
          </cell>
        </row>
        <row r="1742">
          <cell r="A1742" t="str">
            <v>C12513</v>
          </cell>
          <cell r="B1742" t="str">
            <v>Organization</v>
          </cell>
          <cell r="C1742" t="str">
            <v>HINDUSTAN COLAS LIMITED (JHANSI)</v>
          </cell>
          <cell r="D1742" t="str">
            <v>0</v>
          </cell>
        </row>
        <row r="1743">
          <cell r="A1743" t="str">
            <v>C12514</v>
          </cell>
          <cell r="B1743" t="str">
            <v>Organization</v>
          </cell>
          <cell r="C1743" t="str">
            <v>COLOSSUS India</v>
          </cell>
          <cell r="D1743" t="str">
            <v>0</v>
          </cell>
        </row>
        <row r="1744">
          <cell r="A1744" t="str">
            <v>C12515</v>
          </cell>
          <cell r="B1744" t="str">
            <v>Organization</v>
          </cell>
          <cell r="C1744" t="str">
            <v>SHALIMAR PAINTS LIMITED</v>
          </cell>
          <cell r="D1744" t="str">
            <v>30</v>
          </cell>
        </row>
        <row r="1745">
          <cell r="A1745" t="str">
            <v>C12516</v>
          </cell>
          <cell r="B1745" t="str">
            <v>Organization</v>
          </cell>
          <cell r="C1745" t="str">
            <v>R R  Oomerbhoy  Pvt Ltd</v>
          </cell>
          <cell r="D1745" t="str">
            <v>0</v>
          </cell>
        </row>
        <row r="1746">
          <cell r="A1746" t="str">
            <v>C12517</v>
          </cell>
          <cell r="B1746" t="str">
            <v>Organization</v>
          </cell>
          <cell r="C1746" t="str">
            <v>MARINE IMPEX</v>
          </cell>
          <cell r="D1746" t="str">
            <v>0</v>
          </cell>
        </row>
        <row r="1747">
          <cell r="A1747" t="str">
            <v>C12518</v>
          </cell>
          <cell r="B1747" t="str">
            <v>Person</v>
          </cell>
          <cell r="C1747" t="str">
            <v>N.S.DHAWLE</v>
          </cell>
          <cell r="D1747" t="str">
            <v>0</v>
          </cell>
        </row>
        <row r="1748">
          <cell r="A1748" t="str">
            <v>C12519</v>
          </cell>
          <cell r="B1748" t="str">
            <v>Organization</v>
          </cell>
          <cell r="C1748" t="str">
            <v>FUCHS LUBRICANTS (INDIA) PVT LTD</v>
          </cell>
          <cell r="D1748" t="str">
            <v>30</v>
          </cell>
        </row>
        <row r="1749">
          <cell r="A1749" t="str">
            <v>C12520</v>
          </cell>
          <cell r="B1749" t="str">
            <v>Organization</v>
          </cell>
          <cell r="C1749" t="str">
            <v>MAHARAJA EXPORT CORPORATION</v>
          </cell>
          <cell r="D1749" t="str">
            <v>0</v>
          </cell>
        </row>
        <row r="1750">
          <cell r="A1750" t="str">
            <v>C12521</v>
          </cell>
          <cell r="B1750" t="str">
            <v>Organization</v>
          </cell>
          <cell r="C1750" t="str">
            <v>KUMAR CONTAINERS PVT.LTD.(ANKLESHWAR)</v>
          </cell>
          <cell r="D1750" t="str">
            <v>60</v>
          </cell>
        </row>
        <row r="1751">
          <cell r="A1751" t="str">
            <v>C12522</v>
          </cell>
          <cell r="B1751" t="str">
            <v>Organization</v>
          </cell>
          <cell r="C1751" t="str">
            <v>SYNERGY SURFACE TECHNOLOGIES</v>
          </cell>
          <cell r="D1751" t="str">
            <v>0</v>
          </cell>
        </row>
        <row r="1752">
          <cell r="A1752" t="str">
            <v>C12523</v>
          </cell>
          <cell r="B1752" t="str">
            <v>Organization</v>
          </cell>
          <cell r="C1752" t="str">
            <v>GENERATION FOUR ENGITECH LIMITED</v>
          </cell>
          <cell r="D1752" t="str">
            <v>0</v>
          </cell>
        </row>
        <row r="1753">
          <cell r="A1753" t="str">
            <v>C12524</v>
          </cell>
          <cell r="B1753" t="str">
            <v>Organization</v>
          </cell>
          <cell r="C1753" t="str">
            <v>AVI-OIL INDIA (P) LTD.</v>
          </cell>
          <cell r="D1753" t="str">
            <v>30</v>
          </cell>
        </row>
        <row r="1754">
          <cell r="A1754" t="str">
            <v>C12525</v>
          </cell>
          <cell r="B1754" t="str">
            <v>Organization</v>
          </cell>
          <cell r="C1754" t="str">
            <v>INDIAN OIL CORPORATION LIMITED</v>
          </cell>
          <cell r="D1754" t="str">
            <v>30</v>
          </cell>
        </row>
        <row r="1755">
          <cell r="A1755" t="str">
            <v>C12526</v>
          </cell>
          <cell r="B1755" t="str">
            <v>Organization</v>
          </cell>
          <cell r="C1755" t="str">
            <v>RICH GRAVISS PRODUCTS P. LTD</v>
          </cell>
          <cell r="D1755" t="str">
            <v>0</v>
          </cell>
        </row>
        <row r="1756">
          <cell r="A1756" t="str">
            <v>C12527</v>
          </cell>
          <cell r="B1756" t="str">
            <v>Organization</v>
          </cell>
          <cell r="C1756" t="str">
            <v>ALTRA PURE CHEM</v>
          </cell>
          <cell r="D1756" t="str">
            <v>1</v>
          </cell>
        </row>
        <row r="1757">
          <cell r="A1757" t="str">
            <v>C12528</v>
          </cell>
          <cell r="B1757" t="str">
            <v>Person</v>
          </cell>
          <cell r="C1757" t="str">
            <v>UMESH PATIL</v>
          </cell>
          <cell r="D1757" t="str">
            <v>0</v>
          </cell>
        </row>
        <row r="1758">
          <cell r="A1758" t="str">
            <v>C12529</v>
          </cell>
          <cell r="B1758" t="str">
            <v>Organization</v>
          </cell>
          <cell r="C1758" t="str">
            <v>ALJOMAIH AND SHELL LUBRICATING OIL COMPANY LIMITED</v>
          </cell>
          <cell r="D1758" t="str">
            <v>15</v>
          </cell>
        </row>
        <row r="1759">
          <cell r="A1759" t="str">
            <v>C12530</v>
          </cell>
          <cell r="B1759" t="str">
            <v>Organization</v>
          </cell>
          <cell r="C1759" t="str">
            <v>QUASAR ENTERPISES</v>
          </cell>
          <cell r="D1759" t="str">
            <v>0</v>
          </cell>
        </row>
        <row r="1760">
          <cell r="A1760" t="str">
            <v>C12531</v>
          </cell>
          <cell r="B1760" t="str">
            <v>Organization</v>
          </cell>
          <cell r="C1760" t="str">
            <v>PRASHANT DYE CHEM INDUSTRIES</v>
          </cell>
          <cell r="D1760" t="str">
            <v>0</v>
          </cell>
        </row>
        <row r="1761">
          <cell r="A1761" t="str">
            <v>C12532</v>
          </cell>
          <cell r="B1761" t="str">
            <v>Organization</v>
          </cell>
          <cell r="C1761" t="str">
            <v>PINNACLE COATE - INKS PVT LTD</v>
          </cell>
          <cell r="D1761" t="str">
            <v>0</v>
          </cell>
        </row>
        <row r="1762">
          <cell r="A1762" t="str">
            <v>C12533</v>
          </cell>
          <cell r="B1762" t="str">
            <v>Organization</v>
          </cell>
          <cell r="C1762" t="str">
            <v>GREIF EASTERN PACKAGING Pte Ltd</v>
          </cell>
          <cell r="D1762" t="str">
            <v>0</v>
          </cell>
        </row>
        <row r="1763">
          <cell r="A1763" t="str">
            <v>C12534</v>
          </cell>
          <cell r="B1763" t="str">
            <v>Organization</v>
          </cell>
          <cell r="C1763" t="str">
            <v>MANSAA STEELS</v>
          </cell>
          <cell r="D1763" t="str">
            <v>1</v>
          </cell>
        </row>
        <row r="1764">
          <cell r="A1764" t="str">
            <v>C12535</v>
          </cell>
          <cell r="B1764" t="str">
            <v>Organization</v>
          </cell>
          <cell r="C1764" t="str">
            <v>ULTRA INTERNATIONAL LIMITED</v>
          </cell>
          <cell r="D1764" t="str">
            <v>30</v>
          </cell>
        </row>
        <row r="1765">
          <cell r="A1765" t="str">
            <v>C12536</v>
          </cell>
          <cell r="B1765" t="str">
            <v>Organization</v>
          </cell>
          <cell r="C1765" t="str">
            <v>JAY CHEMICAL IND. LTD - UNIT V</v>
          </cell>
          <cell r="D1765" t="str">
            <v>0</v>
          </cell>
        </row>
        <row r="1766">
          <cell r="A1766" t="str">
            <v>C12537</v>
          </cell>
          <cell r="B1766" t="str">
            <v>Organization</v>
          </cell>
          <cell r="C1766" t="str">
            <v>DESMO EXPORTS LIMITED</v>
          </cell>
          <cell r="D1766" t="str">
            <v>30</v>
          </cell>
        </row>
        <row r="1767">
          <cell r="A1767" t="str">
            <v>C12538</v>
          </cell>
          <cell r="B1767" t="str">
            <v>Person</v>
          </cell>
          <cell r="C1767" t="str">
            <v>LAXMI PROCESSES</v>
          </cell>
          <cell r="D1767" t="str">
            <v>0</v>
          </cell>
        </row>
        <row r="1768">
          <cell r="A1768" t="str">
            <v>C12539</v>
          </cell>
          <cell r="B1768" t="str">
            <v>Organization</v>
          </cell>
          <cell r="C1768" t="str">
            <v>ALA CHEMICALS</v>
          </cell>
          <cell r="D1768" t="str">
            <v>0</v>
          </cell>
        </row>
        <row r="1769">
          <cell r="A1769" t="str">
            <v>C12540</v>
          </cell>
          <cell r="B1769" t="str">
            <v>Organization</v>
          </cell>
          <cell r="C1769" t="str">
            <v>MELONG SPECIALLITY CHEMICALS PRIVATE LIMITED</v>
          </cell>
          <cell r="D1769" t="str">
            <v>0</v>
          </cell>
        </row>
        <row r="1770">
          <cell r="A1770" t="str">
            <v>C12541</v>
          </cell>
          <cell r="B1770" t="str">
            <v>Organization</v>
          </cell>
          <cell r="C1770" t="str">
            <v>BALMER LAWRIE &amp; CO.LTD,CHITTOOR</v>
          </cell>
          <cell r="D1770" t="str">
            <v>45</v>
          </cell>
        </row>
        <row r="1771">
          <cell r="A1771" t="str">
            <v>C12542</v>
          </cell>
          <cell r="B1771" t="str">
            <v>Organization</v>
          </cell>
          <cell r="C1771" t="str">
            <v>GEKATEK INDIA PVT. LTD.</v>
          </cell>
          <cell r="D1771" t="str">
            <v>7</v>
          </cell>
        </row>
        <row r="1772">
          <cell r="A1772" t="str">
            <v>C12543</v>
          </cell>
          <cell r="B1772" t="str">
            <v>Organization</v>
          </cell>
          <cell r="C1772" t="str">
            <v>YAMUNA LUBRICANTS LTD</v>
          </cell>
          <cell r="D1772" t="str">
            <v>0</v>
          </cell>
        </row>
        <row r="1773">
          <cell r="A1773" t="str">
            <v>C12544</v>
          </cell>
          <cell r="B1773" t="str">
            <v>Organization</v>
          </cell>
          <cell r="C1773" t="str">
            <v>KARTA RAM VINOD KUMAR</v>
          </cell>
          <cell r="D1773" t="str">
            <v>0</v>
          </cell>
        </row>
        <row r="1774">
          <cell r="A1774" t="str">
            <v>c12545</v>
          </cell>
          <cell r="B1774" t="str">
            <v>Organization</v>
          </cell>
          <cell r="C1774" t="str">
            <v>PENSOL INDUSTRIES LTD</v>
          </cell>
          <cell r="D1774" t="str">
            <v>15</v>
          </cell>
        </row>
        <row r="1775">
          <cell r="A1775" t="str">
            <v>C12546</v>
          </cell>
          <cell r="B1775" t="str">
            <v>Organization</v>
          </cell>
          <cell r="C1775" t="str">
            <v>PINNACLE SAND</v>
          </cell>
          <cell r="D1775" t="str">
            <v>0</v>
          </cell>
        </row>
        <row r="1776">
          <cell r="A1776" t="str">
            <v>C12547</v>
          </cell>
          <cell r="B1776" t="str">
            <v>Organization</v>
          </cell>
          <cell r="C1776" t="str">
            <v>HINDUSTAN PETROLEUM CORPN. LTD. - SILVASSA</v>
          </cell>
          <cell r="D1776" t="str">
            <v>30</v>
          </cell>
        </row>
        <row r="1777">
          <cell r="A1777" t="str">
            <v>C12548</v>
          </cell>
          <cell r="B1777" t="str">
            <v>Organization</v>
          </cell>
          <cell r="C1777" t="str">
            <v>SUPARNA CHEMICALS LTD.</v>
          </cell>
          <cell r="D1777" t="str">
            <v>7</v>
          </cell>
        </row>
        <row r="1778">
          <cell r="A1778" t="str">
            <v>C12549</v>
          </cell>
          <cell r="B1778" t="str">
            <v>Organization</v>
          </cell>
          <cell r="C1778" t="str">
            <v>EXON LABORATORIES PVT.LTD.</v>
          </cell>
          <cell r="D1778" t="str">
            <v>30</v>
          </cell>
        </row>
        <row r="1779">
          <cell r="A1779" t="str">
            <v>C12550</v>
          </cell>
          <cell r="B1779" t="str">
            <v>Organization</v>
          </cell>
          <cell r="C1779" t="str">
            <v>UNICORN PETROLEUM INDUSTRIES LTD.</v>
          </cell>
          <cell r="D1779" t="str">
            <v>15</v>
          </cell>
        </row>
        <row r="1780">
          <cell r="A1780" t="str">
            <v>C12551</v>
          </cell>
          <cell r="B1780" t="str">
            <v>Organization</v>
          </cell>
          <cell r="C1780" t="str">
            <v>ASAR LUBRICANTS PVT. LTD.</v>
          </cell>
          <cell r="D1780" t="str">
            <v>0</v>
          </cell>
        </row>
        <row r="1781">
          <cell r="A1781" t="str">
            <v>C12552</v>
          </cell>
          <cell r="B1781" t="str">
            <v>Organization</v>
          </cell>
          <cell r="C1781" t="str">
            <v>SIMBA INTERNATIONAL</v>
          </cell>
          <cell r="D1781" t="str">
            <v>15</v>
          </cell>
        </row>
        <row r="1782">
          <cell r="A1782" t="str">
            <v>C12553</v>
          </cell>
          <cell r="B1782" t="str">
            <v>Organization</v>
          </cell>
          <cell r="C1782" t="str">
            <v>SRF LIMITED</v>
          </cell>
          <cell r="D1782" t="str">
            <v>30</v>
          </cell>
        </row>
        <row r="1783">
          <cell r="A1783" t="str">
            <v>C12554</v>
          </cell>
          <cell r="B1783" t="str">
            <v>Organization</v>
          </cell>
          <cell r="C1783" t="str">
            <v>VB MEDICARE PVT LTD</v>
          </cell>
          <cell r="D1783" t="str">
            <v>0</v>
          </cell>
        </row>
        <row r="1784">
          <cell r="A1784" t="str">
            <v>C12555</v>
          </cell>
          <cell r="B1784" t="str">
            <v>Organization</v>
          </cell>
          <cell r="C1784" t="str">
            <v>INDIAN INSTITUTE OF PACKAGING</v>
          </cell>
          <cell r="D1784" t="str">
            <v>15</v>
          </cell>
        </row>
        <row r="1785">
          <cell r="A1785" t="str">
            <v>C12556</v>
          </cell>
          <cell r="B1785" t="str">
            <v>Organization</v>
          </cell>
          <cell r="C1785" t="str">
            <v>AARTEE CONTAINERS, BARODA</v>
          </cell>
          <cell r="D1785" t="str">
            <v>15</v>
          </cell>
        </row>
        <row r="1786">
          <cell r="A1786" t="str">
            <v>C12557</v>
          </cell>
          <cell r="B1786" t="str">
            <v>Organization</v>
          </cell>
          <cell r="C1786" t="str">
            <v>RAZON ENGINEERING COMPANY PRIVATE LIMITED</v>
          </cell>
          <cell r="D1786" t="str">
            <v>0</v>
          </cell>
        </row>
        <row r="1787">
          <cell r="A1787" t="str">
            <v>C12558</v>
          </cell>
          <cell r="B1787" t="str">
            <v>Organization</v>
          </cell>
          <cell r="C1787" t="str">
            <v>PROTOCHEM INDUSTRIES PVT.LTD.</v>
          </cell>
          <cell r="D1787" t="str">
            <v>30</v>
          </cell>
        </row>
        <row r="1788">
          <cell r="A1788" t="str">
            <v>C12559</v>
          </cell>
          <cell r="B1788" t="str">
            <v>Organization</v>
          </cell>
          <cell r="C1788" t="str">
            <v>TIRUPATI TRADERS</v>
          </cell>
          <cell r="D1788" t="str">
            <v>7</v>
          </cell>
        </row>
        <row r="1789">
          <cell r="A1789" t="str">
            <v>C12560</v>
          </cell>
          <cell r="B1789" t="str">
            <v>Organization</v>
          </cell>
          <cell r="C1789" t="str">
            <v>GUJARAT FLUOROCHEMICALS LTD.</v>
          </cell>
          <cell r="D1789" t="str">
            <v>30</v>
          </cell>
        </row>
        <row r="1790">
          <cell r="A1790" t="str">
            <v>C12561</v>
          </cell>
          <cell r="B1790" t="str">
            <v>Organization</v>
          </cell>
          <cell r="C1790" t="str">
            <v>BHARAT INSECTICIDES LIMITED</v>
          </cell>
          <cell r="D1790" t="str">
            <v>30</v>
          </cell>
        </row>
        <row r="1791">
          <cell r="A1791" t="str">
            <v>C12562</v>
          </cell>
          <cell r="B1791" t="str">
            <v>Organization</v>
          </cell>
          <cell r="C1791" t="str">
            <v>VITAL THERAPEUITCS &amp; FORMULATIONS PVT LTD,</v>
          </cell>
          <cell r="D1791" t="str">
            <v>1</v>
          </cell>
        </row>
        <row r="1792">
          <cell r="A1792" t="str">
            <v>C12563</v>
          </cell>
          <cell r="B1792" t="str">
            <v>Organization</v>
          </cell>
          <cell r="C1792" t="str">
            <v>VITAL THERAPEUITCS PVT LTD</v>
          </cell>
          <cell r="D1792" t="str">
            <v>0</v>
          </cell>
        </row>
        <row r="1793">
          <cell r="A1793" t="str">
            <v>C12564</v>
          </cell>
          <cell r="B1793" t="str">
            <v>Organization</v>
          </cell>
          <cell r="C1793" t="str">
            <v>RECOCHEM (INDIA) PRIVATE LIMITED</v>
          </cell>
          <cell r="D1793" t="str">
            <v>1</v>
          </cell>
        </row>
        <row r="1794">
          <cell r="A1794" t="str">
            <v>C12565</v>
          </cell>
          <cell r="B1794" t="str">
            <v>Organization</v>
          </cell>
          <cell r="C1794" t="str">
            <v>C. P. INTERNATIONAL</v>
          </cell>
          <cell r="D1794" t="str">
            <v>7</v>
          </cell>
        </row>
        <row r="1795">
          <cell r="A1795" t="str">
            <v>C12566</v>
          </cell>
          <cell r="B1795" t="str">
            <v>Organization</v>
          </cell>
          <cell r="C1795" t="str">
            <v>LEO ENTERPRISES</v>
          </cell>
          <cell r="D1795" t="str">
            <v>0</v>
          </cell>
        </row>
        <row r="1796">
          <cell r="A1796" t="str">
            <v>C12567</v>
          </cell>
          <cell r="B1796" t="str">
            <v>Organization</v>
          </cell>
          <cell r="C1796" t="str">
            <v>CHANDULAL T PARIKH</v>
          </cell>
          <cell r="D1796" t="str">
            <v>0</v>
          </cell>
        </row>
        <row r="1797">
          <cell r="A1797" t="str">
            <v>C12568</v>
          </cell>
          <cell r="B1797" t="str">
            <v>Organization</v>
          </cell>
          <cell r="C1797" t="str">
            <v>CEMENTONE [INDIA] PVT.LTD</v>
          </cell>
          <cell r="D1797" t="str">
            <v>0</v>
          </cell>
        </row>
        <row r="1798">
          <cell r="A1798" t="str">
            <v>C12569</v>
          </cell>
          <cell r="B1798" t="str">
            <v>Organization</v>
          </cell>
          <cell r="C1798" t="str">
            <v>SUNNIAREBIA MASJID</v>
          </cell>
          <cell r="D1798" t="str">
            <v>0</v>
          </cell>
        </row>
        <row r="1799">
          <cell r="A1799" t="str">
            <v>c12570</v>
          </cell>
          <cell r="B1799" t="str">
            <v>Organization</v>
          </cell>
          <cell r="C1799" t="str">
            <v>BIJAYA DRUMS PVT.LTD.</v>
          </cell>
          <cell r="D1799" t="str">
            <v>30</v>
          </cell>
        </row>
        <row r="1800">
          <cell r="A1800" t="str">
            <v>C12571</v>
          </cell>
          <cell r="B1800" t="str">
            <v>Organization</v>
          </cell>
          <cell r="C1800" t="str">
            <v>MELOG SPECIALITIES CHEMICALS PVT LTD</v>
          </cell>
          <cell r="D1800" t="str">
            <v>45</v>
          </cell>
        </row>
        <row r="1801">
          <cell r="A1801" t="str">
            <v>C12572</v>
          </cell>
          <cell r="B1801" t="str">
            <v>Organization</v>
          </cell>
          <cell r="C1801" t="str">
            <v>SUPER PAINTS PVT.LTD.</v>
          </cell>
          <cell r="D1801" t="str">
            <v>7</v>
          </cell>
        </row>
        <row r="1802">
          <cell r="A1802" t="str">
            <v>C12573</v>
          </cell>
          <cell r="B1802" t="str">
            <v>Organization</v>
          </cell>
          <cell r="C1802" t="str">
            <v>VAIDIKA POLYFIX PVT.LTD.</v>
          </cell>
          <cell r="D1802" t="str">
            <v>7</v>
          </cell>
        </row>
        <row r="1803">
          <cell r="A1803" t="str">
            <v>C12574</v>
          </cell>
          <cell r="B1803" t="str">
            <v>Organization</v>
          </cell>
          <cell r="C1803" t="str">
            <v>CONSTRUWELL INDUSTRIES</v>
          </cell>
          <cell r="D1803" t="str">
            <v>0</v>
          </cell>
        </row>
        <row r="1804">
          <cell r="A1804" t="str">
            <v>C12575</v>
          </cell>
          <cell r="B1804" t="str">
            <v>Organization</v>
          </cell>
          <cell r="C1804" t="str">
            <v>AMAFHH ENTERPRISES</v>
          </cell>
          <cell r="D1804" t="str">
            <v>1</v>
          </cell>
        </row>
        <row r="1805">
          <cell r="A1805" t="str">
            <v>C12576</v>
          </cell>
          <cell r="B1805" t="str">
            <v>Organization</v>
          </cell>
          <cell r="C1805" t="str">
            <v>GREEN HORN CORPORATION</v>
          </cell>
          <cell r="D1805" t="str">
            <v>0</v>
          </cell>
        </row>
        <row r="1806">
          <cell r="A1806" t="str">
            <v>C12577</v>
          </cell>
          <cell r="B1806" t="str">
            <v>Organization</v>
          </cell>
          <cell r="C1806" t="str">
            <v>KINOL LUBES PVT.LTD.</v>
          </cell>
          <cell r="D1806" t="str">
            <v>0</v>
          </cell>
        </row>
        <row r="1807">
          <cell r="A1807" t="str">
            <v>C12578</v>
          </cell>
          <cell r="B1807" t="str">
            <v>Organization</v>
          </cell>
          <cell r="C1807" t="str">
            <v>BURHANI STEEL CORPORATION</v>
          </cell>
          <cell r="D1807" t="str">
            <v>1</v>
          </cell>
        </row>
        <row r="1808">
          <cell r="A1808" t="str">
            <v>C12579</v>
          </cell>
          <cell r="B1808" t="str">
            <v>Organization</v>
          </cell>
          <cell r="C1808" t="str">
            <v>BALMER LAWRIE &amp; CO.LTD., GREASE CHENNAI</v>
          </cell>
          <cell r="D1808" t="str">
            <v>45</v>
          </cell>
        </row>
        <row r="1809">
          <cell r="A1809" t="str">
            <v>C12580</v>
          </cell>
          <cell r="B1809" t="str">
            <v>Organization</v>
          </cell>
          <cell r="C1809" t="str">
            <v>CIIF LUBRICANTS PVT.LTD.</v>
          </cell>
          <cell r="D1809" t="str">
            <v>15</v>
          </cell>
        </row>
        <row r="1810">
          <cell r="A1810" t="str">
            <v>C12581</v>
          </cell>
          <cell r="B1810" t="str">
            <v>Organization</v>
          </cell>
          <cell r="C1810" t="str">
            <v>FLEETGUARD FILTERS PVT. LTD.</v>
          </cell>
          <cell r="D1810" t="str">
            <v>15</v>
          </cell>
        </row>
        <row r="1811">
          <cell r="A1811" t="str">
            <v>C12582</v>
          </cell>
          <cell r="B1811" t="str">
            <v>Organization</v>
          </cell>
          <cell r="C1811" t="str">
            <v>GARGI HUTTENES ALBERTUS PVT. LTD.</v>
          </cell>
          <cell r="D1811" t="str">
            <v>30</v>
          </cell>
        </row>
        <row r="1812">
          <cell r="A1812" t="str">
            <v>c12583</v>
          </cell>
          <cell r="B1812" t="str">
            <v>Organization</v>
          </cell>
          <cell r="C1812" t="str">
            <v>ELECTRONIC DEVICES WORLDWIDE PVT. LTD.</v>
          </cell>
          <cell r="D1812" t="str">
            <v>1</v>
          </cell>
        </row>
        <row r="1813">
          <cell r="A1813" t="str">
            <v>C12584</v>
          </cell>
          <cell r="B1813" t="str">
            <v>Organization</v>
          </cell>
          <cell r="C1813" t="str">
            <v>ARIES INDUSTRIAL CORPORATION</v>
          </cell>
          <cell r="D1813" t="str">
            <v>0</v>
          </cell>
        </row>
        <row r="1814">
          <cell r="A1814" t="str">
            <v>C12585</v>
          </cell>
          <cell r="B1814" t="str">
            <v>Organization</v>
          </cell>
          <cell r="C1814" t="str">
            <v>MEHER PETRO CHEM PVT. LTD.</v>
          </cell>
          <cell r="D1814" t="str">
            <v>1</v>
          </cell>
        </row>
        <row r="1815">
          <cell r="A1815" t="str">
            <v>C12586</v>
          </cell>
          <cell r="B1815" t="str">
            <v>Organization</v>
          </cell>
          <cell r="C1815" t="str">
            <v>K.T. KUBAL AND COMPANY PVT. LTD.</v>
          </cell>
          <cell r="D1815" t="str">
            <v>7</v>
          </cell>
        </row>
        <row r="1816">
          <cell r="A1816" t="str">
            <v>C12587</v>
          </cell>
          <cell r="B1816" t="str">
            <v>Organization</v>
          </cell>
          <cell r="C1816" t="str">
            <v>SP CONCARE PVT LTD</v>
          </cell>
          <cell r="D1816" t="str">
            <v>0</v>
          </cell>
        </row>
        <row r="1817">
          <cell r="A1817" t="str">
            <v>C12588</v>
          </cell>
          <cell r="B1817" t="str">
            <v>Organization</v>
          </cell>
          <cell r="C1817" t="str">
            <v>CHEMTROL INDUSTRIES LTD</v>
          </cell>
          <cell r="D1817" t="str">
            <v>0</v>
          </cell>
        </row>
        <row r="1818">
          <cell r="A1818" t="str">
            <v>C12589</v>
          </cell>
          <cell r="B1818" t="str">
            <v>Organization</v>
          </cell>
          <cell r="C1818" t="str">
            <v>SAREX OVERSEAS</v>
          </cell>
          <cell r="D1818" t="str">
            <v>0</v>
          </cell>
        </row>
        <row r="1819">
          <cell r="A1819" t="str">
            <v>C12590</v>
          </cell>
          <cell r="B1819" t="str">
            <v>Organization</v>
          </cell>
          <cell r="C1819" t="str">
            <v>CONMIX PRO-BUILD INDIA PVT.LTD</v>
          </cell>
          <cell r="D1819" t="str">
            <v>0</v>
          </cell>
        </row>
        <row r="1820">
          <cell r="A1820" t="str">
            <v>C12591</v>
          </cell>
          <cell r="B1820" t="str">
            <v>Organization</v>
          </cell>
          <cell r="C1820" t="str">
            <v>DYECHEM INTERNATIONAL PVT LTD.</v>
          </cell>
          <cell r="D1820" t="str">
            <v>0</v>
          </cell>
        </row>
        <row r="1821">
          <cell r="A1821" t="str">
            <v>C12592</v>
          </cell>
          <cell r="B1821" t="str">
            <v>Organization</v>
          </cell>
          <cell r="C1821" t="str">
            <v>KUBO CHEMICALS PVT. LTD.</v>
          </cell>
          <cell r="D1821" t="str">
            <v>30</v>
          </cell>
        </row>
        <row r="1822">
          <cell r="A1822" t="str">
            <v>C12593</v>
          </cell>
          <cell r="B1822" t="str">
            <v>Organization</v>
          </cell>
          <cell r="C1822" t="str">
            <v>R. C. TRADING COMPANY</v>
          </cell>
          <cell r="D1822" t="str">
            <v>1</v>
          </cell>
        </row>
        <row r="1823">
          <cell r="A1823" t="str">
            <v>C12594</v>
          </cell>
          <cell r="B1823" t="str">
            <v>Organization</v>
          </cell>
          <cell r="C1823" t="str">
            <v>VIDYA PETROLEUM INDIA PVT LTD</v>
          </cell>
          <cell r="D1823" t="str">
            <v>0</v>
          </cell>
        </row>
        <row r="1824">
          <cell r="A1824" t="str">
            <v>C12595</v>
          </cell>
          <cell r="B1824" t="str">
            <v>Organization</v>
          </cell>
          <cell r="C1824" t="str">
            <v>SANJEEV STEEL DRUMS</v>
          </cell>
          <cell r="D1824" t="str">
            <v>30</v>
          </cell>
        </row>
        <row r="1825">
          <cell r="A1825" t="str">
            <v>C12596</v>
          </cell>
          <cell r="B1825" t="str">
            <v>Organization</v>
          </cell>
          <cell r="C1825" t="str">
            <v>KONVERTOR PACKAGING SOLUTIONS PVT.LTD.</v>
          </cell>
          <cell r="D1825" t="str">
            <v>30</v>
          </cell>
        </row>
        <row r="1826">
          <cell r="A1826" t="str">
            <v>C12597</v>
          </cell>
          <cell r="B1826" t="str">
            <v>Organization</v>
          </cell>
          <cell r="C1826" t="str">
            <v>GAMMA COATINGS PVT. LTD</v>
          </cell>
          <cell r="D1826" t="str">
            <v>0</v>
          </cell>
        </row>
        <row r="1827">
          <cell r="A1827" t="str">
            <v>C12598</v>
          </cell>
          <cell r="B1827" t="str">
            <v>Organization</v>
          </cell>
          <cell r="C1827" t="str">
            <v>MICOLUBE INDIA LIMITED</v>
          </cell>
          <cell r="D1827" t="str">
            <v>0</v>
          </cell>
        </row>
        <row r="1828">
          <cell r="A1828" t="str">
            <v>C12599</v>
          </cell>
          <cell r="B1828" t="str">
            <v>Organization</v>
          </cell>
          <cell r="C1828" t="str">
            <v>SRI SURYA CHAKRA AGRO PRODUCTS PVT. LTD.</v>
          </cell>
          <cell r="D1828" t="str">
            <v>0</v>
          </cell>
        </row>
        <row r="1829">
          <cell r="A1829" t="str">
            <v>C12600</v>
          </cell>
          <cell r="B1829" t="str">
            <v>Organization</v>
          </cell>
          <cell r="C1829" t="str">
            <v>ELOFIC INDUSTRIES LTD.</v>
          </cell>
          <cell r="D1829" t="str">
            <v>0</v>
          </cell>
        </row>
        <row r="1830">
          <cell r="A1830" t="str">
            <v>c12601</v>
          </cell>
          <cell r="B1830" t="str">
            <v>Organization</v>
          </cell>
          <cell r="C1830" t="str">
            <v>Taloja Petrochemicals Pvt.Ltd.</v>
          </cell>
          <cell r="D1830" t="str">
            <v>30</v>
          </cell>
        </row>
        <row r="1831">
          <cell r="A1831" t="str">
            <v>C12602</v>
          </cell>
          <cell r="B1831" t="str">
            <v>Organization</v>
          </cell>
          <cell r="C1831" t="str">
            <v>GREENLEAF EXTRACTIONS PVT LTD</v>
          </cell>
          <cell r="D1831" t="str">
            <v>0</v>
          </cell>
        </row>
        <row r="1832">
          <cell r="A1832" t="str">
            <v>C12603</v>
          </cell>
          <cell r="B1832" t="str">
            <v>Organization</v>
          </cell>
          <cell r="C1832" t="str">
            <v>VIGIROM CHEM PVT.LTD.,BANGALORE</v>
          </cell>
          <cell r="D1832" t="str">
            <v>7</v>
          </cell>
        </row>
        <row r="1833">
          <cell r="A1833" t="str">
            <v>C12604</v>
          </cell>
          <cell r="B1833" t="str">
            <v>Organization</v>
          </cell>
          <cell r="C1833" t="str">
            <v>BHARAT RASAYAN LIMITED (DAHEJ)</v>
          </cell>
          <cell r="D1833" t="str">
            <v>30</v>
          </cell>
        </row>
        <row r="1834">
          <cell r="A1834" t="str">
            <v>C12605</v>
          </cell>
          <cell r="B1834" t="str">
            <v>Organization</v>
          </cell>
          <cell r="C1834" t="str">
            <v>CRYSTAL CORPORATION</v>
          </cell>
          <cell r="D1834" t="str">
            <v>1</v>
          </cell>
        </row>
        <row r="1835">
          <cell r="A1835" t="str">
            <v>C12606</v>
          </cell>
          <cell r="B1835" t="str">
            <v>Organization</v>
          </cell>
          <cell r="C1835" t="str">
            <v>HUNTSMAN INTERNATIONAL (I) PVT. LTD,CHAKAN</v>
          </cell>
          <cell r="D1835" t="str">
            <v>60</v>
          </cell>
        </row>
        <row r="1836">
          <cell r="A1836" t="str">
            <v>C12607</v>
          </cell>
          <cell r="B1836" t="str">
            <v>Organization</v>
          </cell>
          <cell r="C1836" t="str">
            <v>MULTICHEM INDUSTRIES</v>
          </cell>
          <cell r="D1836" t="str">
            <v>30</v>
          </cell>
        </row>
        <row r="1837">
          <cell r="A1837" t="str">
            <v>C12608</v>
          </cell>
          <cell r="B1837" t="str">
            <v>Organization</v>
          </cell>
          <cell r="C1837" t="str">
            <v>PAN ASIA PETROLEUM PVT. LTD. A/C. CHEMOLEUMS INDIA PVT. LTD.</v>
          </cell>
          <cell r="D1837" t="str">
            <v>30</v>
          </cell>
        </row>
        <row r="1838">
          <cell r="A1838" t="str">
            <v>C12609</v>
          </cell>
          <cell r="B1838" t="str">
            <v>Organization</v>
          </cell>
          <cell r="C1838" t="str">
            <v>ADARSH PLANT PROTECT LIMITED,V.UDYOGNAGAR</v>
          </cell>
          <cell r="D1838" t="str">
            <v>60</v>
          </cell>
        </row>
        <row r="1839">
          <cell r="A1839" t="str">
            <v>C12610</v>
          </cell>
          <cell r="B1839" t="str">
            <v>Organization</v>
          </cell>
          <cell r="C1839" t="str">
            <v>CADILA PHARMACEUTICALS LTD (ANKLESHWAR)</v>
          </cell>
          <cell r="D1839" t="str">
            <v>30</v>
          </cell>
        </row>
        <row r="1840">
          <cell r="A1840" t="str">
            <v>C12611</v>
          </cell>
          <cell r="B1840" t="str">
            <v>Organization</v>
          </cell>
          <cell r="C1840" t="str">
            <v>TIN BOX COMPANY (BHIWADI)</v>
          </cell>
          <cell r="D1840" t="str">
            <v>90</v>
          </cell>
        </row>
        <row r="1841">
          <cell r="A1841" t="str">
            <v>C12612</v>
          </cell>
          <cell r="B1841" t="str">
            <v>Organization</v>
          </cell>
          <cell r="C1841" t="str">
            <v>BOSHKEH SAZI FOODLAD SALAFCHEGAN</v>
          </cell>
          <cell r="D1841" t="str">
            <v>45</v>
          </cell>
        </row>
        <row r="1842">
          <cell r="A1842" t="str">
            <v>C12613</v>
          </cell>
          <cell r="B1842" t="str">
            <v>Organization</v>
          </cell>
          <cell r="C1842" t="str">
            <v>BHAGWATI FERRO METALS PVT. LTD.</v>
          </cell>
          <cell r="D1842" t="str">
            <v>1</v>
          </cell>
        </row>
        <row r="1843">
          <cell r="A1843" t="str">
            <v>C12614</v>
          </cell>
          <cell r="B1843" t="str">
            <v>Organization</v>
          </cell>
          <cell r="C1843" t="str">
            <v>PKM FINE FOODS</v>
          </cell>
          <cell r="D1843" t="str">
            <v>0</v>
          </cell>
        </row>
        <row r="1844">
          <cell r="A1844" t="str">
            <v>C12615</v>
          </cell>
          <cell r="B1844" t="str">
            <v>Organization</v>
          </cell>
          <cell r="C1844" t="str">
            <v>GUJARAT CONTAINERS LTD., BHARUCH</v>
          </cell>
          <cell r="D1844" t="str">
            <v>60</v>
          </cell>
        </row>
        <row r="1845">
          <cell r="A1845" t="str">
            <v>C12616</v>
          </cell>
          <cell r="B1845" t="str">
            <v>Organization</v>
          </cell>
          <cell r="C1845" t="str">
            <v>ARTECO COOLANTS INDIA PVT LTD</v>
          </cell>
          <cell r="D1845" t="str">
            <v>30</v>
          </cell>
        </row>
        <row r="1846">
          <cell r="A1846" t="str">
            <v>C12617</v>
          </cell>
          <cell r="B1846" t="str">
            <v>Organization</v>
          </cell>
          <cell r="C1846" t="str">
            <v>VISCOL LUBEX (INDIA) PRIVATE LIMITED</v>
          </cell>
          <cell r="D1846" t="str">
            <v>0</v>
          </cell>
        </row>
        <row r="1847">
          <cell r="A1847" t="str">
            <v>C12618</v>
          </cell>
          <cell r="B1847" t="str">
            <v>Organization</v>
          </cell>
          <cell r="C1847" t="str">
            <v>MHALASA TECHSOL</v>
          </cell>
          <cell r="D1847" t="str">
            <v>30</v>
          </cell>
        </row>
        <row r="1848">
          <cell r="A1848" t="str">
            <v>C12619</v>
          </cell>
          <cell r="B1848" t="str">
            <v>Organization</v>
          </cell>
          <cell r="C1848" t="str">
            <v>M&amp;M ENGINEERS</v>
          </cell>
          <cell r="D1848" t="str">
            <v>30</v>
          </cell>
        </row>
        <row r="1849">
          <cell r="A1849" t="str">
            <v>C12620</v>
          </cell>
          <cell r="B1849" t="str">
            <v>Organization</v>
          </cell>
          <cell r="C1849" t="str">
            <v>INDIAN INDUSTRIES</v>
          </cell>
          <cell r="D1849" t="str">
            <v>7</v>
          </cell>
        </row>
        <row r="1850">
          <cell r="A1850" t="str">
            <v>C12621</v>
          </cell>
          <cell r="B1850" t="str">
            <v>Organization</v>
          </cell>
          <cell r="C1850" t="str">
            <v>RESWI</v>
          </cell>
          <cell r="D1850" t="str">
            <v>0</v>
          </cell>
        </row>
        <row r="1851">
          <cell r="A1851" t="str">
            <v>C12622</v>
          </cell>
          <cell r="B1851" t="str">
            <v>Organization</v>
          </cell>
          <cell r="C1851" t="str">
            <v>K S INCTECH PVT LTD</v>
          </cell>
          <cell r="D1851" t="str">
            <v>30</v>
          </cell>
        </row>
        <row r="1852">
          <cell r="A1852" t="str">
            <v>C12622_044</v>
          </cell>
          <cell r="B1852" t="str">
            <v>Organization</v>
          </cell>
          <cell r="C1852" t="str">
            <v>K S INTECH PVT LTD (CLOSED)</v>
          </cell>
          <cell r="D1852" t="str">
            <v>0</v>
          </cell>
        </row>
        <row r="1853">
          <cell r="A1853" t="str">
            <v>C12623</v>
          </cell>
          <cell r="B1853" t="str">
            <v>Organization</v>
          </cell>
          <cell r="C1853" t="str">
            <v>RIDDHI IRON AND STEEL PVT. LTD.</v>
          </cell>
          <cell r="D1853" t="str">
            <v>0</v>
          </cell>
        </row>
        <row r="1854">
          <cell r="A1854" t="str">
            <v>C12624</v>
          </cell>
          <cell r="B1854" t="str">
            <v>Organization</v>
          </cell>
          <cell r="C1854" t="str">
            <v>DORF KETAL CHEMICALS INDIA PVT.LTD., SILVASSA</v>
          </cell>
          <cell r="D1854" t="str">
            <v>60</v>
          </cell>
        </row>
        <row r="1855">
          <cell r="A1855" t="str">
            <v>C12625</v>
          </cell>
          <cell r="B1855" t="str">
            <v>Organization</v>
          </cell>
          <cell r="C1855" t="str">
            <v>SUPERIOR CANS &amp; PAILS CONTAINERS (PUNE) PVT.LTD.</v>
          </cell>
          <cell r="D1855" t="str">
            <v>7</v>
          </cell>
        </row>
        <row r="1856">
          <cell r="A1856" t="str">
            <v>C12626</v>
          </cell>
          <cell r="B1856" t="str">
            <v>Organization</v>
          </cell>
          <cell r="C1856" t="str">
            <v>APTUS DRUMS AND CONTAINERS</v>
          </cell>
          <cell r="D1856" t="str">
            <v>1</v>
          </cell>
        </row>
        <row r="1857">
          <cell r="A1857" t="str">
            <v>C12627</v>
          </cell>
          <cell r="B1857" t="str">
            <v>Organization</v>
          </cell>
          <cell r="C1857" t="str">
            <v>PROCESS ENTERPRISES</v>
          </cell>
          <cell r="D1857" t="str">
            <v>0</v>
          </cell>
        </row>
        <row r="1858">
          <cell r="A1858" t="str">
            <v>C12628</v>
          </cell>
          <cell r="B1858" t="str">
            <v>Organization</v>
          </cell>
          <cell r="C1858" t="str">
            <v>ARHAM ENTERPRISE</v>
          </cell>
          <cell r="D1858" t="str">
            <v>60</v>
          </cell>
        </row>
        <row r="1859">
          <cell r="A1859" t="str">
            <v>C12629</v>
          </cell>
          <cell r="B1859" t="str">
            <v>Organization</v>
          </cell>
          <cell r="C1859" t="str">
            <v>GLOBE CHEMIE</v>
          </cell>
          <cell r="D1859" t="str">
            <v>0</v>
          </cell>
        </row>
        <row r="1860">
          <cell r="A1860" t="str">
            <v>C12630</v>
          </cell>
          <cell r="B1860" t="str">
            <v>Organization</v>
          </cell>
          <cell r="C1860" t="str">
            <v>KANUNGO FERROMET PVT. LTD.</v>
          </cell>
          <cell r="D1860" t="str">
            <v>0</v>
          </cell>
        </row>
        <row r="1861">
          <cell r="A1861" t="str">
            <v>C12631</v>
          </cell>
          <cell r="B1861" t="str">
            <v>Organization</v>
          </cell>
          <cell r="C1861" t="str">
            <v>DABIR PRECITECH PVT LTD.</v>
          </cell>
          <cell r="D1861" t="str">
            <v>0</v>
          </cell>
        </row>
        <row r="1862">
          <cell r="A1862" t="str">
            <v>C12632</v>
          </cell>
          <cell r="B1862" t="str">
            <v>Organization</v>
          </cell>
          <cell r="C1862" t="str">
            <v>VISHAL ENTERPRISES</v>
          </cell>
          <cell r="D1862" t="str">
            <v>0</v>
          </cell>
        </row>
        <row r="1863">
          <cell r="A1863" t="str">
            <v>C12633</v>
          </cell>
          <cell r="B1863" t="str">
            <v>Organization</v>
          </cell>
          <cell r="C1863" t="str">
            <v>SMK PETROCHEMICALS INDIA PVT LTD</v>
          </cell>
          <cell r="D1863" t="str">
            <v>0</v>
          </cell>
        </row>
        <row r="1864">
          <cell r="A1864" t="str">
            <v>C12634</v>
          </cell>
          <cell r="B1864" t="str">
            <v>Organization</v>
          </cell>
          <cell r="C1864" t="str">
            <v>PANAMA PETROCHEM LTD (DAHEJ)</v>
          </cell>
          <cell r="D1864" t="str">
            <v>7</v>
          </cell>
        </row>
        <row r="1865">
          <cell r="A1865" t="str">
            <v>C12635</v>
          </cell>
          <cell r="B1865" t="str">
            <v>Organization</v>
          </cell>
          <cell r="C1865" t="str">
            <v>INGLOBE EXPORTS</v>
          </cell>
          <cell r="D1865" t="str">
            <v>7</v>
          </cell>
        </row>
        <row r="1866">
          <cell r="A1866" t="str">
            <v>C12636</v>
          </cell>
          <cell r="B1866" t="str">
            <v>Organization</v>
          </cell>
          <cell r="C1866" t="str">
            <v>ATUL ENGINEERING CORPORATION</v>
          </cell>
          <cell r="D1866" t="str">
            <v>0</v>
          </cell>
        </row>
        <row r="1867">
          <cell r="A1867" t="str">
            <v>C12637</v>
          </cell>
          <cell r="B1867" t="str">
            <v>Organization</v>
          </cell>
          <cell r="C1867" t="str">
            <v>DIVYARATNA AGROTECH PVT LTD</v>
          </cell>
          <cell r="D1867" t="str">
            <v>0</v>
          </cell>
        </row>
        <row r="1868">
          <cell r="A1868" t="str">
            <v>C12638</v>
          </cell>
          <cell r="B1868" t="str">
            <v>Organization</v>
          </cell>
          <cell r="C1868" t="str">
            <v>AGARWAL SALES CORPORATION</v>
          </cell>
          <cell r="D1868" t="str">
            <v>0</v>
          </cell>
        </row>
        <row r="1869">
          <cell r="A1869" t="str">
            <v>C12639</v>
          </cell>
          <cell r="B1869" t="str">
            <v>Organization</v>
          </cell>
          <cell r="C1869" t="str">
            <v>FABRICAN</v>
          </cell>
          <cell r="D1869" t="str">
            <v>7</v>
          </cell>
        </row>
        <row r="1870">
          <cell r="A1870" t="str">
            <v>C12640</v>
          </cell>
          <cell r="B1870" t="str">
            <v>Organization</v>
          </cell>
          <cell r="C1870" t="str">
            <v>AVT NATURAL PRODUCTS LIMITED</v>
          </cell>
          <cell r="D1870" t="str">
            <v>30</v>
          </cell>
        </row>
        <row r="1871">
          <cell r="A1871" t="str">
            <v>C12641</v>
          </cell>
          <cell r="B1871" t="str">
            <v>Organization</v>
          </cell>
          <cell r="C1871" t="str">
            <v>KERATECH COCONUT OIL MFG CO PVT LTD</v>
          </cell>
          <cell r="D1871" t="str">
            <v>0</v>
          </cell>
        </row>
        <row r="1872">
          <cell r="A1872" t="str">
            <v>C12642</v>
          </cell>
          <cell r="B1872" t="str">
            <v>Organization</v>
          </cell>
          <cell r="C1872" t="str">
            <v>FLINT GROUP INDIA PVT. LTD</v>
          </cell>
          <cell r="D1872" t="str">
            <v>30</v>
          </cell>
        </row>
        <row r="1873">
          <cell r="A1873" t="str">
            <v>C12643</v>
          </cell>
          <cell r="B1873" t="str">
            <v>Organization</v>
          </cell>
          <cell r="C1873" t="str">
            <v>ARMSTRONG CHEMICALS PVT LTD</v>
          </cell>
          <cell r="D1873" t="str">
            <v>30</v>
          </cell>
        </row>
        <row r="1874">
          <cell r="A1874" t="str">
            <v>C12644</v>
          </cell>
          <cell r="B1874" t="str">
            <v>Organization</v>
          </cell>
          <cell r="C1874" t="str">
            <v>NEOSYM INDUSTRY LIMITED</v>
          </cell>
          <cell r="D1874" t="str">
            <v>0</v>
          </cell>
        </row>
        <row r="1875">
          <cell r="A1875" t="str">
            <v>C12645</v>
          </cell>
          <cell r="B1875" t="str">
            <v>Organization</v>
          </cell>
          <cell r="C1875" t="str">
            <v>SARK SPICE PRODUCTS PVT. LTD.</v>
          </cell>
          <cell r="D1875" t="str">
            <v>30</v>
          </cell>
        </row>
        <row r="1876">
          <cell r="A1876" t="str">
            <v>C12646</v>
          </cell>
          <cell r="B1876" t="str">
            <v>Organization</v>
          </cell>
          <cell r="C1876" t="str">
            <v>MEXICOL LUBRITECH PVT LTD.</v>
          </cell>
          <cell r="D1876" t="str">
            <v>0</v>
          </cell>
        </row>
        <row r="1877">
          <cell r="A1877" t="str">
            <v>C12647</v>
          </cell>
          <cell r="B1877" t="str">
            <v>Organization</v>
          </cell>
          <cell r="C1877" t="str">
            <v>KERALA STATE RUBBER CO-OPERATIVE LTD., RUBCO</v>
          </cell>
          <cell r="D1877" t="str">
            <v>0</v>
          </cell>
        </row>
        <row r="1878">
          <cell r="A1878" t="str">
            <v>C12648</v>
          </cell>
          <cell r="B1878" t="str">
            <v>Organization</v>
          </cell>
          <cell r="C1878" t="str">
            <v>BHOOMI NATURAL PRODUCTS &amp; EXPORT PVT. LTD.</v>
          </cell>
          <cell r="D1878" t="str">
            <v>0</v>
          </cell>
        </row>
        <row r="1879">
          <cell r="A1879" t="str">
            <v>C12649</v>
          </cell>
          <cell r="B1879" t="str">
            <v>Organization</v>
          </cell>
          <cell r="C1879" t="str">
            <v>STERLITE LUBRICANTS PVT. LTD.</v>
          </cell>
          <cell r="D1879" t="str">
            <v>0</v>
          </cell>
        </row>
        <row r="1880">
          <cell r="A1880" t="str">
            <v>C12650</v>
          </cell>
          <cell r="B1880" t="str">
            <v>Organization</v>
          </cell>
          <cell r="C1880" t="str">
            <v>MRT ORGANIC GREEN PRODUCTS</v>
          </cell>
          <cell r="D1880" t="str">
            <v>0</v>
          </cell>
        </row>
        <row r="1881">
          <cell r="A1881" t="str">
            <v>C12651</v>
          </cell>
          <cell r="B1881" t="str">
            <v>Organization</v>
          </cell>
          <cell r="C1881" t="str">
            <v>CLEAN HOME PRODUCT</v>
          </cell>
          <cell r="D1881" t="str">
            <v>30</v>
          </cell>
        </row>
        <row r="1882">
          <cell r="A1882" t="str">
            <v>C12652</v>
          </cell>
          <cell r="B1882" t="str">
            <v>Organization</v>
          </cell>
          <cell r="C1882" t="str">
            <v>HAKIM COMPANY FOR INDUSTRY AND TRADE</v>
          </cell>
          <cell r="D1882" t="str">
            <v>0</v>
          </cell>
        </row>
        <row r="1883">
          <cell r="A1883" t="str">
            <v>C12653</v>
          </cell>
          <cell r="B1883" t="str">
            <v>Organization</v>
          </cell>
          <cell r="C1883" t="str">
            <v>SUPREME CHEMICALS</v>
          </cell>
          <cell r="D1883" t="str">
            <v>0</v>
          </cell>
        </row>
        <row r="1884">
          <cell r="A1884" t="str">
            <v>C12654</v>
          </cell>
          <cell r="B1884" t="str">
            <v>Organization</v>
          </cell>
          <cell r="C1884" t="str">
            <v>AARUSHI SPECIALITY CHEMICALS PVT.LTD.</v>
          </cell>
          <cell r="D1884" t="str">
            <v>7</v>
          </cell>
        </row>
        <row r="1885">
          <cell r="A1885" t="str">
            <v>C12655</v>
          </cell>
          <cell r="B1885" t="str">
            <v>Organization</v>
          </cell>
          <cell r="C1885" t="str">
            <v>SAIKRUPA POLYMERS</v>
          </cell>
          <cell r="D1885" t="str">
            <v>0</v>
          </cell>
        </row>
        <row r="1886">
          <cell r="A1886" t="str">
            <v>C12656</v>
          </cell>
          <cell r="B1886" t="str">
            <v>Organization</v>
          </cell>
          <cell r="C1886" t="str">
            <v>GURUDEV CONTAINERS PVT.LTD.</v>
          </cell>
          <cell r="D1886" t="str">
            <v>7</v>
          </cell>
        </row>
        <row r="1887">
          <cell r="A1887" t="str">
            <v>C12657</v>
          </cell>
          <cell r="B1887" t="str">
            <v>Organization</v>
          </cell>
          <cell r="C1887" t="str">
            <v>VALLABHDAS KANJI LTD.</v>
          </cell>
          <cell r="D1887" t="str">
            <v>0</v>
          </cell>
        </row>
        <row r="1888">
          <cell r="A1888" t="str">
            <v>C12658</v>
          </cell>
          <cell r="B1888" t="str">
            <v>Organization</v>
          </cell>
          <cell r="C1888" t="str">
            <v>RRP GLYCO  TECHNOLOGY PVT. LTD.</v>
          </cell>
          <cell r="D1888" t="str">
            <v>0</v>
          </cell>
        </row>
        <row r="1889">
          <cell r="A1889" t="str">
            <v>C12659</v>
          </cell>
          <cell r="B1889" t="str">
            <v>Organization</v>
          </cell>
          <cell r="C1889" t="str">
            <v>AFLAH STEEL</v>
          </cell>
          <cell r="D1889" t="str">
            <v>0</v>
          </cell>
        </row>
        <row r="1890">
          <cell r="A1890" t="str">
            <v>C12660</v>
          </cell>
          <cell r="B1890" t="str">
            <v>Organization</v>
          </cell>
          <cell r="C1890" t="str">
            <v>R.R.LUBRICANTS</v>
          </cell>
          <cell r="D1890" t="str">
            <v>0</v>
          </cell>
        </row>
        <row r="1891">
          <cell r="A1891" t="str">
            <v>C12661</v>
          </cell>
          <cell r="B1891" t="str">
            <v>Organization</v>
          </cell>
          <cell r="C1891" t="str">
            <v>SHIELD LUBRICANTS &amp; SPECIALITIES PVT LTD</v>
          </cell>
          <cell r="D1891" t="str">
            <v>0</v>
          </cell>
        </row>
        <row r="1892">
          <cell r="A1892" t="str">
            <v>C12662</v>
          </cell>
          <cell r="B1892" t="str">
            <v>Organization</v>
          </cell>
          <cell r="C1892" t="str">
            <v>SYNGENTA CROP PROTECTION PVT LTD</v>
          </cell>
          <cell r="D1892" t="str">
            <v>60</v>
          </cell>
        </row>
        <row r="1893">
          <cell r="A1893" t="str">
            <v>C12663</v>
          </cell>
          <cell r="B1893" t="str">
            <v>Organization</v>
          </cell>
          <cell r="C1893" t="str">
            <v>DR.KAMATS LABOORATORIES PVT LTD</v>
          </cell>
          <cell r="D1893" t="str">
            <v>0</v>
          </cell>
        </row>
        <row r="1894">
          <cell r="A1894" t="str">
            <v>C12664</v>
          </cell>
          <cell r="B1894" t="str">
            <v>Organization</v>
          </cell>
          <cell r="C1894" t="str">
            <v>NPL BLUESKY AUTOMOTIVE PVT LTD.</v>
          </cell>
          <cell r="D1894" t="str">
            <v>30</v>
          </cell>
        </row>
        <row r="1895">
          <cell r="A1895" t="str">
            <v>C12665</v>
          </cell>
          <cell r="B1895" t="str">
            <v>Organization</v>
          </cell>
          <cell r="C1895" t="str">
            <v>SHREE BHAGAVATHI CHEMICALS</v>
          </cell>
          <cell r="D1895" t="str">
            <v>0</v>
          </cell>
        </row>
        <row r="1896">
          <cell r="A1896" t="str">
            <v>C12666</v>
          </cell>
          <cell r="B1896" t="str">
            <v>Organization</v>
          </cell>
          <cell r="C1896" t="str">
            <v>CRUST CRUMB FOOD INGREDIENTS PVT. LTD.</v>
          </cell>
          <cell r="D1896" t="str">
            <v>0</v>
          </cell>
        </row>
        <row r="1897">
          <cell r="A1897" t="str">
            <v>C12667</v>
          </cell>
          <cell r="B1897" t="str">
            <v>Organization</v>
          </cell>
          <cell r="C1897" t="str">
            <v>GREIF HUA I TAIWAN CO LTD</v>
          </cell>
          <cell r="D1897" t="str">
            <v>0</v>
          </cell>
        </row>
        <row r="1898">
          <cell r="A1898" t="str">
            <v>C12668</v>
          </cell>
          <cell r="B1898" t="str">
            <v>Organization</v>
          </cell>
          <cell r="C1898" t="str">
            <v>GEOFLUID PROCESSORS PVT LTD</v>
          </cell>
          <cell r="D1898" t="str">
            <v>0</v>
          </cell>
        </row>
        <row r="1899">
          <cell r="A1899" t="str">
            <v>C12669</v>
          </cell>
          <cell r="B1899" t="str">
            <v>Organization</v>
          </cell>
          <cell r="C1899" t="str">
            <v>QUEBEC PETROLEUM RESOURCES LTD</v>
          </cell>
          <cell r="D1899" t="str">
            <v>7</v>
          </cell>
        </row>
        <row r="1900">
          <cell r="A1900" t="str">
            <v>C12670</v>
          </cell>
          <cell r="B1900" t="str">
            <v>Organization</v>
          </cell>
          <cell r="C1900" t="str">
            <v>KB LUBES PVT. LTD.</v>
          </cell>
          <cell r="D1900" t="str">
            <v>0</v>
          </cell>
        </row>
        <row r="1901">
          <cell r="A1901" t="str">
            <v>C12671</v>
          </cell>
          <cell r="B1901" t="str">
            <v>Organization</v>
          </cell>
          <cell r="C1901" t="str">
            <v>PRASAN SOLUTIONS (INDIA) PVT. LTD.</v>
          </cell>
          <cell r="D1901" t="str">
            <v>0</v>
          </cell>
        </row>
        <row r="1902">
          <cell r="A1902" t="str">
            <v>C12672</v>
          </cell>
          <cell r="B1902" t="str">
            <v>Organization</v>
          </cell>
          <cell r="C1902" t="str">
            <v>ROYAL ENTERPRISES</v>
          </cell>
          <cell r="D1902" t="str">
            <v>0</v>
          </cell>
        </row>
        <row r="1903">
          <cell r="A1903" t="str">
            <v>C12673</v>
          </cell>
          <cell r="B1903" t="str">
            <v>Organization</v>
          </cell>
          <cell r="C1903" t="str">
            <v>IDEMITSU LUBE INDIA PVT. LTD</v>
          </cell>
          <cell r="D1903" t="str">
            <v>30</v>
          </cell>
        </row>
        <row r="1904">
          <cell r="A1904" t="str">
            <v>C12674</v>
          </cell>
          <cell r="B1904" t="str">
            <v>Organization</v>
          </cell>
          <cell r="C1904" t="str">
            <v>MINERVA FLAVOURS AND FRAGRANCE</v>
          </cell>
          <cell r="D1904" t="str">
            <v>0</v>
          </cell>
        </row>
        <row r="1905">
          <cell r="A1905" t="str">
            <v>C12675</v>
          </cell>
          <cell r="B1905" t="str">
            <v>Organization</v>
          </cell>
          <cell r="C1905" t="str">
            <v>SHREE BALAJI CONTAINERS</v>
          </cell>
          <cell r="D1905" t="str">
            <v>7</v>
          </cell>
        </row>
        <row r="1906">
          <cell r="A1906" t="str">
            <v>C12676</v>
          </cell>
          <cell r="B1906" t="str">
            <v>Organization</v>
          </cell>
          <cell r="C1906" t="str">
            <v>RAJESH JUTHANI</v>
          </cell>
          <cell r="D1906" t="str">
            <v>0</v>
          </cell>
        </row>
        <row r="1907">
          <cell r="A1907" t="str">
            <v>C12677</v>
          </cell>
          <cell r="B1907" t="str">
            <v>Organization</v>
          </cell>
          <cell r="C1907" t="str">
            <v>UNIVERSAL CONTAINERS PVT.LTD.(SATARA)</v>
          </cell>
          <cell r="D1907" t="str">
            <v>45</v>
          </cell>
        </row>
        <row r="1908">
          <cell r="A1908" t="str">
            <v>C12678</v>
          </cell>
          <cell r="B1908" t="str">
            <v>Organization</v>
          </cell>
          <cell r="C1908" t="str">
            <v>COATINGS &amp; COATINGS (I) PVT. LTD.</v>
          </cell>
          <cell r="D1908" t="str">
            <v>0</v>
          </cell>
        </row>
        <row r="1909">
          <cell r="A1909" t="str">
            <v>C12679</v>
          </cell>
          <cell r="B1909" t="str">
            <v>Organization</v>
          </cell>
          <cell r="C1909" t="str">
            <v>CENTRAL OIL INDUSTRIES</v>
          </cell>
          <cell r="D1909" t="str">
            <v>0</v>
          </cell>
        </row>
        <row r="1910">
          <cell r="A1910" t="str">
            <v>C12680</v>
          </cell>
          <cell r="B1910" t="str">
            <v>Organization</v>
          </cell>
          <cell r="C1910" t="str">
            <v>PLANT LIPIDS LANKA (PVT) LTD.</v>
          </cell>
          <cell r="D1910" t="str">
            <v>0</v>
          </cell>
        </row>
        <row r="1911">
          <cell r="A1911" t="str">
            <v>C12681</v>
          </cell>
          <cell r="B1911" t="str">
            <v>Organization</v>
          </cell>
          <cell r="C1911" t="str">
            <v>JUBILANT LIFE SCIENCES LTD.(GAJRAULA)</v>
          </cell>
          <cell r="D1911" t="str">
            <v>30</v>
          </cell>
        </row>
        <row r="1912">
          <cell r="A1912" t="str">
            <v>C12682</v>
          </cell>
          <cell r="B1912" t="str">
            <v>Organization</v>
          </cell>
          <cell r="C1912" t="str">
            <v>JEEVAGRAM</v>
          </cell>
          <cell r="D1912" t="str">
            <v>0</v>
          </cell>
        </row>
        <row r="1913">
          <cell r="A1913" t="str">
            <v>C12683</v>
          </cell>
          <cell r="B1913" t="str">
            <v>Organization</v>
          </cell>
          <cell r="C1913" t="str">
            <v>MANKO NATURAL FLAVOURS &amp; EXTRACTS PVT LTD</v>
          </cell>
          <cell r="D1913" t="str">
            <v>0</v>
          </cell>
        </row>
        <row r="1914">
          <cell r="A1914" t="str">
            <v>C12684</v>
          </cell>
          <cell r="B1914" t="str">
            <v>Organization</v>
          </cell>
          <cell r="C1914" t="str">
            <v>NITTA GELATIN INDIA LTD</v>
          </cell>
          <cell r="D1914" t="str">
            <v>0</v>
          </cell>
        </row>
        <row r="1915">
          <cell r="A1915" t="str">
            <v>C12685</v>
          </cell>
          <cell r="B1915" t="str">
            <v>Organization</v>
          </cell>
          <cell r="C1915" t="str">
            <v>JUPITER LEYS PVT. LTD - NAVI MUMBAI</v>
          </cell>
          <cell r="D1915" t="str">
            <v>0</v>
          </cell>
        </row>
        <row r="1916">
          <cell r="A1916" t="str">
            <v>C12686</v>
          </cell>
          <cell r="B1916" t="str">
            <v>Organization</v>
          </cell>
          <cell r="C1916" t="str">
            <v>TECH STEEL PRODUCTS LIMITED.</v>
          </cell>
          <cell r="D1916" t="str">
            <v>0</v>
          </cell>
        </row>
        <row r="1917">
          <cell r="A1917" t="str">
            <v>C12687</v>
          </cell>
          <cell r="B1917" t="str">
            <v>Organization</v>
          </cell>
          <cell r="C1917" t="str">
            <v>STANDARD GREASES &amp; SPECIALITIES  PVT. LTD [MOTUL]</v>
          </cell>
          <cell r="D1917" t="str">
            <v>30</v>
          </cell>
        </row>
        <row r="1918">
          <cell r="A1918" t="str">
            <v>C12688</v>
          </cell>
          <cell r="B1918" t="str">
            <v>Organization</v>
          </cell>
          <cell r="C1918" t="str">
            <v>SUPREME SPECIAL STEELS</v>
          </cell>
          <cell r="D1918" t="str">
            <v>0</v>
          </cell>
        </row>
        <row r="1919">
          <cell r="A1919" t="str">
            <v>C12689</v>
          </cell>
          <cell r="B1919" t="str">
            <v>Organization</v>
          </cell>
          <cell r="C1919" t="str">
            <v>APAR INDUSTRIES LTD. [CONDUCTOR DIV]</v>
          </cell>
          <cell r="D1919" t="str">
            <v>30</v>
          </cell>
        </row>
        <row r="1920">
          <cell r="A1920" t="str">
            <v>C12690</v>
          </cell>
          <cell r="B1920" t="str">
            <v>Organization</v>
          </cell>
          <cell r="C1920" t="str">
            <v>S. R. BARRELS</v>
          </cell>
          <cell r="D1920" t="str">
            <v>45</v>
          </cell>
        </row>
        <row r="1921">
          <cell r="A1921" t="str">
            <v>C12691</v>
          </cell>
          <cell r="B1921" t="str">
            <v>Organization</v>
          </cell>
          <cell r="C1921" t="str">
            <v>GOLECHHA &amp; SONS</v>
          </cell>
          <cell r="D1921" t="str">
            <v>0</v>
          </cell>
        </row>
        <row r="1922">
          <cell r="A1922" t="str">
            <v>C12692</v>
          </cell>
          <cell r="B1922" t="str">
            <v>Organization</v>
          </cell>
          <cell r="C1922" t="str">
            <v>CAR AND HALF.COM PVT LTD.</v>
          </cell>
          <cell r="D1922" t="str">
            <v>0</v>
          </cell>
        </row>
        <row r="1923">
          <cell r="A1923" t="str">
            <v>C12693</v>
          </cell>
          <cell r="B1923" t="str">
            <v>Organization</v>
          </cell>
          <cell r="C1923" t="str">
            <v>KIRTI ENTERPRISES</v>
          </cell>
          <cell r="D1923" t="str">
            <v>30</v>
          </cell>
        </row>
        <row r="1924">
          <cell r="A1924" t="str">
            <v>C12694</v>
          </cell>
          <cell r="B1924" t="str">
            <v>Organization</v>
          </cell>
          <cell r="C1924" t="str">
            <v>GREIF MALAYSIA SDN BHD</v>
          </cell>
          <cell r="D1924" t="str">
            <v>0</v>
          </cell>
        </row>
        <row r="1925">
          <cell r="A1925" t="str">
            <v>C12695</v>
          </cell>
          <cell r="B1925" t="str">
            <v>Organization</v>
          </cell>
          <cell r="C1925" t="str">
            <v>SHAZZM LUBRICANTS PVT. LTD.</v>
          </cell>
          <cell r="D1925" t="str">
            <v>0</v>
          </cell>
        </row>
        <row r="1926">
          <cell r="A1926" t="str">
            <v>C12696</v>
          </cell>
          <cell r="B1926" t="str">
            <v>Organization</v>
          </cell>
          <cell r="C1926" t="str">
            <v>AVANTOR PERFORMANCE MATERIALS INDIA LTD</v>
          </cell>
          <cell r="D1926" t="str">
            <v>60</v>
          </cell>
        </row>
        <row r="1927">
          <cell r="A1927" t="str">
            <v>C12697</v>
          </cell>
          <cell r="B1927" t="str">
            <v>Organization</v>
          </cell>
          <cell r="C1927" t="str">
            <v>MARYAM AHMADI</v>
          </cell>
          <cell r="D1927" t="str">
            <v>1</v>
          </cell>
        </row>
        <row r="1928">
          <cell r="A1928" t="str">
            <v>C12698</v>
          </cell>
          <cell r="B1928" t="str">
            <v>Organization</v>
          </cell>
          <cell r="C1928" t="str">
            <v>SHIV SHAKTI STEEL CORP.</v>
          </cell>
          <cell r="D1928" t="str">
            <v>0</v>
          </cell>
        </row>
        <row r="1929">
          <cell r="A1929" t="str">
            <v>C12699</v>
          </cell>
          <cell r="B1929" t="str">
            <v>Organization</v>
          </cell>
          <cell r="C1929" t="str">
            <v>VENKATAPATHI AROMATICS</v>
          </cell>
          <cell r="D1929" t="str">
            <v>0</v>
          </cell>
        </row>
        <row r="1930">
          <cell r="A1930" t="str">
            <v>C12700</v>
          </cell>
          <cell r="B1930" t="str">
            <v>Organization</v>
          </cell>
          <cell r="C1930" t="str">
            <v>VKL SEASONING PVT. LTD.</v>
          </cell>
          <cell r="D1930" t="str">
            <v>0</v>
          </cell>
        </row>
        <row r="1931">
          <cell r="A1931" t="str">
            <v>C12701</v>
          </cell>
          <cell r="B1931" t="str">
            <v>Organization</v>
          </cell>
          <cell r="C1931" t="str">
            <v>AMBIKA WASTE MANAGEMENT PVT. LTD.</v>
          </cell>
          <cell r="D1931" t="str">
            <v>0</v>
          </cell>
        </row>
        <row r="1932">
          <cell r="A1932" t="str">
            <v>C12702</v>
          </cell>
          <cell r="B1932" t="str">
            <v>Organization</v>
          </cell>
          <cell r="C1932" t="str">
            <v>MEMBA CHEM INDUSTRIES PVT. LTD.</v>
          </cell>
          <cell r="D1932" t="str">
            <v>60</v>
          </cell>
        </row>
        <row r="1933">
          <cell r="A1933" t="str">
            <v>C12703</v>
          </cell>
          <cell r="B1933" t="str">
            <v>Organization</v>
          </cell>
          <cell r="C1933" t="str">
            <v>IAL CONTAINERS</v>
          </cell>
          <cell r="D1933" t="str">
            <v>0</v>
          </cell>
        </row>
        <row r="1934">
          <cell r="A1934" t="str">
            <v>C12704</v>
          </cell>
          <cell r="B1934" t="str">
            <v>Organization</v>
          </cell>
          <cell r="C1934" t="str">
            <v>ADDZOL OIL (INDIA) PVT. LTD</v>
          </cell>
          <cell r="D1934" t="str">
            <v>0</v>
          </cell>
        </row>
        <row r="1935">
          <cell r="A1935" t="str">
            <v>C12705</v>
          </cell>
          <cell r="B1935" t="str">
            <v>Organization</v>
          </cell>
          <cell r="C1935" t="str">
            <v>IMP POWERS LIMITED</v>
          </cell>
        </row>
        <row r="1936">
          <cell r="A1936" t="str">
            <v>C12706</v>
          </cell>
          <cell r="B1936" t="str">
            <v>Organization</v>
          </cell>
          <cell r="C1936" t="str">
            <v>CORE CHEMICALS (MUMBAI) PVT. LTD.</v>
          </cell>
        </row>
        <row r="1937">
          <cell r="A1937" t="str">
            <v>C12707</v>
          </cell>
          <cell r="B1937" t="str">
            <v>Organization</v>
          </cell>
          <cell r="C1937" t="str">
            <v>VASUDHA PHARMA CHEM LTD - VISAKHAPATNAM</v>
          </cell>
          <cell r="D1937" t="str">
            <v>60</v>
          </cell>
        </row>
        <row r="1938">
          <cell r="A1938" t="str">
            <v>C12708</v>
          </cell>
          <cell r="B1938" t="str">
            <v>Organization</v>
          </cell>
          <cell r="C1938" t="str">
            <v>BARKUR SURFACTANTS PVT. LTD.</v>
          </cell>
        </row>
        <row r="1939">
          <cell r="A1939" t="str">
            <v>C12709</v>
          </cell>
          <cell r="B1939" t="str">
            <v>Organization</v>
          </cell>
          <cell r="C1939" t="str">
            <v>OCTAGA GREEN POWER &amp; SUGAR CO LTD.</v>
          </cell>
        </row>
        <row r="1940">
          <cell r="A1940" t="str">
            <v>C12710</v>
          </cell>
          <cell r="B1940" t="str">
            <v>Organization</v>
          </cell>
          <cell r="C1940" t="str">
            <v>SHAGUN CASTING PVT. LTD.</v>
          </cell>
        </row>
        <row r="1941">
          <cell r="A1941" t="str">
            <v>C12711</v>
          </cell>
          <cell r="B1941" t="str">
            <v>Organization</v>
          </cell>
          <cell r="C1941" t="str">
            <v>LSR LUBRICANTS PVT. LTD.</v>
          </cell>
          <cell r="D1941" t="str">
            <v>7</v>
          </cell>
        </row>
        <row r="1942">
          <cell r="A1942" t="str">
            <v>C12712</v>
          </cell>
          <cell r="B1942" t="str">
            <v>Organization</v>
          </cell>
          <cell r="C1942" t="str">
            <v>MERCK LTD.</v>
          </cell>
          <cell r="D1942" t="str">
            <v>60</v>
          </cell>
        </row>
        <row r="1943">
          <cell r="A1943" t="str">
            <v>C12713</v>
          </cell>
          <cell r="B1943" t="str">
            <v>Organization</v>
          </cell>
          <cell r="C1943" t="str">
            <v>NEOGEN CHEMICALS LTD.</v>
          </cell>
        </row>
        <row r="1944">
          <cell r="A1944" t="str">
            <v>C12714</v>
          </cell>
          <cell r="B1944" t="str">
            <v>Organization</v>
          </cell>
          <cell r="C1944" t="str">
            <v>COCHIN CHILD FOUNDATION</v>
          </cell>
        </row>
        <row r="1945">
          <cell r="A1945" t="str">
            <v>C12715</v>
          </cell>
          <cell r="B1945" t="str">
            <v>Organization</v>
          </cell>
          <cell r="C1945" t="str">
            <v>MANGALASSERIL ESSENTIAL OIL</v>
          </cell>
        </row>
        <row r="1946">
          <cell r="A1946" t="str">
            <v>C12716</v>
          </cell>
          <cell r="B1946" t="str">
            <v>Organization</v>
          </cell>
          <cell r="C1946" t="str">
            <v>HOEC BARDAHI INDIA LTD.</v>
          </cell>
        </row>
        <row r="1947">
          <cell r="A1947" t="str">
            <v>C12717</v>
          </cell>
          <cell r="B1947" t="str">
            <v>Organization</v>
          </cell>
          <cell r="C1947" t="str">
            <v>PALLAV CHEMICALS &amp; SOLVENTS PVT. LTD.</v>
          </cell>
        </row>
        <row r="1948">
          <cell r="A1948" t="str">
            <v>C12718</v>
          </cell>
          <cell r="B1948" t="str">
            <v>Organization</v>
          </cell>
          <cell r="C1948" t="str">
            <v>S &amp; S ASSOCIATED</v>
          </cell>
        </row>
        <row r="1949">
          <cell r="A1949" t="str">
            <v>C12719</v>
          </cell>
          <cell r="B1949" t="str">
            <v>Organization</v>
          </cell>
          <cell r="C1949" t="str">
            <v>REAL CHEMSYS PRODUCTS PVT LTD</v>
          </cell>
        </row>
        <row r="1950">
          <cell r="A1950" t="str">
            <v>C12720</v>
          </cell>
          <cell r="B1950" t="str">
            <v>Organization</v>
          </cell>
          <cell r="C1950" t="str">
            <v>RAZA STEEL TRADERS</v>
          </cell>
        </row>
        <row r="1951">
          <cell r="A1951" t="str">
            <v>C12721</v>
          </cell>
          <cell r="B1951" t="str">
            <v>Organization</v>
          </cell>
          <cell r="C1951" t="str">
            <v>IMPERIAL EXTRACTS PVT. LTD.</v>
          </cell>
        </row>
        <row r="1952">
          <cell r="A1952" t="str">
            <v>C12722</v>
          </cell>
          <cell r="B1952" t="str">
            <v>Organization</v>
          </cell>
          <cell r="C1952" t="str">
            <v>JAIN STEEL</v>
          </cell>
        </row>
        <row r="1953">
          <cell r="A1953" t="str">
            <v>C12723</v>
          </cell>
          <cell r="B1953" t="str">
            <v>Organization</v>
          </cell>
          <cell r="C1953" t="str">
            <v>SAENG THAI METAL DRUM CO.LTD. THAILAND</v>
          </cell>
          <cell r="D1953" t="str">
            <v>30</v>
          </cell>
        </row>
        <row r="1954">
          <cell r="A1954" t="str">
            <v>C12724</v>
          </cell>
          <cell r="B1954" t="str">
            <v>Organization</v>
          </cell>
          <cell r="C1954" t="str">
            <v>SUVIDA DRUMS - HOSUR</v>
          </cell>
          <cell r="D1954" t="str">
            <v>60</v>
          </cell>
        </row>
        <row r="1955">
          <cell r="A1955" t="str">
            <v>C12734</v>
          </cell>
          <cell r="B1955" t="str">
            <v>Organization</v>
          </cell>
          <cell r="C1955" t="str">
            <v>BIO BHUTAN</v>
          </cell>
        </row>
        <row r="1956">
          <cell r="A1956" t="str">
            <v>C12735</v>
          </cell>
          <cell r="B1956" t="str">
            <v>Organization</v>
          </cell>
          <cell r="C1956" t="str">
            <v>SYNTHITE INDUSTRIES LTD - ANDRA PRADESH</v>
          </cell>
          <cell r="D1956" t="str">
            <v>30</v>
          </cell>
        </row>
        <row r="1957">
          <cell r="A1957" t="str">
            <v>C12736</v>
          </cell>
          <cell r="B1957" t="str">
            <v>Organization</v>
          </cell>
          <cell r="C1957" t="str">
            <v>JOSEPH AGRICOM</v>
          </cell>
        </row>
        <row r="1958">
          <cell r="A1958" t="str">
            <v>C12737</v>
          </cell>
          <cell r="B1958" t="str">
            <v>Organization</v>
          </cell>
          <cell r="C1958" t="str">
            <v>ASB INTERNATIONAL PVT. LTD.</v>
          </cell>
          <cell r="D1958" t="str">
            <v>30</v>
          </cell>
        </row>
        <row r="1959">
          <cell r="A1959" t="str">
            <v>C12738</v>
          </cell>
          <cell r="B1959" t="str">
            <v>Organization</v>
          </cell>
          <cell r="C1959" t="str">
            <v>MITSUI OIL FIELD PVT. LTD.</v>
          </cell>
          <cell r="D1959" t="str">
            <v>0</v>
          </cell>
        </row>
        <row r="1960">
          <cell r="A1960" t="str">
            <v>C12739</v>
          </cell>
          <cell r="B1960" t="str">
            <v>Organization</v>
          </cell>
          <cell r="C1960" t="str">
            <v>HIMALAYAN BIO TRADE PVT. LTD.</v>
          </cell>
        </row>
        <row r="1961">
          <cell r="A1961" t="str">
            <v>C12740</v>
          </cell>
          <cell r="B1961" t="str">
            <v>Organization</v>
          </cell>
          <cell r="C1961" t="str">
            <v>MAGNUM LUBRICANTS INDIA PVT. LTD.</v>
          </cell>
        </row>
        <row r="1962">
          <cell r="A1962" t="str">
            <v>C12741</v>
          </cell>
          <cell r="B1962" t="str">
            <v>Organization</v>
          </cell>
          <cell r="C1962" t="str">
            <v>SIDDHAKALA BARRELS PVT.LTD.</v>
          </cell>
          <cell r="D1962" t="str">
            <v>7</v>
          </cell>
        </row>
        <row r="1963">
          <cell r="A1963" t="str">
            <v>C12742</v>
          </cell>
          <cell r="B1963" t="str">
            <v>Organization</v>
          </cell>
          <cell r="C1963" t="str">
            <v>ARJUN CHEMICALS PVT. LTD. - GUJARAT</v>
          </cell>
          <cell r="D1963" t="str">
            <v>90</v>
          </cell>
        </row>
        <row r="1964">
          <cell r="A1964" t="str">
            <v>C12743</v>
          </cell>
          <cell r="B1964" t="str">
            <v>Organization</v>
          </cell>
          <cell r="C1964" t="str">
            <v>MYSORE EXIM NATURAL AND FLORAL PRODUCTS</v>
          </cell>
        </row>
        <row r="1965">
          <cell r="A1965" t="str">
            <v>C12744</v>
          </cell>
          <cell r="B1965" t="str">
            <v>Organization</v>
          </cell>
          <cell r="C1965" t="str">
            <v>INNOVATIVE PLASTIC COMPANY</v>
          </cell>
          <cell r="D1965" t="str">
            <v>0</v>
          </cell>
        </row>
        <row r="1966">
          <cell r="A1966" t="str">
            <v>C12745</v>
          </cell>
          <cell r="B1966" t="str">
            <v>Organization</v>
          </cell>
          <cell r="C1966" t="str">
            <v>TRANSASIA PETROCHEM</v>
          </cell>
          <cell r="D1966" t="str">
            <v>0</v>
          </cell>
        </row>
        <row r="1967">
          <cell r="A1967" t="str">
            <v>C12746</v>
          </cell>
          <cell r="B1967" t="str">
            <v>Organization</v>
          </cell>
          <cell r="C1967" t="str">
            <v>BASF INDIA LTD. - BENGALURU</v>
          </cell>
        </row>
        <row r="1968">
          <cell r="A1968" t="str">
            <v>C12747</v>
          </cell>
          <cell r="B1968" t="str">
            <v>Organization</v>
          </cell>
          <cell r="C1968" t="str">
            <v>KENTEE OILS PVT. LTD.</v>
          </cell>
        </row>
        <row r="1969">
          <cell r="A1969" t="str">
            <v>C12748</v>
          </cell>
          <cell r="B1969" t="str">
            <v>Organization</v>
          </cell>
          <cell r="C1969" t="str">
            <v>HERBERT REBEIRO</v>
          </cell>
        </row>
        <row r="1970">
          <cell r="A1970" t="str">
            <v>C12749</v>
          </cell>
          <cell r="B1970" t="str">
            <v>Organization</v>
          </cell>
          <cell r="C1970" t="str">
            <v>MITC ROLLING MILLS PVT. LTD.</v>
          </cell>
        </row>
        <row r="1971">
          <cell r="A1971" t="str">
            <v>C12750</v>
          </cell>
          <cell r="B1971" t="str">
            <v>Organization</v>
          </cell>
          <cell r="C1971" t="str">
            <v>SOUTHGATE INDUSTRIES CO.LTD.</v>
          </cell>
          <cell r="D1971" t="str">
            <v>30</v>
          </cell>
        </row>
        <row r="1972">
          <cell r="A1972" t="str">
            <v>C12751</v>
          </cell>
          <cell r="B1972" t="str">
            <v>Organization</v>
          </cell>
          <cell r="C1972" t="str">
            <v>SAVITA OIL TECHNOLOGIES LIMITED - SILLI</v>
          </cell>
          <cell r="D1972" t="str">
            <v>30</v>
          </cell>
        </row>
        <row r="1973">
          <cell r="A1973" t="str">
            <v>C12752</v>
          </cell>
          <cell r="B1973" t="str">
            <v>Organization</v>
          </cell>
          <cell r="C1973" t="str">
            <v>PRINT-TECH SERVICES</v>
          </cell>
          <cell r="D1973" t="str">
            <v>0</v>
          </cell>
        </row>
        <row r="1974">
          <cell r="A1974" t="str">
            <v>C12753</v>
          </cell>
          <cell r="B1974" t="str">
            <v>Organization</v>
          </cell>
          <cell r="C1974" t="str">
            <v>TRADEWELL FERROMET PVT. LTD.</v>
          </cell>
          <cell r="D1974" t="str">
            <v>0</v>
          </cell>
        </row>
        <row r="1975">
          <cell r="A1975" t="str">
            <v>C12754</v>
          </cell>
          <cell r="B1975" t="str">
            <v>Organization</v>
          </cell>
          <cell r="C1975" t="str">
            <v>APPLIED ENGINEERING COMPANY</v>
          </cell>
          <cell r="D1975" t="str">
            <v>0</v>
          </cell>
        </row>
        <row r="1976">
          <cell r="A1976" t="str">
            <v>C12755</v>
          </cell>
          <cell r="B1976" t="str">
            <v>Organization</v>
          </cell>
          <cell r="C1976" t="str">
            <v>MECHEMCO RESINS PVT. LTD.</v>
          </cell>
          <cell r="D1976" t="str">
            <v>0</v>
          </cell>
        </row>
        <row r="1977">
          <cell r="A1977" t="str">
            <v>C12756</v>
          </cell>
          <cell r="B1977" t="str">
            <v>Organization</v>
          </cell>
          <cell r="C1977" t="str">
            <v>SAI OM PETRO SPECIALITIES LTD</v>
          </cell>
          <cell r="D1977" t="str">
            <v>0</v>
          </cell>
        </row>
        <row r="1978">
          <cell r="A1978" t="str">
            <v>C12757</v>
          </cell>
          <cell r="B1978" t="str">
            <v>Organization</v>
          </cell>
          <cell r="C1978" t="str">
            <v>AUTOCARE LUBRICANTS</v>
          </cell>
        </row>
        <row r="1979">
          <cell r="A1979" t="str">
            <v>C12758</v>
          </cell>
          <cell r="B1979" t="str">
            <v>Organization</v>
          </cell>
          <cell r="C1979" t="str">
            <v>BROADEN TRADING CO.</v>
          </cell>
        </row>
        <row r="1980">
          <cell r="A1980" t="str">
            <v>C12759</v>
          </cell>
          <cell r="B1980" t="str">
            <v>Organization</v>
          </cell>
          <cell r="C1980" t="str">
            <v>SIDDHARTH GREASE &amp; LUBES PRIVATE LIMITED.</v>
          </cell>
          <cell r="D1980" t="str">
            <v>30</v>
          </cell>
        </row>
        <row r="1981">
          <cell r="A1981" t="str">
            <v>C12760</v>
          </cell>
          <cell r="B1981" t="str">
            <v>Organization</v>
          </cell>
          <cell r="C1981" t="str">
            <v>SIGMAPOLYCHEM PVT LTD.</v>
          </cell>
          <cell r="D1981" t="str">
            <v>0</v>
          </cell>
        </row>
        <row r="1982">
          <cell r="A1982" t="str">
            <v>C12761</v>
          </cell>
          <cell r="B1982" t="str">
            <v>Organization</v>
          </cell>
          <cell r="C1982" t="str">
            <v>ANT ENTERPRISES PVT LTD</v>
          </cell>
          <cell r="D1982" t="str">
            <v>0</v>
          </cell>
        </row>
        <row r="1983">
          <cell r="A1983" t="str">
            <v>C12762</v>
          </cell>
          <cell r="B1983" t="str">
            <v>Organization</v>
          </cell>
          <cell r="C1983" t="str">
            <v>IPCA LABORATORIES LIMITED - RAIGAD</v>
          </cell>
          <cell r="D1983" t="str">
            <v>30</v>
          </cell>
        </row>
        <row r="1984">
          <cell r="A1984" t="str">
            <v>C12763</v>
          </cell>
          <cell r="B1984" t="str">
            <v>Organization</v>
          </cell>
          <cell r="C1984" t="str">
            <v>EAST INDIA DRUMS &amp; BARREL MANUFACTURING COMPANY</v>
          </cell>
          <cell r="D1984" t="str">
            <v>0</v>
          </cell>
        </row>
        <row r="1985">
          <cell r="A1985" t="str">
            <v>C12764</v>
          </cell>
          <cell r="B1985" t="str">
            <v>Organization</v>
          </cell>
          <cell r="C1985" t="str">
            <v>CONTINENTAL PETROLEUM LTD.</v>
          </cell>
          <cell r="D1985" t="str">
            <v>30</v>
          </cell>
        </row>
        <row r="1986">
          <cell r="A1986" t="str">
            <v>C12765</v>
          </cell>
          <cell r="B1986" t="str">
            <v>Organization</v>
          </cell>
          <cell r="C1986" t="str">
            <v>METACHEM MANUFACTURING COMPANY PVT. LTD.</v>
          </cell>
          <cell r="D1986" t="str">
            <v>0</v>
          </cell>
        </row>
        <row r="1987">
          <cell r="A1987" t="str">
            <v>C12766</v>
          </cell>
          <cell r="B1987" t="str">
            <v>Organization</v>
          </cell>
          <cell r="C1987" t="str">
            <v>VIDHATA METAL PVT. LTD.</v>
          </cell>
          <cell r="D1987" t="str">
            <v>1</v>
          </cell>
        </row>
        <row r="1988">
          <cell r="A1988" t="str">
            <v>C12767</v>
          </cell>
          <cell r="B1988" t="str">
            <v>Organization</v>
          </cell>
          <cell r="C1988" t="str">
            <v>VIKATMEV CONTAINERS LTD.  - SATARA</v>
          </cell>
          <cell r="D1988" t="str">
            <v>60</v>
          </cell>
        </row>
        <row r="1989">
          <cell r="A1989" t="str">
            <v>C12768</v>
          </cell>
          <cell r="B1989" t="str">
            <v>Organization</v>
          </cell>
          <cell r="C1989" t="str">
            <v>SARA ENTERPRISES</v>
          </cell>
          <cell r="D1989" t="str">
            <v>0</v>
          </cell>
        </row>
        <row r="1990">
          <cell r="A1990" t="str">
            <v>C12769</v>
          </cell>
          <cell r="B1990" t="str">
            <v>Organization</v>
          </cell>
          <cell r="C1990" t="str">
            <v>KANCOR SUZHOU INGREDIENTS LTD.</v>
          </cell>
          <cell r="D1990" t="str">
            <v>0</v>
          </cell>
        </row>
        <row r="1991">
          <cell r="A1991" t="str">
            <v>C12770</v>
          </cell>
          <cell r="B1991" t="str">
            <v>Organization</v>
          </cell>
          <cell r="C1991" t="str">
            <v>BALAJI INDUSTRIAL CORPN.</v>
          </cell>
          <cell r="D1991" t="str">
            <v>0</v>
          </cell>
        </row>
        <row r="1992">
          <cell r="A1992" t="str">
            <v>C12771</v>
          </cell>
          <cell r="B1992" t="str">
            <v>Organization</v>
          </cell>
          <cell r="C1992" t="str">
            <v>AJIT SHAH</v>
          </cell>
          <cell r="D1992" t="str">
            <v>0</v>
          </cell>
        </row>
        <row r="1993">
          <cell r="A1993" t="str">
            <v>C12772</v>
          </cell>
          <cell r="B1993" t="str">
            <v>Organization</v>
          </cell>
          <cell r="C1993" t="str">
            <v>S.K.UPADHYAY FRAGRANCE (P) LTD.</v>
          </cell>
          <cell r="D1993" t="str">
            <v>0</v>
          </cell>
        </row>
        <row r="1994">
          <cell r="A1994" t="str">
            <v>C12773</v>
          </cell>
          <cell r="B1994" t="str">
            <v>Organization</v>
          </cell>
          <cell r="C1994" t="str">
            <v>PETRO-GEM (INDIA)</v>
          </cell>
          <cell r="D1994" t="str">
            <v>0</v>
          </cell>
        </row>
        <row r="1995">
          <cell r="A1995" t="str">
            <v>C12774</v>
          </cell>
          <cell r="B1995" t="str">
            <v>Organization</v>
          </cell>
          <cell r="C1995" t="str">
            <v>EMBASSY PRINTING INKS PVT. LTD.</v>
          </cell>
          <cell r="D1995" t="str">
            <v>0</v>
          </cell>
        </row>
        <row r="1996">
          <cell r="A1996" t="str">
            <v>C12775</v>
          </cell>
          <cell r="B1996" t="str">
            <v>Organization</v>
          </cell>
          <cell r="C1996" t="str">
            <v>CARDAMOM PRODUCTS PVT LTD.</v>
          </cell>
          <cell r="D1996" t="str">
            <v>0</v>
          </cell>
        </row>
        <row r="1997">
          <cell r="A1997" t="str">
            <v>C12776</v>
          </cell>
          <cell r="B1997" t="str">
            <v>Organization</v>
          </cell>
          <cell r="C1997" t="str">
            <v>SHRIRAM FOUNDRY LTD</v>
          </cell>
          <cell r="D1997" t="str">
            <v>0</v>
          </cell>
        </row>
        <row r="1998">
          <cell r="A1998" t="str">
            <v>C12777</v>
          </cell>
          <cell r="B1998" t="str">
            <v>Organization</v>
          </cell>
          <cell r="C1998" t="str">
            <v>SPICERICH SEASONINGS PVT. LTD.</v>
          </cell>
          <cell r="D1998" t="str">
            <v>0</v>
          </cell>
        </row>
        <row r="1999">
          <cell r="A1999" t="str">
            <v>C12778</v>
          </cell>
          <cell r="B1999" t="str">
            <v>Organization</v>
          </cell>
          <cell r="C1999" t="str">
            <v>TMV NATURAL OILS &amp; EXTRACTS PVT LTD.</v>
          </cell>
          <cell r="D1999" t="str">
            <v>0</v>
          </cell>
        </row>
        <row r="2000">
          <cell r="A2000" t="str">
            <v>C12779</v>
          </cell>
          <cell r="B2000" t="str">
            <v>Organization</v>
          </cell>
          <cell r="C2000" t="str">
            <v>ASSOCIATED COCONUT PRODUCTS</v>
          </cell>
          <cell r="D2000" t="str">
            <v>0</v>
          </cell>
        </row>
        <row r="2001">
          <cell r="A2001" t="str">
            <v>C12780</v>
          </cell>
          <cell r="B2001" t="str">
            <v>Organization</v>
          </cell>
          <cell r="C2001" t="str">
            <v>SHAMROCK CHEMIE PVT. LTD.</v>
          </cell>
          <cell r="D2001" t="str">
            <v>0</v>
          </cell>
        </row>
        <row r="2002">
          <cell r="A2002" t="str">
            <v>C12781</v>
          </cell>
          <cell r="B2002" t="str">
            <v>Organization</v>
          </cell>
          <cell r="C2002" t="str">
            <v>MAYAS FRAGRACE SPECIALTIES</v>
          </cell>
          <cell r="D2002" t="str">
            <v>0</v>
          </cell>
        </row>
        <row r="2003">
          <cell r="A2003" t="str">
            <v>C12782</v>
          </cell>
          <cell r="B2003" t="str">
            <v>Organization</v>
          </cell>
          <cell r="C2003" t="str">
            <v>GARMON SOUTH ASIA CHEMICALS PVT LTD.</v>
          </cell>
        </row>
        <row r="2004">
          <cell r="A2004" t="str">
            <v>C12783</v>
          </cell>
          <cell r="B2004" t="str">
            <v>Organization</v>
          </cell>
          <cell r="C2004" t="str">
            <v>SHAKTI APIFOODS PVT. LTD.</v>
          </cell>
        </row>
        <row r="2005">
          <cell r="A2005" t="str">
            <v>C12784</v>
          </cell>
          <cell r="B2005" t="str">
            <v>Organization</v>
          </cell>
          <cell r="C2005" t="str">
            <v>PETRONA LUBRICANTS (I) PVT LTD. - ****NOT TO USE****</v>
          </cell>
        </row>
        <row r="2006">
          <cell r="A2006" t="str">
            <v>C12785</v>
          </cell>
          <cell r="B2006" t="str">
            <v>Organization</v>
          </cell>
          <cell r="C2006" t="str">
            <v>SIDDHIVINAYAK METALS</v>
          </cell>
        </row>
        <row r="2007">
          <cell r="A2007" t="str">
            <v>C12786</v>
          </cell>
          <cell r="B2007" t="str">
            <v>Organization</v>
          </cell>
          <cell r="C2007" t="str">
            <v>SEAL WELL ENTERPRISES</v>
          </cell>
        </row>
        <row r="2008">
          <cell r="A2008" t="str">
            <v>C12787</v>
          </cell>
          <cell r="B2008" t="str">
            <v>Organization</v>
          </cell>
          <cell r="C2008" t="str">
            <v>TRI-SURE CLOSURES SYSTEMS (ZHENJIANG) CO. LTD.</v>
          </cell>
        </row>
        <row r="2009">
          <cell r="A2009" t="str">
            <v>C12788</v>
          </cell>
          <cell r="B2009" t="str">
            <v>Organization</v>
          </cell>
          <cell r="C2009" t="str">
            <v>FABAIR</v>
          </cell>
        </row>
        <row r="2010">
          <cell r="A2010" t="str">
            <v>C12789</v>
          </cell>
          <cell r="B2010" t="str">
            <v>Organization</v>
          </cell>
          <cell r="C2010" t="str">
            <v>CETCON BUILDING TECHNOLOGIES PVT. LTD.</v>
          </cell>
        </row>
        <row r="2011">
          <cell r="A2011" t="str">
            <v>C12790</v>
          </cell>
          <cell r="B2011" t="str">
            <v>Organization</v>
          </cell>
          <cell r="C2011" t="str">
            <v>SUPER-TECH POWER SYSTEMS</v>
          </cell>
        </row>
        <row r="2012">
          <cell r="A2012" t="str">
            <v>C12791</v>
          </cell>
          <cell r="B2012" t="str">
            <v>Organization</v>
          </cell>
          <cell r="C2012" t="str">
            <v>SHREEJI TRADERS</v>
          </cell>
        </row>
        <row r="2013">
          <cell r="A2013" t="str">
            <v>C12792</v>
          </cell>
          <cell r="B2013" t="str">
            <v>Organization</v>
          </cell>
          <cell r="C2013" t="str">
            <v>ASIAN BARRELS PVT. LTD.</v>
          </cell>
          <cell r="D2013" t="str">
            <v>0</v>
          </cell>
        </row>
        <row r="2014">
          <cell r="A2014" t="str">
            <v>C12793</v>
          </cell>
          <cell r="B2014" t="str">
            <v>Organization</v>
          </cell>
          <cell r="C2014" t="str">
            <v>MEENAL CHEM INDUSTRIES</v>
          </cell>
        </row>
        <row r="2015">
          <cell r="A2015" t="str">
            <v>C12794</v>
          </cell>
          <cell r="B2015" t="str">
            <v>Organization</v>
          </cell>
          <cell r="C2015" t="str">
            <v>SHREE BALAJI INDUSTRIES</v>
          </cell>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Graphs"/>
      <sheetName val="GTS"/>
      <sheetName val="GRF"/>
      <sheetName val="INN"/>
      <sheetName val="PUB"/>
      <sheetName val="COR"/>
      <sheetName val="GTS TB"/>
      <sheetName val="GRF TB"/>
      <sheetName val="INN TB"/>
      <sheetName val="PUB TB"/>
      <sheetName val="COR TB"/>
      <sheetName val="Sales Fcst 101801"/>
      <sheetName val="Fab 5"/>
      <sheetName val="Staffing"/>
      <sheetName val="GRF Labor"/>
      <sheetName val="GRF Summ Labor"/>
      <sheetName val="PUB Labor"/>
      <sheetName val="INN Labor"/>
      <sheetName val="Allo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Form 11"/>
      <sheetName val="S1BOQ"/>
      <sheetName val="S2groupcode"/>
      <sheetName val="S3workplanqty"/>
      <sheetName val="S3workplanamt"/>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6Elec"/>
      <sheetName val="S15POL"/>
      <sheetName val="S17power"/>
      <sheetName val="S18EQPplan"/>
      <sheetName val="S19cap"/>
      <sheetName val="S20MSE Items"/>
      <sheetName val="S21Subcon"/>
      <sheetName val="S22PRW"/>
      <sheetName val="chart as per norms"/>
      <sheetName val="Officer"/>
      <sheetName val="staff &amp; DP"/>
      <sheetName val="S23ManNos"/>
      <sheetName val="S24Mancost"/>
      <sheetName val="S25EQPrep"/>
      <sheetName val="S26EQPhire"/>
      <sheetName val="S27EQPlease"/>
      <sheetName val="Working 1"/>
      <sheetName val="S28Rev"/>
      <sheetName val="Prelim-wrk-detail"/>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44 Depriciation"/>
      <sheetName val="S45 Refurbishment Charges"/>
      <sheetName val="Compatibility R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Lead- Schedule"/>
      <sheetName val="SDC-T"/>
      <sheetName val="PCD-T"/>
      <sheetName val="PCD-C"/>
      <sheetName val="PCD-N"/>
      <sheetName val="CWIP-15-16"/>
      <sheetName val="Sale of Assets"/>
      <sheetName val="Sheet1"/>
      <sheetName val="Sheet2"/>
      <sheetName val="Sheet3"/>
    </sheetNames>
    <sheetDataSet>
      <sheetData sheetId="0">
        <row r="11">
          <cell r="U11">
            <v>0</v>
          </cell>
        </row>
      </sheetData>
      <sheetData sheetId="1" refreshError="1"/>
      <sheetData sheetId="2">
        <row r="2">
          <cell r="AE2">
            <v>42460</v>
          </cell>
        </row>
      </sheetData>
      <sheetData sheetId="3">
        <row r="18">
          <cell r="S18">
            <v>11632296</v>
          </cell>
        </row>
      </sheetData>
      <sheetData sheetId="4">
        <row r="339">
          <cell r="Q339">
            <v>7463498</v>
          </cell>
        </row>
      </sheetData>
      <sheetData sheetId="5">
        <row r="9">
          <cell r="K9">
            <v>33567326</v>
          </cell>
        </row>
      </sheetData>
      <sheetData sheetId="6" refreshError="1"/>
      <sheetData sheetId="7" refreshError="1"/>
      <sheetData sheetId="8">
        <row r="1">
          <cell r="B1" t="str">
            <v>Name</v>
          </cell>
          <cell r="C1" t="str">
            <v>Fixed asset number</v>
          </cell>
        </row>
        <row r="2">
          <cell r="B2" t="str">
            <v>Main Factory &amp; Admin. (Consist</v>
          </cell>
          <cell r="C2" t="str">
            <v>BF PCDC PLNT 0001</v>
          </cell>
        </row>
        <row r="3">
          <cell r="B3" t="str">
            <v>Construction Of Shed for regri</v>
          </cell>
          <cell r="C3" t="str">
            <v>BF PCDC PLNT 0002</v>
          </cell>
        </row>
        <row r="4">
          <cell r="B4" t="str">
            <v>TUBE WELL</v>
          </cell>
          <cell r="C4" t="str">
            <v>BF PCDC PLNT 0003</v>
          </cell>
        </row>
        <row r="5">
          <cell r="B5" t="str">
            <v>LEAN TO SHEAD (VALEREX)</v>
          </cell>
          <cell r="C5" t="str">
            <v>BF PCDC PLNT 0004</v>
          </cell>
        </row>
        <row r="6">
          <cell r="B6" t="str">
            <v>ROAD</v>
          </cell>
          <cell r="C6" t="str">
            <v>BF PCDC PLNT 0005</v>
          </cell>
        </row>
        <row r="7">
          <cell r="B7" t="str">
            <v>COMPOUND WALL FACTORY</v>
          </cell>
          <cell r="C7" t="str">
            <v>BF PCDC PLNT 0006</v>
          </cell>
        </row>
        <row r="8">
          <cell r="B8" t="str">
            <v>COMPOUND WALL</v>
          </cell>
          <cell r="C8" t="str">
            <v>BF PCDN PLNT 0001</v>
          </cell>
        </row>
        <row r="9">
          <cell r="B9" t="str">
            <v>FACTORY BUILDING</v>
          </cell>
          <cell r="C9" t="str">
            <v>BF PCDN PLNT 0002</v>
          </cell>
        </row>
        <row r="10">
          <cell r="B10" t="str">
            <v>DEVELOPMENT OF ROAD</v>
          </cell>
          <cell r="C10" t="str">
            <v>BF PCDN PLNT 0003</v>
          </cell>
        </row>
        <row r="11">
          <cell r="B11" t="str">
            <v>BORE WELL</v>
          </cell>
          <cell r="C11" t="str">
            <v>BF PCDN PLNT 0004</v>
          </cell>
        </row>
        <row r="12">
          <cell r="B12" t="str">
            <v>BONDED WAREHOUSE-CONST WORK</v>
          </cell>
          <cell r="C12" t="str">
            <v>BLF PCDT FBV 0006</v>
          </cell>
        </row>
        <row r="13">
          <cell r="B13" t="str">
            <v>CONSTRUCTION OF ROAD</v>
          </cell>
          <cell r="C13" t="str">
            <v>BLF PCDT FBW 0006</v>
          </cell>
        </row>
        <row r="14">
          <cell r="B14" t="str">
            <v>TEE - SECTION 65 * 65 * 6</v>
          </cell>
          <cell r="C14" t="str">
            <v>BLF PCDT FBW 0007</v>
          </cell>
        </row>
        <row r="15">
          <cell r="B15" t="str">
            <v>GARDEN COMPOUND WALL</v>
          </cell>
          <cell r="C15" t="str">
            <v>BLF PCDT FBW 0008</v>
          </cell>
        </row>
        <row r="16">
          <cell r="B16" t="str">
            <v>BUILDING-ROAD</v>
          </cell>
          <cell r="C16" t="str">
            <v>BLF PCDT FBW 0009</v>
          </cell>
        </row>
        <row r="17">
          <cell r="B17" t="str">
            <v>BUILDING-ROAD</v>
          </cell>
          <cell r="C17" t="str">
            <v>BLF PCDT FBW 0010</v>
          </cell>
        </row>
        <row r="18">
          <cell r="B18" t="str">
            <v>TOILET &amp; DRIVERS REST ROOM</v>
          </cell>
          <cell r="C18" t="str">
            <v>BLF PCDT FBW 0011</v>
          </cell>
        </row>
        <row r="19">
          <cell r="B19" t="str">
            <v>RUBBLE WALL IN GARDEN</v>
          </cell>
          <cell r="C19" t="str">
            <v>BLF PCDT FBW 0012</v>
          </cell>
        </row>
        <row r="20">
          <cell r="B20" t="str">
            <v>RUBBLE WALL IN GARDEN</v>
          </cell>
          <cell r="C20" t="str">
            <v>BLF PCDT FBW 0013</v>
          </cell>
        </row>
        <row r="21">
          <cell r="B21" t="str">
            <v>RUBBLE WALL IN GARDEN</v>
          </cell>
          <cell r="C21" t="str">
            <v>BLF PCDT FBW 0014</v>
          </cell>
        </row>
        <row r="22">
          <cell r="B22" t="str">
            <v>BUILDING</v>
          </cell>
          <cell r="C22" t="str">
            <v>BLF PCDT FCV 0001</v>
          </cell>
        </row>
        <row r="23">
          <cell r="B23" t="str">
            <v>BUILDING</v>
          </cell>
          <cell r="C23" t="str">
            <v>BLF PCDT FCV 0002</v>
          </cell>
        </row>
        <row r="24">
          <cell r="B24" t="str">
            <v>BUILDING</v>
          </cell>
          <cell r="C24" t="str">
            <v>BLF PCDT FCW 0003</v>
          </cell>
        </row>
        <row r="25">
          <cell r="B25" t="str">
            <v>DESPATCH ROOM-FLOORING WORK</v>
          </cell>
          <cell r="C25" t="str">
            <v>BLF PCDT FDV 0003</v>
          </cell>
        </row>
        <row r="26">
          <cell r="B26" t="str">
            <v>BUILDING-LEAN TO SHED</v>
          </cell>
          <cell r="C26" t="str">
            <v>BLF PCDT FLW 0001</v>
          </cell>
        </row>
        <row r="27">
          <cell r="B27" t="str">
            <v>SINTEX WATER TANK - 20 KL CAP</v>
          </cell>
          <cell r="C27" t="str">
            <v>BLF PCDT FOW 0005</v>
          </cell>
        </row>
        <row r="28">
          <cell r="B28" t="str">
            <v>ROAD-CONSTRUCTION</v>
          </cell>
          <cell r="C28" t="str">
            <v>BLF PCDT FRW 0004</v>
          </cell>
        </row>
        <row r="29">
          <cell r="B29" t="str">
            <v>STORE ROOM-CONSTRUCTION WORK</v>
          </cell>
          <cell r="C29" t="str">
            <v>BLF PCDT FSV 0004</v>
          </cell>
        </row>
        <row r="30">
          <cell r="B30" t="str">
            <v>STORE ROOM-CONSTRUCTION WORK</v>
          </cell>
          <cell r="C30" t="str">
            <v>BLF PCDT FSV 0005</v>
          </cell>
        </row>
        <row r="31">
          <cell r="B31" t="str">
            <v>BUILDING-DROP TEST AREA</v>
          </cell>
          <cell r="C31" t="str">
            <v>BLF PCDT FTW 0002</v>
          </cell>
        </row>
        <row r="32">
          <cell r="B32" t="str">
            <v>BUILDING HT</v>
          </cell>
          <cell r="C32" t="str">
            <v>BLF PCDTFHC 0001</v>
          </cell>
        </row>
        <row r="33">
          <cell r="B33" t="str">
            <v>FLOORING</v>
          </cell>
          <cell r="C33" t="str">
            <v>BLF PCDTFOC 0002</v>
          </cell>
        </row>
        <row r="34">
          <cell r="B34" t="str">
            <v>CANTEEN BUILDING - CIVIL WORK</v>
          </cell>
          <cell r="C34" t="str">
            <v>BLF PCDTFOC 0003</v>
          </cell>
        </row>
        <row r="35">
          <cell r="B35" t="str">
            <v>FRP MOULD RADIAL EXHAUST</v>
          </cell>
          <cell r="C35" t="str">
            <v>BF SDCT PLNT-0 01</v>
          </cell>
        </row>
        <row r="36">
          <cell r="B36" t="str">
            <v>FRP MOULD RADIAL EXHAUST</v>
          </cell>
          <cell r="C36" t="str">
            <v>BF SDCT PLNT-0 02</v>
          </cell>
        </row>
        <row r="37">
          <cell r="B37" t="str">
            <v>CORPORATE OFFICE</v>
          </cell>
          <cell r="C37" t="str">
            <v>BF SDCT PLNT-0 03</v>
          </cell>
        </row>
        <row r="38">
          <cell r="B38" t="str">
            <v>FACTORY - SDC</v>
          </cell>
          <cell r="C38" t="str">
            <v>BF SDCT PLNT-0 04</v>
          </cell>
        </row>
        <row r="39">
          <cell r="B39" t="str">
            <v>CONSTRUCTION OF SEPTIC TANK &amp;</v>
          </cell>
          <cell r="C39" t="str">
            <v>BF SDCT PLNT-0 05</v>
          </cell>
        </row>
        <row r="40">
          <cell r="B40" t="str">
            <v>ALUMINUM CABIN(NEAR CANTEEN) W</v>
          </cell>
          <cell r="C40" t="str">
            <v>BF SDCT PLNT-0 06</v>
          </cell>
        </row>
        <row r="41">
          <cell r="B41" t="str">
            <v>PRODUCTION/PLATING/QC/TOOL CRI</v>
          </cell>
          <cell r="C41" t="str">
            <v>BF SDCT PLNT-0 07</v>
          </cell>
        </row>
        <row r="42">
          <cell r="B42" t="str">
            <v>BOREWELL DRILLING CHARGES</v>
          </cell>
          <cell r="C42" t="str">
            <v>BF SDCT PLNT-0 08</v>
          </cell>
        </row>
        <row r="43">
          <cell r="B43" t="str">
            <v>WARE HOUSE CONSTRUCTION</v>
          </cell>
          <cell r="C43" t="str">
            <v>BF SDCT PLNT-0 09</v>
          </cell>
        </row>
        <row r="44">
          <cell r="B44" t="str">
            <v>ETP SHED</v>
          </cell>
          <cell r="C44" t="str">
            <v>BF SDCT PLNT-0 10</v>
          </cell>
        </row>
        <row r="45">
          <cell r="B45" t="str">
            <v>ROAD CONSTRUCTION &amp; KERB STONE</v>
          </cell>
          <cell r="C45" t="str">
            <v>BF SDCT PLNT-0 11</v>
          </cell>
        </row>
        <row r="46">
          <cell r="B46" t="str">
            <v>WEIGH BRIDGE CONSTRUCTION</v>
          </cell>
          <cell r="C46" t="str">
            <v>BF SDCT PLNT-0 12</v>
          </cell>
        </row>
        <row r="47">
          <cell r="B47" t="str">
            <v>SECURITY CABIN</v>
          </cell>
          <cell r="C47" t="str">
            <v>BF SDCT PLNT-0 13</v>
          </cell>
        </row>
        <row r="48">
          <cell r="B48" t="str">
            <v>PC/AT 486 DX 2. NOS PRINTER EP</v>
          </cell>
          <cell r="C48" t="str">
            <v>CO PCDC COMP 0001</v>
          </cell>
        </row>
        <row r="49">
          <cell r="B49" t="str">
            <v xml:space="preserve"> 1KVA UPS SYSTEM</v>
          </cell>
          <cell r="C49" t="str">
            <v>CO PCDC COMP 0002</v>
          </cell>
        </row>
        <row r="50">
          <cell r="B50" t="str">
            <v>COMPUTER/MONITER/PRINTER 3 SET</v>
          </cell>
          <cell r="C50" t="str">
            <v>CO PCDC COMP 0003</v>
          </cell>
        </row>
        <row r="51">
          <cell r="B51" t="str">
            <v>COLOUR MONITER 2 NOS.&amp; UPS 1.N</v>
          </cell>
          <cell r="C51" t="str">
            <v>CO PCDC COMP 0004</v>
          </cell>
        </row>
        <row r="52">
          <cell r="B52" t="str">
            <v>CD WRITER AND UPS</v>
          </cell>
          <cell r="C52" t="str">
            <v>CO PCDC COMP 0005</v>
          </cell>
        </row>
        <row r="53">
          <cell r="B53" t="str">
            <v>STABILISERS 2 NOS.</v>
          </cell>
          <cell r="C53" t="str">
            <v>CO PCDC COMP 0006</v>
          </cell>
        </row>
        <row r="54">
          <cell r="B54" t="str">
            <v>PC 486   ____ MB ____ @ CHENNA</v>
          </cell>
          <cell r="C54" t="str">
            <v>CO PCDC COMP 0007</v>
          </cell>
        </row>
        <row r="55">
          <cell r="B55" t="str">
            <v>LASER PRINTER MAKE ____ MODEL</v>
          </cell>
          <cell r="C55" t="str">
            <v>CO PCDC COMP 0008</v>
          </cell>
        </row>
        <row r="56">
          <cell r="B56" t="str">
            <v>FROM : CALISYS TECHNOLOGY PVT</v>
          </cell>
          <cell r="C56" t="str">
            <v>CO PCDC COMP 0009</v>
          </cell>
        </row>
        <row r="57">
          <cell r="B57" t="str">
            <v>LENOVA  300 H 8823 3 AQ DESKTO</v>
          </cell>
          <cell r="C57" t="str">
            <v>CO PCDC COMP 0010</v>
          </cell>
        </row>
        <row r="58">
          <cell r="B58" t="str">
            <v>D LINK 600 VA UPS</v>
          </cell>
          <cell r="C58" t="str">
            <v>CO PCDC COMP 0011</v>
          </cell>
        </row>
        <row r="59">
          <cell r="B59" t="str">
            <v>LENOVA PENTIUM 1.73 GHZ 256 MB</v>
          </cell>
          <cell r="C59" t="str">
            <v>CO PCDC COMP 0012</v>
          </cell>
        </row>
        <row r="60">
          <cell r="B60" t="str">
            <v>RE 220 COPIER PRINTER</v>
          </cell>
          <cell r="C60" t="str">
            <v>CO PCDC COMP 0013</v>
          </cell>
        </row>
        <row r="61">
          <cell r="B61" t="str">
            <v>LAPTOP COMPUTER FOR GM  FINANC</v>
          </cell>
          <cell r="C61" t="str">
            <v>CO PCDC COMP 0014</v>
          </cell>
        </row>
        <row r="62">
          <cell r="B62" t="str">
            <v>TVS PRINTER MSP 345 FROM CENTU</v>
          </cell>
          <cell r="C62" t="str">
            <v>CO PCDC COMP 0015</v>
          </cell>
        </row>
        <row r="63">
          <cell r="B63" t="str">
            <v>DNT 100</v>
          </cell>
          <cell r="C63" t="str">
            <v>CO PCDC COMP 0016</v>
          </cell>
        </row>
        <row r="64">
          <cell r="B64" t="str">
            <v>P Dual Core 2 PC 2MB  1GB RAM</v>
          </cell>
          <cell r="C64" t="str">
            <v>CO PCDC COMP 0017</v>
          </cell>
        </row>
        <row r="65">
          <cell r="B65" t="str">
            <v>Wipro DS5235 HD Printer</v>
          </cell>
          <cell r="C65" t="str">
            <v>CO PCDC COMP 0018</v>
          </cell>
        </row>
        <row r="66">
          <cell r="B66" t="str">
            <v>DESKTOP PC-</v>
          </cell>
          <cell r="C66" t="str">
            <v>CO PCDC COMP 0020</v>
          </cell>
        </row>
        <row r="67">
          <cell r="B67" t="str">
            <v>DESKTOP PC- CORE 2 DUO</v>
          </cell>
          <cell r="C67" t="str">
            <v>CO PCDC COMP 0021</v>
          </cell>
        </row>
        <row r="68">
          <cell r="B68" t="str">
            <v>LAPTOP COMPUTER DELL (MARKETIN</v>
          </cell>
          <cell r="C68" t="str">
            <v>CO PCDC COMP 0022</v>
          </cell>
        </row>
        <row r="69">
          <cell r="B69" t="str">
            <v>HP PRINTER CN99B5Z23B</v>
          </cell>
          <cell r="C69" t="str">
            <v>CO PCDN PLNT 0001</v>
          </cell>
        </row>
        <row r="70">
          <cell r="B70" t="str">
            <v>PRINTER- HPM 1136</v>
          </cell>
          <cell r="C70" t="str">
            <v>CO PCDN PLNT 0002</v>
          </cell>
        </row>
        <row r="71">
          <cell r="B71" t="str">
            <v>3NOS OF PC PURCHASE AT D'DIN</v>
          </cell>
          <cell r="C71" t="str">
            <v>CO PCDN PLNT 0003</v>
          </cell>
        </row>
        <row r="72">
          <cell r="B72" t="str">
            <v>TVS  MSP 455XL CLASSIC, UPS, I</v>
          </cell>
          <cell r="C72" t="str">
            <v>CO PCDN PLNT 0004</v>
          </cell>
        </row>
        <row r="73">
          <cell r="B73" t="str">
            <v>MICROTEK- 1 KVA ONLINE UPS</v>
          </cell>
          <cell r="C73" t="str">
            <v>CO PCDN PLNT 0005</v>
          </cell>
        </row>
        <row r="74">
          <cell r="B74" t="str">
            <v>UPS BATTRIES 3 NOS -26AH</v>
          </cell>
          <cell r="C74" t="str">
            <v>CO PCDN PLNT 0006</v>
          </cell>
        </row>
        <row r="75">
          <cell r="C75" t="str">
            <v>CO PCDN PLNT 0007</v>
          </cell>
        </row>
        <row r="76">
          <cell r="B76" t="str">
            <v>HP PRINTER</v>
          </cell>
          <cell r="C76" t="str">
            <v>CO PCDN PLNT 0008</v>
          </cell>
        </row>
        <row r="77">
          <cell r="B77" t="str">
            <v>DESKTOP COMPUTER &amp; PRINTER (ST</v>
          </cell>
          <cell r="C77" t="str">
            <v>CO PCDN PLNT 0009</v>
          </cell>
        </row>
        <row r="78">
          <cell r="B78" t="str">
            <v>LAPTOP (  )</v>
          </cell>
          <cell r="C78" t="str">
            <v>CO PCDN PLNT 0010</v>
          </cell>
        </row>
        <row r="79">
          <cell r="B79" t="str">
            <v>UPS FOR DESKTOP (ST)</v>
          </cell>
          <cell r="C79" t="str">
            <v>CO PCDN PLNT 0011</v>
          </cell>
        </row>
        <row r="80">
          <cell r="B80" t="str">
            <v>PC FROM VARUN</v>
          </cell>
          <cell r="C80" t="str">
            <v>CO PCDT DTC 0001</v>
          </cell>
        </row>
        <row r="81">
          <cell r="B81" t="str">
            <v>PC FROM VARUN</v>
          </cell>
          <cell r="C81" t="str">
            <v>CO PCDT DTC 0002</v>
          </cell>
        </row>
        <row r="82">
          <cell r="B82" t="str">
            <v>PC FROM PIONEER</v>
          </cell>
          <cell r="C82" t="str">
            <v>CO PCDT DTC 0003</v>
          </cell>
        </row>
        <row r="83">
          <cell r="B83" t="str">
            <v>PC FROM PIONEER</v>
          </cell>
          <cell r="C83" t="str">
            <v>CO PCDT DTC 0004</v>
          </cell>
        </row>
        <row r="84">
          <cell r="B84" t="str">
            <v>PC FROM PIONEER</v>
          </cell>
          <cell r="C84" t="str">
            <v>CO PCDT DTC 0005</v>
          </cell>
        </row>
        <row r="85">
          <cell r="B85" t="str">
            <v>PC FROM PIONEER</v>
          </cell>
          <cell r="C85" t="str">
            <v>CO PCDT DTC 0006</v>
          </cell>
        </row>
        <row r="86">
          <cell r="B86" t="str">
            <v>PC FROM PIONEER</v>
          </cell>
          <cell r="C86" t="str">
            <v>CO PCDT DTC 0007</v>
          </cell>
        </row>
        <row r="87">
          <cell r="B87" t="str">
            <v>PC FROM PIONEER EDP 05</v>
          </cell>
          <cell r="C87" t="str">
            <v>CO PCDT DTC 0008</v>
          </cell>
        </row>
        <row r="88">
          <cell r="B88" t="str">
            <v>PC FROM PIONEER</v>
          </cell>
          <cell r="C88" t="str">
            <v>CO PCDT DTC 0009</v>
          </cell>
        </row>
        <row r="89">
          <cell r="B89" t="str">
            <v>MONITOR 15 COLOUR (LG/SAMSUNG"</v>
          </cell>
          <cell r="C89" t="str">
            <v>CO PCDT DTC 0010</v>
          </cell>
        </row>
        <row r="90">
          <cell r="B90" t="str">
            <v>PC-486</v>
          </cell>
          <cell r="C90" t="str">
            <v>CO PCDT DTV 0001</v>
          </cell>
        </row>
        <row r="91">
          <cell r="B91" t="str">
            <v>COMPUTER</v>
          </cell>
          <cell r="C91" t="str">
            <v>CO PCDT DTV 0002</v>
          </cell>
        </row>
        <row r="92">
          <cell r="B92" t="str">
            <v>DESKTOPS WITH AOC 17 SQ MONIT"</v>
          </cell>
          <cell r="C92" t="str">
            <v>CO PCDT DTV 0003</v>
          </cell>
        </row>
        <row r="93">
          <cell r="B93" t="str">
            <v>3 HARD DISKS- SD/SS/KP</v>
          </cell>
          <cell r="C93" t="str">
            <v>CO PCDT DTV 0004</v>
          </cell>
        </row>
        <row r="94">
          <cell r="B94" t="str">
            <v>13 HARD DISKS- SS</v>
          </cell>
          <cell r="C94" t="str">
            <v>CO PCDT DTV 0005</v>
          </cell>
        </row>
        <row r="95">
          <cell r="B95" t="str">
            <v>PENTAUM 2GB (MKTG) HO CN NO.6</v>
          </cell>
          <cell r="C95" t="str">
            <v>CO PCDT DTV 0006</v>
          </cell>
        </row>
        <row r="96">
          <cell r="B96" t="str">
            <v>COMPUTER HARDWARE/ PRINTER</v>
          </cell>
          <cell r="C96" t="str">
            <v>CO PCDT DTV 0007</v>
          </cell>
        </row>
        <row r="97">
          <cell r="B97" t="str">
            <v>IBM THINK PAD = SR.NO.AA-FMAWP</v>
          </cell>
          <cell r="C97" t="str">
            <v>CO PCDT DTV 0008</v>
          </cell>
        </row>
        <row r="98">
          <cell r="B98" t="str">
            <v>COMPUTERISED ATTANDANCE SYSTEM</v>
          </cell>
          <cell r="C98" t="str">
            <v>CO PCDT DTV 0009</v>
          </cell>
        </row>
        <row r="99">
          <cell r="B99" t="str">
            <v>PENTIUM P III 800 MHZ,64 MB 20</v>
          </cell>
          <cell r="C99" t="str">
            <v>CO PCDT DTV 0010</v>
          </cell>
        </row>
        <row r="100">
          <cell r="B100" t="str">
            <v>PENTIUM P III 800 MHZ,64 MB 20</v>
          </cell>
          <cell r="C100" t="str">
            <v>CO PCDT DTV 0011</v>
          </cell>
        </row>
        <row r="101">
          <cell r="B101" t="str">
            <v>PENTIUM PIV 256MB, 49 GB DATE</v>
          </cell>
          <cell r="C101" t="str">
            <v>CO PCDT DTV 0012</v>
          </cell>
        </row>
        <row r="102">
          <cell r="B102" t="str">
            <v>COLOUR MONITOR-LG- SIZE 15 DA"</v>
          </cell>
          <cell r="C102" t="str">
            <v>CO PCDT DTV 0013</v>
          </cell>
        </row>
        <row r="103">
          <cell r="B103" t="str">
            <v>INTEL PIV 2.26GHZ CPU -PENTIUM</v>
          </cell>
          <cell r="C103" t="str">
            <v>CO PCDT DTV 0014</v>
          </cell>
        </row>
        <row r="104">
          <cell r="B104" t="str">
            <v>PENTIUM PIV 256MB, 49 GB DATE</v>
          </cell>
          <cell r="C104" t="str">
            <v>CO PCDT DTV 0015</v>
          </cell>
        </row>
        <row r="105">
          <cell r="B105" t="str">
            <v>INTEL P4 256 MB RAM/1.44FDD/40</v>
          </cell>
          <cell r="C105" t="str">
            <v>CO PCDT DTV 0016</v>
          </cell>
        </row>
        <row r="106">
          <cell r="B106" t="str">
            <v>INTEL P-IV COMPUTER DDR 512</v>
          </cell>
          <cell r="C106" t="str">
            <v>CO PCDT DTV 0017</v>
          </cell>
        </row>
        <row r="107">
          <cell r="B107" t="str">
            <v>P.C. COMPUTERS- INTEL P4 - 2 N</v>
          </cell>
          <cell r="C107" t="str">
            <v>CO PCDT DTV 0018</v>
          </cell>
        </row>
        <row r="108">
          <cell r="B108" t="str">
            <v>19 TFT MONITOR - DKG"</v>
          </cell>
          <cell r="C108" t="str">
            <v>CO PCDT DTV 0019</v>
          </cell>
        </row>
        <row r="109">
          <cell r="B109" t="str">
            <v>COMPUTER-GM-O, AP, MNT, DESP,</v>
          </cell>
          <cell r="C109" t="str">
            <v>CO PCDT DTV 0020</v>
          </cell>
        </row>
        <row r="110">
          <cell r="B110" t="str">
            <v>COMP-INTEK P4-ISSUR, CHARU, SA</v>
          </cell>
          <cell r="C110" t="str">
            <v>CO PCDT DTV 0021</v>
          </cell>
        </row>
        <row r="111">
          <cell r="B111" t="str">
            <v>COMP-INTEL P4-MALIK ARJUN</v>
          </cell>
          <cell r="C111" t="str">
            <v>CO PCDT DTV 0022</v>
          </cell>
        </row>
        <row r="112">
          <cell r="B112" t="str">
            <v>COMPUTER 1 NO</v>
          </cell>
          <cell r="C112" t="str">
            <v>CO PCDT DTV 0023</v>
          </cell>
        </row>
        <row r="113">
          <cell r="B113" t="str">
            <v>COMPUTER 2 NOS</v>
          </cell>
          <cell r="C113" t="str">
            <v>CO PCDT DTV 0024</v>
          </cell>
        </row>
        <row r="114">
          <cell r="B114" t="str">
            <v>SOFT LINK SYSTEM - COMPUTER</v>
          </cell>
          <cell r="C114" t="str">
            <v>CO PCDT DTV 0025</v>
          </cell>
        </row>
        <row r="115">
          <cell r="B115" t="str">
            <v>COMPUTER PURCHASED S.Y. GHADHI</v>
          </cell>
          <cell r="C115" t="str">
            <v>CO PCDT DTV 0026</v>
          </cell>
        </row>
        <row r="116">
          <cell r="B116" t="str">
            <v>DESKTOP COMPUTERS  (4 NOS) CON</v>
          </cell>
          <cell r="C116" t="str">
            <v>CO PCDT DTV 0027</v>
          </cell>
        </row>
        <row r="117">
          <cell r="B117" t="str">
            <v>SVGA COLOUR MONITOR</v>
          </cell>
          <cell r="C117" t="str">
            <v>CO PCDT DTW 0001</v>
          </cell>
        </row>
        <row r="118">
          <cell r="B118" t="str">
            <v>WIPRO LAND MARK</v>
          </cell>
          <cell r="C118" t="str">
            <v>CO PCDT LTV 0001</v>
          </cell>
        </row>
        <row r="119">
          <cell r="B119" t="str">
            <v>NET GEAR WG 102 - PCI CAD FOR</v>
          </cell>
          <cell r="C119" t="str">
            <v>CO PCDT LTV 0002</v>
          </cell>
        </row>
        <row r="120">
          <cell r="B120" t="str">
            <v>COMPACQ PRESARIO M2002 - LAPTO</v>
          </cell>
          <cell r="C120" t="str">
            <v>CO PCDT LTV 0003</v>
          </cell>
        </row>
        <row r="121">
          <cell r="B121" t="str">
            <v>LAPTOPS 3 MSW 7 PROF (OEM) (SK</v>
          </cell>
          <cell r="C121" t="str">
            <v>CO PCDT LTV 0004</v>
          </cell>
        </row>
        <row r="122">
          <cell r="B122" t="str">
            <v>LAPTOP</v>
          </cell>
          <cell r="C122" t="str">
            <v>CO PCDT LTV 0005</v>
          </cell>
        </row>
        <row r="123">
          <cell r="B123" t="str">
            <v>LAPTOP ACER ASPIRE 5738Z  ONE</v>
          </cell>
          <cell r="C123" t="str">
            <v>CO PCDT LTV 0006</v>
          </cell>
        </row>
        <row r="124">
          <cell r="B124" t="str">
            <v>PRINTER DOT MATRIX EPSON</v>
          </cell>
          <cell r="C124" t="str">
            <v>CO PCDT OTC 0001</v>
          </cell>
        </row>
        <row r="125">
          <cell r="B125" t="str">
            <v>PRINTER DOT MATRIX EPSON</v>
          </cell>
          <cell r="C125" t="str">
            <v>CO PCDT OTC 0002</v>
          </cell>
        </row>
        <row r="126">
          <cell r="B126" t="str">
            <v>FES - COMPUTER ANIL PAL</v>
          </cell>
          <cell r="C126" t="str">
            <v>CO PCDT OTC 0005</v>
          </cell>
        </row>
        <row r="127">
          <cell r="B127" t="str">
            <v>LCD DISPLAY 5.7 GRAPHOC STN"</v>
          </cell>
          <cell r="C127" t="str">
            <v>CO PCDT OTC 0006</v>
          </cell>
        </row>
        <row r="128">
          <cell r="B128" t="str">
            <v>PLC PROGRAMING SOFTWARE</v>
          </cell>
          <cell r="C128" t="str">
            <v>CO PCDT OTV 0001</v>
          </cell>
        </row>
        <row r="129">
          <cell r="B129" t="str">
            <v>ATTENDANCE SYSTEM</v>
          </cell>
          <cell r="C129" t="str">
            <v>CO PCDT OTV 0002</v>
          </cell>
        </row>
        <row r="130">
          <cell r="B130" t="str">
            <v>SOFTWARE FOR WEIGHING SCALE</v>
          </cell>
          <cell r="C130" t="str">
            <v>CO PCDT OTV 0003</v>
          </cell>
        </row>
        <row r="131">
          <cell r="B131" t="str">
            <v>EPSON PRINTER</v>
          </cell>
          <cell r="C131" t="str">
            <v>CO PCDT OTV 0004</v>
          </cell>
        </row>
        <row r="132">
          <cell r="B132" t="str">
            <v>COMPUTER PRINTER</v>
          </cell>
          <cell r="C132" t="str">
            <v>CO PCDT OTV 0005</v>
          </cell>
        </row>
        <row r="133">
          <cell r="B133" t="str">
            <v>NOVELL NET 4110 USER</v>
          </cell>
          <cell r="C133" t="str">
            <v>CO PCDT OTV 0006</v>
          </cell>
        </row>
        <row r="134">
          <cell r="B134" t="str">
            <v>EX- 1050 PRINTER-SR. NO.EG7100</v>
          </cell>
          <cell r="C134" t="str">
            <v>CO PCDT OTV 0007</v>
          </cell>
        </row>
        <row r="135">
          <cell r="B135" t="str">
            <v>HP DESKJET PRINTER- 670 C (SSD</v>
          </cell>
          <cell r="C135" t="str">
            <v>CO PCDT OTV 0008</v>
          </cell>
        </row>
        <row r="136">
          <cell r="B136" t="str">
            <v>WIPRO VOYAGER - MW1 SYSTMS-CHE</v>
          </cell>
          <cell r="C136" t="str">
            <v>CO PCDT OTV 0009</v>
          </cell>
        </row>
        <row r="137">
          <cell r="B137" t="str">
            <v>HP - SCANNER</v>
          </cell>
          <cell r="C137" t="str">
            <v>CO PCDT OTV 0010</v>
          </cell>
        </row>
        <row r="138">
          <cell r="B138" t="str">
            <v>IBM X220 Server</v>
          </cell>
          <cell r="C138" t="str">
            <v>CO PCDT OTV 0011</v>
          </cell>
        </row>
        <row r="139">
          <cell r="B139" t="str">
            <v>PRINTER DOT MATRIX EPSON DATE</v>
          </cell>
          <cell r="C139" t="str">
            <v>CO PCDT OTV 0012</v>
          </cell>
        </row>
        <row r="140">
          <cell r="B140" t="str">
            <v>TOSHIBA MM PROJECTOR TLP 261 D</v>
          </cell>
          <cell r="C140" t="str">
            <v>CO PCDT OTV 0013</v>
          </cell>
        </row>
        <row r="141">
          <cell r="B141" t="str">
            <v>EPSON LQ-1150 DOT MATRIX PRINT</v>
          </cell>
          <cell r="C141" t="str">
            <v>CO PCDT OTV 0014</v>
          </cell>
        </row>
        <row r="142">
          <cell r="B142" t="str">
            <v>PRINTER BUBBLE JETPRINTER DATE</v>
          </cell>
          <cell r="C142" t="str">
            <v>CO PCDT OTV 0015</v>
          </cell>
        </row>
        <row r="143">
          <cell r="B143" t="str">
            <v>NET GEAR WG 102 - PCI CAD FOR</v>
          </cell>
          <cell r="C143" t="str">
            <v>CO PCDT OTV 0016</v>
          </cell>
        </row>
        <row r="144">
          <cell r="B144" t="str">
            <v>U P S FOR COMPUTER</v>
          </cell>
          <cell r="C144" t="str">
            <v>CO PCDT OTV 0017</v>
          </cell>
        </row>
        <row r="145">
          <cell r="B145" t="str">
            <v>EPSON LX 300 PRINTER</v>
          </cell>
          <cell r="C145" t="str">
            <v>CO PCDT OTV 0018</v>
          </cell>
        </row>
        <row r="146">
          <cell r="B146" t="str">
            <v>SERVER &amp; OTHER HARDWARE ITEM C</v>
          </cell>
          <cell r="C146" t="str">
            <v>CO PCDT OTV 0019</v>
          </cell>
        </row>
        <row r="147">
          <cell r="B147" t="str">
            <v>COMPUTERS -O BLOCK</v>
          </cell>
          <cell r="C147" t="str">
            <v>CO SDCT COMPTR 01</v>
          </cell>
        </row>
        <row r="148">
          <cell r="B148" t="str">
            <v>AQSA ELECTRONICS - COMPUTER -W</v>
          </cell>
          <cell r="C148" t="str">
            <v>CO SDCT COMPTR 02</v>
          </cell>
        </row>
        <row r="149">
          <cell r="B149" t="str">
            <v>COMPUTER - SHIVA PRASAD</v>
          </cell>
          <cell r="C149" t="str">
            <v>CO SDCT COMPTR 03</v>
          </cell>
        </row>
        <row r="150">
          <cell r="B150" t="str">
            <v>SOFT LINK SYSTEMS - COMPUTER M</v>
          </cell>
          <cell r="C150" t="str">
            <v>CO SDCT COMPTR 04</v>
          </cell>
        </row>
        <row r="151">
          <cell r="B151" t="str">
            <v>SOFT LINK SYSTEMS - INTEL CORE</v>
          </cell>
          <cell r="C151" t="str">
            <v>CO SDCT COMPTR 05</v>
          </cell>
        </row>
        <row r="152">
          <cell r="B152" t="str">
            <v>GALA PRINT SOLUTION - COMPUTER</v>
          </cell>
          <cell r="C152" t="str">
            <v>CO SDCT COMPTR 06</v>
          </cell>
        </row>
        <row r="153">
          <cell r="B153" t="str">
            <v>LAPTOP</v>
          </cell>
          <cell r="C153" t="str">
            <v>CO SDCT COMPTR 07</v>
          </cell>
        </row>
        <row r="154">
          <cell r="B154" t="str">
            <v>LAPTOP</v>
          </cell>
          <cell r="C154" t="str">
            <v>CO SDCT COMPTR 08</v>
          </cell>
        </row>
        <row r="155">
          <cell r="B155" t="str">
            <v>LAPTOP</v>
          </cell>
          <cell r="C155" t="str">
            <v>CO SDCT COMPTR 09</v>
          </cell>
        </row>
        <row r="156">
          <cell r="B156" t="str">
            <v>PC</v>
          </cell>
          <cell r="C156" t="str">
            <v>CO SDCT COMPTR 10</v>
          </cell>
        </row>
        <row r="157">
          <cell r="B157" t="str">
            <v>PC - U R RANE</v>
          </cell>
          <cell r="C157" t="str">
            <v>CO SDCT COMPTR 11</v>
          </cell>
        </row>
        <row r="158">
          <cell r="B158" t="str">
            <v>PC - R. KAMBLE</v>
          </cell>
          <cell r="C158" t="str">
            <v>CO SDCT COMPTR 12</v>
          </cell>
        </row>
        <row r="159">
          <cell r="B159" t="str">
            <v>LAPTOP</v>
          </cell>
          <cell r="C159" t="str">
            <v>CO SDCT COMPTR 13</v>
          </cell>
        </row>
        <row r="160">
          <cell r="B160" t="str">
            <v>FES - PC-SUNIL KUMAR (HCL 3GB</v>
          </cell>
          <cell r="C160" t="str">
            <v>CO SDCTCOMPTR 14</v>
          </cell>
        </row>
        <row r="161">
          <cell r="B161" t="str">
            <v>SERVER ( IBM X3500 M2,TOWER MO</v>
          </cell>
          <cell r="C161" t="str">
            <v>CO SDCTCOMPTR 15</v>
          </cell>
        </row>
        <row r="162">
          <cell r="B162" t="str">
            <v>DESKTOP WITH AOC 17Sq.MONITOR"</v>
          </cell>
          <cell r="C162" t="str">
            <v>CO SDCTCOMPTR 16</v>
          </cell>
        </row>
        <row r="163">
          <cell r="B163" t="str">
            <v>LAPTOP FOR K.MURALI - ACER ASP</v>
          </cell>
          <cell r="C163" t="str">
            <v>CO SDCTCOMPTR 17</v>
          </cell>
        </row>
        <row r="164">
          <cell r="B164" t="str">
            <v>INTEL CORE 2 DUO 2.93 GHZ/INTE</v>
          </cell>
          <cell r="C164" t="str">
            <v>CO SDCTCOMPTR 18</v>
          </cell>
        </row>
        <row r="165">
          <cell r="B165" t="str">
            <v>FES- COMPUTER -K.MURALI</v>
          </cell>
          <cell r="C165" t="str">
            <v>CO SDCTCOMPTR 19</v>
          </cell>
        </row>
        <row r="166">
          <cell r="B166" t="str">
            <v>PROJECTOR (LCD) MODEL INFOCUS</v>
          </cell>
          <cell r="C166" t="str">
            <v>CO SDCTCOMPTR 20</v>
          </cell>
        </row>
        <row r="167">
          <cell r="B167" t="str">
            <v>FES- LAPTOP  -V.D.PALKAR</v>
          </cell>
          <cell r="C167" t="str">
            <v>CO SDCTCOMPTR 21</v>
          </cell>
        </row>
        <row r="168">
          <cell r="B168" t="str">
            <v>MICROSOFT DYNAMICS AXAPTA 2009</v>
          </cell>
          <cell r="C168" t="str">
            <v>CO SDCTCOMPTR 22</v>
          </cell>
        </row>
        <row r="169">
          <cell r="B169" t="str">
            <v>FORTIGATE FIREWALL FG-80C WITH</v>
          </cell>
          <cell r="C169" t="str">
            <v>CO SDCTCOMPTR 23</v>
          </cell>
        </row>
        <row r="170">
          <cell r="B170" t="str">
            <v>CITRIX XENAPP FUNDAMENTAL WITH</v>
          </cell>
          <cell r="C170" t="str">
            <v>CO SDCTCOMPTR 24</v>
          </cell>
        </row>
        <row r="171">
          <cell r="B171" t="str">
            <v>INSTALLATION,IMPLEMENTATION &amp;</v>
          </cell>
          <cell r="C171" t="str">
            <v>CO SDCTCOMPTR 25</v>
          </cell>
        </row>
        <row r="172">
          <cell r="B172" t="str">
            <v>ELECTRICAL CABLES</v>
          </cell>
          <cell r="C172" t="str">
            <v>EAO PCDT TUR 0001</v>
          </cell>
        </row>
        <row r="173">
          <cell r="B173" t="str">
            <v>EXPRESS FEEDER</v>
          </cell>
          <cell r="C173" t="str">
            <v>EAO PCDT TUR 0002</v>
          </cell>
        </row>
        <row r="174">
          <cell r="B174" t="str">
            <v>AIR CONDITIONER MACHINE</v>
          </cell>
          <cell r="C174" t="str">
            <v>FF PCDC AIRC 0706</v>
          </cell>
        </row>
        <row r="175">
          <cell r="B175" t="str">
            <v>FAX MACHINE</v>
          </cell>
          <cell r="C175" t="str">
            <v>FF PCDC AIRC 0707</v>
          </cell>
        </row>
        <row r="176">
          <cell r="B176" t="str">
            <v>DINING TABLE WITH 6 CHAIRS</v>
          </cell>
          <cell r="C176" t="str">
            <v>FF PCDC GUST 0201</v>
          </cell>
        </row>
        <row r="177">
          <cell r="B177" t="str">
            <v>SOFA SET 1NO.</v>
          </cell>
          <cell r="C177" t="str">
            <v>FF PCDC GUST 0202</v>
          </cell>
        </row>
        <row r="178">
          <cell r="B178" t="str">
            <v>DINING TABLE WITH 4 CHAIRS</v>
          </cell>
          <cell r="C178" t="str">
            <v>FF PCDC GUST 0203</v>
          </cell>
        </row>
        <row r="179">
          <cell r="B179" t="str">
            <v>AIR COOLAR VIDEOCON 1NO.</v>
          </cell>
          <cell r="C179" t="str">
            <v>FF PCDC GUST 0204</v>
          </cell>
        </row>
        <row r="180">
          <cell r="B180" t="str">
            <v>COTS WITH MATRESS 8 SETS.</v>
          </cell>
          <cell r="C180" t="str">
            <v>FF PCDC GUST 0205</v>
          </cell>
        </row>
        <row r="181">
          <cell r="B181" t="str">
            <v>CEILLING FAN</v>
          </cell>
          <cell r="C181" t="str">
            <v>FF PCDC GUST 0206</v>
          </cell>
        </row>
        <row r="182">
          <cell r="B182" t="str">
            <v>PHILLIPS MAKE CTV FOR GUEST HO</v>
          </cell>
          <cell r="C182" t="str">
            <v>FF PCDC GUST 0207</v>
          </cell>
        </row>
        <row r="183">
          <cell r="B183" t="str">
            <v>REFRIGRETOR GODREJ 165LTR. 1NO</v>
          </cell>
          <cell r="C183" t="str">
            <v>FF PCDC PLNT 0101</v>
          </cell>
        </row>
        <row r="184">
          <cell r="B184" t="str">
            <v>STEEL ALMIRAH 4 NOS.</v>
          </cell>
          <cell r="C184" t="str">
            <v>FF PCDC PLNT 0104</v>
          </cell>
        </row>
        <row r="185">
          <cell r="B185" t="str">
            <v>STEEL CHAIRS WITH ARM 5 NOS.</v>
          </cell>
          <cell r="C185" t="str">
            <v>FF PCDC PLNT 0105</v>
          </cell>
        </row>
        <row r="186">
          <cell r="B186" t="str">
            <v>STEEL CHAIRS WITHOUT ARM 5 NOS</v>
          </cell>
          <cell r="C186" t="str">
            <v>FF PCDC PLNT 0106</v>
          </cell>
        </row>
        <row r="187">
          <cell r="B187" t="str">
            <v>STEEL TABLE WITH DOUBLE DRAWER</v>
          </cell>
          <cell r="C187" t="str">
            <v>FF PCDC PLNT 0107</v>
          </cell>
        </row>
        <row r="188">
          <cell r="B188" t="str">
            <v>STEEL TABLE WITH 3 DRAWER 5 NO</v>
          </cell>
          <cell r="C188" t="str">
            <v>FF PCDC PLNT 0108</v>
          </cell>
        </row>
        <row r="189">
          <cell r="B189" t="str">
            <v>CEILLING FAN  1NO.</v>
          </cell>
          <cell r="C189" t="str">
            <v>FF PCDC PLNT 0109</v>
          </cell>
        </row>
        <row r="190">
          <cell r="B190" t="str">
            <v>TABLE &amp; RACKS IN FACTORY OFFIC</v>
          </cell>
          <cell r="C190" t="str">
            <v>FF PCDC PLNT 1002</v>
          </cell>
        </row>
        <row r="191">
          <cell r="B191" t="str">
            <v>REFRIGRETOR 100 LTRS GODREJ 1N</v>
          </cell>
          <cell r="C191" t="str">
            <v>FF PCDC PLNT 1003</v>
          </cell>
        </row>
        <row r="192">
          <cell r="B192" t="str">
            <v>STEEL RAC 2NOS.</v>
          </cell>
          <cell r="C192" t="str">
            <v>FF PCDC PLNT 1010</v>
          </cell>
        </row>
        <row r="193">
          <cell r="B193" t="str">
            <v>HIGH BACK CHAIRS WITH PU ARMS</v>
          </cell>
          <cell r="C193" t="str">
            <v>FF PCDC PLNT 1011</v>
          </cell>
        </row>
        <row r="194">
          <cell r="B194" t="str">
            <v>LOW BACK CHAIRS WITH ARMS 2 NO</v>
          </cell>
          <cell r="C194" t="str">
            <v>FF PCDC PLNT 1012</v>
          </cell>
        </row>
        <row r="195">
          <cell r="B195" t="str">
            <v>VISITORS CHAIRS  18 NOS.</v>
          </cell>
          <cell r="C195" t="str">
            <v>FF PCDC PLNT 1013</v>
          </cell>
        </row>
        <row r="196">
          <cell r="B196" t="str">
            <v>24 PADESTAL FAN 2NOS."</v>
          </cell>
          <cell r="C196" t="str">
            <v>FF PCDC PLNT 1014</v>
          </cell>
        </row>
        <row r="197">
          <cell r="B197" t="str">
            <v>PADESTAL FAN 1 NO.</v>
          </cell>
          <cell r="C197" t="str">
            <v>FF PCDC PLNT 1015</v>
          </cell>
        </row>
        <row r="198">
          <cell r="B198" t="str">
            <v>REVOLVING CHAIRS 2NO.</v>
          </cell>
          <cell r="C198" t="str">
            <v>FF PCDC PLNT 1016</v>
          </cell>
        </row>
        <row r="199">
          <cell r="B199" t="str">
            <v>RACKS &amp; PARTITION</v>
          </cell>
          <cell r="C199" t="str">
            <v>FF PCDC PLNT 1017</v>
          </cell>
        </row>
        <row r="200">
          <cell r="B200" t="str">
            <v>GODREJ MAKE CASH SAFE BOX OF S</v>
          </cell>
          <cell r="C200" t="str">
            <v>FF PCDC PLNT 1018</v>
          </cell>
        </row>
        <row r="201">
          <cell r="B201" t="str">
            <v>WOODEN COT 2 NOS  FOR GUEST HO</v>
          </cell>
          <cell r="C201" t="str">
            <v>FF PCDC PLNT 1019</v>
          </cell>
        </row>
        <row r="202">
          <cell r="B202" t="str">
            <v>VIRBRATOY MACHINE TRFD FROM GA</v>
          </cell>
          <cell r="C202" t="str">
            <v>FF PCDC PLNT 1020</v>
          </cell>
        </row>
        <row r="203">
          <cell r="B203" t="str">
            <v>WASHING M/C TRFD FROM GAL</v>
          </cell>
          <cell r="C203" t="str">
            <v>FF PCDC PLNT 1021</v>
          </cell>
        </row>
        <row r="204">
          <cell r="B204" t="str">
            <v>EUREKA 1806 MED BACK ABS EXE.</v>
          </cell>
          <cell r="C204" t="str">
            <v>FF PCDC PLNT 1022</v>
          </cell>
        </row>
        <row r="205">
          <cell r="B205" t="str">
            <v>EUREKA NFC 010 NETTED EXE. CHA</v>
          </cell>
          <cell r="C205" t="str">
            <v>FF PCDC PLNT 1023</v>
          </cell>
        </row>
        <row r="206">
          <cell r="B206" t="str">
            <v>EUREKA 1901 MILANO HI- BACK EX</v>
          </cell>
          <cell r="C206" t="str">
            <v>FF PCDC PLNT 1024</v>
          </cell>
        </row>
        <row r="207">
          <cell r="B207" t="str">
            <v>EXECUTIVE OFFICE TABLE( SIZE 6</v>
          </cell>
          <cell r="C207" t="str">
            <v>FF PCDC PLNT 1025</v>
          </cell>
        </row>
        <row r="208">
          <cell r="B208" t="str">
            <v>FANS ( CROMPTON MAKE) FOR GUES</v>
          </cell>
          <cell r="C208" t="str">
            <v>FF PCDC PLNT 1026</v>
          </cell>
        </row>
        <row r="209">
          <cell r="B209" t="str">
            <v>ADDITIONAL CHARGES OF CHANGE</v>
          </cell>
          <cell r="C209" t="str">
            <v>FF PCDC PLNT 1027</v>
          </cell>
        </row>
        <row r="210">
          <cell r="B210" t="str">
            <v>WEIGHING MACHINE 30 KG CAPACIT</v>
          </cell>
          <cell r="C210" t="str">
            <v>FF PCDC PLNT 1028</v>
          </cell>
        </row>
        <row r="211">
          <cell r="B211" t="str">
            <v>FAN 1 NO. FROM KANCHI TRADERS</v>
          </cell>
          <cell r="C211" t="str">
            <v>FF PCDC PLNT 1029</v>
          </cell>
        </row>
        <row r="212">
          <cell r="B212" t="str">
            <v>CROMPTON FAN 2 NOS FOR GUEST H</v>
          </cell>
          <cell r="C212" t="str">
            <v>FF PCDC PLNT 1030</v>
          </cell>
        </row>
        <row r="213">
          <cell r="B213" t="str">
            <v>TABLES 2 NOS FOR CASH SAFE &amp; P</v>
          </cell>
          <cell r="C213" t="str">
            <v>FF PCDC PLNT 1031</v>
          </cell>
        </row>
        <row r="214">
          <cell r="B214" t="str">
            <v>MOBILE PHONE FOR MR. TPJ</v>
          </cell>
          <cell r="C214" t="str">
            <v>FF PCDC PLNT 1032</v>
          </cell>
        </row>
        <row r="215">
          <cell r="B215" t="str">
            <v>FURNITURE WORK IN OFFICE - CUP</v>
          </cell>
          <cell r="C215" t="str">
            <v>FF PCDC PLNT 1033</v>
          </cell>
        </row>
        <row r="216">
          <cell r="C216" t="str">
            <v>FF PCDC PLNT 1034</v>
          </cell>
        </row>
        <row r="217">
          <cell r="B217" t="str">
            <v>RACKS (NILKAMAL MAKE FOR PRODN</v>
          </cell>
          <cell r="C217" t="str">
            <v>FF PCDC PLNT 1035</v>
          </cell>
        </row>
        <row r="218">
          <cell r="B218" t="str">
            <v>PEDESTAL FAN 30 (ALMONARD MAK"</v>
          </cell>
          <cell r="C218" t="str">
            <v>FF PCDC PLNT 1036</v>
          </cell>
        </row>
        <row r="219">
          <cell r="B219" t="str">
            <v>BAG CLOSING MACHINE (REVO MODE</v>
          </cell>
          <cell r="C219" t="str">
            <v>FF PCDC PLNT 1037</v>
          </cell>
        </row>
        <row r="220">
          <cell r="B220" t="str">
            <v>STEEL CUP BOARD 6.5 FT</v>
          </cell>
          <cell r="C220" t="str">
            <v>FF PCDC PLNT 1038</v>
          </cell>
        </row>
        <row r="221">
          <cell r="B221" t="str">
            <v>SOFA SET SINGLE -5</v>
          </cell>
          <cell r="C221" t="str">
            <v>FF PCDC PLNT 1039</v>
          </cell>
        </row>
        <row r="222">
          <cell r="B222" t="str">
            <v>FILE CUPBOARD (WOODEN)</v>
          </cell>
          <cell r="C222" t="str">
            <v>FF PCDC PLNT 1040</v>
          </cell>
        </row>
        <row r="223">
          <cell r="B223" t="str">
            <v>ELECTRICL FANS (8)</v>
          </cell>
          <cell r="C223" t="str">
            <v>FF PCDC PLNT 1041</v>
          </cell>
        </row>
        <row r="224">
          <cell r="B224" t="str">
            <v>TROLLEY</v>
          </cell>
          <cell r="C224" t="str">
            <v>FF PCDC PLNT 1042</v>
          </cell>
        </row>
        <row r="225">
          <cell r="B225" t="str">
            <v xml:space="preserve"> DOUBLE BED  6 X 6</v>
          </cell>
          <cell r="C225" t="str">
            <v>FF PCDN GUST 0001</v>
          </cell>
        </row>
        <row r="226">
          <cell r="B226" t="str">
            <v xml:space="preserve"> SINGLE BED  6 X 3</v>
          </cell>
          <cell r="C226" t="str">
            <v>FF PCDN GUST 0002</v>
          </cell>
        </row>
        <row r="227">
          <cell r="B227" t="str">
            <v xml:space="preserve"> L G COLOUR TV SET</v>
          </cell>
          <cell r="C227" t="str">
            <v>FF PCDN GUST 0003</v>
          </cell>
        </row>
        <row r="228">
          <cell r="B228" t="str">
            <v xml:space="preserve"> SOFA SET</v>
          </cell>
          <cell r="C228" t="str">
            <v>FF PCDN GUST 0004</v>
          </cell>
        </row>
        <row r="229">
          <cell r="B229" t="str">
            <v xml:space="preserve"> CENTRE TABLE</v>
          </cell>
          <cell r="C229" t="str">
            <v>FF PCDN GUST 0005</v>
          </cell>
        </row>
        <row r="230">
          <cell r="B230" t="str">
            <v xml:space="preserve"> DINING SET 6 SEATERS</v>
          </cell>
          <cell r="C230" t="str">
            <v>FF PCDN GUST 0006</v>
          </cell>
        </row>
        <row r="231">
          <cell r="B231" t="str">
            <v xml:space="preserve"> L G FRIDGE</v>
          </cell>
          <cell r="C231" t="str">
            <v>FF PCDN GUST 0007</v>
          </cell>
        </row>
        <row r="232">
          <cell r="B232" t="str">
            <v xml:space="preserve"> SINGLE BED</v>
          </cell>
          <cell r="C232" t="str">
            <v>FF PCDN GUST 0008</v>
          </cell>
        </row>
        <row r="233">
          <cell r="B233" t="str">
            <v xml:space="preserve"> MIXI</v>
          </cell>
          <cell r="C233" t="str">
            <v>FF PCDN GUST 0009</v>
          </cell>
        </row>
        <row r="234">
          <cell r="B234" t="str">
            <v xml:space="preserve"> CABINET</v>
          </cell>
          <cell r="C234" t="str">
            <v>FF PCDN PLNT 0001</v>
          </cell>
        </row>
        <row r="235">
          <cell r="B235" t="str">
            <v xml:space="preserve"> TABLE 2' X 3'  X 30"	Tangible	Yes	No	1.00	Yes_x000D_FF PCDN"</v>
          </cell>
          <cell r="C235" t="str">
            <v>FF PCDN PLNT 0002</v>
          </cell>
        </row>
        <row r="236">
          <cell r="B236" t="str">
            <v xml:space="preserve"> ALMANOLD PEDESTAL FAN</v>
          </cell>
          <cell r="C236" t="str">
            <v>FF PCDN PLNT 0004</v>
          </cell>
        </row>
        <row r="237">
          <cell r="B237" t="str">
            <v>FURNITURE - CUP BOARD, TABLE,</v>
          </cell>
          <cell r="C237" t="str">
            <v>FF PCDN PLNT 0005</v>
          </cell>
        </row>
        <row r="238">
          <cell r="B238" t="str">
            <v>BAJAJ MAKE COOLER  01NOs. FOR</v>
          </cell>
          <cell r="C238" t="str">
            <v>FF PCDN PLNT 0006</v>
          </cell>
        </row>
        <row r="239">
          <cell r="B239" t="str">
            <v>02 NOS. OF VOLTAS SPLIT 1.5 TR</v>
          </cell>
          <cell r="C239" t="str">
            <v>FF PCDN PLNT 0007</v>
          </cell>
        </row>
        <row r="240">
          <cell r="B240" t="str">
            <v>0</v>
          </cell>
          <cell r="C240" t="str">
            <v>FF PCDN PLNT 0008</v>
          </cell>
        </row>
        <row r="241">
          <cell r="B241" t="str">
            <v>02 Nos. CHAIR, 01 No. TABLE, 0</v>
          </cell>
          <cell r="C241" t="str">
            <v>FF PCDN PLNT 0009</v>
          </cell>
        </row>
        <row r="242">
          <cell r="B242" t="str">
            <v>CONFRNCE HALL TABLE 01Nos,CHAI</v>
          </cell>
          <cell r="C242" t="str">
            <v>FF PCDN PLNT 0010</v>
          </cell>
        </row>
        <row r="243">
          <cell r="B243" t="str">
            <v>WALL WATCH QTY. 03</v>
          </cell>
          <cell r="C243" t="str">
            <v>FF PCDN PLNT 0011</v>
          </cell>
        </row>
        <row r="244">
          <cell r="B244" t="str">
            <v>EXHAUST FAN QTY. 01</v>
          </cell>
          <cell r="C244" t="str">
            <v>FF PCDN PLNT 0012</v>
          </cell>
        </row>
        <row r="245">
          <cell r="B245" t="str">
            <v>COMPUTER TABLE WOODEN (SMALL)</v>
          </cell>
          <cell r="C245" t="str">
            <v>FF PCDN PLNT 0013</v>
          </cell>
        </row>
        <row r="246">
          <cell r="B246" t="str">
            <v>CEILING FAN, HEATER &amp; EXHAUST</v>
          </cell>
          <cell r="C246" t="str">
            <v>FF PCDN PLNT 0014</v>
          </cell>
        </row>
        <row r="247">
          <cell r="B247" t="str">
            <v>SAMSUNG-1410 GURU MOBILE - 01</v>
          </cell>
          <cell r="C247" t="str">
            <v>FF PCDN PLNT 0015</v>
          </cell>
        </row>
        <row r="248">
          <cell r="B248" t="str">
            <v>VERTICAL BLIND IN OFFICE</v>
          </cell>
          <cell r="C248" t="str">
            <v>FF PCDN PLNT 0016</v>
          </cell>
        </row>
        <row r="249">
          <cell r="B249" t="str">
            <v>VERTICAL BLIND IN OFFICE</v>
          </cell>
          <cell r="C249" t="str">
            <v>FF PCDN PLNT 0017</v>
          </cell>
        </row>
        <row r="250">
          <cell r="B250" t="str">
            <v>600 VA UPS</v>
          </cell>
          <cell r="C250" t="str">
            <v>FF PCDN PLNT 0018</v>
          </cell>
        </row>
        <row r="251">
          <cell r="B251" t="str">
            <v>LG REFRIGERATOR MODEL NO. 185T</v>
          </cell>
          <cell r="C251" t="str">
            <v>FF PCDN PLNT 0019</v>
          </cell>
        </row>
        <row r="252">
          <cell r="B252" t="str">
            <v>QC LAB FURNITURE &amp; OFFICE U SH</v>
          </cell>
          <cell r="C252" t="str">
            <v>FF PCDN PLNT 0020</v>
          </cell>
        </row>
        <row r="253">
          <cell r="B253" t="str">
            <v>SOFT BOARD &amp; BOARD STAND</v>
          </cell>
          <cell r="C253" t="str">
            <v>FF PCDN PLNT 0021</v>
          </cell>
        </row>
        <row r="254">
          <cell r="B254" t="str">
            <v>4 NOS CHAIRS</v>
          </cell>
          <cell r="C254" t="str">
            <v>FF PCDN PLNT 0022</v>
          </cell>
        </row>
        <row r="255">
          <cell r="B255" t="str">
            <v>3 NOS CUPBOARD</v>
          </cell>
          <cell r="C255" t="str">
            <v>FF PCDN PLNT 0023</v>
          </cell>
        </row>
        <row r="256">
          <cell r="B256" t="str">
            <v>TABLE</v>
          </cell>
          <cell r="C256" t="str">
            <v>FF PCDN PLNT 0024</v>
          </cell>
        </row>
        <row r="257">
          <cell r="B257" t="str">
            <v>CHAIRS</v>
          </cell>
          <cell r="C257" t="str">
            <v>FF PCDN PLNT 0025</v>
          </cell>
        </row>
        <row r="258">
          <cell r="B258" t="str">
            <v>CASH BOX GODREJ</v>
          </cell>
          <cell r="C258" t="str">
            <v>FF PCDN PLNT 0026</v>
          </cell>
        </row>
        <row r="259">
          <cell r="B259" t="str">
            <v>INVERTER (GH)</v>
          </cell>
          <cell r="C259" t="str">
            <v>FF PCDN PLNT 0027</v>
          </cell>
        </row>
        <row r="260">
          <cell r="B260" t="str">
            <v>WATER PURIFIER</v>
          </cell>
          <cell r="C260" t="str">
            <v>FF PCDN PLNT 0028</v>
          </cell>
        </row>
        <row r="261">
          <cell r="B261" t="str">
            <v>PADESTAL FAN</v>
          </cell>
          <cell r="C261" t="str">
            <v>FF PCDN PLNT 0029</v>
          </cell>
        </row>
        <row r="262">
          <cell r="B262" t="str">
            <v>FES - CSM</v>
          </cell>
          <cell r="C262" t="str">
            <v>FF PCDT FEC 0001</v>
          </cell>
        </row>
        <row r="263">
          <cell r="B263" t="str">
            <v>FES- WATER PURIFIER/TOASTMAKER</v>
          </cell>
          <cell r="C263" t="str">
            <v>FF PCDT FEC 0002</v>
          </cell>
        </row>
        <row r="264">
          <cell r="B264" t="str">
            <v>FES- GILNA HOB- MODEL- GST4B (</v>
          </cell>
          <cell r="C264" t="str">
            <v>FF PCDT FEC 0003</v>
          </cell>
        </row>
        <row r="265">
          <cell r="B265" t="str">
            <v>FES- WINDOW A/C UNDER - YKS</v>
          </cell>
          <cell r="C265" t="str">
            <v>FF PCDT FEC 0004</v>
          </cell>
        </row>
        <row r="266">
          <cell r="B266" t="str">
            <v>DIGITAL DSS CONSOLE (60 DSS) -</v>
          </cell>
          <cell r="C266" t="str">
            <v>FF PCDT FFC 0060</v>
          </cell>
        </row>
        <row r="267">
          <cell r="B267" t="str">
            <v>PEDESTAL FANS</v>
          </cell>
          <cell r="C267" t="str">
            <v>FF PCDT FFC 0061</v>
          </cell>
        </row>
        <row r="268">
          <cell r="B268" t="str">
            <v>BLUESTAR STAINLESS STEEL WATER</v>
          </cell>
          <cell r="C268" t="str">
            <v>FF PCDT FFC 0062</v>
          </cell>
        </row>
        <row r="269">
          <cell r="B269" t="str">
            <v>LOCKERS WITH STAND  FOR WORKER</v>
          </cell>
          <cell r="C269" t="str">
            <v>FF PCDT FFC 0063</v>
          </cell>
        </row>
        <row r="270">
          <cell r="B270" t="str">
            <v>KITCHEN CABINATES, SHUTTERS</v>
          </cell>
          <cell r="C270" t="str">
            <v>FF PCDT FFC 0064</v>
          </cell>
        </row>
        <row r="271">
          <cell r="B271" t="str">
            <v>EXECUTIVE DESKS</v>
          </cell>
          <cell r="C271" t="str">
            <v>FF PCDT FFV 0001</v>
          </cell>
        </row>
        <row r="272">
          <cell r="B272" t="str">
            <v>FILING UNIT</v>
          </cell>
          <cell r="C272" t="str">
            <v>FF PCDT FFV 0002</v>
          </cell>
        </row>
        <row r="273">
          <cell r="B273" t="str">
            <v>FAX MACHINE</v>
          </cell>
          <cell r="C273" t="str">
            <v>FF PCDT FFV 0003</v>
          </cell>
        </row>
        <row r="274">
          <cell r="B274" t="str">
            <v>DOUBLE DOOR INDUSTRIAL LOCKER</v>
          </cell>
          <cell r="C274" t="str">
            <v>FF PCDT FFV 0004</v>
          </cell>
        </row>
        <row r="275">
          <cell r="B275" t="str">
            <v>AUTOMATIC EMERGENCY LIGHT</v>
          </cell>
          <cell r="C275" t="str">
            <v>FF PCDT FFV 0005</v>
          </cell>
        </row>
        <row r="276">
          <cell r="B276" t="str">
            <v>TABLE</v>
          </cell>
          <cell r="C276" t="str">
            <v>FF PCDT FFV 0006</v>
          </cell>
        </row>
        <row r="277">
          <cell r="B277" t="str">
            <v>CHAIR</v>
          </cell>
          <cell r="C277" t="str">
            <v>FF PCDT FFV 0007</v>
          </cell>
        </row>
        <row r="278">
          <cell r="B278" t="str">
            <v>CHAIRS</v>
          </cell>
          <cell r="C278" t="str">
            <v>FF PCDT FFV 0008</v>
          </cell>
        </row>
        <row r="279">
          <cell r="B279" t="str">
            <v>STOREWEL</v>
          </cell>
          <cell r="C279" t="str">
            <v>FF PCDT FFV 0009</v>
          </cell>
        </row>
        <row r="280">
          <cell r="B280" t="str">
            <v>FIRE EXTINGUISHER</v>
          </cell>
          <cell r="C280" t="str">
            <v>FF PCDT FFV 0010</v>
          </cell>
        </row>
        <row r="281">
          <cell r="B281" t="str">
            <v>FIRE EXTINGUISHER</v>
          </cell>
          <cell r="C281" t="str">
            <v>FF PCDT FFV 0011</v>
          </cell>
        </row>
        <row r="282">
          <cell r="B282" t="str">
            <v>FIRE EXTINGUISHER</v>
          </cell>
          <cell r="C282" t="str">
            <v>FF PCDT FFV 0012</v>
          </cell>
        </row>
        <row r="283">
          <cell r="B283" t="str">
            <v>REFRIGERATOR</v>
          </cell>
          <cell r="C283" t="str">
            <v>FF PCDT FFV 0013</v>
          </cell>
        </row>
        <row r="284">
          <cell r="B284" t="str">
            <v>RACKS FOR STORAGE SYSTEM</v>
          </cell>
          <cell r="C284" t="str">
            <v>FF PCDT FFV 0014</v>
          </cell>
        </row>
        <row r="285">
          <cell r="B285" t="str">
            <v>SCREEN CLEANING TABLE</v>
          </cell>
          <cell r="C285" t="str">
            <v>FF PCDT FFV 0015</v>
          </cell>
        </row>
        <row r="286">
          <cell r="B286" t="str">
            <v>CHAIR CUM DESK</v>
          </cell>
          <cell r="C286" t="str">
            <v>FF PCDT FFV 0016</v>
          </cell>
        </row>
        <row r="287">
          <cell r="B287" t="str">
            <v>2 DRAWER INDUSTRIAL LOCKER</v>
          </cell>
          <cell r="C287" t="str">
            <v>FF PCDT FFV 0017</v>
          </cell>
        </row>
        <row r="288">
          <cell r="B288" t="str">
            <v>COMPUTER TABLE</v>
          </cell>
          <cell r="C288" t="str">
            <v>FF PCDT FFV 0021</v>
          </cell>
        </row>
        <row r="289">
          <cell r="B289" t="str">
            <v>PRINTER TABLES</v>
          </cell>
          <cell r="C289" t="str">
            <v>FF PCDT FFV 0022</v>
          </cell>
        </row>
        <row r="290">
          <cell r="B290" t="str">
            <v>EXECUTIVE DESK</v>
          </cell>
          <cell r="C290" t="str">
            <v>FF PCDT FFV 0023</v>
          </cell>
        </row>
        <row r="291">
          <cell r="B291" t="str">
            <v>CREDENZA</v>
          </cell>
          <cell r="C291" t="str">
            <v>FF PCDT FFV 0024</v>
          </cell>
        </row>
        <row r="292">
          <cell r="B292" t="str">
            <v>OFFICERS TABLES</v>
          </cell>
          <cell r="C292" t="str">
            <v>FF PCDT FFV 0025</v>
          </cell>
        </row>
        <row r="293">
          <cell r="B293" t="str">
            <v>LOCKERS FOR OFFICERS</v>
          </cell>
          <cell r="C293" t="str">
            <v>FF PCDT FFV 0026</v>
          </cell>
        </row>
        <row r="294">
          <cell r="B294" t="str">
            <v>WORK COUNTER</v>
          </cell>
          <cell r="C294" t="str">
            <v>FF PCDT FFV 0027</v>
          </cell>
        </row>
        <row r="295">
          <cell r="B295" t="str">
            <v>GODREJ TABLE</v>
          </cell>
          <cell r="C295" t="str">
            <v>FF PCDT FFV 0028</v>
          </cell>
        </row>
        <row r="296">
          <cell r="B296" t="str">
            <v>INDUSTRIAL LOCKER</v>
          </cell>
          <cell r="C296" t="str">
            <v>FF PCDT FFV 0029</v>
          </cell>
        </row>
        <row r="297">
          <cell r="B297" t="str">
            <v>FILING CABINET</v>
          </cell>
          <cell r="C297" t="str">
            <v>FF PCDT FFV 0030</v>
          </cell>
        </row>
        <row r="298">
          <cell r="B298" t="str">
            <v>FILING CABINET</v>
          </cell>
          <cell r="C298" t="str">
            <v>FF PCDT FFV 0031</v>
          </cell>
        </row>
        <row r="299">
          <cell r="B299" t="str">
            <v>CHAIRS PLASTIC MOULDED</v>
          </cell>
          <cell r="C299" t="str">
            <v>FF PCDT FFV 0032</v>
          </cell>
        </row>
        <row r="300">
          <cell r="B300" t="str">
            <v>FILING CABINET</v>
          </cell>
          <cell r="C300" t="str">
            <v>FF PCDT FFV 0033</v>
          </cell>
        </row>
        <row r="301">
          <cell r="B301" t="str">
            <v>LOCKERS FOR WORKERS</v>
          </cell>
          <cell r="C301" t="str">
            <v>FF PCDT FFV 0034</v>
          </cell>
        </row>
        <row r="302">
          <cell r="B302" t="str">
            <v>TOP STORAGE 1 NO</v>
          </cell>
          <cell r="C302" t="str">
            <v>FF PCDT FFV 0035</v>
          </cell>
        </row>
        <row r="303">
          <cell r="B303" t="str">
            <v>CUP BOARD 1 NO</v>
          </cell>
          <cell r="C303" t="str">
            <v>FF PCDT FFV 0036</v>
          </cell>
        </row>
        <row r="304">
          <cell r="B304" t="str">
            <v>CUP BOARD 1 NO</v>
          </cell>
          <cell r="C304" t="str">
            <v>FF PCDT FFV 0037</v>
          </cell>
        </row>
        <row r="305">
          <cell r="B305" t="str">
            <v>EXECUTIVE DESK 1 NO</v>
          </cell>
          <cell r="C305" t="str">
            <v>FF PCDT FFV 0038</v>
          </cell>
        </row>
        <row r="306">
          <cell r="B306" t="str">
            <v>SIDE CREDENZA 4 NOS</v>
          </cell>
          <cell r="C306" t="str">
            <v>FF PCDT FFV 0039</v>
          </cell>
        </row>
        <row r="307">
          <cell r="B307" t="str">
            <v>CHALKLESS BOARD</v>
          </cell>
          <cell r="C307" t="str">
            <v>FF PCDT FFV 0040</v>
          </cell>
        </row>
        <row r="308">
          <cell r="B308" t="str">
            <v>SECRETARY DESK 2 NOS</v>
          </cell>
          <cell r="C308" t="str">
            <v>FF PCDT FFV 0041</v>
          </cell>
        </row>
        <row r="309">
          <cell r="B309" t="str">
            <v>WORK BENCH 1 NO</v>
          </cell>
          <cell r="C309" t="str">
            <v>FF PCDT FFV 0042</v>
          </cell>
        </row>
        <row r="310">
          <cell r="B310" t="str">
            <v>EXE. DESK 2 NOS</v>
          </cell>
          <cell r="C310" t="str">
            <v>FF PCDT FFV 0043</v>
          </cell>
        </row>
        <row r="311">
          <cell r="B311" t="str">
            <v>CREDENZA 1 NO</v>
          </cell>
          <cell r="C311" t="str">
            <v>FF PCDT FFV 0044</v>
          </cell>
        </row>
        <row r="312">
          <cell r="B312" t="str">
            <v>STAFF TABLES 3 NOS</v>
          </cell>
          <cell r="C312" t="str">
            <v>FF PCDT FFV 0045</v>
          </cell>
        </row>
        <row r="313">
          <cell r="B313" t="str">
            <v>EXECUTIVE CHAIR 1 NO</v>
          </cell>
          <cell r="C313" t="str">
            <v>FF PCDT FFV 0046</v>
          </cell>
        </row>
        <row r="314">
          <cell r="B314" t="str">
            <v>CHAIRS ORDINARY 21 NOS</v>
          </cell>
          <cell r="C314" t="str">
            <v>FF PCDT FFV 0047</v>
          </cell>
        </row>
        <row r="315">
          <cell r="B315" t="str">
            <v>SOFA SET</v>
          </cell>
          <cell r="C315" t="str">
            <v>FF PCDT FFV 0048</v>
          </cell>
        </row>
        <row r="316">
          <cell r="B316" t="str">
            <v>SIDE TABLE 3 NO</v>
          </cell>
          <cell r="C316" t="str">
            <v>FF PCDT FFV 0049</v>
          </cell>
        </row>
        <row r="317">
          <cell r="B317" t="str">
            <v>REVOLVING CHAIRS 3 NOS</v>
          </cell>
          <cell r="C317" t="str">
            <v>FF PCDT FFV 0050</v>
          </cell>
        </row>
        <row r="318">
          <cell r="B318" t="str">
            <v>CHAIRS 4 NOS</v>
          </cell>
          <cell r="C318" t="str">
            <v>FF PCDT FFV 0051</v>
          </cell>
        </row>
        <row r="319">
          <cell r="B319" t="str">
            <v>LOW FILING UNIT 1 NO</v>
          </cell>
          <cell r="C319" t="str">
            <v>FF PCDT FFV 0052</v>
          </cell>
        </row>
        <row r="320">
          <cell r="B320" t="str">
            <v>FILING UNIT 1 NO</v>
          </cell>
          <cell r="C320" t="str">
            <v>FF PCDT FFV 0053</v>
          </cell>
        </row>
        <row r="321">
          <cell r="B321" t="str">
            <v>COMPUTER TABLES 6 NOS</v>
          </cell>
          <cell r="C321" t="str">
            <v>FF PCDT FFV 0054</v>
          </cell>
        </row>
        <row r="322">
          <cell r="B322" t="str">
            <v>TABLE FOR WEIGHING SCALE 1 NO</v>
          </cell>
          <cell r="C322" t="str">
            <v>FF PCDT FFV 0055</v>
          </cell>
        </row>
        <row r="323">
          <cell r="B323" t="str">
            <v>CHAIR WITH ARMS 3 NOS</v>
          </cell>
          <cell r="C323" t="str">
            <v>FF PCDT FFV 0056</v>
          </cell>
        </row>
        <row r="324">
          <cell r="B324" t="str">
            <v>EXECUTIVE CHAIR 1 NO</v>
          </cell>
          <cell r="C324" t="str">
            <v>FF PCDT FFV 0057</v>
          </cell>
        </row>
        <row r="325">
          <cell r="B325" t="str">
            <v>BOOK CASE 1 NO</v>
          </cell>
          <cell r="C325" t="str">
            <v>FF PCDT FFV 0058</v>
          </cell>
        </row>
        <row r="326">
          <cell r="B326" t="str">
            <v>PLASTIC CHAIRS</v>
          </cell>
          <cell r="C326" t="str">
            <v>FF PCDT FFV 0059</v>
          </cell>
        </row>
        <row r="327">
          <cell r="B327" t="str">
            <v>EXECUTIVE DESK IN MARINE PLY 6</v>
          </cell>
          <cell r="C327" t="str">
            <v>FF PCDT FFV 0065</v>
          </cell>
        </row>
        <row r="328">
          <cell r="B328" t="str">
            <v>SIDE CRDENZACAPEX</v>
          </cell>
          <cell r="C328" t="str">
            <v>FF PCDT FFV 0066</v>
          </cell>
        </row>
        <row r="329">
          <cell r="B329" t="str">
            <v>VISITORS CHAIRS ONGC</v>
          </cell>
          <cell r="C329" t="str">
            <v>FF PCDT FFV 0067</v>
          </cell>
        </row>
        <row r="330">
          <cell r="B330" t="str">
            <v>EXECUTIVE CHAIRS, REVOLVING</v>
          </cell>
          <cell r="C330" t="str">
            <v>FF PCDT FFV 0068</v>
          </cell>
        </row>
        <row r="331">
          <cell r="B331" t="str">
            <v>SINTEX  WATER STORAGE TANK</v>
          </cell>
          <cell r="C331" t="str">
            <v>FF PCDT FFV 0069</v>
          </cell>
        </row>
        <row r="332">
          <cell r="B332" t="str">
            <v>COOLING TOWER MODEL - CM2/6C/2</v>
          </cell>
          <cell r="C332" t="str">
            <v>FF PCDT FFV 0070</v>
          </cell>
        </row>
        <row r="333">
          <cell r="B333" t="str">
            <v>OFFICE CHAIRS -GODREJ MAKE</v>
          </cell>
          <cell r="C333" t="str">
            <v>FF PCDT FFV 0071</v>
          </cell>
        </row>
        <row r="334">
          <cell r="B334" t="str">
            <v>OFFICE CHAIRS - GODREJ MAKE</v>
          </cell>
          <cell r="C334" t="str">
            <v>FF PCDT FFV 0072</v>
          </cell>
        </row>
        <row r="335">
          <cell r="B335" t="str">
            <v>WATER PURIFIER</v>
          </cell>
          <cell r="C335" t="str">
            <v>FF PCDT FFV 0073</v>
          </cell>
        </row>
        <row r="336">
          <cell r="B336" t="str">
            <v>WATER COOLER -1</v>
          </cell>
          <cell r="C336" t="str">
            <v>FF PCDT FFV 0074</v>
          </cell>
        </row>
        <row r="337">
          <cell r="B337" t="str">
            <v>WATER COOLER -2</v>
          </cell>
          <cell r="C337" t="str">
            <v>FF PCDT FFV 0075</v>
          </cell>
        </row>
        <row r="338">
          <cell r="B338" t="str">
            <v>CHAIR MODEL-1002</v>
          </cell>
          <cell r="C338" t="str">
            <v>FF PCDT FFV 0076</v>
          </cell>
        </row>
        <row r="339">
          <cell r="B339" t="str">
            <v>FILING CABINET FOR DRAWER</v>
          </cell>
          <cell r="C339" t="str">
            <v>FF PCDT FFV 0077</v>
          </cell>
        </row>
        <row r="340">
          <cell r="B340" t="str">
            <v>COMPUTER TABLE</v>
          </cell>
          <cell r="C340" t="str">
            <v>FF PCDT FFV 0078</v>
          </cell>
        </row>
        <row r="341">
          <cell r="B341" t="str">
            <v>REFRIGERATOR CUM FREEZER</v>
          </cell>
          <cell r="C341" t="str">
            <v>FF PCDT FFV 0079</v>
          </cell>
        </row>
        <row r="342">
          <cell r="B342" t="str">
            <v>FILING CABINET 4 DRAWER</v>
          </cell>
          <cell r="C342" t="str">
            <v>FF PCDT FFV 0080</v>
          </cell>
        </row>
        <row r="343">
          <cell r="B343" t="str">
            <v>WATER PURIFIER, PUREGUARD</v>
          </cell>
          <cell r="C343" t="str">
            <v>FF PCDT FFV 0081</v>
          </cell>
        </row>
        <row r="344">
          <cell r="B344" t="str">
            <v>FURNITURE- GENERAL</v>
          </cell>
          <cell r="C344" t="str">
            <v>FF PCDT FFW 0018</v>
          </cell>
        </row>
        <row r="345">
          <cell r="B345" t="str">
            <v>FURNITURE- FILING CABINET</v>
          </cell>
          <cell r="C345" t="str">
            <v>FF PCDT FFW 0019</v>
          </cell>
        </row>
        <row r="346">
          <cell r="B346" t="str">
            <v>FURNITURE- RACKS</v>
          </cell>
          <cell r="C346" t="str">
            <v>FF PCDT FFW 0020</v>
          </cell>
        </row>
        <row r="347">
          <cell r="B347" t="str">
            <v>PHOTOCOPYING MACHINE</v>
          </cell>
          <cell r="C347" t="str">
            <v>FF PCDT OEV 0001</v>
          </cell>
        </row>
        <row r="348">
          <cell r="B348" t="str">
            <v>AQUAGUARD WATER PURIFIER</v>
          </cell>
          <cell r="C348" t="str">
            <v>FF PCDT OEV 0007</v>
          </cell>
        </row>
        <row r="349">
          <cell r="B349" t="str">
            <v>PAPER SHREDDER - 1 NOS.</v>
          </cell>
          <cell r="C349" t="str">
            <v>FF PCDT OEV 0008</v>
          </cell>
        </row>
        <row r="350">
          <cell r="B350" t="str">
            <v>EURO CLEAN VACCUM CLEANER</v>
          </cell>
          <cell r="C350" t="str">
            <v>FF PCDT OEV 0009</v>
          </cell>
        </row>
        <row r="351">
          <cell r="B351" t="str">
            <v>OFFICE EQUIPMENT- GENERAL</v>
          </cell>
          <cell r="C351" t="str">
            <v>FF PCDT OEW 0002</v>
          </cell>
        </row>
        <row r="352">
          <cell r="B352" t="str">
            <v>OFFICE EQUIPMENT- AC SYSTEM</v>
          </cell>
          <cell r="C352" t="str">
            <v>FF PCDT OEW 0003</v>
          </cell>
        </row>
        <row r="353">
          <cell r="B353" t="str">
            <v>OFFICE EQUIPMENT- FAX MACHINE</v>
          </cell>
          <cell r="C353" t="str">
            <v>FF PCDT OEW 0004</v>
          </cell>
        </row>
        <row r="354">
          <cell r="B354" t="str">
            <v>OFFICE EQUIPMENT- COMPUTER HAR</v>
          </cell>
          <cell r="C354" t="str">
            <v>FF PCDT OEW 0005</v>
          </cell>
        </row>
        <row r="355">
          <cell r="B355" t="str">
            <v>OFFICE EQUIPMENT- OVERHEAD PRO</v>
          </cell>
          <cell r="C355" t="str">
            <v>FF PCDT OEW 0006</v>
          </cell>
        </row>
        <row r="356">
          <cell r="B356" t="str">
            <v>FURNITURE O BLOCK</v>
          </cell>
          <cell r="C356" t="str">
            <v>FF SDCT FURN 0001</v>
          </cell>
        </row>
        <row r="357">
          <cell r="B357" t="str">
            <v>PACKING &amp; SHELVING RACKS. MOBI</v>
          </cell>
          <cell r="C357" t="str">
            <v>FF SDCT FURN 0002</v>
          </cell>
        </row>
        <row r="358">
          <cell r="B358" t="str">
            <v>OFFICE RENOVATION INTERIOR DEC</v>
          </cell>
          <cell r="C358" t="str">
            <v>FF SDCT FURN 0003</v>
          </cell>
        </row>
        <row r="359">
          <cell r="B359" t="str">
            <v>STORAGE SYSTEM</v>
          </cell>
          <cell r="C359" t="str">
            <v>FF SDCT FURN 0004</v>
          </cell>
        </row>
        <row r="360">
          <cell r="B360" t="str">
            <v>CANON FAX MACHINER</v>
          </cell>
          <cell r="C360" t="str">
            <v>FF SDCT FURN 0005</v>
          </cell>
        </row>
        <row r="361">
          <cell r="B361" t="str">
            <v>EXHAUST FAN</v>
          </cell>
          <cell r="C361" t="str">
            <v>FF SDCT FURN 0006</v>
          </cell>
        </row>
        <row r="362">
          <cell r="B362" t="str">
            <v>MECHANICAL LAWN MOWER</v>
          </cell>
          <cell r="C362" t="str">
            <v>FF SDCT FURN 0007</v>
          </cell>
        </row>
        <row r="363">
          <cell r="B363" t="str">
            <v>CHAIR PCH-7001 D (NAVY BLUE)</v>
          </cell>
          <cell r="C363" t="str">
            <v>FF SDCT FURN 0008</v>
          </cell>
        </row>
        <row r="364">
          <cell r="B364" t="str">
            <v>COPIER</v>
          </cell>
          <cell r="C364" t="str">
            <v>FF SDCT FURN 0009</v>
          </cell>
        </row>
        <row r="365">
          <cell r="B365" t="str">
            <v>COPIER</v>
          </cell>
          <cell r="C365" t="str">
            <v>FF SDCT FURN 0010</v>
          </cell>
        </row>
        <row r="366">
          <cell r="B366" t="str">
            <v>FILLING CABINATE (GM(F);SR;MRT</v>
          </cell>
          <cell r="C366" t="str">
            <v>FF SDCT FURN 0011</v>
          </cell>
        </row>
        <row r="367">
          <cell r="B367" t="str">
            <v>DEEP FREEZER (SS BODY) CUM BOT</v>
          </cell>
          <cell r="C367" t="str">
            <v>FF SDCT FURN 0012</v>
          </cell>
        </row>
        <row r="368">
          <cell r="B368" t="str">
            <v>WATER COOLER 2 NOS EUREKAMAKE</v>
          </cell>
          <cell r="C368" t="str">
            <v>FF SDCT FURN 0013</v>
          </cell>
        </row>
        <row r="369">
          <cell r="B369" t="str">
            <v>ALMONARD FAN -1</v>
          </cell>
          <cell r="C369" t="str">
            <v>FF SDCT FURN 0014</v>
          </cell>
        </row>
        <row r="370">
          <cell r="B370" t="str">
            <v>ALMONARD FAN -2</v>
          </cell>
          <cell r="C370" t="str">
            <v>FF SDCT FURN 0015</v>
          </cell>
        </row>
        <row r="371">
          <cell r="B371" t="str">
            <v>CROMPTON FAN -3</v>
          </cell>
          <cell r="C371" t="str">
            <v>FF SDCT FURN 0016</v>
          </cell>
        </row>
        <row r="372">
          <cell r="B372" t="str">
            <v>OVEN - KINGS ELECTRONIC</v>
          </cell>
          <cell r="C372" t="str">
            <v>FF SDCT FURN 0017</v>
          </cell>
        </row>
        <row r="373">
          <cell r="B373" t="str">
            <v>CITI AIRCONS -</v>
          </cell>
          <cell r="C373" t="str">
            <v>FF SDCT FURN 0018</v>
          </cell>
        </row>
        <row r="374">
          <cell r="B374" t="str">
            <v>TELEVISION - SAMSUNG LCD</v>
          </cell>
          <cell r="C374" t="str">
            <v>FF SDCT FURN 0019</v>
          </cell>
        </row>
        <row r="375">
          <cell r="B375" t="str">
            <v>WASHING MACHINE - SAMSAUNG</v>
          </cell>
          <cell r="C375" t="str">
            <v>FF SDCT FURN 0020</v>
          </cell>
        </row>
        <row r="376">
          <cell r="B376" t="str">
            <v>FOOD PROCESSOR &amp; T.V.</v>
          </cell>
          <cell r="C376" t="str">
            <v>FF SDCT FURN 0021</v>
          </cell>
        </row>
        <row r="377">
          <cell r="B377" t="str">
            <v>KITCHEN CABINETS , SHUTTERS</v>
          </cell>
          <cell r="C377" t="str">
            <v>FF SDCT FURN 0022</v>
          </cell>
        </row>
        <row r="378">
          <cell r="B378" t="str">
            <v>PHONE INSTRUMENT</v>
          </cell>
          <cell r="C378" t="str">
            <v>FF SDCT FURN 0023</v>
          </cell>
        </row>
        <row r="379">
          <cell r="B379" t="str">
            <v>FES FRIZE-RJ</v>
          </cell>
          <cell r="C379" t="str">
            <v>FF SDCT FURN 0024</v>
          </cell>
        </row>
        <row r="380">
          <cell r="B380" t="str">
            <v>DIGI CAM 12.1 MP T-90</v>
          </cell>
          <cell r="C380" t="str">
            <v>FF SDCT FURN 0025</v>
          </cell>
        </row>
        <row r="381">
          <cell r="B381" t="str">
            <v>FURNITURE</v>
          </cell>
          <cell r="C381" t="str">
            <v>FF SDCT FURN 0026</v>
          </cell>
        </row>
        <row r="382">
          <cell r="B382" t="str">
            <v>LCD</v>
          </cell>
          <cell r="C382" t="str">
            <v>FF SDCT FURN 0027</v>
          </cell>
        </row>
        <row r="383">
          <cell r="B383" t="str">
            <v>RJ EUREKA WATER PURIFIER</v>
          </cell>
          <cell r="C383" t="str">
            <v>FF SDCT FURN 0028</v>
          </cell>
        </row>
        <row r="384">
          <cell r="B384" t="str">
            <v>RJ CUPBOARD</v>
          </cell>
          <cell r="C384" t="str">
            <v>FF SDCT FURN 0029</v>
          </cell>
        </row>
        <row r="385">
          <cell r="B385" t="str">
            <v>REVOLVING (ZEBRA) CHAIRS- FOR</v>
          </cell>
          <cell r="C385" t="str">
            <v>FF SDCT FURN 0030</v>
          </cell>
        </row>
        <row r="386">
          <cell r="B386" t="str">
            <v>CHAIRS (FIXED TYPE) NEELKAMAL</v>
          </cell>
          <cell r="C386" t="str">
            <v>FF SDCT FURN 0031</v>
          </cell>
        </row>
        <row r="387">
          <cell r="B387" t="str">
            <v>REVOLVING CHAIRS EXECUTIVE TYP</v>
          </cell>
          <cell r="C387" t="str">
            <v>FF SDCT FURN 0032</v>
          </cell>
        </row>
        <row r="388">
          <cell r="B388" t="str">
            <v>REVOLVING CHAIRS EXECUTIVE TYP</v>
          </cell>
          <cell r="C388" t="str">
            <v>FF SDCT FURN 0033</v>
          </cell>
        </row>
        <row r="389">
          <cell r="B389" t="str">
            <v>STEEL CUPBOARD SIZE 78X36"X15"</v>
          </cell>
          <cell r="C389" t="str">
            <v>FF SDCT FURN 0035</v>
          </cell>
        </row>
        <row r="390">
          <cell r="B390" t="str">
            <v>STEEL CUPBOARD FOR CONTRACT LA</v>
          </cell>
          <cell r="C390" t="str">
            <v>FF SDCT FURN 0036</v>
          </cell>
        </row>
        <row r="391">
          <cell r="B391" t="str">
            <v>STEEL CUPBOARD SIZE 78X15"X 6"</v>
          </cell>
          <cell r="C391" t="str">
            <v>FF SDCT FURN 0037</v>
          </cell>
        </row>
        <row r="392">
          <cell r="B392" t="str">
            <v>FES - MM TABLE</v>
          </cell>
          <cell r="C392" t="str">
            <v>FF SDCT FURN 0039</v>
          </cell>
        </row>
        <row r="393">
          <cell r="B393" t="str">
            <v>FES - MM CUPBOARDS; MARBLES-RA</v>
          </cell>
          <cell r="C393" t="str">
            <v>FF SDCT FURN 0040</v>
          </cell>
        </row>
        <row r="394">
          <cell r="B394" t="str">
            <v>FES - MM CUPBOARDS WITH CHEST</v>
          </cell>
          <cell r="C394" t="str">
            <v>FF SDCT FURN 0041</v>
          </cell>
        </row>
        <row r="395">
          <cell r="B395" t="str">
            <v>FES - MM OVEN MODEL-SMART MARK</v>
          </cell>
          <cell r="C395" t="str">
            <v>FF SDCT FURN 0042</v>
          </cell>
        </row>
        <row r="396">
          <cell r="B396" t="str">
            <v>FES - MM ELECTRIC COOKER</v>
          </cell>
          <cell r="C396" t="str">
            <v>FF SDCT FURN 0043</v>
          </cell>
        </row>
        <row r="397">
          <cell r="B397" t="str">
            <v>FES - CVM WINDOW AC-1.5T MODEL</v>
          </cell>
          <cell r="C397" t="str">
            <v>FF SDCT FURN 0044</v>
          </cell>
        </row>
        <row r="398">
          <cell r="B398" t="str">
            <v>WOODEN CABINET SIZE (5'X3) 150</v>
          </cell>
          <cell r="C398" t="str">
            <v>FF SDCT FURN 0046</v>
          </cell>
        </row>
        <row r="399">
          <cell r="B399" t="str">
            <v>FILE STORAGE 6 1/4 x5"(PERSON"</v>
          </cell>
          <cell r="C399" t="str">
            <v>FF SDCT FURN 0047</v>
          </cell>
        </row>
        <row r="400">
          <cell r="B400" t="str">
            <v>CONFERENCE ROOM WINDOW PARTITI</v>
          </cell>
          <cell r="C400" t="str">
            <v>FF SDCT FURN 0048</v>
          </cell>
        </row>
        <row r="401">
          <cell r="B401" t="str">
            <v>FAN HEAVY DUTY WALL MOUNTING A</v>
          </cell>
          <cell r="C401" t="str">
            <v>FF SDCT FURN 0049</v>
          </cell>
        </row>
        <row r="402">
          <cell r="B402" t="str">
            <v>EXAUST FAN</v>
          </cell>
          <cell r="C402" t="str">
            <v>FF SDCT FURN 0050</v>
          </cell>
        </row>
        <row r="403">
          <cell r="B403" t="str">
            <v>EXAUST FAN</v>
          </cell>
          <cell r="C403" t="str">
            <v>FF SDCT FURN 0051</v>
          </cell>
        </row>
        <row r="404">
          <cell r="B404" t="str">
            <v>FAN WALL MOUNTING SIZE 600mm(A</v>
          </cell>
          <cell r="C404" t="str">
            <v>FF SDCT FURN 0052</v>
          </cell>
        </row>
        <row r="405">
          <cell r="B405" t="str">
            <v>BAIN MARRIE - SS304 FOOD GRADE</v>
          </cell>
          <cell r="C405" t="str">
            <v>FF SDCT FURN 0053</v>
          </cell>
        </row>
        <row r="406">
          <cell r="B406" t="str">
            <v>SELECTIVE PALLECT RACKING SYST</v>
          </cell>
          <cell r="C406" t="str">
            <v>FF SDCT FURN 0054</v>
          </cell>
        </row>
        <row r="407">
          <cell r="B407" t="str">
            <v>FAN WALL MOUNTING SIZE 600mm(A</v>
          </cell>
          <cell r="C407" t="str">
            <v>FF SDCT FURN 0056</v>
          </cell>
        </row>
        <row r="408">
          <cell r="B408" t="str">
            <v>FAN WALL MOUNTING SIZE 600mm(A</v>
          </cell>
          <cell r="C408" t="str">
            <v>FF SDCT FURN 0057</v>
          </cell>
        </row>
        <row r="409">
          <cell r="B409" t="str">
            <v>FAN WALL MOUNTING SIZE 600mm(A</v>
          </cell>
          <cell r="C409" t="str">
            <v>FF SDCT FURN 0058</v>
          </cell>
        </row>
        <row r="410">
          <cell r="B410" t="str">
            <v>FAN WALL MOUNTING SIZE 600mm(A</v>
          </cell>
          <cell r="C410" t="str">
            <v>FF SDCT FURN 0059</v>
          </cell>
        </row>
        <row r="411">
          <cell r="B411" t="str">
            <v>FAN WALL MOUNTING SIZE 600mm(A</v>
          </cell>
          <cell r="C411" t="str">
            <v>FF SDCT FURN 0060</v>
          </cell>
        </row>
        <row r="412">
          <cell r="B412" t="str">
            <v>STORAGE BINS DRG.2147-10.0 MAD</v>
          </cell>
          <cell r="C412" t="str">
            <v>FF SDCT FURN 0061</v>
          </cell>
        </row>
        <row r="413">
          <cell r="B413" t="str">
            <v>FURNITURE TABLES/ CHAIRS ETC F</v>
          </cell>
          <cell r="C413" t="str">
            <v>FF SDCT FURN 0062</v>
          </cell>
        </row>
        <row r="414">
          <cell r="B414" t="str">
            <v>LAND MEASURING 5.015 (12.72) A</v>
          </cell>
          <cell r="C414" t="str">
            <v>FL PCDC PLNT 0001</v>
          </cell>
        </row>
        <row r="415">
          <cell r="B415" t="str">
            <v>LAND MEASURING 5.015 (12.72) A</v>
          </cell>
          <cell r="C415" t="str">
            <v>FL PCDN PLNT 0001</v>
          </cell>
        </row>
        <row r="416">
          <cell r="B416" t="str">
            <v>LAND</v>
          </cell>
          <cell r="C416" t="str">
            <v>LLO PCDT TUR 0001</v>
          </cell>
        </row>
        <row r="417">
          <cell r="B417" t="str">
            <v>THURBE LAND</v>
          </cell>
          <cell r="C417" t="str">
            <v>LL SDCT LAND-0 01</v>
          </cell>
        </row>
        <row r="418">
          <cell r="B418" t="str">
            <v>AIR CONDITIONERS</v>
          </cell>
          <cell r="C418" t="str">
            <v>PM PCDC AIRC 0701</v>
          </cell>
        </row>
        <row r="419">
          <cell r="B419" t="str">
            <v>AIR CONDITIONERS</v>
          </cell>
          <cell r="C419" t="str">
            <v>PM PCDC AIRC 0702</v>
          </cell>
        </row>
        <row r="420">
          <cell r="B420" t="str">
            <v>AIR CONDITIONER 1.5 TON (WINDO</v>
          </cell>
          <cell r="C420" t="str">
            <v>PM PCDC AIRC 0703</v>
          </cell>
        </row>
        <row r="421">
          <cell r="B421" t="str">
            <v>AIR CONDITIONER 1.5 TON (WINDO</v>
          </cell>
          <cell r="C421" t="str">
            <v>PM PCDC AIRC 0704</v>
          </cell>
        </row>
        <row r="422">
          <cell r="B422" t="str">
            <v>AIR CONDITIONERS 2 NOS.</v>
          </cell>
          <cell r="C422" t="str">
            <v>PM PCDC AIRC 0705</v>
          </cell>
        </row>
        <row r="423">
          <cell r="B423" t="str">
            <v>500KVA 415VOLTS 3 PHASE 1500RP</v>
          </cell>
          <cell r="C423" t="str">
            <v>PM PCDC ELEC 0501</v>
          </cell>
        </row>
        <row r="424">
          <cell r="B424" t="str">
            <v>180KVA 415VOLTS 3 PHASE 1500RP</v>
          </cell>
          <cell r="C424" t="str">
            <v>PM PCDC ELEC 0502</v>
          </cell>
        </row>
        <row r="425">
          <cell r="B425" t="str">
            <v>PORTABLE GENERATOR 1 NO.</v>
          </cell>
          <cell r="C425" t="str">
            <v>PM PCDC ELEC 0503</v>
          </cell>
        </row>
        <row r="426">
          <cell r="B426" t="str">
            <v>MAIN MV. PANEL.SSB-1-SSB-2.CAP</v>
          </cell>
          <cell r="C426" t="str">
            <v>PM PCDC ELEC 0504</v>
          </cell>
        </row>
        <row r="427">
          <cell r="B427" t="str">
            <v>METER BOX (1)</v>
          </cell>
          <cell r="C427" t="str">
            <v>PM PCDC ELEC 0505</v>
          </cell>
        </row>
        <row r="428">
          <cell r="B428" t="str">
            <v>CAPACITOR &amp; ELECTRICAL FITTING</v>
          </cell>
          <cell r="C428" t="str">
            <v>PM PCDC ELEC 0506</v>
          </cell>
        </row>
        <row r="429">
          <cell r="B429" t="str">
            <v>ELECTRICAL FITTINGS (NEW FACTO</v>
          </cell>
          <cell r="C429" t="str">
            <v>PM PCDC ELEC 0507</v>
          </cell>
        </row>
        <row r="430">
          <cell r="B430" t="str">
            <v>ENERGY METER (7)</v>
          </cell>
          <cell r="C430" t="str">
            <v>PM PCDC ELEC 0508</v>
          </cell>
        </row>
        <row r="431">
          <cell r="B431" t="str">
            <v>C. T. COILS (21)</v>
          </cell>
          <cell r="C431" t="str">
            <v>PM PCDC ELEC 0509</v>
          </cell>
        </row>
        <row r="432">
          <cell r="B432" t="str">
            <v>POWER SUPPLY UNIT</v>
          </cell>
          <cell r="C432" t="str">
            <v>PM PCDC ELEC 0510</v>
          </cell>
        </row>
        <row r="433">
          <cell r="B433" t="str">
            <v>ELECTRICAL PANNEL</v>
          </cell>
          <cell r="C433" t="str">
            <v>PM PCDC ELEC 0511</v>
          </cell>
        </row>
        <row r="434">
          <cell r="B434" t="str">
            <v>300 KVA APFC PANNEL</v>
          </cell>
          <cell r="C434" t="str">
            <v>PM PCDC ELEC 0512</v>
          </cell>
        </row>
        <row r="435">
          <cell r="B435" t="str">
            <v>KRUPP KAUTEX BLOW MOULDING MAC</v>
          </cell>
          <cell r="C435" t="str">
            <v>PM PCDC KAUT 0101</v>
          </cell>
        </row>
        <row r="436">
          <cell r="B436" t="str">
            <v>TOTAL MACHINE CONTROL KAUTEX B</v>
          </cell>
          <cell r="C436" t="str">
            <v>PM PCDC KAUT 0102</v>
          </cell>
        </row>
        <row r="437">
          <cell r="B437" t="str">
            <v>FEED SECTION GROVEED BUSH</v>
          </cell>
          <cell r="C437" t="str">
            <v>PM PCDC KAUT 0103</v>
          </cell>
        </row>
        <row r="438">
          <cell r="B438" t="str">
            <v>HYDRAULIC POWER PACK FOR PARIS</v>
          </cell>
          <cell r="C438" t="str">
            <v>PM PCDC KAUT 0104</v>
          </cell>
        </row>
        <row r="439">
          <cell r="B439" t="str">
            <v>POST COOLING DEVICES FAM MODEL</v>
          </cell>
          <cell r="C439" t="str">
            <v>PM PCDC KAUT 0105</v>
          </cell>
        </row>
        <row r="440">
          <cell r="B440" t="str">
            <v>CUTTING MILL</v>
          </cell>
          <cell r="C440" t="str">
            <v>PM PCDC KAUT 0106</v>
          </cell>
        </row>
        <row r="441">
          <cell r="B441" t="str">
            <v>LEAK TESTER</v>
          </cell>
          <cell r="C441" t="str">
            <v>PM PCDC KAUT 0107</v>
          </cell>
        </row>
        <row r="442">
          <cell r="B442" t="str">
            <v>HOPPER OF SIZE 8'*4' FOR RM LO</v>
          </cell>
          <cell r="C442" t="str">
            <v>PM PCDC KAUT 0108</v>
          </cell>
        </row>
        <row r="443">
          <cell r="B443" t="str">
            <v>GRANNULATOR (RAPID)</v>
          </cell>
          <cell r="C443" t="str">
            <v>PM PCDC KAUT 0109</v>
          </cell>
        </row>
        <row r="444">
          <cell r="B444" t="str">
            <v>MOULD 50 LTRS. CAP.</v>
          </cell>
          <cell r="C444" t="str">
            <v>PM PCDC MOLD 1001</v>
          </cell>
        </row>
        <row r="445">
          <cell r="B445" t="str">
            <v>CAP MOULD</v>
          </cell>
          <cell r="C445" t="str">
            <v>PM PCDC MOLD 1002</v>
          </cell>
        </row>
        <row r="446">
          <cell r="B446" t="str">
            <v>20 LTR JERRICAN MOULD</v>
          </cell>
          <cell r="C446" t="str">
            <v>PM PCDC MOLD 1003</v>
          </cell>
        </row>
        <row r="447">
          <cell r="B447" t="str">
            <v>HDPE S70/6  2 CAVITY MOULD</v>
          </cell>
          <cell r="C447" t="str">
            <v>PM PCDC MOLD 1004</v>
          </cell>
        </row>
        <row r="448">
          <cell r="B448" t="str">
            <v>BIG CAP ( 21 ) MOULD"</v>
          </cell>
          <cell r="C448" t="str">
            <v>PM PCDC MOLD 1005</v>
          </cell>
        </row>
        <row r="449">
          <cell r="C449" t="str">
            <v>PM PCDC MOLD 1006</v>
          </cell>
        </row>
        <row r="450">
          <cell r="B450" t="str">
            <v>35 LTRS. JERRYCANS MOULD</v>
          </cell>
          <cell r="C450" t="str">
            <v>PM PCDC MOLD 1007</v>
          </cell>
        </row>
        <row r="451">
          <cell r="B451" t="str">
            <v>4 CAVITY CAP MOULD</v>
          </cell>
          <cell r="C451" t="str">
            <v>PM PCDC MOLD 1008</v>
          </cell>
        </row>
        <row r="452">
          <cell r="B452" t="str">
            <v>PILFER PROOF CAP MOULD</v>
          </cell>
          <cell r="C452" t="str">
            <v>PM PCDC MOLD 1009</v>
          </cell>
        </row>
        <row r="453">
          <cell r="B453" t="str">
            <v>SAFETY RING MOULD</v>
          </cell>
          <cell r="C453" t="str">
            <v>PM PCDC MOLD 1010</v>
          </cell>
        </row>
        <row r="454">
          <cell r="B454" t="str">
            <v>L.D.O. RING MOULD</v>
          </cell>
          <cell r="C454" t="str">
            <v>PM PCDC MOLD 1011</v>
          </cell>
        </row>
        <row r="455">
          <cell r="B455" t="str">
            <v>CAP FOR MODIFIED PLUG MOULD</v>
          </cell>
          <cell r="C455" t="str">
            <v>PM PCDC MOLD 1012</v>
          </cell>
        </row>
        <row r="456">
          <cell r="B456" t="str">
            <v>PILFER PROOF CAP MOULD</v>
          </cell>
          <cell r="C456" t="str">
            <v>PM PCDC MOLD 1013</v>
          </cell>
        </row>
        <row r="457">
          <cell r="B457" t="str">
            <v>INNER CAP (20 LTRS.) MOULD</v>
          </cell>
          <cell r="C457" t="str">
            <v>PM PCDC MOLD 1014</v>
          </cell>
        </row>
        <row r="458">
          <cell r="B458" t="str">
            <v>INNER CAP (30 LTRS.) MOULD</v>
          </cell>
          <cell r="C458" t="str">
            <v>PM PCDC MOLD 1015</v>
          </cell>
        </row>
        <row r="459">
          <cell r="B459" t="str">
            <v>OPEN TOP LOCK MOULD</v>
          </cell>
          <cell r="C459" t="str">
            <v>PM PCDC MOLD 1016</v>
          </cell>
        </row>
        <row r="460">
          <cell r="B460" t="str">
            <v>INNER CAP WITH VENT VALVE MOUL</v>
          </cell>
          <cell r="C460" t="str">
            <v>PM PCDC MOLD 1017</v>
          </cell>
        </row>
        <row r="461">
          <cell r="B461" t="str">
            <v>100 LTR MOULD</v>
          </cell>
          <cell r="C461" t="str">
            <v>PM PCDC MOLD 1018</v>
          </cell>
        </row>
        <row r="462">
          <cell r="B462" t="str">
            <v>199MM-DEBURING TOOLS, 1NO.</v>
          </cell>
          <cell r="C462" t="str">
            <v>PM PCDC MOLD 1019</v>
          </cell>
        </row>
        <row r="463">
          <cell r="B463" t="str">
            <v>30MM-DEBURING TOOLS FOR 100LTR</v>
          </cell>
          <cell r="C463" t="str">
            <v>PM PCDC MOLD 1020</v>
          </cell>
        </row>
        <row r="464">
          <cell r="B464" t="str">
            <v>MOULD RECTANGULAR O RING</v>
          </cell>
          <cell r="C464" t="str">
            <v>PM PCDC MOLD 1021</v>
          </cell>
        </row>
        <row r="465">
          <cell r="B465" t="str">
            <v>BUNGS MOULD</v>
          </cell>
          <cell r="C465" t="str">
            <v>PM PCDC MOLD 1022</v>
          </cell>
        </row>
        <row r="466">
          <cell r="B466" t="str">
            <v>MOULD 50-60 LTR. 1 NO.</v>
          </cell>
          <cell r="C466" t="str">
            <v>PM PCDC MOLD 1023</v>
          </cell>
        </row>
        <row r="467">
          <cell r="B467" t="str">
            <v>MOULD 20/35/50/100LTR CAP</v>
          </cell>
          <cell r="C467" t="str">
            <v>PM PCDC MOLD 1024</v>
          </cell>
        </row>
        <row r="468">
          <cell r="B468" t="str">
            <v>LINNER CARRIER MOTOR &amp; BRUSH</v>
          </cell>
          <cell r="C468" t="str">
            <v>PM PCDC MOLD 1025</v>
          </cell>
        </row>
        <row r="469">
          <cell r="B469" t="str">
            <v>MOULD O RING</v>
          </cell>
          <cell r="C469" t="str">
            <v>PM PCDC MOLD 1026</v>
          </cell>
        </row>
        <row r="470">
          <cell r="B470" t="str">
            <v>MOULD</v>
          </cell>
          <cell r="C470" t="str">
            <v>PM PCDC MOLD 1027</v>
          </cell>
        </row>
        <row r="471">
          <cell r="B471" t="str">
            <v>MOULD OF 50 LTRS OT</v>
          </cell>
          <cell r="C471" t="str">
            <v>PM PCDC MOLD 1028</v>
          </cell>
        </row>
        <row r="472">
          <cell r="B472" t="str">
            <v>MOULD OF 100/120 LTRS WITH NM/</v>
          </cell>
          <cell r="C472" t="str">
            <v>PM PCDC MOLD 1029</v>
          </cell>
        </row>
        <row r="473">
          <cell r="B473" t="str">
            <v>MOULD OF 120 LTRS OT WITH LID</v>
          </cell>
          <cell r="C473" t="str">
            <v>PM PCDC MOLD 1030</v>
          </cell>
        </row>
        <row r="474">
          <cell r="B474" t="str">
            <v>Mould 210/235 Ltrs with Blow P</v>
          </cell>
          <cell r="C474" t="str">
            <v>PM PCDC MOLD 1031</v>
          </cell>
        </row>
        <row r="475">
          <cell r="B475" t="str">
            <v>FAX  MACHINE</v>
          </cell>
          <cell r="C475" t="str">
            <v>PM PCDC OFEQ 0801</v>
          </cell>
        </row>
        <row r="476">
          <cell r="B476" t="str">
            <v>MOBILES</v>
          </cell>
          <cell r="C476" t="str">
            <v>PM PCDC OFEQ 0802</v>
          </cell>
        </row>
        <row r="477">
          <cell r="B477" t="str">
            <v>SCRAP GRINDER  &amp; HIGHSPEED AIX</v>
          </cell>
          <cell r="C477" t="str">
            <v>PM PCDC OTHR 0401</v>
          </cell>
        </row>
        <row r="478">
          <cell r="B478" t="str">
            <v>KNIVES &amp; BOLTS FOR RAPID GRANU</v>
          </cell>
          <cell r="C478" t="str">
            <v>PM PCDC OTHR 0402</v>
          </cell>
        </row>
        <row r="479">
          <cell r="B479" t="str">
            <v>ENDED FRONT FLANGE  MOUNTING</v>
          </cell>
          <cell r="C479" t="str">
            <v>PM PCDC OTHR 0403</v>
          </cell>
        </row>
        <row r="480">
          <cell r="B480" t="str">
            <v>MELTFLOW INDEX TESTER,</v>
          </cell>
          <cell r="C480" t="str">
            <v>PM PCDC OTHR 0404</v>
          </cell>
        </row>
        <row r="481">
          <cell r="B481" t="str">
            <v>THICKNESS TESTER (ULTROSONIC)</v>
          </cell>
          <cell r="C481" t="str">
            <v>PM PCDC OTHR 0405</v>
          </cell>
        </row>
        <row r="482">
          <cell r="B482" t="str">
            <v>TROLLEY</v>
          </cell>
          <cell r="C482" t="str">
            <v>PM PCDC OTHR 0406</v>
          </cell>
        </row>
        <row r="483">
          <cell r="B483" t="str">
            <v>EMCO 750 KVA 0.433KVA TRANSFOR</v>
          </cell>
          <cell r="C483" t="str">
            <v>PM PCDC OTHR 0407</v>
          </cell>
        </row>
        <row r="484">
          <cell r="B484" t="str">
            <v xml:space="preserve"> 20 HP. 2 POLE STRUCTURE</v>
          </cell>
          <cell r="C484" t="str">
            <v>PM PCDC OTHR 0408</v>
          </cell>
        </row>
        <row r="485">
          <cell r="B485" t="str">
            <v>INDEF CHAIN ELECTRIC HOIST,GEA</v>
          </cell>
          <cell r="C485" t="str">
            <v>PM PCDC OTHR 0409</v>
          </cell>
        </row>
        <row r="486">
          <cell r="B486" t="str">
            <v>GEAR CHAIN PULLY 3MT.CAP.</v>
          </cell>
          <cell r="C486" t="str">
            <v>PM PCDC OTHR 0410</v>
          </cell>
        </row>
        <row r="487">
          <cell r="B487" t="str">
            <v>ALLUMINIUM LADDER.</v>
          </cell>
          <cell r="C487" t="str">
            <v>PM PCDC OTHR 0411</v>
          </cell>
        </row>
        <row r="488">
          <cell r="B488" t="str">
            <v>MATERIAL HANDLING TROLLY, PLAT</v>
          </cell>
          <cell r="C488" t="str">
            <v>PM PCDC OTHR 0412</v>
          </cell>
        </row>
        <row r="489">
          <cell r="B489" t="str">
            <v>sCRAP GRINDER  &amp; HIGHSPEED AIX</v>
          </cell>
          <cell r="C489" t="str">
            <v>PM PCDC OTHR 0413</v>
          </cell>
        </row>
        <row r="490">
          <cell r="B490" t="str">
            <v>EASSE DIEI WEIGHING MACHINE SC</v>
          </cell>
          <cell r="C490" t="str">
            <v>PM PCDC OTHR 0414</v>
          </cell>
        </row>
        <row r="491">
          <cell r="B491" t="str">
            <v>D.S- 420   15KO   CAPACITY</v>
          </cell>
          <cell r="C491" t="str">
            <v>PM PCDC OTHR 0415</v>
          </cell>
        </row>
        <row r="492">
          <cell r="B492" t="str">
            <v>WEIGHING MACHINE (TULARAM)</v>
          </cell>
          <cell r="C492" t="str">
            <v>PM PCDC OTHR 0416</v>
          </cell>
        </row>
        <row r="493">
          <cell r="B493" t="str">
            <v>BDB CIRCULAR MACHINE</v>
          </cell>
          <cell r="C493" t="str">
            <v>PM PCDC OTHR 0417</v>
          </cell>
        </row>
        <row r="494">
          <cell r="B494" t="str">
            <v>ESSAE DIOI WEIGHING SCALE</v>
          </cell>
          <cell r="C494" t="str">
            <v>PM PCDC OTHR 0418</v>
          </cell>
        </row>
        <row r="495">
          <cell r="B495" t="str">
            <v>WOOD CIRCULAR SAW MACHINE</v>
          </cell>
          <cell r="C495" t="str">
            <v>PM PCDC OTHR 0419</v>
          </cell>
        </row>
        <row r="496">
          <cell r="B496" t="str">
            <v>WASHING MACHINE</v>
          </cell>
          <cell r="C496" t="str">
            <v>PM PCDC OTHR 0420</v>
          </cell>
        </row>
        <row r="497">
          <cell r="B497" t="str">
            <v>VIBRATOR FOR CLEANING (REGRIND</v>
          </cell>
          <cell r="C497" t="str">
            <v>PM PCDC OTHR 0421</v>
          </cell>
        </row>
        <row r="498">
          <cell r="B498" t="str">
            <v>HYDRAULIC VALVE &amp; TRANSDUCERS</v>
          </cell>
          <cell r="C498" t="str">
            <v>PM PCDC OTHR 0422</v>
          </cell>
        </row>
        <row r="499">
          <cell r="B499" t="str">
            <v>PIOVAN CONTROL BOX RECEIVER 2</v>
          </cell>
          <cell r="C499" t="str">
            <v>PM PCDC OTHR 0423</v>
          </cell>
        </row>
        <row r="500">
          <cell r="B500" t="str">
            <v>NUMERIC DIGITAL HP.1000</v>
          </cell>
          <cell r="C500" t="str">
            <v>PM PCDC OTHR 0424</v>
          </cell>
        </row>
        <row r="501">
          <cell r="B501" t="str">
            <v>SCREW</v>
          </cell>
          <cell r="C501" t="str">
            <v>PM PCDC OTHR 0425</v>
          </cell>
        </row>
        <row r="502">
          <cell r="B502" t="str">
            <v>MIXING TIPS</v>
          </cell>
          <cell r="C502" t="str">
            <v>PM PCDC OTHR 0426</v>
          </cell>
        </row>
        <row r="503">
          <cell r="B503" t="str">
            <v>GEARED MOTOR PIOVAN</v>
          </cell>
          <cell r="C503" t="str">
            <v>PM PCDC OTHR 0427</v>
          </cell>
        </row>
        <row r="504">
          <cell r="B504" t="str">
            <v>AXIAL PISTON PUMP</v>
          </cell>
          <cell r="C504" t="str">
            <v>PM PCDC OTHR 0428</v>
          </cell>
        </row>
        <row r="505">
          <cell r="B505" t="str">
            <v>GEARED MOTOR PIOVAN MOTOR &amp; BR</v>
          </cell>
          <cell r="C505" t="str">
            <v>PM PCDC OTHR 0429</v>
          </cell>
        </row>
        <row r="506">
          <cell r="B506" t="str">
            <v>HYDRAULIC VALVE &amp; TRANSDUCERS</v>
          </cell>
          <cell r="C506" t="str">
            <v>PM PCDC OTHR 0430</v>
          </cell>
        </row>
        <row r="507">
          <cell r="B507" t="str">
            <v>WEIGHING SCALE</v>
          </cell>
          <cell r="C507" t="str">
            <v>PM PCDC OTHR 0431</v>
          </cell>
        </row>
        <row r="508">
          <cell r="B508" t="str">
            <v>DRILLING MACHINE GSB 10 RE</v>
          </cell>
          <cell r="C508" t="str">
            <v>PM PCDC OTHR 0432</v>
          </cell>
        </row>
        <row r="509">
          <cell r="B509" t="str">
            <v>WATER COLLER (BLUE STAR MAKE)</v>
          </cell>
          <cell r="C509" t="str">
            <v>PM PCDC OTHR 0433</v>
          </cell>
        </row>
        <row r="510">
          <cell r="B510" t="str">
            <v>AQUAGUARD WATER FILTER</v>
          </cell>
          <cell r="C510" t="str">
            <v>PM PCDC OTHR 0434</v>
          </cell>
        </row>
        <row r="511">
          <cell r="B511" t="str">
            <v>ACCESSORIES FOR WATER FILTER</v>
          </cell>
          <cell r="C511" t="str">
            <v>PM PCDC OTHR 0435</v>
          </cell>
        </row>
        <row r="512">
          <cell r="B512" t="str">
            <v>PLASTIC DRIER (OVEN)</v>
          </cell>
          <cell r="C512" t="str">
            <v>PM PCDC OTHR 0436</v>
          </cell>
        </row>
        <row r="513">
          <cell r="B513" t="str">
            <v>MAGNETIC GRILLS 3 NO.</v>
          </cell>
          <cell r="C513" t="str">
            <v>PM PCDC OTHR 0437</v>
          </cell>
        </row>
        <row r="514">
          <cell r="B514" t="str">
            <v>DIRECTION CONTROL VALVE 1 NO.</v>
          </cell>
          <cell r="C514" t="str">
            <v>PM PCDC OTHR 0438</v>
          </cell>
        </row>
        <row r="515">
          <cell r="B515" t="str">
            <v>DIRECTION CONTROL VALVE 2 NO.</v>
          </cell>
          <cell r="C515" t="str">
            <v>PM PCDC OTHR 0439</v>
          </cell>
        </row>
        <row r="516">
          <cell r="B516" t="str">
            <v>THROTTLE CHECK VALVE 2 NO.</v>
          </cell>
          <cell r="C516" t="str">
            <v>PM PCDC OTHR 0440</v>
          </cell>
        </row>
        <row r="517">
          <cell r="B517" t="str">
            <v>THROTTLE CHECK VALVE 1 NO.</v>
          </cell>
          <cell r="C517" t="str">
            <v>PM PCDC OTHR 0441</v>
          </cell>
        </row>
        <row r="518">
          <cell r="B518" t="str">
            <v>SUB PLATE 2 NO.</v>
          </cell>
          <cell r="C518" t="str">
            <v>PM PCDC OTHR 0442</v>
          </cell>
        </row>
        <row r="519">
          <cell r="B519" t="str">
            <v>AMPLIFYIER FOR PRO VALVE</v>
          </cell>
          <cell r="C519" t="str">
            <v>PM PCDC OTHR 0443</v>
          </cell>
        </row>
        <row r="520">
          <cell r="B520" t="str">
            <v>Ferrocare Oil Cleaning Machine</v>
          </cell>
          <cell r="C520" t="str">
            <v>PM PCDC OTHR 0444</v>
          </cell>
        </row>
        <row r="521">
          <cell r="B521" t="str">
            <v>TROLLY (FOR RM CARRYING)</v>
          </cell>
          <cell r="C521" t="str">
            <v>PM PCDC OTHR 0445</v>
          </cell>
        </row>
        <row r="522">
          <cell r="B522" t="str">
            <v>WELDING MACHINE</v>
          </cell>
          <cell r="C522" t="str">
            <v>PM PCDC OTHR 0446</v>
          </cell>
        </row>
        <row r="523">
          <cell r="B523" t="str">
            <v>STRAPPING MACHINE MODEL</v>
          </cell>
          <cell r="C523" t="str">
            <v>PM PCDC OTHR 0447</v>
          </cell>
        </row>
        <row r="524">
          <cell r="B524" t="str">
            <v>FIRE HYDERANT SYSTEM</v>
          </cell>
          <cell r="C524" t="str">
            <v>PM PCDC OTHR 0448</v>
          </cell>
        </row>
        <row r="525">
          <cell r="B525" t="str">
            <v>OIL FILTER MACHINE</v>
          </cell>
          <cell r="C525" t="str">
            <v>PM PCDC OTHR 0449</v>
          </cell>
        </row>
        <row r="526">
          <cell r="B526" t="str">
            <v>VERNIER CALIPER -0600 MM</v>
          </cell>
          <cell r="C526" t="str">
            <v>PM PCDC QUAL 0001</v>
          </cell>
        </row>
        <row r="527">
          <cell r="B527" t="str">
            <v>VERNIER CALIPER W/O DIAL (150</v>
          </cell>
          <cell r="C527" t="str">
            <v>PM PCDC QUAL 0002</v>
          </cell>
        </row>
        <row r="528">
          <cell r="B528" t="str">
            <v>VERNIER CALIPER W/0 DIAL (300</v>
          </cell>
          <cell r="C528" t="str">
            <v>PM PCDC QUAL 0003</v>
          </cell>
        </row>
        <row r="529">
          <cell r="B529" t="str">
            <v>VERNIER CALIPER W/O DIAL (0-</v>
          </cell>
          <cell r="C529" t="str">
            <v>PM PCDC QUAL 0004</v>
          </cell>
        </row>
        <row r="530">
          <cell r="B530" t="str">
            <v>VERNIER CALIPER -0300 MM</v>
          </cell>
          <cell r="C530" t="str">
            <v>PM PCDC QUAL 0005</v>
          </cell>
        </row>
        <row r="531">
          <cell r="B531" t="str">
            <v>BLOW MOULDING MACHINE RANA &amp; S</v>
          </cell>
          <cell r="C531" t="str">
            <v>PM PCDC RANA 0301</v>
          </cell>
        </row>
        <row r="532">
          <cell r="B532" t="str">
            <v>FIRE EXTINGUISHER CO2 4.5KG 1N</v>
          </cell>
          <cell r="C532" t="str">
            <v>PM PCDC SAFT 0901</v>
          </cell>
        </row>
        <row r="533">
          <cell r="B533" t="str">
            <v>FIRE EXTINGUISHER MACHFOAM  9L</v>
          </cell>
          <cell r="C533" t="str">
            <v>PM PCDC SAFT 0902</v>
          </cell>
        </row>
        <row r="534">
          <cell r="B534" t="str">
            <v>FIRE EXTINGUISHER MACHFOAM 50L</v>
          </cell>
          <cell r="C534" t="str">
            <v>PM PCDC SAFT 0903</v>
          </cell>
        </row>
        <row r="535">
          <cell r="B535" t="str">
            <v>FIRE EXTENGUISHER</v>
          </cell>
          <cell r="C535" t="str">
            <v>PM PCDC SAFT 0904</v>
          </cell>
        </row>
        <row r="536">
          <cell r="B536" t="str">
            <v>AIR CONDITIONER VOLTAS MAKE -1</v>
          </cell>
          <cell r="C536" t="str">
            <v>PM PCDC SAFT 0905</v>
          </cell>
        </row>
        <row r="537">
          <cell r="B537" t="str">
            <v>COMPRESSED AIR DRIER</v>
          </cell>
          <cell r="C537" t="str">
            <v>PM PCDC UTIL 0604</v>
          </cell>
        </row>
        <row r="538">
          <cell r="B538" t="str">
            <v>VERTICAL AIR RECEIVER TANK</v>
          </cell>
          <cell r="C538" t="str">
            <v>PM PCDC UTIL 0605</v>
          </cell>
        </row>
        <row r="539">
          <cell r="B539" t="str">
            <v>INGERSOL RAND ROTARY SCREW  CO</v>
          </cell>
          <cell r="C539" t="str">
            <v>PM PCDC UTIL 0606</v>
          </cell>
        </row>
        <row r="540">
          <cell r="B540" t="str">
            <v>AIR COMPRESSOR  1NO.</v>
          </cell>
          <cell r="C540" t="str">
            <v>PM PCDC UTIL 0607</v>
          </cell>
        </row>
        <row r="541">
          <cell r="B541" t="str">
            <v>AIR COMPRESSOR INGERSOL RAND</v>
          </cell>
          <cell r="C541" t="str">
            <v>PM PCDC UTIL 0608</v>
          </cell>
        </row>
        <row r="542">
          <cell r="B542" t="str">
            <v>CHILLING PLANT SR.NO. 40620</v>
          </cell>
          <cell r="C542" t="str">
            <v>PM PCDC UTIL 0609</v>
          </cell>
        </row>
        <row r="543">
          <cell r="B543" t="str">
            <v>WATER SOFTNING PLANT WITH MOTO</v>
          </cell>
          <cell r="C543" t="str">
            <v>PM PCDC UTIL 0610</v>
          </cell>
        </row>
        <row r="544">
          <cell r="B544" t="str">
            <v>CHILLING WATER PUMP</v>
          </cell>
          <cell r="C544" t="str">
            <v>PM PCDC UTIL 0611</v>
          </cell>
        </row>
        <row r="545">
          <cell r="B545" t="str">
            <v>INFRA TANK 1000 LTRS. CAP.INFR</v>
          </cell>
          <cell r="C545" t="str">
            <v>PM PCDC UTIL 0612</v>
          </cell>
        </row>
        <row r="546">
          <cell r="B546" t="str">
            <v>WATER TANK (INFRA MAKE 1000 LT</v>
          </cell>
          <cell r="C546" t="str">
            <v>PM PCDC UTIL 0613</v>
          </cell>
        </row>
        <row r="547">
          <cell r="B547" t="str">
            <v>Kool Make FRP Cooling Tower (M</v>
          </cell>
          <cell r="C547" t="str">
            <v>PM PCDC UTIL 0614</v>
          </cell>
        </row>
        <row r="548">
          <cell r="B548" t="str">
            <v>(Kool Tek Rs. 45000; Consutruc</v>
          </cell>
          <cell r="C548" t="str">
            <v>PM PCDC UTIL 0615</v>
          </cell>
        </row>
        <row r="549">
          <cell r="B549" t="str">
            <v>Kool Make FRP Cooling Tower (M</v>
          </cell>
          <cell r="C549" t="str">
            <v>PM PCDC UTIL 0616</v>
          </cell>
        </row>
        <row r="550">
          <cell r="B550" t="str">
            <v>COOLING TOWER (KOOL MAKE FRP T</v>
          </cell>
          <cell r="C550" t="str">
            <v>PM PCDC UTIL 0617</v>
          </cell>
        </row>
        <row r="551">
          <cell r="B551" t="str">
            <v>AIR &amp; WATER PIPELINES</v>
          </cell>
          <cell r="C551" t="str">
            <v>PM PCDC UTIL 0618</v>
          </cell>
        </row>
        <row r="552">
          <cell r="B552" t="str">
            <v>DG SET (MODIFICATION)</v>
          </cell>
          <cell r="C552" t="str">
            <v>PM PCDC UTIL 0619</v>
          </cell>
        </row>
        <row r="553">
          <cell r="B553" t="str">
            <v>BLOW MOLDING M/C WITH THERMOST</v>
          </cell>
          <cell r="C553" t="str">
            <v>PM PCDC VINT 0201</v>
          </cell>
        </row>
        <row r="554">
          <cell r="B554" t="str">
            <v>INJECTION MOULDING (HWA CHIN)</v>
          </cell>
          <cell r="C554" t="str">
            <v>PM PCDC VLXI 1001</v>
          </cell>
        </row>
        <row r="555">
          <cell r="B555" t="str">
            <v>BASE MOULD (VLX)</v>
          </cell>
          <cell r="C555" t="str">
            <v>PM PCDC VLXM 1001</v>
          </cell>
        </row>
        <row r="556">
          <cell r="B556" t="str">
            <v>TOP MOULD (VLX)</v>
          </cell>
          <cell r="C556" t="str">
            <v>PM PCDC VLXM 1002</v>
          </cell>
        </row>
        <row r="557">
          <cell r="B557" t="str">
            <v>TEST LINE</v>
          </cell>
          <cell r="C557" t="str">
            <v>PM PCDC VLXT 1005</v>
          </cell>
        </row>
        <row r="558">
          <cell r="B558" t="str">
            <v>CRANE GANTERY 7 MISC</v>
          </cell>
          <cell r="C558" t="str">
            <v>PM PCDC VLXU 1001</v>
          </cell>
        </row>
        <row r="559">
          <cell r="B559" t="str">
            <v>OVER HEAD CRANE GANTERY</v>
          </cell>
          <cell r="C559" t="str">
            <v>PM PCDC VLXU 1002</v>
          </cell>
        </row>
        <row r="560">
          <cell r="B560" t="str">
            <v>TOP &amp; BASE WELDER</v>
          </cell>
          <cell r="C560" t="str">
            <v>PM PCDC VLXW 1001</v>
          </cell>
        </row>
        <row r="561">
          <cell r="B561" t="str">
            <v>HEATING, COLLING &amp; ROLLING DEV</v>
          </cell>
          <cell r="C561" t="str">
            <v>PM PCDC VLXW 1002</v>
          </cell>
        </row>
        <row r="562">
          <cell r="B562" t="str">
            <v>CONVEYORS</v>
          </cell>
          <cell r="C562" t="str">
            <v>PM PCDC VLXW 1004</v>
          </cell>
        </row>
        <row r="563">
          <cell r="B563" t="str">
            <v>EXTRUSION LINE</v>
          </cell>
          <cell r="C563" t="str">
            <v>PM PCDN PLNT 0001</v>
          </cell>
        </row>
        <row r="564">
          <cell r="B564" t="str">
            <v xml:space="preserve"> INJ.MOULDER  KRAUSS MAFFEI</v>
          </cell>
          <cell r="C564" t="str">
            <v>PM PCDN PLNT 0002</v>
          </cell>
        </row>
        <row r="565">
          <cell r="B565" t="str">
            <v>HANDLE FIXING  MACHINE</v>
          </cell>
          <cell r="C565" t="str">
            <v>PM PCDN PLNT 0003</v>
          </cell>
        </row>
        <row r="566">
          <cell r="B566" t="str">
            <v>GRANULATOR</v>
          </cell>
          <cell r="C566" t="str">
            <v>PM PCDN PLNT 0004</v>
          </cell>
        </row>
        <row r="567">
          <cell r="B567" t="str">
            <v>TEST LINE</v>
          </cell>
          <cell r="C567" t="str">
            <v>PM PCDN PLNT 0005</v>
          </cell>
        </row>
        <row r="568">
          <cell r="B568" t="str">
            <v>PRINTING  MACHINE</v>
          </cell>
          <cell r="C568" t="str">
            <v>PM PCDN PLNT 0007</v>
          </cell>
        </row>
        <row r="569">
          <cell r="B569" t="str">
            <v>FLAME TREATMENT UNIT</v>
          </cell>
          <cell r="C569" t="str">
            <v>PM PCDN PLNT 0008</v>
          </cell>
        </row>
        <row r="570">
          <cell r="B570" t="str">
            <v>ELECTRONIC WEIGHING SCALE</v>
          </cell>
          <cell r="C570" t="str">
            <v>PM PCDN PLNT 0009</v>
          </cell>
        </row>
        <row r="571">
          <cell r="B571" t="str">
            <v>WELDER</v>
          </cell>
          <cell r="C571" t="str">
            <v>PM PCDN PLNT 0010</v>
          </cell>
        </row>
        <row r="572">
          <cell r="B572" t="str">
            <v>BASE MOULD- HULL 1 NO.</v>
          </cell>
          <cell r="C572" t="str">
            <v>PM PCDN PLNT 0011</v>
          </cell>
        </row>
        <row r="573">
          <cell r="B573" t="str">
            <v>TOP MOULD- HULL 1 NO.</v>
          </cell>
          <cell r="C573" t="str">
            <v>PM PCDN PLNT 0012</v>
          </cell>
        </row>
        <row r="574">
          <cell r="B574" t="str">
            <v>STRAPPING MACHINE</v>
          </cell>
          <cell r="C574" t="str">
            <v>PM PCDN PLNT 0013</v>
          </cell>
        </row>
        <row r="575">
          <cell r="B575" t="str">
            <v>BLOW MOULDING M/C</v>
          </cell>
          <cell r="C575" t="str">
            <v>PM PCDN PLNT 0014</v>
          </cell>
        </row>
        <row r="576">
          <cell r="B576" t="str">
            <v>CAP MOULD</v>
          </cell>
          <cell r="C576" t="str">
            <v>PM PCDN PLNT 0015</v>
          </cell>
        </row>
        <row r="577">
          <cell r="B577" t="str">
            <v>CONVEYORS</v>
          </cell>
          <cell r="C577" t="str">
            <v>PM PCDN PLNT 0016</v>
          </cell>
        </row>
        <row r="578">
          <cell r="B578" t="str">
            <v>HYDURAULIC PALLET TRUCK (MANUA</v>
          </cell>
          <cell r="C578" t="str">
            <v>PM PCDN PLNT 0017</v>
          </cell>
        </row>
        <row r="579">
          <cell r="B579" t="str">
            <v>OIL FILTER MACHINE</v>
          </cell>
          <cell r="C579" t="str">
            <v>PM PCDN PLNT 0018</v>
          </cell>
        </row>
        <row r="580">
          <cell r="B580" t="str">
            <v>WEIGHING MACHINE (MANUAL)</v>
          </cell>
          <cell r="C580" t="str">
            <v>PM PCDN PLNT 0019</v>
          </cell>
        </row>
        <row r="581">
          <cell r="B581" t="str">
            <v>BATCH NO PRINTING MACHINE</v>
          </cell>
          <cell r="C581" t="str">
            <v>PM PCDN PLNT 0020</v>
          </cell>
        </row>
        <row r="582">
          <cell r="B582" t="str">
            <v>HYDROAULIC LIFT</v>
          </cell>
          <cell r="C582" t="str">
            <v>PM PCDN PLNT 0021</v>
          </cell>
        </row>
        <row r="583">
          <cell r="B583" t="str">
            <v>COMPRESSOR</v>
          </cell>
          <cell r="C583" t="str">
            <v>PM PCDN UTIL 0001</v>
          </cell>
        </row>
        <row r="584">
          <cell r="B584" t="str">
            <v>FIRE FIGHTING PLANT</v>
          </cell>
          <cell r="C584" t="str">
            <v>PM PCDN UTIL 0002</v>
          </cell>
        </row>
        <row r="585">
          <cell r="B585" t="str">
            <v>DEMAG CRANE</v>
          </cell>
          <cell r="C585" t="str">
            <v>PM PCDN UTIL 0003</v>
          </cell>
        </row>
        <row r="586">
          <cell r="B586" t="str">
            <v>CRANE</v>
          </cell>
          <cell r="C586" t="str">
            <v>PM PCDN UTIL 0004</v>
          </cell>
        </row>
        <row r="587">
          <cell r="B587" t="str">
            <v>COOLING TOWER (KOOL MAKE FRP T</v>
          </cell>
          <cell r="C587" t="str">
            <v>PM PCDN UTIL 0005</v>
          </cell>
        </row>
        <row r="588">
          <cell r="B588" t="str">
            <v>GENERAL TOOLS</v>
          </cell>
          <cell r="C588" t="str">
            <v>PM PCDN UTIL 0006</v>
          </cell>
        </row>
        <row r="589">
          <cell r="B589" t="str">
            <v>UTITLITY MISCELLANEOUS</v>
          </cell>
          <cell r="C589" t="str">
            <v>PM PCDN UTIL 0007</v>
          </cell>
        </row>
        <row r="590">
          <cell r="B590" t="str">
            <v>ELECTRICAL</v>
          </cell>
          <cell r="C590" t="str">
            <v>PM PCDN UTIL 0008</v>
          </cell>
        </row>
        <row r="591">
          <cell r="C591" t="str">
            <v>FAPCDT/11-12/00002</v>
          </cell>
        </row>
        <row r="592">
          <cell r="B592" t="str">
            <v>SCREW FOR INJ MLD.  M/C PAIL</v>
          </cell>
          <cell r="C592" t="str">
            <v>PM PCDT PAIL 0028</v>
          </cell>
        </row>
        <row r="593">
          <cell r="B593" t="str">
            <v>BLOW MOULDING M/C NO.1,</v>
          </cell>
          <cell r="C593" t="str">
            <v>PMC PCDT BM01 0001</v>
          </cell>
        </row>
        <row r="594">
          <cell r="B594" t="str">
            <v>GRANULATOR</v>
          </cell>
          <cell r="C594" t="str">
            <v>PMC PCDT BM01 0003</v>
          </cell>
        </row>
        <row r="595">
          <cell r="B595" t="str">
            <v>INCLINED BELT CONVEYOR</v>
          </cell>
          <cell r="C595" t="str">
            <v>PMC PCDT BM01 0004</v>
          </cell>
        </row>
        <row r="596">
          <cell r="B596" t="str">
            <v>EXHAUST FAN-4+ PEDESTAL FAN-1</v>
          </cell>
          <cell r="C596" t="str">
            <v>PMC PCDT BM01 0005</v>
          </cell>
        </row>
        <row r="597">
          <cell r="B597" t="str">
            <v>AIR KNIFE-CAN CLEANING DEVICE</v>
          </cell>
          <cell r="C597" t="str">
            <v>PMC PCDT BM01 0006</v>
          </cell>
        </row>
        <row r="598">
          <cell r="B598" t="str">
            <v>BLOW MOULDING M/C NO.2</v>
          </cell>
          <cell r="C598" t="str">
            <v>PMC PCDT BM02 0002</v>
          </cell>
        </row>
        <row r="599">
          <cell r="B599" t="str">
            <v>CHILLER(MODEL WECO 29W)</v>
          </cell>
          <cell r="C599" t="str">
            <v>PMC PCDT BMUT 0001</v>
          </cell>
        </row>
        <row r="600">
          <cell r="B600" t="str">
            <v>AIR RECEIVER+ MOIST SEPARATOR</v>
          </cell>
          <cell r="C600" t="str">
            <v>PMC PCDT BMUT 0002</v>
          </cell>
        </row>
        <row r="601">
          <cell r="B601" t="str">
            <v>PAIL LINE FROM BL</v>
          </cell>
          <cell r="C601" t="str">
            <v>PMC PCDT PAIL 0001</v>
          </cell>
        </row>
        <row r="602">
          <cell r="B602" t="str">
            <v>AMPCO RINGS FOR PAIL MOULD-SP-</v>
          </cell>
          <cell r="C602" t="str">
            <v>PMC PCDT PAIL 0002</v>
          </cell>
        </row>
        <row r="603">
          <cell r="B603" t="str">
            <v>INJ.MOULDING M/C-MAGNA 660</v>
          </cell>
          <cell r="C603" t="str">
            <v>PMC PCDT PAIL 0003</v>
          </cell>
        </row>
        <row r="604">
          <cell r="B604" t="str">
            <v>INJ.MOULDING M/C-SIGMA 275</v>
          </cell>
          <cell r="C604" t="str">
            <v>PMC PCDT PAIL 0004</v>
          </cell>
        </row>
        <row r="605">
          <cell r="B605" t="str">
            <v>PAIL 3 COLOUR PRINTING LINE WI</v>
          </cell>
          <cell r="C605" t="str">
            <v>PMC PCDT PAIL 0005</v>
          </cell>
        </row>
        <row r="606">
          <cell r="B606" t="str">
            <v>AIR COMPRESSOR</v>
          </cell>
          <cell r="C606" t="str">
            <v>PMC PCDT PAIL 0006</v>
          </cell>
        </row>
        <row r="607">
          <cell r="B607" t="str">
            <v>MISC.ELECTRICALS-PAIL LINE</v>
          </cell>
          <cell r="C607" t="str">
            <v>PMC PCDT PAIL 0007</v>
          </cell>
        </row>
        <row r="608">
          <cell r="B608" t="str">
            <v>COMMISSIONING</v>
          </cell>
          <cell r="C608" t="str">
            <v>PMC PCDT PAIL 0008</v>
          </cell>
        </row>
        <row r="609">
          <cell r="B609" t="str">
            <v>HYDRO PNEUMATIC PRESS WITH PIE</v>
          </cell>
          <cell r="C609" t="str">
            <v>PMC PCDT PAIL 0009</v>
          </cell>
        </row>
        <row r="610">
          <cell r="B610" t="str">
            <v>LID STACK LINER INDEXING CONVE</v>
          </cell>
          <cell r="C610" t="str">
            <v>PMC PCDT PAIL 0010</v>
          </cell>
        </row>
        <row r="611">
          <cell r="B611" t="str">
            <v>GRANULATOR</v>
          </cell>
          <cell r="C611" t="str">
            <v>PMC PCDT PAIL 0011</v>
          </cell>
        </row>
        <row r="612">
          <cell r="B612" t="str">
            <v>ELGI AIR CIMPRESSOR M-HP05300</v>
          </cell>
          <cell r="C612" t="str">
            <v>PMC PCDT PAIL 0012</v>
          </cell>
        </row>
        <row r="613">
          <cell r="B613" t="str">
            <v>ELGI -AIR RECEIVER</v>
          </cell>
          <cell r="C613" t="str">
            <v>PMC PCDT PAIL 0013</v>
          </cell>
        </row>
        <row r="614">
          <cell r="B614" t="str">
            <v>CHILER MODEL-WECO 29W</v>
          </cell>
          <cell r="C614" t="str">
            <v>PMC PCDT PAIL 0014</v>
          </cell>
        </row>
        <row r="615">
          <cell r="B615" t="str">
            <v>LID-LEAK TESTING M/C</v>
          </cell>
          <cell r="C615" t="str">
            <v>PMC PCDT PAIL 0015</v>
          </cell>
        </row>
        <row r="616">
          <cell r="B616" t="str">
            <v>GASKET FIXING M/C</v>
          </cell>
          <cell r="C616" t="str">
            <v>PMC PCDT PAIL 0016</v>
          </cell>
        </row>
        <row r="617">
          <cell r="B617" t="str">
            <v>EXHAUST FAN-4+ PEDESTAL FAN-1</v>
          </cell>
          <cell r="C617" t="str">
            <v>PMC PCDT PAIL 0017</v>
          </cell>
        </row>
        <row r="618">
          <cell r="B618" t="str">
            <v>ULTRASONIC WELDING M/C</v>
          </cell>
          <cell r="C618" t="str">
            <v>PMC PCDT PAIL 0019</v>
          </cell>
        </row>
        <row r="619">
          <cell r="B619" t="str">
            <v>LID CLOSING PNEUMATIC M/C</v>
          </cell>
          <cell r="C619" t="str">
            <v>PMC PCDT PAIL 0020</v>
          </cell>
        </row>
        <row r="620">
          <cell r="B620" t="str">
            <v>MULTI DOSING SYSTEM+ DOSING UN</v>
          </cell>
          <cell r="C620" t="str">
            <v>PMC PCDT PAIL 0021</v>
          </cell>
        </row>
        <row r="621">
          <cell r="B621" t="str">
            <v>PRINTING LINE ACESSOIES-10 LTR</v>
          </cell>
          <cell r="C621" t="str">
            <v>PMC PCDT PAIL 0022</v>
          </cell>
        </row>
        <row r="622">
          <cell r="B622" t="str">
            <v>SCREEN PRINTING M/C NO.4-VERTI</v>
          </cell>
          <cell r="C622" t="str">
            <v>PMC PCDT PAIL 0023</v>
          </cell>
        </row>
        <row r="623">
          <cell r="B623" t="str">
            <v>HOT AIR DRYING OVEN WITH CONVE</v>
          </cell>
          <cell r="C623" t="str">
            <v>PMC PCDT PAIL 0024</v>
          </cell>
        </row>
        <row r="624">
          <cell r="B624" t="str">
            <v>MANUAL SCREEN PRINTING M/C</v>
          </cell>
          <cell r="C624" t="str">
            <v>PMC PCDT PAIL 0025</v>
          </cell>
        </row>
        <row r="625">
          <cell r="B625" t="str">
            <v>INJ. MOULDING M/C PARTS MAGNA</v>
          </cell>
          <cell r="C625" t="str">
            <v>PMC PCDT PAIL 0026</v>
          </cell>
        </row>
        <row r="626">
          <cell r="B626" t="str">
            <v>TEMPER EVIDENT RIVET-16 CAV.MO</v>
          </cell>
          <cell r="C626" t="str">
            <v>PMC PCDT PAIL 0027</v>
          </cell>
        </row>
        <row r="627">
          <cell r="B627" t="str">
            <v>MANDETORY SPARES</v>
          </cell>
          <cell r="C627" t="str">
            <v>PMC PCDT SPRS 0001</v>
          </cell>
        </row>
        <row r="628">
          <cell r="B628" t="str">
            <v>EXTRUDER + METAL SEPARATOR</v>
          </cell>
          <cell r="C628" t="str">
            <v>PMC PCDT VEX1 0001</v>
          </cell>
        </row>
        <row r="629">
          <cell r="B629" t="str">
            <v>INJ. MOULDER M/C-FR110/140</v>
          </cell>
          <cell r="C629" t="str">
            <v>PMC PCDT VEX1 0002</v>
          </cell>
        </row>
        <row r="630">
          <cell r="B630" t="str">
            <v>INTERNAL HAUL OFF</v>
          </cell>
          <cell r="C630" t="str">
            <v>PMC PCDT VEX1 0003</v>
          </cell>
        </row>
        <row r="631">
          <cell r="B631" t="str">
            <v>CUTTER</v>
          </cell>
          <cell r="C631" t="str">
            <v>PMC PCDT VEX1 0004</v>
          </cell>
        </row>
        <row r="632">
          <cell r="B632" t="str">
            <v>MULTI DOSING SYSTEM+ DOSING UN</v>
          </cell>
          <cell r="C632" t="str">
            <v>PMC PCDT VEX1 0005</v>
          </cell>
        </row>
        <row r="633">
          <cell r="B633" t="str">
            <v>INJECTION MOULDING M/C-250T</v>
          </cell>
          <cell r="C633" t="str">
            <v>PMC PCDT VEX1 0006</v>
          </cell>
        </row>
        <row r="634">
          <cell r="B634" t="str">
            <v>INJECTION MOULDING M/C-250T</v>
          </cell>
          <cell r="C634" t="str">
            <v>PMC PCDT VEX1 0007</v>
          </cell>
        </row>
        <row r="635">
          <cell r="B635" t="str">
            <v>INJECTION MOULDING M/C-140T</v>
          </cell>
          <cell r="C635" t="str">
            <v>PMC PCDT VEX1 0008</v>
          </cell>
        </row>
        <row r="636">
          <cell r="B636" t="str">
            <v>TOP MOULD(TM-1)-V20</v>
          </cell>
          <cell r="C636" t="str">
            <v>PMC PCDT VEX1 0009</v>
          </cell>
        </row>
        <row r="637">
          <cell r="B637" t="str">
            <v>TOP MOULD(TM-2)-V20</v>
          </cell>
          <cell r="C637" t="str">
            <v>PMC PCDT VEX1 0010</v>
          </cell>
        </row>
        <row r="638">
          <cell r="B638" t="str">
            <v>BASE MOULD(BM-1)-V20</v>
          </cell>
          <cell r="C638" t="str">
            <v>PMC PCDT VEX1 0011</v>
          </cell>
        </row>
        <row r="639">
          <cell r="B639" t="str">
            <v>BASE MOULD(BM-2)-V20</v>
          </cell>
          <cell r="C639" t="str">
            <v>PMC PCDT VEX1 0012</v>
          </cell>
        </row>
        <row r="640">
          <cell r="B640" t="str">
            <v>WELDERS-TOP &amp; BASE TW-1,BW-1</v>
          </cell>
          <cell r="C640" t="str">
            <v>PMC PCDT VEX1 0013</v>
          </cell>
        </row>
        <row r="641">
          <cell r="B641" t="str">
            <v>WELDERS-TOP &amp; BASE TW-3,BW-3</v>
          </cell>
          <cell r="C641" t="str">
            <v>PMC PCDT VEX1 0014</v>
          </cell>
        </row>
        <row r="642">
          <cell r="B642" t="str">
            <v>WELD TEST LINE</v>
          </cell>
          <cell r="C642" t="str">
            <v>PMC PCDT VEX1 0015</v>
          </cell>
        </row>
        <row r="643">
          <cell r="B643" t="str">
            <v>WELDERS-TOP &amp; BASE TW-2,BW-2</v>
          </cell>
          <cell r="C643" t="str">
            <v>PMC PCDT VEX1 0016</v>
          </cell>
        </row>
        <row r="644">
          <cell r="B644" t="str">
            <v>FINISHING LINE(HANDLE INSERTIO</v>
          </cell>
          <cell r="C644" t="str">
            <v>PMC PCDT VEX1 0017</v>
          </cell>
        </row>
        <row r="645">
          <cell r="B645" t="str">
            <v>FLAME TREATMENT UNIT</v>
          </cell>
          <cell r="C645" t="str">
            <v>PMC PCDT VEX1 0018</v>
          </cell>
        </row>
        <row r="646">
          <cell r="B646" t="str">
            <v>LEAK -TESTER</v>
          </cell>
          <cell r="C646" t="str">
            <v>PMC PCDT VEX1 0019</v>
          </cell>
        </row>
        <row r="647">
          <cell r="B647" t="str">
            <v>SCREEN PRINTING M/C NO.4-VERTI</v>
          </cell>
          <cell r="C647" t="str">
            <v>PMC PCDT VEX1 0020</v>
          </cell>
        </row>
        <row r="648">
          <cell r="B648" t="str">
            <v>INK CURING OVEN</v>
          </cell>
          <cell r="C648" t="str">
            <v>PMC PCDT VEX1 0021</v>
          </cell>
        </row>
        <row r="649">
          <cell r="B649" t="str">
            <v>SHRINK  WRAPPING OVEN</v>
          </cell>
          <cell r="C649" t="str">
            <v>PMC PCDT VEX1 0022</v>
          </cell>
        </row>
        <row r="650">
          <cell r="B650" t="str">
            <v>DRUM LIFTING CONVEYOR</v>
          </cell>
          <cell r="C650" t="str">
            <v>PMC PCDT VEX1 0023</v>
          </cell>
        </row>
        <row r="651">
          <cell r="B651" t="str">
            <v>CONVEYORS</v>
          </cell>
          <cell r="C651" t="str">
            <v>PMC PCDT VEX1 0024</v>
          </cell>
        </row>
        <row r="652">
          <cell r="B652" t="str">
            <v>STRAPPING MACHINE</v>
          </cell>
          <cell r="C652" t="str">
            <v>PMC PCDT VEX1 0025</v>
          </cell>
        </row>
        <row r="653">
          <cell r="B653" t="str">
            <v>DOSING UNITS-INJ.MOULDING M/C</v>
          </cell>
          <cell r="C653" t="str">
            <v>PMC PCDT VEX1 0026</v>
          </cell>
        </row>
        <row r="654">
          <cell r="B654" t="str">
            <v>HOIST</v>
          </cell>
          <cell r="C654" t="str">
            <v>PMC PCDT VEX1 0027</v>
          </cell>
        </row>
        <row r="655">
          <cell r="B655" t="str">
            <v>STEEL STRUCTURE FOR STORAGE AR</v>
          </cell>
          <cell r="C655" t="str">
            <v>PMC PCDT VEX1 0028</v>
          </cell>
        </row>
        <row r="656">
          <cell r="B656" t="str">
            <v>GRANULATOR</v>
          </cell>
          <cell r="C656" t="str">
            <v>PMC PCDT VEX1 0029</v>
          </cell>
        </row>
        <row r="657">
          <cell r="B657" t="str">
            <v>ANGLE GRINDER</v>
          </cell>
          <cell r="C657" t="str">
            <v>PMC PCDT VEX1 0030</v>
          </cell>
        </row>
        <row r="658">
          <cell r="B658" t="str">
            <v>DOWN ENDER-PRINTING LINE</v>
          </cell>
          <cell r="C658" t="str">
            <v>PMC PCDT VEX1 0031</v>
          </cell>
        </row>
        <row r="659">
          <cell r="B659" t="str">
            <v>V 20 BASE MOULD BM12</v>
          </cell>
          <cell r="C659" t="str">
            <v>PMC PCDT VEX1 0032</v>
          </cell>
        </row>
        <row r="660">
          <cell r="B660" t="str">
            <v>AIR COMPRESSOR</v>
          </cell>
          <cell r="C660" t="str">
            <v>PMC PCDT VUT1 0001</v>
          </cell>
        </row>
        <row r="661">
          <cell r="B661" t="str">
            <v>AIR RECEIVER+ MOIST SEPARATOR</v>
          </cell>
          <cell r="C661" t="str">
            <v>PMC PCDT VUT1 0002</v>
          </cell>
        </row>
        <row r="662">
          <cell r="B662" t="str">
            <v>AIR WATER LINES</v>
          </cell>
          <cell r="C662" t="str">
            <v>PMC PCDT VUT1 0003</v>
          </cell>
        </row>
        <row r="663">
          <cell r="B663" t="str">
            <v>WATER SOFTNING PLANT WITH MOTO</v>
          </cell>
          <cell r="C663" t="str">
            <v>PMC PCDT VUT1 0004</v>
          </cell>
        </row>
        <row r="664">
          <cell r="B664" t="str">
            <v>304SS STEEL TANK-CHILLED WATER</v>
          </cell>
          <cell r="C664" t="str">
            <v>PMC PCDT VUT1 0005</v>
          </cell>
        </row>
        <row r="665">
          <cell r="B665" t="str">
            <v>COOLING TOWERS</v>
          </cell>
          <cell r="C665" t="str">
            <v>PMC PCDT VUT1 0006</v>
          </cell>
        </row>
        <row r="666">
          <cell r="B666" t="str">
            <v>CHILLING PLANT-18 TR</v>
          </cell>
          <cell r="C666" t="str">
            <v>PMC PCDT VUT1 0007</v>
          </cell>
        </row>
        <row r="667">
          <cell r="B667" t="str">
            <v>GAS GENERATOR</v>
          </cell>
          <cell r="C667" t="str">
            <v>PMC PCDT VUT1 0008</v>
          </cell>
        </row>
        <row r="668">
          <cell r="B668" t="str">
            <v>ELECTROSTATIC OIL CLEANING M/C</v>
          </cell>
          <cell r="C668" t="str">
            <v>PMC PCDT VUT1 0009</v>
          </cell>
        </row>
        <row r="669">
          <cell r="B669" t="str">
            <v>EXHAUST FAN-4+ PEDESTAL FAN-1</v>
          </cell>
          <cell r="C669" t="str">
            <v>PMC PCDT VUTI 0010</v>
          </cell>
        </row>
        <row r="670">
          <cell r="B670" t="str">
            <v>WEIGHING SCALE (15kg platform)</v>
          </cell>
          <cell r="C670" t="str">
            <v>PMC PCDT VUTI 0011</v>
          </cell>
        </row>
        <row r="671">
          <cell r="B671" t="str">
            <v>EXPRESS FEEDER</v>
          </cell>
          <cell r="C671" t="str">
            <v>PMC PCDT WELEC 0001</v>
          </cell>
        </row>
        <row r="672">
          <cell r="B672" t="str">
            <v>TRANSFORMER-1600 KVA(NO.2)</v>
          </cell>
          <cell r="C672" t="str">
            <v>PMC PCDT WELEC 0002</v>
          </cell>
        </row>
        <row r="673">
          <cell r="B673" t="str">
            <v>HR CABLE,PANEL &amp; LAYING CABLE</v>
          </cell>
          <cell r="C673" t="str">
            <v>PMC PCDT WELEC 0003</v>
          </cell>
        </row>
        <row r="674">
          <cell r="B674" t="str">
            <v>COPPER BUS DUCT</v>
          </cell>
          <cell r="C674" t="str">
            <v>PMC PCDT WELEC 0004</v>
          </cell>
        </row>
        <row r="675">
          <cell r="B675" t="str">
            <v>MISC.</v>
          </cell>
          <cell r="C675" t="str">
            <v>PMC PCDT WELEC 0005</v>
          </cell>
        </row>
        <row r="676">
          <cell r="B676" t="str">
            <v>ENERGY SAVING SYSTEM</v>
          </cell>
          <cell r="C676" t="str">
            <v>PMC PCDT WELEC 0006</v>
          </cell>
        </row>
        <row r="677">
          <cell r="B677" t="str">
            <v>ACB-1250 AMP TP MANNUAL TYPE</v>
          </cell>
          <cell r="C677" t="str">
            <v>PMC PCDT WELEC 0007</v>
          </cell>
        </row>
        <row r="678">
          <cell r="B678" t="str">
            <v>FUSE-SWITCH UNIT 400 ATP</v>
          </cell>
          <cell r="C678" t="str">
            <v>PMC PCDT WELEC 0008</v>
          </cell>
        </row>
        <row r="679">
          <cell r="B679" t="str">
            <v>PANEL AIR CONDITIONERS</v>
          </cell>
          <cell r="C679" t="str">
            <v>PMC PCDT WELEC 0009</v>
          </cell>
        </row>
        <row r="680">
          <cell r="B680" t="str">
            <v>SAIF PANEL+CABLES</v>
          </cell>
          <cell r="C680" t="str">
            <v>PMC PCDT WELEC 0010</v>
          </cell>
        </row>
        <row r="681">
          <cell r="B681" t="str">
            <v>MISC. ELECTRICALS FOR PLANT</v>
          </cell>
          <cell r="C681" t="str">
            <v>PMC PCDT WELEC 0011</v>
          </cell>
        </row>
        <row r="682">
          <cell r="B682" t="str">
            <v>EXTRUDER</v>
          </cell>
          <cell r="C682" t="str">
            <v>PMC PCDT WEX1 0001</v>
          </cell>
        </row>
        <row r="683">
          <cell r="B683" t="str">
            <v>BIMETAL BARREL, STELITED SCREW</v>
          </cell>
          <cell r="C683" t="str">
            <v>PMC PCDT WEX1 0002</v>
          </cell>
        </row>
        <row r="684">
          <cell r="B684" t="str">
            <v>EXTRUSION DIE</v>
          </cell>
          <cell r="C684" t="str">
            <v>PMC PCDT WEX1 0003</v>
          </cell>
        </row>
        <row r="685">
          <cell r="B685" t="str">
            <v>CALLIBRATION BATH</v>
          </cell>
          <cell r="C685" t="str">
            <v>PMC PCDT WEX1 0004</v>
          </cell>
        </row>
        <row r="686">
          <cell r="B686" t="str">
            <v>INTERNAL COOLING</v>
          </cell>
          <cell r="C686" t="str">
            <v>PMC PCDT WEX1 0005</v>
          </cell>
        </row>
        <row r="687">
          <cell r="B687" t="str">
            <v>HAUL OFF - INTERNAL</v>
          </cell>
          <cell r="C687" t="str">
            <v>PMC PCDT WEX1 0006</v>
          </cell>
        </row>
        <row r="688">
          <cell r="B688" t="str">
            <v>HAUL OFF - EXTERNAL</v>
          </cell>
          <cell r="C688" t="str">
            <v>PMC PCDT WEX1 0007</v>
          </cell>
        </row>
        <row r="689">
          <cell r="B689" t="str">
            <v>TUBE CUTTER</v>
          </cell>
          <cell r="C689" t="str">
            <v>PMC PCDT WEX1 0008</v>
          </cell>
        </row>
        <row r="690">
          <cell r="B690" t="str">
            <v>K -TRON DOSING UNIT</v>
          </cell>
          <cell r="C690" t="str">
            <v>PMC PCDT WEX1 0009</v>
          </cell>
        </row>
        <row r="691">
          <cell r="B691" t="str">
            <v>NEW EXTRUSION DIE</v>
          </cell>
          <cell r="C691" t="str">
            <v>PMC PCDT WEX1 0010</v>
          </cell>
        </row>
        <row r="692">
          <cell r="B692" t="str">
            <v>PICK &amp; PLACE UNIT - 3 SETS</v>
          </cell>
          <cell r="C692" t="str">
            <v>PMC PCDT WEX1 0011</v>
          </cell>
        </row>
        <row r="693">
          <cell r="B693" t="str">
            <v>GRANULATOR</v>
          </cell>
          <cell r="C693" t="str">
            <v>PMC PCDT WEX1 0012</v>
          </cell>
        </row>
        <row r="694">
          <cell r="B694" t="str">
            <v>CONVEYORS</v>
          </cell>
          <cell r="C694" t="str">
            <v>PMC PCDT WEX1 0013</v>
          </cell>
        </row>
        <row r="695">
          <cell r="B695" t="str">
            <v>RAM-CLAMP UNIT</v>
          </cell>
          <cell r="C695" t="str">
            <v>PMC PCDT WEX1 0014</v>
          </cell>
        </row>
        <row r="696">
          <cell r="B696" t="str">
            <v>INJECTION MOULES M/C</v>
          </cell>
          <cell r="C696" t="str">
            <v>PMC PCDT WEX1 0015</v>
          </cell>
        </row>
        <row r="697">
          <cell r="B697" t="str">
            <v>K-TRON DOSING UNITS</v>
          </cell>
          <cell r="C697" t="str">
            <v>PMC PCDT WEX1 0016</v>
          </cell>
        </row>
        <row r="698">
          <cell r="B698" t="str">
            <v>TOP MOULD TM-1</v>
          </cell>
          <cell r="C698" t="str">
            <v>PMC PCDT WEX1 0017</v>
          </cell>
        </row>
        <row r="699">
          <cell r="B699" t="str">
            <v>BASE MOULD BM -1</v>
          </cell>
          <cell r="C699" t="str">
            <v>PMC PCDT WEX1 0018</v>
          </cell>
        </row>
        <row r="700">
          <cell r="B700" t="str">
            <v>POST MOULD COOLING</v>
          </cell>
          <cell r="C700" t="str">
            <v>PMC PCDT WEX1 0019</v>
          </cell>
        </row>
        <row r="701">
          <cell r="B701" t="str">
            <v>SPINDLE FOR D/N PLUG</v>
          </cell>
          <cell r="C701" t="str">
            <v>PMC PCDT WEX1 0020</v>
          </cell>
        </row>
        <row r="702">
          <cell r="B702" t="str">
            <v>ASSLY. INJECTION CYLINDER</v>
          </cell>
          <cell r="C702" t="str">
            <v>PMC PCDT WEX1 0021</v>
          </cell>
        </row>
        <row r="703">
          <cell r="B703" t="str">
            <v>TOP WELDING M/C</v>
          </cell>
          <cell r="C703" t="str">
            <v>PMC PCDT WEX1 0022</v>
          </cell>
        </row>
        <row r="704">
          <cell r="B704" t="str">
            <v>BASE WELDING M/C</v>
          </cell>
          <cell r="C704" t="str">
            <v>PMC PCDT WEX1 0023</v>
          </cell>
        </row>
        <row r="705">
          <cell r="B705" t="str">
            <v>SBD CONVERSION OF WELDERS</v>
          </cell>
          <cell r="C705" t="str">
            <v>PMC PCDT WEX1 0024</v>
          </cell>
        </row>
        <row r="706">
          <cell r="B706" t="str">
            <v>TEST LINE</v>
          </cell>
          <cell r="C706" t="str">
            <v>PMC PCDT WEX1 0025</v>
          </cell>
        </row>
        <row r="707">
          <cell r="B707" t="str">
            <v>SCREEN PRINTING M/C NO.4-VERTI</v>
          </cell>
          <cell r="C707" t="str">
            <v>PMC PCDT WEX1 0026</v>
          </cell>
        </row>
        <row r="708">
          <cell r="B708" t="str">
            <v>INK DRYING OVEN</v>
          </cell>
          <cell r="C708" t="str">
            <v>PMC PCDT WEX1 0027</v>
          </cell>
        </row>
        <row r="709">
          <cell r="B709" t="str">
            <v>FLAME TREATMENT UNIT</v>
          </cell>
          <cell r="C709" t="str">
            <v>PMC PCDT WEX1 0028</v>
          </cell>
        </row>
        <row r="710">
          <cell r="B710" t="str">
            <v>EXTRUDER WITH SPARE MOTOR</v>
          </cell>
          <cell r="C710" t="str">
            <v>PMC PCDT WEX2 0001</v>
          </cell>
        </row>
        <row r="711">
          <cell r="B711" t="str">
            <v>ETA DIE</v>
          </cell>
          <cell r="C711" t="str">
            <v>PMC PCDT WEX2 0002</v>
          </cell>
        </row>
        <row r="712">
          <cell r="B712" t="str">
            <v>INTERNAL COOLING SYSTEM-BATH</v>
          </cell>
          <cell r="C712" t="str">
            <v>PMC PCDT WEX2 0003</v>
          </cell>
        </row>
        <row r="713">
          <cell r="B713" t="str">
            <v>HAUL OFF - EXTERNAL +INTERNAL</v>
          </cell>
          <cell r="C713" t="str">
            <v>PMC PCDT WEX2 0004</v>
          </cell>
        </row>
        <row r="714">
          <cell r="B714" t="str">
            <v>TUBE CUTTER</v>
          </cell>
          <cell r="C714" t="str">
            <v>PMC PCDT WEX2 0005</v>
          </cell>
        </row>
        <row r="715">
          <cell r="B715" t="str">
            <v>SBD-TOP MOULD-TM2</v>
          </cell>
          <cell r="C715" t="str">
            <v>PMC PCDT WEX2 0006</v>
          </cell>
        </row>
        <row r="716">
          <cell r="B716" t="str">
            <v>SBD-PROJECT</v>
          </cell>
          <cell r="C716" t="str">
            <v>PMC PCDT WEX2 0007</v>
          </cell>
        </row>
        <row r="717">
          <cell r="B717" t="str">
            <v>WELDERS UK-SBD CONVERSION</v>
          </cell>
          <cell r="C717" t="str">
            <v>PMC PCDT WEX2 0008</v>
          </cell>
        </row>
        <row r="718">
          <cell r="B718" t="str">
            <v>VERTICAL DRUM LEAK TEST MACHIN</v>
          </cell>
          <cell r="C718" t="str">
            <v>PMC PCDT WEX2 0009</v>
          </cell>
        </row>
        <row r="719">
          <cell r="B719" t="str">
            <v>MOBILE FLAME TREATMENT UNIT</v>
          </cell>
          <cell r="C719" t="str">
            <v>PMC PCDT WEX2 0010</v>
          </cell>
        </row>
        <row r="720">
          <cell r="B720" t="str">
            <v>SCREEN PRINTING MACHINE</v>
          </cell>
          <cell r="C720" t="str">
            <v>PMC PCDT WEX2 0011</v>
          </cell>
        </row>
        <row r="721">
          <cell r="B721" t="str">
            <v>2 COLOUR AUTO SCREEN PRINT M/C</v>
          </cell>
          <cell r="C721" t="str">
            <v>PMC PCDT WEX2 0012</v>
          </cell>
        </row>
        <row r="722">
          <cell r="B722" t="str">
            <v>SCREEN PRINTING MACHINE-SENT T</v>
          </cell>
          <cell r="C722" t="str">
            <v>PMC PCDT WEX2 0013</v>
          </cell>
        </row>
        <row r="723">
          <cell r="B723" t="str">
            <v>UPPENDERS</v>
          </cell>
          <cell r="C723" t="str">
            <v>PMC PCDT WMIC 0001</v>
          </cell>
        </row>
        <row r="724">
          <cell r="B724" t="str">
            <v>FIRE EXTINGUISHERS (MISC+ )</v>
          </cell>
          <cell r="C724" t="str">
            <v>PMC PCDT WMIC 0002</v>
          </cell>
        </row>
        <row r="725">
          <cell r="B725" t="str">
            <v>SURVO STABILIZERS</v>
          </cell>
          <cell r="C725" t="str">
            <v>PMC PCDT WMIC 0003</v>
          </cell>
        </row>
        <row r="726">
          <cell r="B726" t="str">
            <v>COOLING FIXTURE -OPEN TOP CURL</v>
          </cell>
          <cell r="C726" t="str">
            <v>PMC PCDT WMIC 0004</v>
          </cell>
        </row>
        <row r="727">
          <cell r="B727" t="str">
            <v>HYDRAULIC PRESS-O.T.C.</v>
          </cell>
          <cell r="C727" t="str">
            <v>PMC PCDT WMIC 0005</v>
          </cell>
        </row>
        <row r="728">
          <cell r="B728" t="str">
            <v>HEATING TOOL ASSLY-O.T.C.</v>
          </cell>
          <cell r="C728" t="str">
            <v>PMC PCDT WMIC 0006</v>
          </cell>
        </row>
        <row r="729">
          <cell r="B729" t="str">
            <v>CURLING TOOL ASSLY-O.T.C.</v>
          </cell>
          <cell r="C729" t="str">
            <v>PMC PCDT WMIC 0007</v>
          </cell>
        </row>
        <row r="730">
          <cell r="B730" t="str">
            <v>DIGITAL INPUT &amp; OUTPUT MODULE</v>
          </cell>
          <cell r="C730" t="str">
            <v>PMC PCDT WMIC 0008</v>
          </cell>
        </row>
        <row r="731">
          <cell r="B731" t="str">
            <v>FD-650-REFURBISHMENT WITH PLC</v>
          </cell>
          <cell r="C731" t="str">
            <v>PMC PCDT WMIC 0009</v>
          </cell>
        </row>
        <row r="732">
          <cell r="B732" t="str">
            <v>HEAT EXCHANGER</v>
          </cell>
          <cell r="C732" t="str">
            <v>PMC PCDT WMIC 0010</v>
          </cell>
        </row>
        <row r="733">
          <cell r="B733" t="str">
            <v>INKJET PRINTERS</v>
          </cell>
          <cell r="C733" t="str">
            <v>PMC PCDT WMIC 0011</v>
          </cell>
        </row>
        <row r="734">
          <cell r="B734" t="str">
            <v>PALLET TRUCK-HYRAULIC</v>
          </cell>
          <cell r="C734" t="str">
            <v>PMC PCDT WMIC 0012</v>
          </cell>
        </row>
        <row r="735">
          <cell r="B735" t="str">
            <v>DRILL M/C+HAND DRILLS-STORES</v>
          </cell>
          <cell r="C735" t="str">
            <v>PMC PCDT WMIC 0013</v>
          </cell>
        </row>
        <row r="736">
          <cell r="B736" t="str">
            <v>DRUM WASHING DEVICE</v>
          </cell>
          <cell r="C736" t="str">
            <v>PMC PCDT WMIC 0014</v>
          </cell>
        </row>
        <row r="737">
          <cell r="B737" t="str">
            <v>MICRO TAG SYSTEM</v>
          </cell>
          <cell r="C737" t="str">
            <v>PMC PCDT WMIC 0015</v>
          </cell>
        </row>
        <row r="738">
          <cell r="B738" t="str">
            <v>SQUEEZE SHARPNERS GF-4755</v>
          </cell>
          <cell r="C738" t="str">
            <v>PMC PCDT WMIC 0016</v>
          </cell>
        </row>
        <row r="739">
          <cell r="B739" t="str">
            <v>TUBE CUTTER</v>
          </cell>
          <cell r="C739" t="str">
            <v>PMC PCDT WMIC 0017</v>
          </cell>
        </row>
        <row r="740">
          <cell r="B740" t="str">
            <v>STORAGE BINS-STORES</v>
          </cell>
          <cell r="C740" t="str">
            <v>PMC PCDT WMIC 0018</v>
          </cell>
        </row>
        <row r="741">
          <cell r="B741" t="str">
            <v>MECHANICAL SWEEPERS</v>
          </cell>
          <cell r="C741" t="str">
            <v>PMC PCDT WMIC 0019</v>
          </cell>
        </row>
        <row r="742">
          <cell r="B742" t="str">
            <v>STORE-SPAREPART STORAGE SYSTEM</v>
          </cell>
          <cell r="C742" t="str">
            <v>PMC PCDT WMIC 0020</v>
          </cell>
        </row>
        <row r="743">
          <cell r="B743" t="str">
            <v>HYD. MANUAL DRUM STACKER</v>
          </cell>
          <cell r="C743" t="str">
            <v>PMC PCDT WMIC 0021</v>
          </cell>
        </row>
        <row r="744">
          <cell r="B744" t="str">
            <v>BAG CLOSING M/C-PORTABLE</v>
          </cell>
          <cell r="C744" t="str">
            <v>PMC PCDT WMIC 0022</v>
          </cell>
        </row>
        <row r="745">
          <cell r="B745" t="str">
            <v>F.R.P. EXAUST-RADIAL 30"	Tangible	Yes	No	1.00	Yes_x000D_PM PCDT"</v>
          </cell>
          <cell r="C745" t="str">
            <v>PMC PCDT WMIC 0023</v>
          </cell>
        </row>
        <row r="746">
          <cell r="B746" t="str">
            <v>TURBINE AIR VERTILATOR</v>
          </cell>
          <cell r="C746" t="str">
            <v>PMC PCDT WMIC 0025</v>
          </cell>
        </row>
        <row r="747">
          <cell r="B747" t="str">
            <v>VENTILATION SYSTEM</v>
          </cell>
          <cell r="C747" t="str">
            <v>PMC PCDT WMIC 0026</v>
          </cell>
        </row>
        <row r="748">
          <cell r="B748" t="str">
            <v>STORAGE SYSTEM</v>
          </cell>
          <cell r="C748" t="str">
            <v>PMC PCDT WMIC 0027</v>
          </cell>
        </row>
        <row r="749">
          <cell r="B749" t="str">
            <v>FRONT CONNECTOR FOR OPEN TOP M</v>
          </cell>
          <cell r="C749" t="str">
            <v>PMC PCDT WMIC 0028</v>
          </cell>
        </row>
        <row r="750">
          <cell r="B750" t="str">
            <v>SCREEN EXPOSING M/C WITH VACCU</v>
          </cell>
          <cell r="C750" t="str">
            <v>PMC PCDT WSMS 0001</v>
          </cell>
        </row>
        <row r="751">
          <cell r="B751" t="str">
            <v>EMULSION COATING MANNUAL M/C</v>
          </cell>
          <cell r="C751" t="str">
            <v>PMC PCDT WSMS 0002</v>
          </cell>
        </row>
        <row r="752">
          <cell r="B752" t="str">
            <v>SCREEN DRIER WITH INSPECTION T</v>
          </cell>
          <cell r="C752" t="str">
            <v>PMC PCDT WSMS 0003</v>
          </cell>
        </row>
        <row r="753">
          <cell r="B753" t="str">
            <v>SCREEN STRETCHING DEVICE</v>
          </cell>
          <cell r="C753" t="str">
            <v>PMC PCDT WSMS 0004</v>
          </cell>
        </row>
        <row r="754">
          <cell r="B754" t="str">
            <v>WASHING TANK + HIGH PRESSURE P</v>
          </cell>
          <cell r="C754" t="str">
            <v>PMC PCDT WSMS 0005</v>
          </cell>
        </row>
        <row r="755">
          <cell r="B755" t="str">
            <v>PMC PCDT WTST 0001</v>
          </cell>
          <cell r="C755" t="str">
            <v>PMC PCDT WTST 0001</v>
          </cell>
        </row>
        <row r="756">
          <cell r="B756" t="str">
            <v>GRAB O MATIC TESTER</v>
          </cell>
          <cell r="C756" t="str">
            <v>PMC PCDT WTST 0002</v>
          </cell>
        </row>
        <row r="757">
          <cell r="B757" t="str">
            <v>WORKSHOP M/C</v>
          </cell>
          <cell r="C757" t="str">
            <v>PMC PCDT WTST 0003</v>
          </cell>
        </row>
        <row r="758">
          <cell r="B758" t="str">
            <v>CHAIN PULLEY BLOCK</v>
          </cell>
          <cell r="C758" t="str">
            <v>PMC PCDT WTST 0004</v>
          </cell>
        </row>
        <row r="759">
          <cell r="B759" t="str">
            <v>LABORATORY EQUIPMENTS</v>
          </cell>
          <cell r="C759" t="str">
            <v>PMC PCDT WTST 0005</v>
          </cell>
        </row>
        <row r="760">
          <cell r="B760" t="str">
            <v>WEIGHING SCALES</v>
          </cell>
          <cell r="C760" t="str">
            <v>PMC PCDT WTST 0006</v>
          </cell>
        </row>
        <row r="761">
          <cell r="B761" t="str">
            <v>ELEC.HOIST-WIRE ROPE</v>
          </cell>
          <cell r="C761" t="str">
            <v>PMC PCDT WTST 0007</v>
          </cell>
        </row>
        <row r="762">
          <cell r="B762" t="str">
            <v>DIGITAL VERNIER</v>
          </cell>
          <cell r="C762" t="str">
            <v>PMC PCDT WTST 0008</v>
          </cell>
        </row>
        <row r="763">
          <cell r="B763" t="str">
            <v>TENSILE TESTING M/C</v>
          </cell>
          <cell r="C763" t="str">
            <v>PMC PCDT WTST 0009</v>
          </cell>
        </row>
        <row r="764">
          <cell r="B764" t="str">
            <v>HYDRAULIC TESTER FOR DRUMS</v>
          </cell>
          <cell r="C764" t="str">
            <v>PMC PCDT WTST 0010</v>
          </cell>
        </row>
        <row r="765">
          <cell r="B765" t="str">
            <v>ELECTRONIC WEIGHING SCALE</v>
          </cell>
          <cell r="C765" t="str">
            <v>PMC PCDT WTST 0011</v>
          </cell>
        </row>
        <row r="766">
          <cell r="B766" t="str">
            <v>ESCR TESTING M/C</v>
          </cell>
          <cell r="C766" t="str">
            <v>PMC PCDT WTST 0012</v>
          </cell>
        </row>
        <row r="767">
          <cell r="B767" t="str">
            <v>VIBRATING SIMULATOR</v>
          </cell>
          <cell r="C767" t="str">
            <v>PMC PCDT WTST 0013</v>
          </cell>
        </row>
        <row r="768">
          <cell r="B768" t="str">
            <v>TESNION METER</v>
          </cell>
          <cell r="C768" t="str">
            <v>PMC PCDT WTST 0014</v>
          </cell>
        </row>
        <row r="769">
          <cell r="B769" t="str">
            <v>LAB EQUIPMENT</v>
          </cell>
          <cell r="C769" t="str">
            <v>PMC PCDT WTST 0015</v>
          </cell>
        </row>
        <row r="770">
          <cell r="B770" t="str">
            <v>HEAVY DUTY HEAT SEALING UNIT</v>
          </cell>
          <cell r="C770" t="str">
            <v>PMC PCDT WTST 0016</v>
          </cell>
        </row>
        <row r="771">
          <cell r="B771" t="str">
            <v>DROP TESTER-PDP -02</v>
          </cell>
          <cell r="C771" t="str">
            <v>PMC PCDT WTST 0017</v>
          </cell>
        </row>
        <row r="772">
          <cell r="B772" t="str">
            <v>WEIGHING SCALE (15Kg PLATFORM)</v>
          </cell>
          <cell r="C772" t="str">
            <v>PMC PCDT WTST 0018</v>
          </cell>
        </row>
        <row r="773">
          <cell r="B773" t="str">
            <v>SCREW FOR INJ.MOULDING M/C(PAI</v>
          </cell>
          <cell r="C773" t="str">
            <v>PMC PCDT WTST 0019</v>
          </cell>
        </row>
        <row r="774">
          <cell r="B774" t="str">
            <v>MOULD-COKE</v>
          </cell>
          <cell r="C774" t="str">
            <v>PMC PCDT WTST 0020</v>
          </cell>
        </row>
        <row r="775">
          <cell r="B775" t="str">
            <v>EXHAUST FAN-1</v>
          </cell>
          <cell r="C775" t="str">
            <v>PMC PCDT WTST 0021</v>
          </cell>
        </row>
        <row r="776">
          <cell r="B776" t="str">
            <v>EXHAUST FAN-2</v>
          </cell>
          <cell r="C776" t="str">
            <v>PMC PCDT WTST 0022</v>
          </cell>
        </row>
        <row r="777">
          <cell r="B777" t="str">
            <v>LEAK DETECTOR</v>
          </cell>
          <cell r="C777" t="str">
            <v>PMC PCDT WTST 0023</v>
          </cell>
        </row>
        <row r="778">
          <cell r="B778" t="str">
            <v>COMPRESSOR</v>
          </cell>
          <cell r="C778" t="str">
            <v>PMC PCDT WUT1 0001</v>
          </cell>
        </row>
        <row r="779">
          <cell r="B779" t="str">
            <v>PIPING &amp; PIPE FITTING</v>
          </cell>
          <cell r="C779" t="str">
            <v>PMC PCDT WUT1 0002</v>
          </cell>
        </row>
        <row r="780">
          <cell r="B780" t="str">
            <v>ELECTRICAL CABLE +PANEL</v>
          </cell>
          <cell r="C780" t="str">
            <v>PMC PCDT WUT1 0003</v>
          </cell>
        </row>
        <row r="781">
          <cell r="B781" t="str">
            <v>AIR DRIER,AIR FILTER,OIL RETEN</v>
          </cell>
          <cell r="C781" t="str">
            <v>PMC PCDT WUT1 0004</v>
          </cell>
        </row>
        <row r="782">
          <cell r="B782" t="str">
            <v>WEIGHING SCALE</v>
          </cell>
          <cell r="C782" t="str">
            <v>PMC PCDT WUT1 0005</v>
          </cell>
        </row>
        <row r="783">
          <cell r="B783" t="str">
            <v>E.O.T.CRANE</v>
          </cell>
          <cell r="C783" t="str">
            <v>PMC PCDT WUT2 0001</v>
          </cell>
        </row>
        <row r="784">
          <cell r="B784" t="str">
            <v>COMPRESSOR -20DCFM</v>
          </cell>
          <cell r="C784" t="str">
            <v>PMC PCDT WUT2 0002</v>
          </cell>
        </row>
        <row r="785">
          <cell r="B785" t="str">
            <v>AIR-WATER PIPELINE,AIR DRYER E</v>
          </cell>
          <cell r="C785" t="str">
            <v>PMC PCDT WUT2 0003</v>
          </cell>
        </row>
        <row r="786">
          <cell r="B786" t="str">
            <v>COOLING TOWERS</v>
          </cell>
          <cell r="C786" t="str">
            <v>PMC PCDT WUT2 0004</v>
          </cell>
        </row>
        <row r="787">
          <cell r="B787" t="str">
            <v>CHILLERS</v>
          </cell>
          <cell r="C787" t="str">
            <v>PMC PCDT WUT2 0005</v>
          </cell>
        </row>
        <row r="788">
          <cell r="B788" t="str">
            <v>AUTO TOP FLAME TREATETMENT</v>
          </cell>
          <cell r="C788" t="str">
            <v>PMC PCDT WUT2 0006</v>
          </cell>
        </row>
        <row r="789">
          <cell r="B789" t="str">
            <v>CHILLER-105 TR</v>
          </cell>
          <cell r="C789" t="str">
            <v>PMC PCDT WUT3 0001</v>
          </cell>
        </row>
        <row r="790">
          <cell r="B790" t="str">
            <v>COOLING TOWER-80TR</v>
          </cell>
          <cell r="C790" t="str">
            <v>PMC PCDT WUT3 0002</v>
          </cell>
        </row>
        <row r="791">
          <cell r="B791" t="str">
            <v>COOLING TOWER-175TR</v>
          </cell>
          <cell r="C791" t="str">
            <v>PMC PCDT WUT3 0003</v>
          </cell>
        </row>
        <row r="792">
          <cell r="B792" t="str">
            <v>CRANE INCULDING FOUNDATION</v>
          </cell>
          <cell r="C792" t="str">
            <v>PMC PCDT WUT3 0004</v>
          </cell>
        </row>
        <row r="793">
          <cell r="B793" t="str">
            <v>COMPRESS-AIR PRESSURE CONTROL</v>
          </cell>
          <cell r="C793" t="str">
            <v>PMC PCDT WUT3 0005</v>
          </cell>
        </row>
        <row r="794">
          <cell r="B794" t="str">
            <v>VERTICAL AIR RECEIVER</v>
          </cell>
          <cell r="C794" t="str">
            <v>PMC PCDT WUT3 0006</v>
          </cell>
        </row>
        <row r="795">
          <cell r="B795" t="str">
            <v>WATER COOLED COMPACT CHILLER</v>
          </cell>
          <cell r="C795" t="str">
            <v>PMC PCDT WUT3 0007</v>
          </cell>
        </row>
        <row r="796">
          <cell r="B796" t="str">
            <v>EXHAUST FAN (06/ 11)</v>
          </cell>
          <cell r="C796" t="str">
            <v>PMC PCDT WUTI 006</v>
          </cell>
        </row>
        <row r="797">
          <cell r="B797" t="str">
            <v>MOULD-COKE</v>
          </cell>
          <cell r="C797" t="str">
            <v>PMM</v>
          </cell>
        </row>
        <row r="798">
          <cell r="B798" t="str">
            <v>MOULD -COKE</v>
          </cell>
          <cell r="C798" t="str">
            <v>PMM PCDT MLD 0015</v>
          </cell>
        </row>
        <row r="799">
          <cell r="B799" t="str">
            <v>BLOW MOULD - 100L+120L</v>
          </cell>
          <cell r="C799" t="str">
            <v>PMM PCDT MLD1 0001</v>
          </cell>
        </row>
        <row r="800">
          <cell r="B800" t="str">
            <v>BLOW MOULD - 50L+60L</v>
          </cell>
          <cell r="C800" t="str">
            <v>PMM PCDT MLD1 0002</v>
          </cell>
        </row>
        <row r="801">
          <cell r="B801" t="str">
            <v>BLOW MOULD-OHD 100L+120L</v>
          </cell>
          <cell r="C801" t="str">
            <v>PMM PCDT MLD1 0003</v>
          </cell>
        </row>
        <row r="802">
          <cell r="B802" t="str">
            <v>PEPSI SMALL CANS-2.5,4L,5L,6L</v>
          </cell>
          <cell r="C802" t="str">
            <v>PMM PCDT MLD1 0004</v>
          </cell>
        </row>
        <row r="803">
          <cell r="B803" t="str">
            <v>POST MOULD COOLING UNIT</v>
          </cell>
          <cell r="C803" t="str">
            <v>PMM PCDT MLD1 0005</v>
          </cell>
        </row>
        <row r="804">
          <cell r="B804" t="str">
            <v>COCA-COLA DUST CAP-4 CAVITY MO</v>
          </cell>
          <cell r="C804" t="str">
            <v>PMM PCDT MLD1 0006</v>
          </cell>
        </row>
        <row r="805">
          <cell r="B805" t="str">
            <v>COCA-COLA INNER PLUG CAVITY MO</v>
          </cell>
          <cell r="C805" t="str">
            <v>PMM PCDT MLD1 0007</v>
          </cell>
        </row>
        <row r="806">
          <cell r="B806" t="str">
            <v>COCA-COLA BLOW MOULD18L CAVITY</v>
          </cell>
          <cell r="C806" t="str">
            <v>PMM PCDT MLD1 0008</v>
          </cell>
        </row>
        <row r="807">
          <cell r="B807" t="str">
            <v>COCA-COLA -OUTER CAP MOULD-E C</v>
          </cell>
          <cell r="C807" t="str">
            <v>PMM PCDT MLD1 0009</v>
          </cell>
        </row>
        <row r="808">
          <cell r="B808" t="str">
            <v>COCA-COLA-MIDDLE PART 20L</v>
          </cell>
          <cell r="C808" t="str">
            <v>PMM PCDT MLD1 0010</v>
          </cell>
        </row>
        <row r="809">
          <cell r="B809" t="str">
            <v>PEPSI - PLASTIC CAPSEAL MOULD</v>
          </cell>
          <cell r="C809" t="str">
            <v>PMM PCDT MLD1 0011</v>
          </cell>
        </row>
        <row r="810">
          <cell r="B810" t="str">
            <v>CENTRAL BODY - 33L MOULD</v>
          </cell>
          <cell r="C810" t="str">
            <v>PMM PCDT MLD1 0012</v>
          </cell>
        </row>
        <row r="811">
          <cell r="B811" t="str">
            <v>DIE - AHV 1003</v>
          </cell>
          <cell r="C811" t="str">
            <v>PMM PCDT MLD1 0013</v>
          </cell>
        </row>
        <row r="812">
          <cell r="B812" t="str">
            <v>50L AG-DRUM CAP MOULD - 2 CAVI</v>
          </cell>
          <cell r="C812" t="str">
            <v>PMM PCDT MLD1 0014</v>
          </cell>
        </row>
        <row r="813">
          <cell r="B813" t="str">
            <v>PAIL MOULD-SP1</v>
          </cell>
          <cell r="C813" t="str">
            <v>PMM PCDT PAIL 0001</v>
          </cell>
        </row>
        <row r="814">
          <cell r="B814" t="str">
            <v>PAIL &amp; LID MOULD-10L</v>
          </cell>
          <cell r="C814" t="str">
            <v>PMM PCDT PAIL 0003</v>
          </cell>
        </row>
        <row r="815">
          <cell r="B815" t="str">
            <v>PAIL MOULD -SP 2 DESIGN 20L +1</v>
          </cell>
          <cell r="C815" t="str">
            <v>PMM PCDT PAIL 0018</v>
          </cell>
        </row>
        <row r="816">
          <cell r="B816" t="str">
            <v>BUTTRESS PLUG(W-200)-4 CAP</v>
          </cell>
          <cell r="C816" t="str">
            <v>PMM PCDT WMLD 0001</v>
          </cell>
        </row>
        <row r="817">
          <cell r="B817" t="str">
            <v>TAG RING(W-200) - 4 CAV.</v>
          </cell>
          <cell r="C817" t="str">
            <v>PMM PCDT WMLD 0002</v>
          </cell>
        </row>
        <row r="818">
          <cell r="B818" t="str">
            <v>SINGLE CAVITY-CAP(BM)-1</v>
          </cell>
          <cell r="C818" t="str">
            <v>PMM PCDT WMLD 0003</v>
          </cell>
        </row>
        <row r="819">
          <cell r="B819" t="str">
            <v>DIN PLUG(W-200)-4</v>
          </cell>
          <cell r="C819" t="str">
            <v>PMM PCDT WMLD 0004</v>
          </cell>
        </row>
        <row r="820">
          <cell r="B820" t="str">
            <v>CAP MOULD (V20)-6 CAV.</v>
          </cell>
          <cell r="C820" t="str">
            <v>PMM PCDT WMLD 0005</v>
          </cell>
        </row>
        <row r="821">
          <cell r="B821" t="str">
            <v>HANDLE MOULD +CAP MOULD</v>
          </cell>
          <cell r="C821" t="str">
            <v>PMM PCDT WMLD 0006</v>
          </cell>
        </row>
        <row r="822">
          <cell r="B822" t="str">
            <v>MOULD FOR DUST CAP-20L</v>
          </cell>
          <cell r="C822" t="str">
            <v>PMM PCDT WMLD 0007</v>
          </cell>
        </row>
        <row r="823">
          <cell r="B823" t="str">
            <v>4-CAVITY MOULD FOR PLASTIC GRI</v>
          </cell>
          <cell r="C823" t="str">
            <v>PMM PCDT WMLD 0008</v>
          </cell>
        </row>
        <row r="824">
          <cell r="B824" t="str">
            <v>4-CAVITY MOULD DUST CAP-SMALL4</v>
          </cell>
          <cell r="C824" t="str">
            <v>PMM PCDT WMLD 0009</v>
          </cell>
        </row>
        <row r="825">
          <cell r="B825" t="str">
            <v>HANDLE,PIN &amp; LUG MOULD FOR 50L</v>
          </cell>
          <cell r="C825" t="str">
            <v>PMM PCDT WMLD 0010</v>
          </cell>
        </row>
        <row r="826">
          <cell r="B826" t="str">
            <v>BASE MOULD -V20</v>
          </cell>
          <cell r="C826" t="str">
            <v>PMM PCDT WMLD 0011</v>
          </cell>
        </row>
        <row r="827">
          <cell r="B827" t="str">
            <v>TOP MOULD V20 WIDEMOUTH-3X4""</v>
          </cell>
          <cell r="C827" t="str">
            <v>PMM PCDT WMLD 0012</v>
          </cell>
        </row>
        <row r="828">
          <cell r="B828" t="str">
            <v>WIDE MOUTH CAP MOULD-3X4""</v>
          </cell>
          <cell r="C828" t="str">
            <v>PMM PCDT WMLD 0013</v>
          </cell>
        </row>
        <row r="829">
          <cell r="B829" t="str">
            <v>4 CAVITY HANDLE MOULD</v>
          </cell>
          <cell r="C829" t="str">
            <v>PMM PCDT WMLD 0014</v>
          </cell>
        </row>
        <row r="830">
          <cell r="B830" t="str">
            <v>6 CAVITY 63mm WIDE CAP MOULD</v>
          </cell>
          <cell r="C830" t="str">
            <v>PMM PCDT WMLD 0015</v>
          </cell>
        </row>
        <row r="831">
          <cell r="B831" t="str">
            <v>NEW TOP MOULD -V20</v>
          </cell>
          <cell r="C831" t="str">
            <v>PMM PCDT WMLD 0016</v>
          </cell>
        </row>
        <row r="832">
          <cell r="C832" t="str">
            <v>000002_020</v>
          </cell>
        </row>
        <row r="833">
          <cell r="C833" t="str">
            <v>FASDCT/11-12/00001</v>
          </cell>
        </row>
        <row r="834">
          <cell r="C834" t="str">
            <v>FASDCT/11-12/00002</v>
          </cell>
        </row>
        <row r="835">
          <cell r="B835" t="str">
            <v>DIE FOR 3/4 CUP (AIDA PRESSES"</v>
          </cell>
          <cell r="C835" t="str">
            <v>PM</v>
          </cell>
        </row>
        <row r="836">
          <cell r="B836" t="str">
            <v>MECHANICAL POWER PRESS 65T CAP</v>
          </cell>
          <cell r="C836" t="str">
            <v>PM SDCT 0207-0 07</v>
          </cell>
        </row>
        <row r="837">
          <cell r="B837" t="str">
            <v>MECHANICAL POWER PRESS 65T CAP</v>
          </cell>
          <cell r="C837" t="str">
            <v>PM SDCT 0207-0 08</v>
          </cell>
        </row>
        <row r="838">
          <cell r="B838" t="str">
            <v>INCLINED POWER PRESS 60MT CAP.</v>
          </cell>
          <cell r="C838" t="str">
            <v>PM SDCT 0207-0 09</v>
          </cell>
        </row>
        <row r="839">
          <cell r="B839" t="str">
            <v>PLC PANEL FOR 3/4FL. LINE NEW"</v>
          </cell>
          <cell r="C839" t="str">
            <v>PM SDCT 0207-0 10</v>
          </cell>
        </row>
        <row r="840">
          <cell r="B840" t="str">
            <v>CUP &amp; REDRAW - PRESS.BLISS (P-</v>
          </cell>
          <cell r="C840" t="str">
            <v>PM SDCT 0207-1 01</v>
          </cell>
        </row>
        <row r="841">
          <cell r="B841" t="str">
            <v>PERFORATOR - PRESS.BLISS (P-3)</v>
          </cell>
          <cell r="C841" t="str">
            <v>PM SDCT 0207-1 02</v>
          </cell>
        </row>
        <row r="842">
          <cell r="B842" t="str">
            <v>PRESS- 93 T-FP-13</v>
          </cell>
          <cell r="C842" t="str">
            <v>PM SDCT 0207-1 05</v>
          </cell>
        </row>
        <row r="843">
          <cell r="B843" t="str">
            <v>OPENER-  PRESS FOR 2 FLANGE 1"</v>
          </cell>
          <cell r="C843" t="str">
            <v>PM SDCT 0207-1 06</v>
          </cell>
        </row>
        <row r="844">
          <cell r="B844" t="str">
            <v>CUP &amp; REDRAW - GODREJ PRESSES</v>
          </cell>
          <cell r="C844" t="str">
            <v>PM SDCT 0207-2 01</v>
          </cell>
        </row>
        <row r="845">
          <cell r="B845" t="str">
            <v>OPENER - PRESS - 75 T FO-5</v>
          </cell>
          <cell r="C845" t="str">
            <v>PM SDCT 0207-2 02</v>
          </cell>
        </row>
        <row r="846">
          <cell r="B846" t="str">
            <v>TRIMMING - PRESS (P-4) 50 TONN</v>
          </cell>
          <cell r="C846" t="str">
            <v>PM SDCT 0207-2 03</v>
          </cell>
        </row>
        <row r="847">
          <cell r="B847" t="str">
            <v>PLC TYPE - 3/4 FLANGE LINE"</v>
          </cell>
          <cell r="C847" t="str">
            <v>PM SDCT 0207-2 04</v>
          </cell>
        </row>
        <row r="848">
          <cell r="B848" t="str">
            <v>ELECTRICAL PANNEL FOR 3/4FL C"</v>
          </cell>
          <cell r="C848" t="str">
            <v>PM SDCT 0207-3 01</v>
          </cell>
        </row>
        <row r="849">
          <cell r="B849" t="str">
            <v>MISTCOOL SYSTEM FOR THREAD ROL</v>
          </cell>
          <cell r="C849" t="str">
            <v>PM SDCT 0209-1 01</v>
          </cell>
        </row>
        <row r="850">
          <cell r="B850" t="str">
            <v>THREAD ROLLING MACHINE WITH MI</v>
          </cell>
          <cell r="C850" t="str">
            <v>PM SDCT 0209-1 02</v>
          </cell>
        </row>
        <row r="851">
          <cell r="B851" t="str">
            <v>MIST COOL SYSTEM FOR 3/4 THRE"</v>
          </cell>
          <cell r="C851" t="str">
            <v>PM SDCT 0209-1 03</v>
          </cell>
        </row>
        <row r="852">
          <cell r="B852" t="str">
            <v>OIL COLLECTING TANK(3 NOS) 100</v>
          </cell>
          <cell r="C852" t="str">
            <v>PM SDCT 0209-2 01</v>
          </cell>
        </row>
        <row r="853">
          <cell r="B853" t="str">
            <v>THREADING M/C</v>
          </cell>
          <cell r="C853" t="str">
            <v>PM SDCT 0209-2 02</v>
          </cell>
        </row>
        <row r="854">
          <cell r="B854" t="str">
            <v>SLANT CONVEYOR</v>
          </cell>
          <cell r="C854" t="str">
            <v>PM SDCT 0209-2 03</v>
          </cell>
        </row>
        <row r="855">
          <cell r="B855" t="str">
            <v>TAPPING -THREADING MACHINE (2N</v>
          </cell>
          <cell r="C855" t="str">
            <v>PM SDCT 0209-2 04</v>
          </cell>
        </row>
        <row r="856">
          <cell r="B856" t="str">
            <v>MILLIMG REAMING MACHINE (2ND H</v>
          </cell>
          <cell r="C856" t="str">
            <v>PM SDCT 0209-2 05</v>
          </cell>
        </row>
        <row r="857">
          <cell r="B857" t="str">
            <v>MILLING MACHINE 2FLANGE"</v>
          </cell>
          <cell r="C857" t="str">
            <v>PM SDCT 0209-2 06</v>
          </cell>
        </row>
        <row r="858">
          <cell r="B858" t="str">
            <v>THREADING MACHINE 2FLANGE"</v>
          </cell>
          <cell r="C858" t="str">
            <v>PM SDCT 0209-2 07</v>
          </cell>
        </row>
        <row r="859">
          <cell r="B859" t="str">
            <v>MILLING MACHINE-MOLINE 3/4FLA"</v>
          </cell>
          <cell r="C859" t="str">
            <v>PM SDCT 0209-2 08</v>
          </cell>
        </row>
        <row r="860">
          <cell r="B860" t="str">
            <v>SPINDLE THREADING MACHINE</v>
          </cell>
          <cell r="C860" t="str">
            <v>PM SDCT 0209-2 09</v>
          </cell>
        </row>
        <row r="861">
          <cell r="B861" t="str">
            <v>SCREW THREADING MACHINE (KAUFF</v>
          </cell>
          <cell r="C861" t="str">
            <v>PM SDCT 0209-3 01</v>
          </cell>
        </row>
        <row r="862">
          <cell r="B862" t="str">
            <v>MILLING &amp; TAPPING M/C FOR 3/4"	Tangible	Yes	No	1.00	Yes_x000D_PM SDCT"</v>
          </cell>
          <cell r="C862" t="str">
            <v>PM SDCT 0209-4 01</v>
          </cell>
        </row>
        <row r="863">
          <cell r="B863" t="str">
            <v>VIBRATION BOWL - AMERICAN FLAN</v>
          </cell>
          <cell r="C863" t="str">
            <v>PM SDCT 0216-2 02</v>
          </cell>
        </row>
        <row r="864">
          <cell r="B864" t="str">
            <v>3/4 INSERT DIE"</v>
          </cell>
          <cell r="C864" t="str">
            <v>PM SDCT 0216-2 03</v>
          </cell>
        </row>
        <row r="865">
          <cell r="B865" t="str">
            <v>OVEN (CONVEYORISED) FOR CAPSEA</v>
          </cell>
          <cell r="C865" t="str">
            <v>PM SDCT 0369-0 02</v>
          </cell>
        </row>
        <row r="866">
          <cell r="B866" t="str">
            <v>ONE CONVEYOR FOR CAPSEAL LINE</v>
          </cell>
          <cell r="C866" t="str">
            <v>PM SDCT 0369-0 03</v>
          </cell>
        </row>
        <row r="867">
          <cell r="B867" t="str">
            <v>BLANKING PUNCH 2 TAG RING"</v>
          </cell>
          <cell r="C867" t="str">
            <v>PM SDCT 0369-0 05</v>
          </cell>
        </row>
        <row r="868">
          <cell r="B868" t="str">
            <v>COMPRESSION RING 2TAG RING"</v>
          </cell>
          <cell r="C868" t="str">
            <v>PM SDCT 0369-0 06</v>
          </cell>
        </row>
        <row r="869">
          <cell r="B869" t="str">
            <v>TREADLE SHARING MACHINE</v>
          </cell>
          <cell r="C869" t="str">
            <v>PM SDCT 0369-0 07</v>
          </cell>
        </row>
        <row r="870">
          <cell r="B870" t="str">
            <v>OVEN MACHINE - NOZZEL OVEN</v>
          </cell>
          <cell r="C870" t="str">
            <v>PM SDCT 0369-0 09</v>
          </cell>
        </row>
        <row r="871">
          <cell r="B871" t="str">
            <v>PAINT CAP THREADER (C-46) -3/4</v>
          </cell>
          <cell r="C871" t="str">
            <v>PM SDCT 0369-0 11</v>
          </cell>
        </row>
        <row r="872">
          <cell r="B872" t="str">
            <v>PAINT CAP  THREADER (C-47) 2"	Tangible	Yes	No	1.00	Yes_x000D_PM SDCT"</v>
          </cell>
          <cell r="C872" t="str">
            <v>PM SDCT 0369-0 12</v>
          </cell>
        </row>
        <row r="873">
          <cell r="B873" t="str">
            <v>POWER PRESS</v>
          </cell>
          <cell r="C873" t="str">
            <v>PM SDCT 0401-0 01</v>
          </cell>
        </row>
        <row r="874">
          <cell r="B874" t="str">
            <v>CONVEYOR BELT FOR BLANKING &amp; M</v>
          </cell>
          <cell r="C874" t="str">
            <v>PM SDCT 0401-0 02</v>
          </cell>
        </row>
        <row r="875">
          <cell r="B875" t="str">
            <v>BLANKER DECOILER &amp; COIL FEEDER</v>
          </cell>
          <cell r="C875" t="str">
            <v>PM SDCT 0401-0 03</v>
          </cell>
        </row>
        <row r="876">
          <cell r="B876" t="str">
            <v>DECOILING CRADLE FOR FINE-CC-2</v>
          </cell>
          <cell r="C876" t="str">
            <v>PM SDCT 0401-0 04</v>
          </cell>
        </row>
        <row r="877">
          <cell r="B877" t="str">
            <v>COIL FEEDER AIR OPERATED</v>
          </cell>
          <cell r="C877" t="str">
            <v>PM SDCT 0401-0 05</v>
          </cell>
        </row>
        <row r="878">
          <cell r="B878" t="str">
            <v>PARALLEL PLATES FOR 100 T PRES</v>
          </cell>
          <cell r="C878" t="str">
            <v>PM SDCT 0401-0 06</v>
          </cell>
        </row>
        <row r="879">
          <cell r="B879" t="str">
            <v>MATERIAL STRAIGHTENER (BS2)</v>
          </cell>
          <cell r="C879" t="str">
            <v>PM SDCT 0401-0 07</v>
          </cell>
        </row>
        <row r="880">
          <cell r="B880" t="str">
            <v>BLANK HOPPER/ FEEDER 2"	Tangible	Yes	No	1.00	Yes_x000D_PM SDCT"</v>
          </cell>
          <cell r="C880" t="str">
            <v>PM SDCT 0401-0 08</v>
          </cell>
        </row>
        <row r="881">
          <cell r="B881" t="str">
            <v>PRODUCT COUNTING CONVEYOR</v>
          </cell>
          <cell r="C881" t="str">
            <v>PM SDCT 0401-0 10</v>
          </cell>
        </row>
        <row r="882">
          <cell r="B882" t="str">
            <v>FOUNDATION OF BLANKING PRESS</v>
          </cell>
          <cell r="C882" t="str">
            <v>PM SDCT 0401-0 11</v>
          </cell>
        </row>
        <row r="883">
          <cell r="B883" t="str">
            <v>FLANGE LINE</v>
          </cell>
          <cell r="C883" t="str">
            <v>PM SDCT 0407-1 01</v>
          </cell>
        </row>
        <row r="884">
          <cell r="B884" t="str">
            <v>BLANK LOADER HOPPER  -2</v>
          </cell>
          <cell r="C884" t="str">
            <v>PM SDCT 0407-1 03</v>
          </cell>
        </row>
        <row r="885">
          <cell r="B885" t="str">
            <v>TRIMMING - PRESS BLISS - MAKE</v>
          </cell>
          <cell r="C885" t="str">
            <v>PM SDCT 0407-1 11</v>
          </cell>
        </row>
        <row r="886">
          <cell r="B886" t="str">
            <v>POWER PRESS</v>
          </cell>
          <cell r="C886" t="str">
            <v>PM SDCT 0407-1 14</v>
          </cell>
        </row>
        <row r="887">
          <cell r="B887" t="str">
            <v>OPENER - PRESS 93 T FI 17</v>
          </cell>
          <cell r="C887" t="str">
            <v>PM SDCT 0407-1 19</v>
          </cell>
        </row>
        <row r="888">
          <cell r="B888" t="str">
            <v>EXIT CONVEYOR FOR 75 T PRESS-F</v>
          </cell>
          <cell r="C888" t="str">
            <v>PM SDCT 0407-1 22</v>
          </cell>
        </row>
        <row r="889">
          <cell r="B889" t="str">
            <v>EXIT CONVEYOR FOR 75 T PRESS-F</v>
          </cell>
          <cell r="C889" t="str">
            <v>PM SDCT 0407-1 23</v>
          </cell>
        </row>
        <row r="890">
          <cell r="B890" t="str">
            <v>EXIT CONVEYOR FOR 93 T PRESS-F</v>
          </cell>
          <cell r="C890" t="str">
            <v>PM SDCT 0407-1 24</v>
          </cell>
        </row>
        <row r="891">
          <cell r="B891" t="str">
            <v>EXIT CONVEYOR FOR 93 T PRESS-F</v>
          </cell>
          <cell r="C891" t="str">
            <v>PM SDCT 0407-1 25</v>
          </cell>
        </row>
        <row r="892">
          <cell r="B892" t="str">
            <v>EXIT CONVEYOR FOR 93 T PRESS-F</v>
          </cell>
          <cell r="C892" t="str">
            <v>PM SDCT 0407-1 26</v>
          </cell>
        </row>
        <row r="893">
          <cell r="B893" t="str">
            <v>SLANT CONVEYOR - FLANGE LINE</v>
          </cell>
          <cell r="C893" t="str">
            <v>PM SDCT 0407-1 27</v>
          </cell>
        </row>
        <row r="894">
          <cell r="B894" t="str">
            <v>ANTI VIBRATION MOUNTS FOR PRES</v>
          </cell>
          <cell r="C894" t="str">
            <v>PM SDCT 0407-2 04</v>
          </cell>
        </row>
        <row r="895">
          <cell r="B895" t="str">
            <v>POWER PRESS 30 DEGREE INCLINED</v>
          </cell>
          <cell r="C895" t="str">
            <v>PM SDCT 0407-2 05</v>
          </cell>
        </row>
        <row r="896">
          <cell r="B896" t="str">
            <v>POWER PRESS 30 DEGREE INCLINED</v>
          </cell>
          <cell r="C896" t="str">
            <v>PM SDCT 0407-2 06</v>
          </cell>
        </row>
        <row r="897">
          <cell r="B897" t="str">
            <v>MILLING &amp; THREADING MACHINE</v>
          </cell>
          <cell r="C897" t="str">
            <v>PM SDCT 0409-1 01</v>
          </cell>
        </row>
        <row r="898">
          <cell r="B898" t="str">
            <v>PLC TYPE S7 - SYSTEMS AUTOMATI</v>
          </cell>
          <cell r="C898" t="str">
            <v>PM SDCT 0409-1 02</v>
          </cell>
        </row>
        <row r="899">
          <cell r="B899" t="str">
            <v>HYDRAULIC CYLINBDER - DESCHAGE</v>
          </cell>
          <cell r="C899" t="str">
            <v>PM SDCT 0409-1 03</v>
          </cell>
        </row>
        <row r="900">
          <cell r="B900" t="str">
            <v>THREAD ROLL PROJECT - I</v>
          </cell>
          <cell r="C900" t="str">
            <v>PM SDCT 0409-1 04</v>
          </cell>
        </row>
        <row r="901">
          <cell r="B901" t="str">
            <v>ROUION MACHINERY (AI II HAND)</v>
          </cell>
          <cell r="C901" t="str">
            <v>PM SDCT 0409-2 01</v>
          </cell>
        </row>
        <row r="902">
          <cell r="B902" t="str">
            <v>PLC SYSTEM - SYSTEM AUTOMATION</v>
          </cell>
          <cell r="C902" t="str">
            <v>PM SDCT 0409-2 02</v>
          </cell>
        </row>
        <row r="903">
          <cell r="B903" t="str">
            <v>HYDRAULIC CYLINBDER -CLAMPING</v>
          </cell>
          <cell r="C903" t="str">
            <v>PM SDCT 0409-2 03</v>
          </cell>
        </row>
        <row r="904">
          <cell r="B904" t="str">
            <v>THREAD ROLL PROJECT - II</v>
          </cell>
          <cell r="C904" t="str">
            <v>PM SDCT 0409-2 04</v>
          </cell>
        </row>
        <row r="905">
          <cell r="B905" t="str">
            <v>PERFORATED SLAT CONVEYOR WITH</v>
          </cell>
          <cell r="C905" t="str">
            <v>PM SDCT 0409-2 05</v>
          </cell>
        </row>
        <row r="906">
          <cell r="B906" t="str">
            <v>THREAD ROLL PROJECT - AI5</v>
          </cell>
          <cell r="C906" t="str">
            <v>PM SDCT 0409-3 02</v>
          </cell>
        </row>
        <row r="907">
          <cell r="B907" t="str">
            <v>KAUFMAN MACHINE FOR 2 FLANGE"</v>
          </cell>
          <cell r="C907" t="str">
            <v>PM SDCT 0409-4 01</v>
          </cell>
        </row>
        <row r="908">
          <cell r="B908" t="str">
            <v>BAR CODE SCANNER</v>
          </cell>
          <cell r="C908" t="str">
            <v>PM SDCT 0412-0 01</v>
          </cell>
        </row>
        <row r="909">
          <cell r="B909" t="str">
            <v>CAMARA VISION SYSTEM FOR 2 FL"</v>
          </cell>
          <cell r="C909" t="str">
            <v>PM SDCT 0412-0 02</v>
          </cell>
        </row>
        <row r="910">
          <cell r="B910" t="str">
            <v>USB CABLE FOR PLC CONTROL PANE</v>
          </cell>
          <cell r="C910" t="str">
            <v>PM SDCT 0412-0 03</v>
          </cell>
        </row>
        <row r="911">
          <cell r="B911" t="str">
            <v>BAR CODE PRINTER - INTERMEC MO</v>
          </cell>
          <cell r="C911" t="str">
            <v>PM SDCT 0412-0 04</v>
          </cell>
        </row>
        <row r="912">
          <cell r="B912" t="str">
            <v>SENSOR FOR EJECTOR MONITORING</v>
          </cell>
          <cell r="C912" t="str">
            <v>PM SDCT 0412-0 05</v>
          </cell>
        </row>
        <row r="913">
          <cell r="B913" t="str">
            <v>FLANGE WASHERING MACHINE 2 &amp;"</v>
          </cell>
          <cell r="C913" t="str">
            <v>PM SDCT 0412-0 06</v>
          </cell>
        </row>
        <row r="914">
          <cell r="B914" t="str">
            <v>VISION SYSTEM</v>
          </cell>
          <cell r="C914" t="str">
            <v>PM SDCT 0412-0 07</v>
          </cell>
        </row>
        <row r="915">
          <cell r="B915" t="str">
            <v>VISION SYSTEM - FLANGE LINE</v>
          </cell>
          <cell r="C915" t="str">
            <v>PM SDCT 0412-0 08</v>
          </cell>
        </row>
        <row r="916">
          <cell r="B916" t="str">
            <v>VIBRATORY BOWL</v>
          </cell>
          <cell r="C916" t="str">
            <v>PM SDCT 0412-0 09</v>
          </cell>
        </row>
        <row r="917">
          <cell r="B917" t="str">
            <v>PHOTO SENSOR QUICK DISCONNECT</v>
          </cell>
          <cell r="C917" t="str">
            <v>PM SDCT 0412-0 10</v>
          </cell>
        </row>
        <row r="918">
          <cell r="B918" t="str">
            <v>GASKET CUTTING MACHINE- FABRIC</v>
          </cell>
          <cell r="C918" t="str">
            <v>PM SDCT 0413-0 01</v>
          </cell>
        </row>
        <row r="919">
          <cell r="B919" t="str">
            <v>GASKET CUTTING MACHINE - STAND</v>
          </cell>
          <cell r="C919" t="str">
            <v>PM SDCT 0413-0 02</v>
          </cell>
        </row>
        <row r="920">
          <cell r="B920" t="str">
            <v>GASKET CUTTING M/C</v>
          </cell>
          <cell r="C920" t="str">
            <v>PM SDCT 0413-0 03</v>
          </cell>
        </row>
        <row r="921">
          <cell r="B921" t="str">
            <v>GASKET CUTTING M/C</v>
          </cell>
          <cell r="C921" t="str">
            <v>PM SDCT 0413-0 04</v>
          </cell>
        </row>
        <row r="922">
          <cell r="B922" t="str">
            <v>PLC PANEL FOR 2AIDA PANEL"</v>
          </cell>
          <cell r="C922" t="str">
            <v>PM SDCT 0413-3 01</v>
          </cell>
        </row>
        <row r="923">
          <cell r="B923" t="str">
            <v>75T PUNCH PRESS CR-FRAME ALONG</v>
          </cell>
          <cell r="C923" t="str">
            <v>PM SDCT 0415-0 06</v>
          </cell>
        </row>
        <row r="924">
          <cell r="B924" t="str">
            <v>NARENDRA NX-80T PRESS WITH ROL</v>
          </cell>
          <cell r="C924" t="str">
            <v>PM SDCT 0416-2 01</v>
          </cell>
        </row>
        <row r="925">
          <cell r="B925" t="str">
            <v>DIE FOR 3/4 CUP (A"</v>
          </cell>
          <cell r="C925" t="str">
            <v>PM SDCT 1501 0 02</v>
          </cell>
        </row>
        <row r="926">
          <cell r="B926" t="str">
            <v>SLIT CONVEYOR GOOSE NECK AT BO</v>
          </cell>
          <cell r="C926" t="str">
            <v>PM SDCT 1501-0 01</v>
          </cell>
        </row>
        <row r="927">
          <cell r="B927" t="str">
            <v>DIE FOR 3/4 CUP (AIDA PRESSES"</v>
          </cell>
          <cell r="C927" t="str">
            <v>PM SDCT 1502-0 01</v>
          </cell>
        </row>
        <row r="928">
          <cell r="B928" t="str">
            <v>SLIT CONVEYOR GOOSE NECK AT BO</v>
          </cell>
          <cell r="C928" t="str">
            <v>PM SDCT 1503-0 01</v>
          </cell>
        </row>
        <row r="929">
          <cell r="B929" t="str">
            <v>SLAT CONVEYOR 100mm WIDE (FOR</v>
          </cell>
          <cell r="C929" t="str">
            <v>PM SDCT 1503-0 13</v>
          </cell>
        </row>
        <row r="930">
          <cell r="B930" t="str">
            <v>BELT CONVEYOR 150mm WIDTH WITH</v>
          </cell>
          <cell r="C930" t="str">
            <v>PM SDCT 1503-0 14</v>
          </cell>
        </row>
        <row r="931">
          <cell r="B931" t="str">
            <v>SLAT CONVEYOR 100mm WIDE FOR 3</v>
          </cell>
          <cell r="C931" t="str">
            <v>PM SDCT 1503-0 15</v>
          </cell>
        </row>
        <row r="932">
          <cell r="B932" t="str">
            <v>MICROPROCESSORS BASED ELECTRON</v>
          </cell>
          <cell r="C932" t="str">
            <v>PM SDCT 1503-2 01</v>
          </cell>
        </row>
        <row r="933">
          <cell r="B933" t="str">
            <v>ROTATION INDEXING MECHANISM 3/</v>
          </cell>
          <cell r="C933" t="str">
            <v>PM SDCT 1503-2 02</v>
          </cell>
        </row>
        <row r="934">
          <cell r="B934" t="str">
            <v>MICROPROCESSORS FOR PROJECTION</v>
          </cell>
          <cell r="C934" t="str">
            <v>PM SDCT 1503-2 03</v>
          </cell>
        </row>
        <row r="935">
          <cell r="B935" t="str">
            <v>MACHINE VISION QUALITY SYSTEM</v>
          </cell>
          <cell r="C935" t="str">
            <v>PM SDCT 1512-0 01</v>
          </cell>
        </row>
        <row r="936">
          <cell r="B936" t="str">
            <v>VISION SYSTEMS WITH DOUBLE CAM</v>
          </cell>
          <cell r="C936" t="str">
            <v>PM SDCT 1512-0 02</v>
          </cell>
        </row>
        <row r="937">
          <cell r="B937" t="str">
            <v>VISION SYSTEMS WITH DOUBLE CAM</v>
          </cell>
          <cell r="C937" t="str">
            <v>PM SDCT 1512-0 03</v>
          </cell>
        </row>
        <row r="938">
          <cell r="B938" t="str">
            <v>VIBRO - TECHNIQUES - LINEAR VI</v>
          </cell>
          <cell r="C938" t="str">
            <v>PM SDCT 1512-0 04</v>
          </cell>
        </row>
        <row r="939">
          <cell r="B939" t="str">
            <v>ROLL FEED</v>
          </cell>
          <cell r="C939" t="str">
            <v>PM SDCT 2501-0 01</v>
          </cell>
        </row>
        <row r="940">
          <cell r="B940" t="str">
            <v>MS HOPPER WITH VIBRATORY FEEDE</v>
          </cell>
          <cell r="C940" t="str">
            <v>PM SDCT 2503-0 12</v>
          </cell>
        </row>
        <row r="941">
          <cell r="B941" t="str">
            <v>PROJECTED WELDING M/C - PLUG</v>
          </cell>
          <cell r="C941" t="str">
            <v>PM SDCT 2503-1 01</v>
          </cell>
        </row>
        <row r="942">
          <cell r="B942" t="str">
            <v>BASE PLATE FOR WELDING MACHINE</v>
          </cell>
          <cell r="C942" t="str">
            <v>PM SDCT 2503-1 02</v>
          </cell>
        </row>
        <row r="943">
          <cell r="B943" t="str">
            <v>CABLE ARMOUR MAKE - POLYCAB</v>
          </cell>
          <cell r="C943" t="str">
            <v>PM SDCT 2503-1 03</v>
          </cell>
        </row>
        <row r="944">
          <cell r="B944" t="str">
            <v>CONSTANT CURRENT VOLTAGE</v>
          </cell>
          <cell r="C944" t="str">
            <v>PM SDCT 2503-1 04</v>
          </cell>
        </row>
        <row r="945">
          <cell r="B945" t="str">
            <v>MOUNTING PLATE FOR WELDING MAC</v>
          </cell>
          <cell r="C945" t="str">
            <v>PM SDCT 2503-1 05</v>
          </cell>
        </row>
        <row r="946">
          <cell r="B946" t="str">
            <v>RING/COUPLING/MAGNATIC LIFTER</v>
          </cell>
          <cell r="C946" t="str">
            <v>PM SDCT 2503-1 06</v>
          </cell>
        </row>
        <row r="947">
          <cell r="B947" t="str">
            <v>SUPPORT PLATE/MOUNTING PLATE F</v>
          </cell>
          <cell r="C947" t="str">
            <v>PM SDCT 2503-1 07</v>
          </cell>
        </row>
        <row r="948">
          <cell r="B948" t="str">
            <v>PLG ROLLER , LEAKAGE TESTER &amp;</v>
          </cell>
          <cell r="C948" t="str">
            <v>PM SDCT 2503-1 08</v>
          </cell>
        </row>
        <row r="949">
          <cell r="B949" t="str">
            <v>CONNECTING ROD/LIFTER ASSEMBLY</v>
          </cell>
          <cell r="C949" t="str">
            <v>PM SDCT 2503-1 09</v>
          </cell>
        </row>
        <row r="950">
          <cell r="B950" t="str">
            <v>LIFTER CHUTE / ROLLER CHANNEL</v>
          </cell>
          <cell r="C950" t="str">
            <v>PM SDCT 2503-1 10</v>
          </cell>
        </row>
        <row r="951">
          <cell r="B951" t="str">
            <v>FEED TECH - VIBRATOR BOWL , FE</v>
          </cell>
          <cell r="C951" t="str">
            <v>PM SDCT 2503-1 11</v>
          </cell>
        </row>
        <row r="952">
          <cell r="B952" t="str">
            <v>PROJECTION WELDER MODEL BLOW F</v>
          </cell>
          <cell r="C952" t="str">
            <v>PM SDCT 2503-2 01</v>
          </cell>
        </row>
        <row r="953">
          <cell r="B953" t="str">
            <v>VISION SYSTEMS WITH TOUCH SCRE</v>
          </cell>
          <cell r="C953" t="str">
            <v>PM SDCT 2512-0 02</v>
          </cell>
        </row>
        <row r="954">
          <cell r="B954" t="str">
            <v>DOMINO PRINTECH INDIA P.LTD -</v>
          </cell>
          <cell r="C954" t="str">
            <v>PM SDCT 2512-0 03</v>
          </cell>
        </row>
        <row r="955">
          <cell r="B955" t="str">
            <v>MAGNETIC LIFT 2KAUFMAN TO PRO"</v>
          </cell>
          <cell r="C955" t="str">
            <v>PM SDCT CONV-0 01</v>
          </cell>
        </row>
        <row r="956">
          <cell r="B956" t="str">
            <v>MAGNETIC LIFT-3/4PLUG WLEDING"</v>
          </cell>
          <cell r="C956" t="str">
            <v>PM SDCT CONV-0 02</v>
          </cell>
        </row>
        <row r="957">
          <cell r="B957" t="str">
            <v>MAGNETIC LIFT-2PLUG WELDING T"</v>
          </cell>
          <cell r="C957" t="str">
            <v>PM SDCT CONV-0 03</v>
          </cell>
        </row>
        <row r="958">
          <cell r="B958" t="str">
            <v>MAGNETIC CONVEYOR-BLANKING PRE</v>
          </cell>
          <cell r="C958" t="str">
            <v>PM SDCT CONV-0 04</v>
          </cell>
        </row>
        <row r="959">
          <cell r="B959" t="str">
            <v>MAGNETIC CONVEYOR-BLANKING SCR</v>
          </cell>
          <cell r="C959" t="str">
            <v>PM SDCT CONV-0 05</v>
          </cell>
        </row>
        <row r="960">
          <cell r="B960" t="str">
            <v>MAGNETIC CONVEYOR-PRODUCT CONV</v>
          </cell>
          <cell r="C960" t="str">
            <v>PM SDCT CONV-0 06</v>
          </cell>
        </row>
        <row r="961">
          <cell r="B961" t="str">
            <v>MAGNETIC CONVEYOR-PRODUCT CONV</v>
          </cell>
          <cell r="C961" t="str">
            <v>PM SDCT CONV-0 07</v>
          </cell>
        </row>
        <row r="962">
          <cell r="B962" t="str">
            <v>MAGNETIC CONVEYOR -3/4 AL CON"</v>
          </cell>
          <cell r="C962" t="str">
            <v>PM SDCT CONV-0 08</v>
          </cell>
        </row>
        <row r="963">
          <cell r="B963" t="str">
            <v>MAGNETIC CONVEYOR-AL SCRAP MAI</v>
          </cell>
          <cell r="C963" t="str">
            <v>PM SDCT CONV-0 09</v>
          </cell>
        </row>
        <row r="964">
          <cell r="B964" t="str">
            <v>MAGNETIC CONVEYOR-2AL CONVEYO"</v>
          </cell>
          <cell r="C964" t="str">
            <v>PM SDCT CONV-0 10</v>
          </cell>
        </row>
        <row r="965">
          <cell r="B965" t="str">
            <v>WIRE MESH CONVEYOR-3/4 AI-3(T"</v>
          </cell>
          <cell r="C965" t="str">
            <v>PM SDCT CONV-0 11</v>
          </cell>
        </row>
        <row r="966">
          <cell r="B966" t="str">
            <v>WIRE MESH CONVEYOR-2AL-1 (TRI"</v>
          </cell>
          <cell r="C966" t="str">
            <v>PM SDCT CONV-0 12</v>
          </cell>
        </row>
        <row r="967">
          <cell r="B967" t="str">
            <v>WIRE MESH CONVERYOR-2PLUG WEL"</v>
          </cell>
          <cell r="C967" t="str">
            <v>PM SDCT CONV-0 13</v>
          </cell>
        </row>
        <row r="968">
          <cell r="B968" t="str">
            <v>WIRE MESH CONVEYOR-2PLUG WELD"</v>
          </cell>
          <cell r="C968" t="str">
            <v>PM SDCT CONV-0 14</v>
          </cell>
        </row>
        <row r="969">
          <cell r="B969" t="str">
            <v>WIRE MESH CONVEYOR 3/4 PLUG W"</v>
          </cell>
          <cell r="C969" t="str">
            <v>PM SDCT CONV-0 15</v>
          </cell>
        </row>
        <row r="970">
          <cell r="B970" t="str">
            <v>REVERSIBALE WIRE MESH CONVEYOR</v>
          </cell>
          <cell r="C970" t="str">
            <v>PM SDCT CONV-0 16</v>
          </cell>
        </row>
        <row r="971">
          <cell r="B971" t="str">
            <v>REVERSIBLE WIRE MESH CONVEYOR-</v>
          </cell>
          <cell r="C971" t="str">
            <v>PM SDCT CONV-0 17</v>
          </cell>
        </row>
        <row r="972">
          <cell r="B972" t="str">
            <v>REVERSIBLE WIRE MESH CONVEYOR-</v>
          </cell>
          <cell r="C972" t="str">
            <v>PM SDCT CONV-0 18</v>
          </cell>
        </row>
        <row r="973">
          <cell r="B973" t="str">
            <v>REVERSIABLE WIRE MESH CONVEYOR</v>
          </cell>
          <cell r="C973" t="str">
            <v>PM SDCT CONV-0 19</v>
          </cell>
        </row>
        <row r="974">
          <cell r="B974" t="str">
            <v>REVERSIBLE WIRE MESH CONVEYOR-</v>
          </cell>
          <cell r="C974" t="str">
            <v>PM SDCT CONV-0 20</v>
          </cell>
        </row>
        <row r="975">
          <cell r="B975" t="str">
            <v>MAGENTIC CONVEYOR</v>
          </cell>
          <cell r="C975" t="str">
            <v>PM SDCT CONV-0 21</v>
          </cell>
        </row>
        <row r="976">
          <cell r="B976" t="str">
            <v>MAGENTIC CONVEYOR</v>
          </cell>
          <cell r="C976" t="str">
            <v>PM SDCT CONV-0 22</v>
          </cell>
        </row>
        <row r="977">
          <cell r="B977" t="str">
            <v>SLAT CONVEYOR 100mm WIDE</v>
          </cell>
          <cell r="C977" t="str">
            <v>PM SDCT CONV-0 23</v>
          </cell>
        </row>
        <row r="978">
          <cell r="B978" t="str">
            <v>ROLLER CONVEYOR (16-48085)</v>
          </cell>
          <cell r="C978" t="str">
            <v>PM SDCT CONV-0 24</v>
          </cell>
        </row>
        <row r="979">
          <cell r="B979" t="str">
            <v>WIRE MESH CONVEYOR-2AL-1 (TRI"</v>
          </cell>
          <cell r="C979" t="str">
            <v>PM SDCT CONV-0 25</v>
          </cell>
        </row>
        <row r="980">
          <cell r="B980" t="str">
            <v>TRANSFORMER</v>
          </cell>
          <cell r="C980" t="str">
            <v>PM SDCT ELEC-0 02</v>
          </cell>
        </row>
        <row r="981">
          <cell r="B981" t="str">
            <v>GENERATOR</v>
          </cell>
          <cell r="C981" t="str">
            <v>PM SDCT ELEC-0 03</v>
          </cell>
        </row>
        <row r="982">
          <cell r="B982" t="str">
            <v>CABLE TRAY</v>
          </cell>
          <cell r="C982" t="str">
            <v>PM SDCT ELEC-0 04</v>
          </cell>
        </row>
        <row r="983">
          <cell r="B983" t="str">
            <v>OFFICE LIGHTING</v>
          </cell>
          <cell r="C983" t="str">
            <v>PM SDCT ELEC-0 05</v>
          </cell>
        </row>
        <row r="984">
          <cell r="B984" t="str">
            <v>TRANSFORMER (ELECTRICAL)</v>
          </cell>
          <cell r="C984" t="str">
            <v>PM SDCT ELEC-0 06</v>
          </cell>
        </row>
        <row r="985">
          <cell r="B985" t="str">
            <v>HT BRAKER 22 KV, 25 KV/1SEC 63</v>
          </cell>
          <cell r="C985" t="str">
            <v>PM SDCT ELEC-0 07</v>
          </cell>
        </row>
        <row r="986">
          <cell r="B986" t="str">
            <v>CABLES</v>
          </cell>
          <cell r="C986" t="str">
            <v>PM SDCT ELEC-0 08</v>
          </cell>
        </row>
        <row r="987">
          <cell r="B987" t="str">
            <v>NETWORKING (COMPUTERS)</v>
          </cell>
          <cell r="C987" t="str">
            <v>PM SDCT ELEC-0 09</v>
          </cell>
        </row>
        <row r="988">
          <cell r="B988" t="str">
            <v>ELECTRICAL SPARES/ WIRING</v>
          </cell>
          <cell r="C988" t="str">
            <v>PM SDCT ELEC-0 10</v>
          </cell>
        </row>
        <row r="989">
          <cell r="B989" t="str">
            <v>ELECTRICAL ITEMS</v>
          </cell>
          <cell r="C989" t="str">
            <v>PM SDCT ELEC-0 11</v>
          </cell>
        </row>
        <row r="990">
          <cell r="B990" t="str">
            <v>CABLE TRAY &amp; FACTORY LIGHTING</v>
          </cell>
          <cell r="C990" t="str">
            <v>PM SDCT ELEC-0 12</v>
          </cell>
        </row>
        <row r="991">
          <cell r="B991" t="str">
            <v>REACTOR, D-TUNED, WITH 400 KVA</v>
          </cell>
          <cell r="C991" t="str">
            <v>PM SDCT ELEC-0 13</v>
          </cell>
        </row>
        <row r="992">
          <cell r="B992" t="str">
            <v>TRANSFORMER</v>
          </cell>
          <cell r="C992" t="str">
            <v>PM SDCT ELEC-0 14</v>
          </cell>
        </row>
        <row r="993">
          <cell r="B993" t="str">
            <v>TRANSFER OF MANDATORY SPARES</v>
          </cell>
          <cell r="C993" t="str">
            <v>PM SDCT ELEC-0 15</v>
          </cell>
        </row>
        <row r="994">
          <cell r="B994" t="str">
            <v>FES- MR. AJIT SHAH</v>
          </cell>
          <cell r="C994" t="str">
            <v>PM SDCT FESS-0 01</v>
          </cell>
        </row>
        <row r="995">
          <cell r="B995" t="str">
            <v>FES- MR. S.K. ROY</v>
          </cell>
          <cell r="C995" t="str">
            <v>PM SDCT FESS-0 02</v>
          </cell>
        </row>
        <row r="996">
          <cell r="B996" t="str">
            <v>HYDRAULIC LIFTING PLATFORM TRO</v>
          </cell>
          <cell r="C996" t="str">
            <v>PM SDCT FKLT-0 01</v>
          </cell>
        </row>
        <row r="997">
          <cell r="B997" t="str">
            <v>ROLLER FOR HYDRAULIC LIFTING P</v>
          </cell>
          <cell r="C997" t="str">
            <v>PM SDCT FKLT-0 02</v>
          </cell>
        </row>
        <row r="998">
          <cell r="B998" t="str">
            <v>FORKLIFT OF 3 MT CAPACITY</v>
          </cell>
          <cell r="C998" t="str">
            <v>PM SDCT FKLT-0 03</v>
          </cell>
        </row>
        <row r="999">
          <cell r="B999" t="str">
            <v>ELECTRIC STACKER WITH BATTERY</v>
          </cell>
          <cell r="C999" t="str">
            <v>PM SDCT FKLT-0 04</v>
          </cell>
        </row>
        <row r="1000">
          <cell r="B1000" t="str">
            <v>DIE SET FOR MFG. 2' FLANGE"</v>
          </cell>
          <cell r="C1000" t="str">
            <v>PM SDCT FL2-DI 01</v>
          </cell>
        </row>
        <row r="1001">
          <cell r="B1001" t="str">
            <v>DIE SET 2 FL 4TH OPERATION"</v>
          </cell>
          <cell r="C1001" t="str">
            <v>PM SDCT FL2-DI 02</v>
          </cell>
        </row>
        <row r="1002">
          <cell r="B1002" t="str">
            <v>DIE SET (PILLER) FOR 2 FLANGE"</v>
          </cell>
          <cell r="C1002" t="str">
            <v>PM SDCT FL2-DI 03</v>
          </cell>
        </row>
        <row r="1003">
          <cell r="B1003" t="str">
            <v>TUNGSTEN CARBIDE SLIP GAUGE</v>
          </cell>
          <cell r="C1003" t="str">
            <v>PM SDCT INST-Q 01</v>
          </cell>
        </row>
        <row r="1004">
          <cell r="B1004" t="str">
            <v>DIAL CALIPER, SCREW THREAD</v>
          </cell>
          <cell r="C1004" t="str">
            <v>PM SDCT INST-Q 02</v>
          </cell>
        </row>
        <row r="1005">
          <cell r="B1005" t="str">
            <v>UNIQUE BRUSTING STRENGTH TESTE</v>
          </cell>
          <cell r="C1005" t="str">
            <v>PM SDCT INST-Q 03</v>
          </cell>
        </row>
        <row r="1006">
          <cell r="B1006" t="str">
            <v>ERICHSON CUPPING TESTER FREIGH</v>
          </cell>
          <cell r="C1006" t="str">
            <v>PM SDCT INST-Q 04</v>
          </cell>
        </row>
        <row r="1007">
          <cell r="B1007" t="str">
            <v>DIAL CALLIPER RR NO. 1404 &amp; 14</v>
          </cell>
          <cell r="C1007" t="str">
            <v>PM SDCT INST-Q 05</v>
          </cell>
        </row>
        <row r="1008">
          <cell r="B1008" t="str">
            <v>SCREW THREAD RR NO. 1404&amp; 1405</v>
          </cell>
          <cell r="C1008" t="str">
            <v>PM SDCT INST-Q 06</v>
          </cell>
        </row>
        <row r="1009">
          <cell r="B1009" t="str">
            <v>TIPS FOR BSP THREADS 55 RR NO.</v>
          </cell>
          <cell r="C1009" t="str">
            <v>PM SDCT INST-Q 07</v>
          </cell>
        </row>
        <row r="1010">
          <cell r="B1010" t="str">
            <v>DIAL GAUGE RANGE 10 MM RR NO.</v>
          </cell>
          <cell r="C1010" t="str">
            <v>PM SDCT INST-Q 08</v>
          </cell>
        </row>
        <row r="1011">
          <cell r="B1011" t="str">
            <v>DIAL GAUGE RANGE 100MM</v>
          </cell>
          <cell r="C1011" t="str">
            <v>PM SDCT INST-Q 09</v>
          </cell>
        </row>
        <row r="1012">
          <cell r="B1012" t="str">
            <v>SINE BAR GAUGE 100 MM</v>
          </cell>
          <cell r="C1012" t="str">
            <v>PM SDCT INST-Q 10</v>
          </cell>
        </row>
        <row r="1013">
          <cell r="B1013" t="str">
            <v>QC EQUIPMENT</v>
          </cell>
          <cell r="C1013" t="str">
            <v>PM SDCT INST-Q 11</v>
          </cell>
        </row>
        <row r="1014">
          <cell r="B1014" t="str">
            <v>INJECTION MOULDING MACHINE  MO</v>
          </cell>
          <cell r="C1014" t="str">
            <v>PM SDCT MOLD-0 01</v>
          </cell>
        </row>
        <row r="1015">
          <cell r="B1015" t="str">
            <v>2 CAVITY SPPIT TYPE MOULD FOR"</v>
          </cell>
          <cell r="C1015" t="str">
            <v>PM SDCT MOLD-0 02</v>
          </cell>
        </row>
        <row r="1016">
          <cell r="B1016" t="str">
            <v>FIBERGLASS REINFORCED PLOEYEST</v>
          </cell>
          <cell r="C1016" t="str">
            <v>PM SDCT OTHR-0 01</v>
          </cell>
        </row>
        <row r="1017">
          <cell r="B1017" t="str">
            <v>OIL COOLER WITH BRASS HOUSING</v>
          </cell>
          <cell r="C1017" t="str">
            <v>PM SDCT OTHR-0 03</v>
          </cell>
        </row>
        <row r="1018">
          <cell r="B1018" t="str">
            <v>FINNED TUBE HEAT EXCHANGER</v>
          </cell>
          <cell r="C1018" t="str">
            <v>PM SDCT OTHR-0 04</v>
          </cell>
        </row>
        <row r="1019">
          <cell r="B1019" t="str">
            <v>FINNED TUBE HEAT EXCHANGER</v>
          </cell>
          <cell r="C1019" t="str">
            <v>PM SDCT OTHR-0 05</v>
          </cell>
        </row>
        <row r="1020">
          <cell r="B1020" t="str">
            <v>LIMIT SWITCH-30 NOS KANCHAN EN</v>
          </cell>
          <cell r="C1020" t="str">
            <v>PM SDCT OTHR-0 06</v>
          </cell>
        </row>
        <row r="1021">
          <cell r="B1021" t="str">
            <v>GEAR BOX BRACKET- POS-34</v>
          </cell>
          <cell r="C1021" t="str">
            <v>PM SDCT OTHR-0 07</v>
          </cell>
        </row>
        <row r="1022">
          <cell r="B1022" t="str">
            <v>GEAR BOX BRACKET- POS-66</v>
          </cell>
          <cell r="C1022" t="str">
            <v>PM SDCT OTHR-0 08</v>
          </cell>
        </row>
        <row r="1023">
          <cell r="B1023" t="str">
            <v>LIFTER ROD - LH POS-32 &amp; RH-56</v>
          </cell>
          <cell r="C1023" t="str">
            <v>PM SDCT OTHR-0 09</v>
          </cell>
        </row>
        <row r="1024">
          <cell r="B1024" t="str">
            <v>RELAY CARD 24VDC CHANNEL</v>
          </cell>
          <cell r="C1024" t="str">
            <v>PM SDCT OTHR-0 10</v>
          </cell>
        </row>
        <row r="1025">
          <cell r="B1025" t="str">
            <v>VIBRATORY BOWL &amp; FEEDER</v>
          </cell>
          <cell r="C1025" t="str">
            <v>PM SDCT OTHR-0 11</v>
          </cell>
        </row>
        <row r="1026">
          <cell r="B1026" t="str">
            <v>LOSS ON FCL / F/COVER (129TO13</v>
          </cell>
          <cell r="C1026" t="str">
            <v>PM SDCT OTHR-0 12</v>
          </cell>
        </row>
        <row r="1027">
          <cell r="B1027" t="str">
            <v>EXHAUST FANS 3 NOS.</v>
          </cell>
          <cell r="C1027" t="str">
            <v>PM SDCT OTHR-0 22</v>
          </cell>
        </row>
        <row r="1028">
          <cell r="B1028" t="str">
            <v>PRESS MONITOR WITH DUPLEX WIND</v>
          </cell>
          <cell r="C1028" t="str">
            <v>PM SDCT OTHR-0 23</v>
          </cell>
        </row>
        <row r="1029">
          <cell r="B1029" t="str">
            <v>ARTICLE CODE AX 017 QAE RR1439</v>
          </cell>
          <cell r="C1029" t="str">
            <v>PM SDCT OTHR-0 24</v>
          </cell>
        </row>
        <row r="1030">
          <cell r="B1030" t="str">
            <v>PLASTIC BINS 302 NOS. W.O 15 R</v>
          </cell>
          <cell r="C1030" t="str">
            <v>PM SDCT OTHR-0 25</v>
          </cell>
        </row>
        <row r="1031">
          <cell r="B1031" t="str">
            <v>ALTA PEDESTAL FANS, PVC HOSE P</v>
          </cell>
          <cell r="C1031" t="str">
            <v>PM SDCT OTHR-0 26</v>
          </cell>
        </row>
        <row r="1032">
          <cell r="B1032" t="str">
            <v>SUPREME FLORIDA BEIGE 2O NO  R</v>
          </cell>
          <cell r="C1032" t="str">
            <v>PM SDCT OTHR-0 27</v>
          </cell>
        </row>
        <row r="1033">
          <cell r="B1033" t="str">
            <v>TEE' TREADLE OPERATED SHEARING</v>
          </cell>
          <cell r="C1033" t="str">
            <v>PM SDCT OTHR-0 28</v>
          </cell>
        </row>
        <row r="1034">
          <cell r="B1034" t="str">
            <v>GI PIPE LINE ON MS FABRICATED</v>
          </cell>
          <cell r="C1034" t="str">
            <v>PM SDCT OTHR-0 29</v>
          </cell>
        </row>
        <row r="1035">
          <cell r="B1035" t="str">
            <v>BOREWELL- GROUND WATER</v>
          </cell>
          <cell r="C1035" t="str">
            <v>PM SDCT OTHR-0 30</v>
          </cell>
        </row>
        <row r="1036">
          <cell r="B1036" t="str">
            <v>LAYING OF WATER LINE - SHIKHA</v>
          </cell>
          <cell r="C1036" t="str">
            <v>PM SDCT OTHR-0 31</v>
          </cell>
        </row>
        <row r="1037">
          <cell r="B1037" t="str">
            <v>LAYING OF WATER LINE - SHIKHA</v>
          </cell>
          <cell r="C1037" t="str">
            <v>PM SDCT OTHR-0 32</v>
          </cell>
        </row>
        <row r="1038">
          <cell r="B1038" t="str">
            <v>CHIMNEY WITH PAINTING  CHG</v>
          </cell>
          <cell r="C1038" t="str">
            <v>PM SDCT OTHR-0 33</v>
          </cell>
        </row>
        <row r="1039">
          <cell r="B1039" t="str">
            <v>CONCRETE FLOORING FOR HEVY M/C</v>
          </cell>
          <cell r="C1039" t="str">
            <v>PM SDCT PLNT-0013</v>
          </cell>
        </row>
        <row r="1040">
          <cell r="B1040" t="str">
            <v>CAPACITOR  4KVR ,7KVR,10KVR,5K</v>
          </cell>
          <cell r="C1040" t="str">
            <v>PM SDCT PLTG-0 02</v>
          </cell>
        </row>
        <row r="1041">
          <cell r="B1041" t="str">
            <v>PLC TYPE S7-300,CPU</v>
          </cell>
          <cell r="C1041" t="str">
            <v>PM SDCT PLTG-0 03</v>
          </cell>
        </row>
        <row r="1042">
          <cell r="B1042" t="str">
            <v>BOWL VIBRATOTY DIA-600</v>
          </cell>
          <cell r="C1042" t="str">
            <v>PM SDCT PLTG-0 04</v>
          </cell>
        </row>
        <row r="1043">
          <cell r="B1043" t="str">
            <v>ELECTROPLATING TIMER UNIT T-30</v>
          </cell>
          <cell r="C1043" t="str">
            <v>PM SDCT PLTG-0 05</v>
          </cell>
        </row>
        <row r="1044">
          <cell r="B1044" t="str">
            <v>TITANIUM ANODE BASKET</v>
          </cell>
          <cell r="C1044" t="str">
            <v>PM SDCT PLTG-0 06</v>
          </cell>
        </row>
        <row r="1045">
          <cell r="B1045" t="str">
            <v>TITANIUM BASKET 20 NOS.  RR- 9</v>
          </cell>
          <cell r="C1045" t="str">
            <v>PM SDCT PLTG-0 07</v>
          </cell>
        </row>
        <row r="1046">
          <cell r="B1046" t="str">
            <v>CEW-HEXAGONAL BARRELS- 1</v>
          </cell>
          <cell r="C1046" t="str">
            <v>PM SDCT PLTG-0 09</v>
          </cell>
        </row>
        <row r="1047">
          <cell r="B1047" t="str">
            <v>WEW- HEXAGONAL BARRELS-1</v>
          </cell>
          <cell r="C1047" t="str">
            <v>PM SDCT PLTG-0 10</v>
          </cell>
        </row>
        <row r="1048">
          <cell r="B1048" t="str">
            <v>WEW- HEXAGONAL BARRELS-1</v>
          </cell>
          <cell r="C1048" t="str">
            <v>PM SDCT PLTG-0 11</v>
          </cell>
        </row>
        <row r="1049">
          <cell r="B1049" t="str">
            <v>WEW- HEXAGONAL BARRELS-1</v>
          </cell>
          <cell r="C1049" t="str">
            <v>PM SDCT PLTG-0 12</v>
          </cell>
        </row>
        <row r="1050">
          <cell r="B1050" t="str">
            <v>WEW- HEXAGONAL BARRELS-1</v>
          </cell>
          <cell r="C1050" t="str">
            <v>PM SDCT PLTG-0 13</v>
          </cell>
        </row>
        <row r="1051">
          <cell r="B1051" t="str">
            <v>WEW- HEXAGONAL BARRELS-1</v>
          </cell>
          <cell r="C1051" t="str">
            <v>PM SDCT PLTG-0 14</v>
          </cell>
        </row>
        <row r="1052">
          <cell r="B1052" t="str">
            <v>WEW- HEXAGONAL BARRELS-1</v>
          </cell>
          <cell r="C1052" t="str">
            <v>PM SDCT PLTG-0 15</v>
          </cell>
        </row>
        <row r="1053">
          <cell r="B1053" t="str">
            <v>WEW- HEXAGONAL BARRELS-1</v>
          </cell>
          <cell r="C1053" t="str">
            <v>PM SDCT PLTG-0 16</v>
          </cell>
        </row>
        <row r="1054">
          <cell r="B1054" t="str">
            <v>WEW- HEXAGONAL BARRELS-1</v>
          </cell>
          <cell r="C1054" t="str">
            <v>PM SDCT PLTG-0 17</v>
          </cell>
        </row>
        <row r="1055">
          <cell r="B1055" t="str">
            <v>WEW- HEXAGONAL BARRELS-1</v>
          </cell>
          <cell r="C1055" t="str">
            <v>PM SDCT PLTG-0 18</v>
          </cell>
        </row>
        <row r="1056">
          <cell r="B1056" t="str">
            <v>WEW- HEXAGONAL BARRELS-1</v>
          </cell>
          <cell r="C1056" t="str">
            <v>PM SDCT PLTG-0 19</v>
          </cell>
        </row>
        <row r="1057">
          <cell r="B1057" t="str">
            <v>WEW- HEXAGONAL BARRELS-1</v>
          </cell>
          <cell r="C1057" t="str">
            <v>PM SDCT PLTG-0 20</v>
          </cell>
        </row>
        <row r="1058">
          <cell r="B1058" t="str">
            <v>HEXAGONAL DRAYER- 1</v>
          </cell>
          <cell r="C1058" t="str">
            <v>PM SDCT PLTG-0 22</v>
          </cell>
        </row>
        <row r="1059">
          <cell r="B1059" t="str">
            <v>HEXAGONAL DRAYER- 1</v>
          </cell>
          <cell r="C1059" t="str">
            <v>PM SDCT PLTG-0 23</v>
          </cell>
        </row>
        <row r="1060">
          <cell r="B1060" t="str">
            <v>HEXAGONAL DRAYER- 1</v>
          </cell>
          <cell r="C1060" t="str">
            <v>PM SDCT PLTG-0 24</v>
          </cell>
        </row>
        <row r="1061">
          <cell r="B1061" t="str">
            <v>HEXAGONAL DRAYER- 1</v>
          </cell>
          <cell r="C1061" t="str">
            <v>PM SDCT PLTG-0 25</v>
          </cell>
        </row>
        <row r="1062">
          <cell r="B1062" t="str">
            <v>ANODE BASKETS 20 NOS.</v>
          </cell>
          <cell r="C1062" t="str">
            <v>PM SDCT PLTG-0 26</v>
          </cell>
        </row>
        <row r="1063">
          <cell r="B1063" t="str">
            <v>15KG CENTRIFUGAL DRYER 1 NO.OM</v>
          </cell>
          <cell r="C1063" t="str">
            <v>PM SDCT PLTG-0 27</v>
          </cell>
        </row>
        <row r="1064">
          <cell r="B1064" t="str">
            <v>15KG CENTRIFUGAL DRYER 1 NO.OM</v>
          </cell>
          <cell r="C1064" t="str">
            <v>PM SDCT PLTG-0 28</v>
          </cell>
        </row>
        <row r="1065">
          <cell r="B1065" t="str">
            <v>15KG CENTRIFUGAL DRYER 1 NO.OM</v>
          </cell>
          <cell r="C1065" t="str">
            <v>PM SDCT PLTG-0 29</v>
          </cell>
        </row>
        <row r="1066">
          <cell r="B1066" t="str">
            <v>PLATED PARTS DRYER SYSTEMS(PLD</v>
          </cell>
          <cell r="C1066" t="str">
            <v>PM SDCT PLTG-0 30</v>
          </cell>
        </row>
        <row r="1067">
          <cell r="B1067" t="str">
            <v>PLATING PLANT (NEW)</v>
          </cell>
          <cell r="C1067" t="str">
            <v>PM SDCT PLTG-0 31</v>
          </cell>
        </row>
        <row r="1068">
          <cell r="B1068" t="str">
            <v>CIVIL WORK OF ETP PLANT</v>
          </cell>
          <cell r="C1068" t="str">
            <v>PM SDCT PLTG-0 33</v>
          </cell>
        </row>
        <row r="1069">
          <cell r="B1069" t="str">
            <v>CIVIL WORK OF ETP PLANT</v>
          </cell>
          <cell r="C1069" t="str">
            <v>PM SDCT PLTG-0 34</v>
          </cell>
        </row>
        <row r="1070">
          <cell r="B1070" t="str">
            <v>PLATING BARREL</v>
          </cell>
          <cell r="C1070" t="str">
            <v>PM SDCT PLTG-0 37</v>
          </cell>
        </row>
        <row r="1071">
          <cell r="B1071" t="str">
            <v>RECTIFIERS</v>
          </cell>
          <cell r="C1071" t="str">
            <v>PM SDCT PLTG-0 38</v>
          </cell>
        </row>
        <row r="1072">
          <cell r="B1072" t="str">
            <v>FABRICATION OF P.P.H.BARREL FI</v>
          </cell>
          <cell r="C1072" t="str">
            <v>PM SDCT PLTG-0 39</v>
          </cell>
        </row>
        <row r="1073">
          <cell r="B1073" t="str">
            <v>PLUG LINE</v>
          </cell>
          <cell r="C1073" t="str">
            <v>PM SDCT PLUG-0 01</v>
          </cell>
        </row>
        <row r="1074">
          <cell r="B1074" t="str">
            <v>AIR RECEIVER 2M3 VERTICAL FOR</v>
          </cell>
          <cell r="C1074" t="str">
            <v>PM SDCT UTIL-0 01</v>
          </cell>
        </row>
        <row r="1075">
          <cell r="B1075" t="str">
            <v>COMPRESSOR AIR MODEL - 1 NO-AT</v>
          </cell>
          <cell r="C1075" t="str">
            <v>PM SDCT UTIL-0 02</v>
          </cell>
        </row>
        <row r="1076">
          <cell r="B1076" t="str">
            <v>FLOOR SQUEEGEE 24 "	Tangible	Yes	No	1.00	Yes_x000D_PM SDCT"</v>
          </cell>
          <cell r="C1076" t="str">
            <v>PM SDCT UTIL-0 03</v>
          </cell>
        </row>
        <row r="1077">
          <cell r="B1077" t="str">
            <v>ALUMINIUM LIGHT DUTY LADDER</v>
          </cell>
          <cell r="C1077" t="str">
            <v>PM SDCT UTIL-0 07</v>
          </cell>
        </row>
        <row r="1078">
          <cell r="B1078" t="str">
            <v>EOT CRANE   MT CAPACITY</v>
          </cell>
          <cell r="C1078" t="str">
            <v>PM SDCT UTIL-0 08</v>
          </cell>
        </row>
        <row r="1079">
          <cell r="B1079" t="str">
            <v>HYDRAULIC HAND PALLET TRUCK MO</v>
          </cell>
          <cell r="C1079" t="str">
            <v>PM SDCT UTIL-0 09</v>
          </cell>
        </row>
        <row r="1080">
          <cell r="B1080" t="str">
            <v>HAND PALLET TRUCK MODEL GPT-25</v>
          </cell>
          <cell r="C1080" t="str">
            <v>PM SDCT UTIL-0 10</v>
          </cell>
        </row>
        <row r="1081">
          <cell r="B1081" t="str">
            <v>COOLING TOWER</v>
          </cell>
          <cell r="C1081" t="str">
            <v>PM SDCT UTIL-0 11</v>
          </cell>
        </row>
        <row r="1082">
          <cell r="B1082" t="str">
            <v>COMPRESSOR WITH AIR RECEIVER O</v>
          </cell>
          <cell r="C1082" t="str">
            <v>PM SDCT UTIL-0 12</v>
          </cell>
        </row>
        <row r="1083">
          <cell r="B1083" t="str">
            <v>COMPRESSOR STATIONARY, OIL INJ</v>
          </cell>
          <cell r="C1083" t="str">
            <v>PM SDCT UTIL-0 13</v>
          </cell>
        </row>
        <row r="1084">
          <cell r="B1084" t="str">
            <v>CHILLER</v>
          </cell>
          <cell r="C1084" t="str">
            <v>PM SDCT UTIL-0 14</v>
          </cell>
        </row>
        <row r="1085">
          <cell r="B1085" t="str">
            <v>CHILLER (DIKEN)</v>
          </cell>
          <cell r="C1085" t="str">
            <v>PM SDCT UTIL-0 15</v>
          </cell>
        </row>
        <row r="1086">
          <cell r="B1086" t="str">
            <v>AIR LINES</v>
          </cell>
          <cell r="C1086" t="str">
            <v>PM SDCT UTIL-0 16</v>
          </cell>
        </row>
        <row r="1087">
          <cell r="B1087" t="str">
            <v>HAND DRILL MACHINE</v>
          </cell>
          <cell r="C1087" t="str">
            <v>PM SDCT UTIL-0 17</v>
          </cell>
        </row>
        <row r="1088">
          <cell r="B1088" t="str">
            <v>PM SDCT UTIL-0 18</v>
          </cell>
          <cell r="C1088" t="str">
            <v>PM SDCT UTIL-0 18</v>
          </cell>
        </row>
        <row r="1089">
          <cell r="B1089" t="str">
            <v>EPSON-LX 300 PRINTER FOR WEIGH</v>
          </cell>
          <cell r="C1089" t="str">
            <v>PM SDCT WARE-0 01</v>
          </cell>
        </row>
        <row r="1090">
          <cell r="B1090" t="str">
            <v>WEIGHING BRIDGE (INCL FOUNDATI</v>
          </cell>
          <cell r="C1090" t="str">
            <v>PM SDCT WARE-0 02</v>
          </cell>
        </row>
        <row r="1091">
          <cell r="B1091" t="str">
            <v>GODREJ- FORKLIFT</v>
          </cell>
          <cell r="C1091" t="str">
            <v>PM SDCT WARE-0 03</v>
          </cell>
        </row>
        <row r="1092">
          <cell r="B1092" t="str">
            <v>STRAPPING MACHINE- RR INTERNAT</v>
          </cell>
          <cell r="C1092" t="str">
            <v>PM SDCT WARE-0 04</v>
          </cell>
        </row>
        <row r="1093">
          <cell r="B1093" t="str">
            <v>HYDRAULIC PALLET 2 NOS.</v>
          </cell>
          <cell r="C1093" t="str">
            <v>PM SDCT WARE-0 06</v>
          </cell>
        </row>
        <row r="1094">
          <cell r="B1094" t="str">
            <v>ELECTRONIC WEIGHING SCALE</v>
          </cell>
          <cell r="C1094" t="str">
            <v>PM SDCT WARE-0 07</v>
          </cell>
        </row>
        <row r="1095">
          <cell r="B1095" t="str">
            <v>STRAPPING MACHINE (SEMI AUTOMA</v>
          </cell>
          <cell r="C1095" t="str">
            <v>PM SDCT WARE-0 08</v>
          </cell>
        </row>
        <row r="1096">
          <cell r="B1096" t="str">
            <v>STRETCH WRAPPING MACHINE RR NO</v>
          </cell>
          <cell r="C1096" t="str">
            <v>PM SDCT WARE-0 09</v>
          </cell>
        </row>
        <row r="1097">
          <cell r="B1097" t="str">
            <v>STRETCH WRAPPINH M/C</v>
          </cell>
          <cell r="C1097" t="str">
            <v>PM SDCT WARE-0 10</v>
          </cell>
        </row>
        <row r="1098">
          <cell r="B1098" t="str">
            <v>DOC LEVELER WITH 9 MT CAPACITY</v>
          </cell>
          <cell r="C1098" t="str">
            <v>PM SDCT WARE-0 11</v>
          </cell>
        </row>
        <row r="1099">
          <cell r="B1099" t="str">
            <v>MARUTI 800 TN-4F-9627</v>
          </cell>
          <cell r="C1099" t="str">
            <v>VE  PCDC VECH 0001</v>
          </cell>
        </row>
        <row r="1100">
          <cell r="B1100" t="str">
            <v>TATA TOURIN (TN 4 L 0290)</v>
          </cell>
          <cell r="C1100" t="str">
            <v>VE  PCDC VECH 0002</v>
          </cell>
        </row>
        <row r="1101">
          <cell r="B1101" t="str">
            <v>FORD FIESTA 1.4 D BS III (MPL</v>
          </cell>
          <cell r="C1101" t="str">
            <v>VE  PCDC VECH 0003</v>
          </cell>
        </row>
        <row r="1102">
          <cell r="B1102" t="str">
            <v>BY-CYCLE</v>
          </cell>
          <cell r="C1102" t="str">
            <v>VE SDCT VEHICL 01</v>
          </cell>
        </row>
        <row r="1103">
          <cell r="B1103" t="str">
            <v>MOTAR CAR NO.  - GM(F)</v>
          </cell>
          <cell r="C1103" t="str">
            <v>VE SDCT VEHICL 02</v>
          </cell>
        </row>
        <row r="1104">
          <cell r="B1104" t="str">
            <v>MOTAR CAR NO.  - (MD)</v>
          </cell>
          <cell r="C1104" t="str">
            <v>VE SDCT VEHICL 03</v>
          </cell>
        </row>
        <row r="1105">
          <cell r="B1105" t="str">
            <v>MOTAR CAR NO. - (COO)</v>
          </cell>
          <cell r="C1105" t="str">
            <v>VE SDCT VEHICL 04</v>
          </cell>
        </row>
        <row r="1106">
          <cell r="B1106" t="str">
            <v>SKODA - OCTAVIA AMBIENTE 1.9 T</v>
          </cell>
          <cell r="C1106" t="str">
            <v>VE SDCT VEHICL 05</v>
          </cell>
        </row>
        <row r="1107">
          <cell r="B1107" t="str">
            <v>MARUTI SX-4 VXI     R.JUTHANI</v>
          </cell>
          <cell r="C1107" t="str">
            <v>VE SDCT VEHICL 06</v>
          </cell>
        </row>
        <row r="1108">
          <cell r="B1108" t="str">
            <v>SWIFT DESIRE ZXI   S.K.ROY</v>
          </cell>
          <cell r="C1108" t="str">
            <v>VE SDCT VEHICL 07</v>
          </cell>
        </row>
        <row r="1109">
          <cell r="B1109" t="str">
            <v>SWIFT DESIRE ZXI   T.SHIRWALKA</v>
          </cell>
          <cell r="C1109" t="str">
            <v>VE SDCT VEHICL 08</v>
          </cell>
        </row>
      </sheetData>
      <sheetData sheetId="9" refreshError="1"/>
      <sheetData sheetId="1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mallSamp"/>
      <sheetName val="Check_Spell"/>
      <sheetName val="Targeted Testing-1"/>
      <sheetName val="Non-Statistical Sampling-1"/>
      <sheetName val="Accept Reject-1"/>
      <sheetName val="Targeted Testing"/>
      <sheetName val="Non-Statistical Sampling"/>
      <sheetName val="Accept Reject"/>
      <sheetName val="AR Drop Downs"/>
      <sheetName val="ARLU"/>
      <sheetName val="Instructions"/>
      <sheetName val="First Sample Results"/>
      <sheetName val="DropDown"/>
      <sheetName val="Currency"/>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refreshError="1"/>
      <sheetData sheetId="11" refreshError="1"/>
      <sheetData sheetId="12"/>
      <sheetData sheetId="13">
        <row r="3">
          <cell r="C3" t="str">
            <v>Thai</v>
          </cell>
        </row>
        <row r="9">
          <cell r="B9" t="str">
            <v>Currency?</v>
          </cell>
        </row>
        <row r="10">
          <cell r="B10" t="str">
            <v>AUS$</v>
          </cell>
        </row>
        <row r="11">
          <cell r="B11" t="str">
            <v>CAN$</v>
          </cell>
        </row>
        <row r="12">
          <cell r="B12" t="str">
            <v>Euro</v>
          </cell>
        </row>
        <row r="13">
          <cell r="B13" t="str">
            <v>Pound</v>
          </cell>
        </row>
        <row r="14">
          <cell r="B14" t="str">
            <v>US$</v>
          </cell>
        </row>
        <row r="15">
          <cell r="B15" t="str">
            <v>Yen</v>
          </cell>
        </row>
        <row r="16">
          <cell r="B16" t="str">
            <v>Colon</v>
          </cell>
        </row>
        <row r="17">
          <cell r="B17" t="str">
            <v>Dong</v>
          </cell>
        </row>
        <row r="18">
          <cell r="B18" t="str">
            <v>Franc</v>
          </cell>
        </row>
        <row r="19">
          <cell r="B19" t="str">
            <v>Kip</v>
          </cell>
        </row>
        <row r="20">
          <cell r="B20" t="str">
            <v>Kroner</v>
          </cell>
        </row>
        <row r="21">
          <cell r="B21" t="str">
            <v>Lira</v>
          </cell>
        </row>
        <row r="22">
          <cell r="B22" t="str">
            <v>Naira</v>
          </cell>
        </row>
        <row r="23">
          <cell r="B23" t="str">
            <v>Reais</v>
          </cell>
        </row>
        <row r="24">
          <cell r="B24" t="str">
            <v>Rubles</v>
          </cell>
        </row>
        <row r="25">
          <cell r="B25" t="str">
            <v>Rupee</v>
          </cell>
        </row>
        <row r="26">
          <cell r="B26" t="str">
            <v>Sequel</v>
          </cell>
        </row>
        <row r="27">
          <cell r="B27" t="str">
            <v>Thai</v>
          </cell>
        </row>
        <row r="28">
          <cell r="B28" t="str">
            <v>Tugrik</v>
          </cell>
        </row>
        <row r="29">
          <cell r="B29" t="str">
            <v>Won</v>
          </cell>
        </row>
        <row r="30">
          <cell r="B30" t="str">
            <v>Yuan</v>
          </cell>
        </row>
        <row r="31">
          <cell r="B31" t="str">
            <v>Other</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r"/>
      <sheetName val="manager"/>
      <sheetName val="HistInputs"/>
      <sheetName val="case"/>
      <sheetName val="Build-up FA"/>
      <sheetName val="Build-up"/>
      <sheetName val="financials"/>
      <sheetName val="Biz Plan"/>
      <sheetName val="WACC"/>
      <sheetName val="DCF_inputs"/>
      <sheetName val="DCF"/>
      <sheetName val="valmatrix"/>
      <sheetName val="summary"/>
      <sheetName val="appendix 2.5 final accounts"/>
    </sheetNames>
    <sheetDataSet>
      <sheetData sheetId="0"/>
      <sheetData sheetId="1"/>
      <sheetData sheetId="2"/>
      <sheetData sheetId="3"/>
      <sheetData sheetId="4"/>
      <sheetData sheetId="5"/>
      <sheetData sheetId="6"/>
      <sheetData sheetId="7"/>
      <sheetData sheetId="8"/>
      <sheetData sheetId="9">
        <row r="15">
          <cell r="Q15">
            <v>10</v>
          </cell>
        </row>
      </sheetData>
      <sheetData sheetId="10"/>
      <sheetData sheetId="11"/>
      <sheetData sheetId="12"/>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EX (3)"/>
      <sheetName val="OPEX (2)"/>
      <sheetName val="OPEX"/>
      <sheetName val="IAS Diff"/>
      <sheetName val="Antwerp Pack 07 KWE"/>
      <sheetName val="PBV Cons"/>
      <sheetName val="Accpac BS Final"/>
      <sheetName val="Accpac PL Final"/>
      <sheetName val="Pellion Full"/>
      <sheetName val="PV PBV Loan Act"/>
      <sheetName val="Pellion PL"/>
      <sheetName val="PV P&amp;L ACCPAC"/>
      <sheetName val="TB"/>
      <sheetName val="TP TB"/>
      <sheetName val="Dep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210</v>
          </cell>
          <cell r="B2" t="str">
            <v>Retail ML</v>
          </cell>
          <cell r="C2" t="str">
            <v>r</v>
          </cell>
        </row>
        <row r="3">
          <cell r="A3">
            <v>240</v>
          </cell>
          <cell r="B3" t="str">
            <v>Retail PB</v>
          </cell>
          <cell r="C3" t="str">
            <v>r</v>
          </cell>
        </row>
        <row r="4">
          <cell r="A4">
            <v>250</v>
          </cell>
          <cell r="B4" t="str">
            <v>Retail ST</v>
          </cell>
          <cell r="C4" t="str">
            <v>r</v>
          </cell>
        </row>
        <row r="5">
          <cell r="A5">
            <v>260</v>
          </cell>
          <cell r="B5" t="str">
            <v>Retail NI</v>
          </cell>
          <cell r="C5" t="str">
            <v>r</v>
          </cell>
        </row>
        <row r="6">
          <cell r="A6">
            <v>270</v>
          </cell>
          <cell r="B6" t="str">
            <v>Retail Events</v>
          </cell>
          <cell r="C6" t="str">
            <v>r</v>
          </cell>
        </row>
        <row r="7">
          <cell r="A7">
            <v>510</v>
          </cell>
          <cell r="B7" t="str">
            <v>Marketing Direct</v>
          </cell>
          <cell r="C7" t="str">
            <v>m</v>
          </cell>
        </row>
        <row r="8">
          <cell r="A8">
            <v>520</v>
          </cell>
          <cell r="B8" t="str">
            <v>Marketing Wholesale</v>
          </cell>
          <cell r="C8" t="str">
            <v>m</v>
          </cell>
        </row>
        <row r="9">
          <cell r="A9">
            <v>530</v>
          </cell>
          <cell r="B9" t="str">
            <v>Marketing Distributors</v>
          </cell>
          <cell r="C9" t="str">
            <v>m</v>
          </cell>
        </row>
        <row r="10">
          <cell r="A10">
            <v>540</v>
          </cell>
          <cell r="B10" t="str">
            <v>Marketing Export</v>
          </cell>
          <cell r="C10" t="str">
            <v>m</v>
          </cell>
        </row>
        <row r="11">
          <cell r="A11">
            <v>542</v>
          </cell>
          <cell r="B11" t="str">
            <v>Marketing LC</v>
          </cell>
          <cell r="C11" t="str">
            <v>m</v>
          </cell>
        </row>
        <row r="12">
          <cell r="A12">
            <v>550</v>
          </cell>
          <cell r="B12" t="str">
            <v>Administration</v>
          </cell>
          <cell r="C12" t="str">
            <v>a</v>
          </cell>
        </row>
        <row r="13">
          <cell r="A13">
            <v>560</v>
          </cell>
          <cell r="B13" t="str">
            <v>Despatch</v>
          </cell>
          <cell r="C13" t="str">
            <v>d</v>
          </cell>
        </row>
        <row r="14">
          <cell r="A14">
            <v>570</v>
          </cell>
          <cell r="B14" t="str">
            <v>Finance</v>
          </cell>
          <cell r="C14" t="str">
            <v>f</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rs"/>
      <sheetName val="prov (2)"/>
      <sheetName val="BS"/>
      <sheetName val="workings"/>
      <sheetName val="R&amp;DEXP"/>
      <sheetName val="final bs"/>
      <sheetName val="SchPLBS"/>
      <sheetName val="working sheet"/>
      <sheetName val="SSchPLBS"/>
      <sheetName val="P&amp;L"/>
      <sheetName val="final P&amp;L"/>
      <sheetName val="STDATA"/>
      <sheetName val="no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reciation"/>
      <sheetName val="CrossCheck"/>
      <sheetName val="Summation Code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ab"/>
      <sheetName val="Subcont."/>
      <sheetName val="Mat. Liab."/>
      <sheetName val="Stock"/>
      <sheetName val="Site Stock"/>
      <sheetName val="WIP"/>
      <sheetName val="Adv. Rnt."/>
      <sheetName val="Fuel Consumption"/>
      <sheetName val="BG"/>
      <sheetName val="BG (2)"/>
      <sheetName val="CAR"/>
      <sheetName val="Prel.Mat."/>
      <sheetName val="Desc "/>
      <sheetName val="Overview"/>
      <sheetName val="HI-TARGE"/>
      <sheetName val="Abstract RA 1"/>
    </sheetNames>
    <sheetDataSet>
      <sheetData sheetId="0">
        <row r="4">
          <cell r="B4" t="str">
            <v>A/C Code</v>
          </cell>
        </row>
      </sheetData>
      <sheetData sheetId="1" refreshError="1"/>
      <sheetData sheetId="2" refreshError="1"/>
      <sheetData sheetId="3" refreshError="1">
        <row r="4">
          <cell r="B4" t="str">
            <v>A/C Code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WTB - BS"/>
      <sheetName val="WTB - IS"/>
      <sheetName val="Adjustment entries"/>
      <sheetName val="doq"/>
      <sheetName val="appendix 2.5 final accounts"/>
    </sheetNames>
    <sheetDataSet>
      <sheetData sheetId="0"/>
      <sheetData sheetId="1"/>
      <sheetData sheetId="2" refreshError="1"/>
      <sheetData sheetId="3"/>
      <sheetData sheetId="4"/>
      <sheetData sheetId="5" refreshError="1"/>
      <sheetData sheetId="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 -March 03 TB"/>
      <sheetName val="Jan - Dec 03"/>
      <sheetName val="Sheet4"/>
      <sheetName val="Sheet5"/>
      <sheetName val="Financials -Jan 03-Mar04 (2)"/>
      <sheetName val="Trial Balance (3)"/>
      <sheetName val="Trial Balance final"/>
      <sheetName val="Trial Balance"/>
      <sheetName val="Jan - Mar 04"/>
      <sheetName val="Jan 03 - March 04"/>
      <sheetName val="ICR Jan 03 - March 04"/>
      <sheetName val="Sheet2"/>
      <sheetName val="ICR Jan 03 March 04-Pivot"/>
      <sheetName val="ICR Mar 03 Pivot"/>
      <sheetName val="New Jan - March 03"/>
      <sheetName val="Financials -Jan 03-Mar04"/>
      <sheetName val="Sheet1"/>
      <sheetName val="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Int."/>
      <sheetName val="Summary "/>
      <sheetName val="Sheet2"/>
      <sheetName val="Main Summary"/>
      <sheetName val="DER-30.09.10"/>
      <sheetName val="Trial Bal"/>
      <sheetName val="Stock"/>
    </sheetNames>
    <sheetDataSet>
      <sheetData sheetId="0"/>
      <sheetData sheetId="1">
        <row r="37">
          <cell r="CI37">
            <v>0.16952054794520549</v>
          </cell>
        </row>
        <row r="38">
          <cell r="CI38">
            <v>0.16952054794520549</v>
          </cell>
        </row>
        <row r="39">
          <cell r="CI39">
            <v>1.1842465753424658</v>
          </cell>
        </row>
        <row r="43">
          <cell r="CI43">
            <v>1.1219178082191781</v>
          </cell>
        </row>
        <row r="45">
          <cell r="CI45">
            <v>2.0101027397260278</v>
          </cell>
        </row>
        <row r="46">
          <cell r="CI46">
            <v>3.6181849315068497</v>
          </cell>
        </row>
        <row r="47">
          <cell r="CI47">
            <v>1.7420890410958902</v>
          </cell>
        </row>
        <row r="50">
          <cell r="CI50">
            <v>1.2465753424657535</v>
          </cell>
        </row>
        <row r="51">
          <cell r="CI51">
            <v>1.4835616438356163</v>
          </cell>
        </row>
        <row r="52">
          <cell r="CI52">
            <v>1.2465753424657535</v>
          </cell>
        </row>
        <row r="53">
          <cell r="CI53">
            <v>1.1219178082191781</v>
          </cell>
        </row>
        <row r="54">
          <cell r="CI54">
            <v>1.308904109589041</v>
          </cell>
        </row>
        <row r="55">
          <cell r="CI55">
            <v>3.1787671232876713</v>
          </cell>
        </row>
        <row r="56">
          <cell r="CI56">
            <v>1.495890410958904</v>
          </cell>
        </row>
        <row r="57">
          <cell r="CI57">
            <v>1.3463013698630135</v>
          </cell>
        </row>
        <row r="58">
          <cell r="CI58">
            <v>0.56532191780821917</v>
          </cell>
        </row>
        <row r="59">
          <cell r="CI59">
            <v>1.1406164383561643</v>
          </cell>
        </row>
        <row r="60">
          <cell r="CI60">
            <v>1.0284246575342466</v>
          </cell>
        </row>
        <row r="61">
          <cell r="CI61">
            <v>0.16438356164383561</v>
          </cell>
        </row>
        <row r="62">
          <cell r="CI62">
            <v>6.5496575342465752E-2</v>
          </cell>
        </row>
      </sheetData>
      <sheetData sheetId="2"/>
      <sheetData sheetId="3"/>
      <sheetData sheetId="4"/>
      <sheetData sheetId="5"/>
      <sheetData sheetId="6" refreshError="1"/>
      <sheetData sheetId="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rnover reco"/>
      <sheetName val="profit reco (2)"/>
      <sheetName val="fin result P &amp; L (Audit Comit)"/>
      <sheetName val="debt reco"/>
      <sheetName val="cf woirking 20.3.2015"/>
      <sheetName val="BS"/>
      <sheetName val="P&amp;L"/>
      <sheetName val="cashflow"/>
      <sheetName val="Accounting Policy"/>
      <sheetName val="cashflow working"/>
      <sheetName val="BS Notes 2-24"/>
      <sheetName val="14 - FA"/>
      <sheetName val="15 - Investments"/>
      <sheetName val="P&amp;L Notes"/>
      <sheetName val="Notes 33-37"/>
      <sheetName val="39-45"/>
      <sheetName val="working co"/>
      <sheetName val="2013-14"/>
      <sheetName val="working fa"/>
      <sheetName val="Segment Data"/>
      <sheetName val="segment wise reporting (2)"/>
      <sheetName val="Sheet1"/>
      <sheetName val="Sheet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es Reg"/>
      <sheetName val="DATA-DY"/>
      <sheetName val="TAXES"/>
      <sheetName val="DATA-1"/>
      <sheetName val="ITEM GRP MAS-DY"/>
      <sheetName val="CHECK"/>
      <sheetName val="ITEM &amp; GRP"/>
      <sheetName val="Sheet4"/>
      <sheetName val="CUST GRP DY"/>
      <sheetName val="TAXTRANS"/>
      <sheetName val="TAXCODE"/>
      <sheetName val="ITEMGRP-DY"/>
    </sheetNames>
    <sheetDataSet>
      <sheetData sheetId="0"/>
      <sheetData sheetId="1"/>
      <sheetData sheetId="2"/>
      <sheetData sheetId="3"/>
      <sheetData sheetId="4"/>
      <sheetData sheetId="5"/>
      <sheetData sheetId="6"/>
      <sheetData sheetId="7"/>
      <sheetData sheetId="8"/>
      <sheetData sheetId="9"/>
      <sheetData sheetId="10"/>
      <sheetData sheetId="11">
        <row r="1">
          <cell r="A1" t="str">
            <v>ITEMGROUPID</v>
          </cell>
          <cell r="B1" t="str">
            <v>NAME</v>
          </cell>
        </row>
        <row r="2">
          <cell r="A2" t="str">
            <v>1110</v>
          </cell>
          <cell r="B2" t="str">
            <v>RM- STEEL - LOCAL</v>
          </cell>
        </row>
        <row r="3">
          <cell r="A3" t="str">
            <v>1111</v>
          </cell>
          <cell r="B3" t="str">
            <v>RM- ALUMINIUM - LOCAL</v>
          </cell>
        </row>
        <row r="4">
          <cell r="A4" t="str">
            <v>1115</v>
          </cell>
          <cell r="B4" t="str">
            <v>RM- STEEL - IMPORTED</v>
          </cell>
        </row>
        <row r="5">
          <cell r="A5" t="str">
            <v>1120</v>
          </cell>
          <cell r="B5" t="str">
            <v>RM- HDPE - LOCAL</v>
          </cell>
        </row>
        <row r="6">
          <cell r="A6" t="str">
            <v>1125</v>
          </cell>
          <cell r="B6" t="str">
            <v>RM- HDPE - IMPORTED</v>
          </cell>
        </row>
        <row r="7">
          <cell r="A7" t="str">
            <v>1130</v>
          </cell>
          <cell r="B7" t="str">
            <v>RM- LDPE LOCAL</v>
          </cell>
        </row>
        <row r="8">
          <cell r="A8" t="str">
            <v>1135</v>
          </cell>
          <cell r="B8" t="str">
            <v>RM- PP- LOCAL</v>
          </cell>
        </row>
        <row r="9">
          <cell r="A9" t="str">
            <v>1140</v>
          </cell>
          <cell r="B9" t="str">
            <v>RM-PP - IMPORTED</v>
          </cell>
        </row>
        <row r="10">
          <cell r="A10" t="str">
            <v>1210</v>
          </cell>
          <cell r="B10" t="str">
            <v>RM- MASTER BATCH</v>
          </cell>
        </row>
        <row r="11">
          <cell r="A11" t="str">
            <v>1310</v>
          </cell>
          <cell r="B11" t="str">
            <v>RM- TFS/ TINPLATE</v>
          </cell>
        </row>
        <row r="12">
          <cell r="A12" t="str">
            <v>1320</v>
          </cell>
          <cell r="B12" t="str">
            <v>RM- INKS/ COATINGS; COMPOUND;</v>
          </cell>
        </row>
        <row r="13">
          <cell r="A13" t="str">
            <v>1330</v>
          </cell>
          <cell r="B13" t="str">
            <v>RM- TINPLATE FOR LIGHT CLOSURE</v>
          </cell>
        </row>
        <row r="14">
          <cell r="A14" t="str">
            <v>1410</v>
          </cell>
          <cell r="B14" t="str">
            <v>RM- CHEMICALS - ZINC (BOM)</v>
          </cell>
        </row>
        <row r="15">
          <cell r="A15" t="str">
            <v>1420</v>
          </cell>
          <cell r="B15" t="str">
            <v>RM- CHEMICALS - PLATING (BOM)</v>
          </cell>
        </row>
        <row r="16">
          <cell r="A16" t="str">
            <v>1421</v>
          </cell>
          <cell r="B16" t="str">
            <v>RM- CHEMICALS - PLATING (OTHER THAN BOM)</v>
          </cell>
        </row>
        <row r="17">
          <cell r="A17" t="str">
            <v>1430</v>
          </cell>
          <cell r="B17" t="str">
            <v>RM- CHEMICALS - ETP (OTHER THAN BOM)</v>
          </cell>
        </row>
        <row r="18">
          <cell r="A18" t="str">
            <v>1440</v>
          </cell>
          <cell r="B18" t="str">
            <v>RM- CHEMICALS - RO (OTHER THAN BOM)</v>
          </cell>
        </row>
        <row r="19">
          <cell r="A19" t="str">
            <v>1450</v>
          </cell>
          <cell r="B19" t="str">
            <v>RM- CHEMICALS - LDO (OTHER THAN BOM)</v>
          </cell>
        </row>
        <row r="20">
          <cell r="A20" t="str">
            <v>1460</v>
          </cell>
          <cell r="B20" t="str">
            <v>RM- CHEMICALS - LAB (OTHER THAN BOM)</v>
          </cell>
        </row>
        <row r="21">
          <cell r="A21" t="str">
            <v>1510</v>
          </cell>
          <cell r="B21" t="str">
            <v>RM- GASKET - TUBES</v>
          </cell>
        </row>
        <row r="22">
          <cell r="A22" t="str">
            <v>1515</v>
          </cell>
          <cell r="B22" t="str">
            <v>RM- GASKET - CUT IMPORTED</v>
          </cell>
        </row>
        <row r="23">
          <cell r="A23" t="str">
            <v>1520</v>
          </cell>
          <cell r="B23" t="str">
            <v>RM- GASKET - CUT LOCAL</v>
          </cell>
        </row>
        <row r="24">
          <cell r="A24" t="str">
            <v>1610</v>
          </cell>
          <cell r="B24" t="str">
            <v>RM- ACCESSORIES LARGE DRUMS - NM</v>
          </cell>
        </row>
        <row r="25">
          <cell r="A25" t="str">
            <v>1611</v>
          </cell>
          <cell r="B25" t="str">
            <v>RM- ACCESSORIES LARGE DRUMS - OHD</v>
          </cell>
        </row>
        <row r="26">
          <cell r="A26" t="str">
            <v>1620</v>
          </cell>
          <cell r="B26" t="str">
            <v>RM- ACCESSORIES MEDIUM DRUMS - NM</v>
          </cell>
        </row>
        <row r="27">
          <cell r="A27" t="str">
            <v>1621</v>
          </cell>
          <cell r="B27" t="str">
            <v>RM- ACCESSORIES MEDIUM DRUMS - OHD</v>
          </cell>
        </row>
        <row r="28">
          <cell r="A28" t="str">
            <v>1622</v>
          </cell>
          <cell r="B28" t="str">
            <v>RM- ACCESSORIES MEDIUM DRUMS - WM</v>
          </cell>
        </row>
        <row r="29">
          <cell r="A29" t="str">
            <v>1630</v>
          </cell>
          <cell r="B29" t="str">
            <v>RM- ACCESSORIES SMALL DRUMS - NM</v>
          </cell>
        </row>
        <row r="30">
          <cell r="A30" t="str">
            <v>1631</v>
          </cell>
          <cell r="B30" t="str">
            <v>RM- ACCESSORIES SMALL DRUMS - WM</v>
          </cell>
        </row>
        <row r="31">
          <cell r="A31" t="str">
            <v>1632</v>
          </cell>
          <cell r="B31" t="str">
            <v>RM- ACCESSORIES SMALL CANS</v>
          </cell>
        </row>
        <row r="32">
          <cell r="A32" t="str">
            <v>1640</v>
          </cell>
          <cell r="B32" t="str">
            <v>RM- OTHER ACCESSORIES V20</v>
          </cell>
        </row>
        <row r="33">
          <cell r="A33" t="str">
            <v>1650</v>
          </cell>
          <cell r="B33" t="str">
            <v>RM- OTHER ACCESSORIES W200</v>
          </cell>
        </row>
        <row r="34">
          <cell r="A34" t="str">
            <v>1660</v>
          </cell>
          <cell r="B34" t="str">
            <v>RM - OTHER ACCESSORIES  PAIL</v>
          </cell>
        </row>
        <row r="35">
          <cell r="A35" t="str">
            <v>1670</v>
          </cell>
          <cell r="B35" t="str">
            <v>RM - OTHER ACCESSORIES BM</v>
          </cell>
        </row>
        <row r="36">
          <cell r="A36" t="str">
            <v>1675</v>
          </cell>
          <cell r="B36" t="str">
            <v>RM - PURCHASE+PROCESS</v>
          </cell>
        </row>
        <row r="37">
          <cell r="A37" t="str">
            <v>1710</v>
          </cell>
          <cell r="B37" t="str">
            <v>RM- OTHER - LOCAL</v>
          </cell>
        </row>
        <row r="38">
          <cell r="A38" t="str">
            <v>1715</v>
          </cell>
          <cell r="B38" t="str">
            <v>RM- OTHER - IMPORTED</v>
          </cell>
        </row>
        <row r="39">
          <cell r="A39" t="str">
            <v>1720</v>
          </cell>
          <cell r="B39" t="str">
            <v>RM- TOOL &amp; DIES</v>
          </cell>
        </row>
        <row r="40">
          <cell r="A40" t="str">
            <v>1810</v>
          </cell>
          <cell r="B40" t="str">
            <v>SC- PUNCHING SCRAP</v>
          </cell>
        </row>
        <row r="41">
          <cell r="A41" t="str">
            <v>1820</v>
          </cell>
          <cell r="B41" t="str">
            <v>SC- TURNING SCRAP</v>
          </cell>
        </row>
        <row r="42">
          <cell r="A42" t="str">
            <v>1830</v>
          </cell>
          <cell r="B42" t="str">
            <v>SC- CIRCLES 2"</v>
          </cell>
        </row>
        <row r="43">
          <cell r="A43" t="str">
            <v>1840</v>
          </cell>
          <cell r="B43" t="str">
            <v>SC- CIRCLES 3/4"</v>
          </cell>
        </row>
        <row r="44">
          <cell r="A44" t="str">
            <v>1850</v>
          </cell>
          <cell r="B44" t="str">
            <v>SC- CIRCLES 4"</v>
          </cell>
        </row>
        <row r="45">
          <cell r="A45" t="str">
            <v>1860</v>
          </cell>
          <cell r="B45" t="str">
            <v>SC - END COILS</v>
          </cell>
        </row>
        <row r="46">
          <cell r="A46" t="str">
            <v>1870</v>
          </cell>
          <cell r="B46" t="str">
            <v>SC - OTHERS</v>
          </cell>
        </row>
        <row r="47">
          <cell r="A47" t="str">
            <v>1905</v>
          </cell>
          <cell r="B47" t="str">
            <v>PM - PACKING (BOM)</v>
          </cell>
        </row>
        <row r="48">
          <cell r="A48" t="str">
            <v>1906</v>
          </cell>
          <cell r="B48" t="str">
            <v>PM - PACKING (OTHER THAN BOM)</v>
          </cell>
        </row>
        <row r="49">
          <cell r="A49" t="str">
            <v>1910</v>
          </cell>
          <cell r="B49" t="str">
            <v>PM - PALLETISING (BOM)</v>
          </cell>
        </row>
        <row r="50">
          <cell r="A50" t="str">
            <v>2010</v>
          </cell>
          <cell r="B50" t="str">
            <v>SS - FLANGE LINE</v>
          </cell>
        </row>
        <row r="51">
          <cell r="A51" t="str">
            <v>2015</v>
          </cell>
          <cell r="B51" t="str">
            <v>SS - PLUG LINE</v>
          </cell>
        </row>
        <row r="52">
          <cell r="A52" t="str">
            <v>2020</v>
          </cell>
          <cell r="B52" t="str">
            <v>SS - CAPSEAL LINE</v>
          </cell>
        </row>
        <row r="53">
          <cell r="A53" t="str">
            <v>2025</v>
          </cell>
          <cell r="B53" t="str">
            <v>SS - HARDWARE</v>
          </cell>
        </row>
        <row r="54">
          <cell r="A54" t="str">
            <v>2030</v>
          </cell>
          <cell r="B54" t="str">
            <v>SS - AI</v>
          </cell>
        </row>
        <row r="55">
          <cell r="A55" t="str">
            <v>2035</v>
          </cell>
          <cell r="B55" t="str">
            <v>SS - PLATING</v>
          </cell>
        </row>
        <row r="56">
          <cell r="A56" t="str">
            <v>2040</v>
          </cell>
          <cell r="B56" t="str">
            <v>SS - TOOL STEEL</v>
          </cell>
        </row>
        <row r="57">
          <cell r="A57" t="str">
            <v>2045</v>
          </cell>
          <cell r="B57" t="str">
            <v>SS - ELECTRICALS</v>
          </cell>
        </row>
        <row r="58">
          <cell r="A58" t="str">
            <v>2050</v>
          </cell>
          <cell r="B58" t="str">
            <v>SS - UTILITIES</v>
          </cell>
        </row>
        <row r="59">
          <cell r="A59" t="str">
            <v>2051</v>
          </cell>
          <cell r="B59" t="str">
            <v>SS - TOOLS &amp; DIES SALE (CAMEO)</v>
          </cell>
        </row>
        <row r="60">
          <cell r="A60" t="str">
            <v>2055</v>
          </cell>
          <cell r="B60" t="str">
            <v>SS - OTHERS</v>
          </cell>
        </row>
        <row r="61">
          <cell r="A61" t="str">
            <v>3105</v>
          </cell>
          <cell r="B61" t="str">
            <v>FG - FLANGES 2"</v>
          </cell>
        </row>
        <row r="62">
          <cell r="A62" t="str">
            <v>3110</v>
          </cell>
          <cell r="B62" t="str">
            <v>FG - FLANGES 3/4"</v>
          </cell>
        </row>
        <row r="63">
          <cell r="A63" t="str">
            <v>3115</v>
          </cell>
          <cell r="B63" t="str">
            <v>FG - PLUGS 2"</v>
          </cell>
        </row>
        <row r="64">
          <cell r="A64" t="str">
            <v>3120</v>
          </cell>
          <cell r="B64" t="str">
            <v>FG - PLUGS 3/4"</v>
          </cell>
        </row>
        <row r="65">
          <cell r="A65" t="str">
            <v>3125</v>
          </cell>
          <cell r="B65" t="str">
            <v>FG - CAPSEALS 2"</v>
          </cell>
        </row>
        <row r="66">
          <cell r="A66" t="str">
            <v>3130</v>
          </cell>
          <cell r="B66" t="str">
            <v>FG - CAPSEALS 3/4"</v>
          </cell>
        </row>
        <row r="67">
          <cell r="A67" t="str">
            <v>3135</v>
          </cell>
          <cell r="B67" t="str">
            <v>FG - LIGHT CLOSURES</v>
          </cell>
        </row>
        <row r="68">
          <cell r="A68" t="str">
            <v>3140</v>
          </cell>
          <cell r="B68" t="str">
            <v>FG - TAGRINGS 2"</v>
          </cell>
        </row>
        <row r="69">
          <cell r="A69" t="str">
            <v>3145</v>
          </cell>
          <cell r="B69" t="str">
            <v>FG - TAGRINGS 3/4"</v>
          </cell>
        </row>
        <row r="70">
          <cell r="A70" t="str">
            <v>3150</v>
          </cell>
          <cell r="B70" t="str">
            <v>FG - PAINT CAPS</v>
          </cell>
        </row>
        <row r="71">
          <cell r="A71" t="str">
            <v>3155</v>
          </cell>
          <cell r="B71" t="str">
            <v>FG - GASKETS</v>
          </cell>
        </row>
        <row r="72">
          <cell r="A72" t="str">
            <v>3160</v>
          </cell>
          <cell r="B72" t="str">
            <v>FG - SEALING TOOL</v>
          </cell>
        </row>
        <row r="73">
          <cell r="A73" t="str">
            <v>3165</v>
          </cell>
          <cell r="B73" t="str">
            <v>FG - DIES/ TOOL</v>
          </cell>
        </row>
        <row r="74">
          <cell r="A74" t="str">
            <v>3170</v>
          </cell>
          <cell r="B74" t="str">
            <v>FG - OTHERS</v>
          </cell>
        </row>
        <row r="75">
          <cell r="A75" t="str">
            <v>3300</v>
          </cell>
          <cell r="B75" t="str">
            <v>FG - VALEREX 20/25</v>
          </cell>
        </row>
        <row r="76">
          <cell r="A76" t="str">
            <v>3305</v>
          </cell>
          <cell r="B76" t="str">
            <v>FG - VALEREX 20/25 (8 ltrs)</v>
          </cell>
        </row>
        <row r="77">
          <cell r="A77" t="str">
            <v>3310</v>
          </cell>
          <cell r="B77" t="str">
            <v>FG - VALEREX 20/25 (10 ltrs)</v>
          </cell>
        </row>
        <row r="78">
          <cell r="A78" t="str">
            <v>3315</v>
          </cell>
          <cell r="B78" t="str">
            <v>FG - VALEREX 20/25 (12 ltrs)</v>
          </cell>
        </row>
        <row r="79">
          <cell r="A79" t="str">
            <v>3320</v>
          </cell>
          <cell r="B79" t="str">
            <v>FG - VALEREX 20/25 (15 ltrs)</v>
          </cell>
        </row>
        <row r="80">
          <cell r="A80" t="str">
            <v>3325</v>
          </cell>
          <cell r="B80" t="str">
            <v>FG - VALEREX 20/25 (18 ltrs)</v>
          </cell>
        </row>
        <row r="81">
          <cell r="A81" t="str">
            <v>3330</v>
          </cell>
          <cell r="B81" t="str">
            <v>FG - VALEREX 20/25 (20 ltrs)</v>
          </cell>
        </row>
        <row r="82">
          <cell r="A82" t="str">
            <v>3335</v>
          </cell>
          <cell r="B82" t="str">
            <v>FG - VALEREX 20/25 (23 ltrs)</v>
          </cell>
        </row>
        <row r="83">
          <cell r="A83" t="str">
            <v>3340</v>
          </cell>
          <cell r="B83" t="str">
            <v>FG - VALEREX 20/25 (25 ltrs)</v>
          </cell>
        </row>
        <row r="84">
          <cell r="A84" t="str">
            <v>3345</v>
          </cell>
          <cell r="B84" t="str">
            <v>FG - VALEREX 20/25 (27 LTRS)</v>
          </cell>
        </row>
        <row r="85">
          <cell r="A85" t="str">
            <v>4000</v>
          </cell>
          <cell r="B85" t="str">
            <v>FG - VALEREX 200/ 235 (NM)</v>
          </cell>
        </row>
        <row r="86">
          <cell r="A86" t="str">
            <v>4005</v>
          </cell>
          <cell r="B86" t="str">
            <v>FG - VALEREX 200</v>
          </cell>
        </row>
        <row r="87">
          <cell r="A87" t="str">
            <v>4010</v>
          </cell>
          <cell r="B87" t="str">
            <v>FG - VALEREX 210</v>
          </cell>
        </row>
        <row r="88">
          <cell r="A88" t="str">
            <v>4015</v>
          </cell>
          <cell r="B88" t="str">
            <v>FG - VALEREX 220</v>
          </cell>
        </row>
        <row r="89">
          <cell r="A89" t="str">
            <v>4020</v>
          </cell>
          <cell r="B89" t="str">
            <v>FG - VALEREX 235</v>
          </cell>
        </row>
        <row r="90">
          <cell r="A90" t="str">
            <v>4025</v>
          </cell>
          <cell r="B90" t="str">
            <v>FG - VALEREX 200/235 (OHD)</v>
          </cell>
        </row>
        <row r="91">
          <cell r="A91" t="str">
            <v>4030</v>
          </cell>
          <cell r="B91" t="str">
            <v>FG - VALEREX 200 (OHD)</v>
          </cell>
        </row>
        <row r="92">
          <cell r="A92" t="str">
            <v>4035</v>
          </cell>
          <cell r="B92" t="str">
            <v>FG - VALEREX 210 (OHD)</v>
          </cell>
        </row>
        <row r="93">
          <cell r="A93" t="str">
            <v>4040</v>
          </cell>
          <cell r="B93" t="str">
            <v>FG - VALEREX 220 (OHD)</v>
          </cell>
        </row>
        <row r="94">
          <cell r="A94" t="str">
            <v>4041</v>
          </cell>
          <cell r="B94" t="str">
            <v>FG - VALEREX 225 (OHD)</v>
          </cell>
        </row>
        <row r="95">
          <cell r="A95" t="str">
            <v>4045</v>
          </cell>
          <cell r="B95" t="str">
            <v>FG - VALEREX 235 (OHD)</v>
          </cell>
        </row>
        <row r="96">
          <cell r="A96" t="str">
            <v>5100</v>
          </cell>
          <cell r="B96" t="str">
            <v>FG - BM LARGE DRUMS (200-235 LTRS)</v>
          </cell>
        </row>
        <row r="97">
          <cell r="A97" t="str">
            <v>5105</v>
          </cell>
          <cell r="B97" t="str">
            <v>FG - BM LARGE DRUMS (200-235 LTRS) NM</v>
          </cell>
        </row>
        <row r="98">
          <cell r="A98" t="str">
            <v>5110</v>
          </cell>
          <cell r="B98" t="str">
            <v>FG - BM NM 200 LTRS</v>
          </cell>
        </row>
        <row r="99">
          <cell r="A99" t="str">
            <v>5115</v>
          </cell>
          <cell r="B99" t="str">
            <v>FG - BM NM 210 LTRS</v>
          </cell>
        </row>
        <row r="100">
          <cell r="A100" t="str">
            <v>5120</v>
          </cell>
          <cell r="B100" t="str">
            <v>FG - BM NM 235 LTRS</v>
          </cell>
        </row>
        <row r="101">
          <cell r="A101" t="str">
            <v>5125</v>
          </cell>
          <cell r="B101" t="str">
            <v>FG - BM LARGE DRUMS (200-235 LTRS) OHD</v>
          </cell>
        </row>
        <row r="102">
          <cell r="A102" t="str">
            <v>5130</v>
          </cell>
          <cell r="B102" t="str">
            <v>FG - BM OHD 200 LTRS</v>
          </cell>
        </row>
        <row r="103">
          <cell r="A103" t="str">
            <v>5135</v>
          </cell>
          <cell r="B103" t="str">
            <v>FG - BM OHD 210 LTRS</v>
          </cell>
        </row>
        <row r="104">
          <cell r="A104" t="str">
            <v>5140</v>
          </cell>
          <cell r="B104" t="str">
            <v>FG - BM OHD 235 LTRS</v>
          </cell>
        </row>
        <row r="105">
          <cell r="A105" t="str">
            <v>5200</v>
          </cell>
          <cell r="B105" t="str">
            <v>FG - BM LINERS</v>
          </cell>
        </row>
        <row r="106">
          <cell r="A106" t="str">
            <v>5311</v>
          </cell>
          <cell r="B106" t="str">
            <v>FG - BM NM 50 LTRS</v>
          </cell>
        </row>
        <row r="107">
          <cell r="A107" t="str">
            <v>5312</v>
          </cell>
          <cell r="B107" t="str">
            <v>FG - BM NM 60 LTRS</v>
          </cell>
        </row>
        <row r="108">
          <cell r="A108" t="str">
            <v>5313</v>
          </cell>
          <cell r="B108" t="str">
            <v>FG - BM NM 100 LTRS</v>
          </cell>
        </row>
        <row r="109">
          <cell r="A109" t="str">
            <v>5314</v>
          </cell>
          <cell r="B109" t="str">
            <v>FG - BM NM 120 LTRS</v>
          </cell>
        </row>
        <row r="110">
          <cell r="A110" t="str">
            <v>5320</v>
          </cell>
          <cell r="B110" t="str">
            <v>FG - BM WM 50 LTRS</v>
          </cell>
        </row>
        <row r="111">
          <cell r="A111" t="str">
            <v>5321</v>
          </cell>
          <cell r="B111" t="str">
            <v>FG - BM WM 60 LTRS</v>
          </cell>
        </row>
        <row r="112">
          <cell r="A112" t="str">
            <v>5322</v>
          </cell>
          <cell r="B112" t="str">
            <v>FG - BM WM 100 LTRS</v>
          </cell>
        </row>
        <row r="113">
          <cell r="A113" t="str">
            <v>5323</v>
          </cell>
          <cell r="B113" t="str">
            <v>FG - BM WM 120 LTRS</v>
          </cell>
        </row>
        <row r="114">
          <cell r="A114" t="str">
            <v>5330</v>
          </cell>
          <cell r="B114" t="str">
            <v>FG - BM OT 50 LTRS</v>
          </cell>
        </row>
        <row r="115">
          <cell r="A115" t="str">
            <v>5335</v>
          </cell>
          <cell r="B115" t="str">
            <v>FG - BM OT 60 LTRS</v>
          </cell>
        </row>
        <row r="116">
          <cell r="A116" t="str">
            <v>5340</v>
          </cell>
          <cell r="B116" t="str">
            <v>FG - BM OT 100 LTRS</v>
          </cell>
        </row>
        <row r="117">
          <cell r="A117" t="str">
            <v>5345</v>
          </cell>
          <cell r="B117" t="str">
            <v>FG - BM OT 120 LTRS</v>
          </cell>
        </row>
        <row r="118">
          <cell r="A118" t="str">
            <v>5400</v>
          </cell>
          <cell r="B118" t="str">
            <v>FG - BM NM 35 LTRS</v>
          </cell>
        </row>
        <row r="119">
          <cell r="A119" t="str">
            <v>5405</v>
          </cell>
          <cell r="B119" t="str">
            <v>FG - BM NM 27 LTRS</v>
          </cell>
        </row>
        <row r="120">
          <cell r="A120" t="str">
            <v>5410</v>
          </cell>
          <cell r="B120" t="str">
            <v>FG - BM NM 20 LTRS</v>
          </cell>
        </row>
        <row r="121">
          <cell r="A121" t="str">
            <v>5415</v>
          </cell>
          <cell r="B121" t="str">
            <v>FG - BM NM 5 LTRS</v>
          </cell>
        </row>
        <row r="122">
          <cell r="A122" t="str">
            <v>5420</v>
          </cell>
          <cell r="B122" t="str">
            <v>FG - BM NM 20 LTRS</v>
          </cell>
        </row>
        <row r="123">
          <cell r="A123" t="str">
            <v>5425</v>
          </cell>
          <cell r="B123" t="str">
            <v>FG - BM NM 23 LTRS</v>
          </cell>
        </row>
        <row r="124">
          <cell r="A124" t="str">
            <v>6005</v>
          </cell>
          <cell r="B124" t="str">
            <v>FG - SMARTPACK (HEAVY WT SP-1)</v>
          </cell>
        </row>
        <row r="125">
          <cell r="A125" t="str">
            <v>6015</v>
          </cell>
          <cell r="B125" t="str">
            <v>FG - SMARTPACK (SMALL WT SP-3)</v>
          </cell>
        </row>
        <row r="126">
          <cell r="A126" t="str">
            <v>7105</v>
          </cell>
          <cell r="B126" t="str">
            <v>WIP - FLANGES 2"</v>
          </cell>
        </row>
        <row r="127">
          <cell r="A127" t="str">
            <v>7110</v>
          </cell>
          <cell r="B127" t="str">
            <v>WIP - FLANGES 3/4"</v>
          </cell>
        </row>
        <row r="128">
          <cell r="A128" t="str">
            <v>7115</v>
          </cell>
          <cell r="B128" t="str">
            <v>WIP - PLUGS 2"</v>
          </cell>
        </row>
        <row r="129">
          <cell r="A129" t="str">
            <v>7120</v>
          </cell>
          <cell r="B129" t="str">
            <v>WIP - PLUGS 3/4"</v>
          </cell>
        </row>
        <row r="130">
          <cell r="A130" t="str">
            <v>7125</v>
          </cell>
          <cell r="B130" t="str">
            <v>WIP - CAPSEALS 2"</v>
          </cell>
        </row>
        <row r="131">
          <cell r="A131" t="str">
            <v>7130</v>
          </cell>
          <cell r="B131" t="str">
            <v>WIP - CAPSEALS 3/4"</v>
          </cell>
        </row>
        <row r="132">
          <cell r="A132" t="str">
            <v>7135</v>
          </cell>
          <cell r="B132" t="str">
            <v>WIP - LIGHT CLOSURES</v>
          </cell>
        </row>
        <row r="133">
          <cell r="A133" t="str">
            <v>7140</v>
          </cell>
          <cell r="B133" t="str">
            <v>WIP - TAGRINGS 2"</v>
          </cell>
        </row>
        <row r="134">
          <cell r="A134" t="str">
            <v>7145</v>
          </cell>
          <cell r="B134" t="str">
            <v>WIP - TAGRINGS 3/4"</v>
          </cell>
        </row>
        <row r="135">
          <cell r="A135" t="str">
            <v>7150</v>
          </cell>
          <cell r="B135" t="str">
            <v>WIP - PAINT CAPS</v>
          </cell>
        </row>
        <row r="136">
          <cell r="A136" t="str">
            <v>7155</v>
          </cell>
          <cell r="B136" t="str">
            <v>WIP - GASKETS</v>
          </cell>
        </row>
        <row r="137">
          <cell r="A137" t="str">
            <v>7160</v>
          </cell>
          <cell r="B137" t="str">
            <v>WIP - OTHERS</v>
          </cell>
        </row>
        <row r="138">
          <cell r="A138" t="str">
            <v>7165</v>
          </cell>
          <cell r="B138" t="str">
            <v>WIP - SCRAP</v>
          </cell>
        </row>
        <row r="139">
          <cell r="A139" t="str">
            <v>7200</v>
          </cell>
          <cell r="B139" t="str">
            <v>WIP - VALEREX 20/25 (8 ltrs)</v>
          </cell>
        </row>
        <row r="140">
          <cell r="A140" t="str">
            <v>7205</v>
          </cell>
          <cell r="B140" t="str">
            <v>WIP - VALEREX 20/25 (10 ltrs)</v>
          </cell>
        </row>
        <row r="141">
          <cell r="A141" t="str">
            <v>7210</v>
          </cell>
          <cell r="B141" t="str">
            <v>WIP - VALEREX 20/25 (12 ltrs)</v>
          </cell>
        </row>
        <row r="142">
          <cell r="A142" t="str">
            <v>7215</v>
          </cell>
          <cell r="B142" t="str">
            <v>WIP - VALEREX 20/25 (15 ltrs)</v>
          </cell>
        </row>
        <row r="143">
          <cell r="A143" t="str">
            <v>7220</v>
          </cell>
          <cell r="B143" t="str">
            <v>WIP - VALEREX 20/25 (18 ltrs)</v>
          </cell>
        </row>
        <row r="144">
          <cell r="A144" t="str">
            <v>7225</v>
          </cell>
          <cell r="B144" t="str">
            <v>WIP - VALEREX 20/25 (20 ltrs)</v>
          </cell>
        </row>
        <row r="145">
          <cell r="A145" t="str">
            <v>7230</v>
          </cell>
          <cell r="B145" t="str">
            <v>WIP - VALEREX 20/25 (23 ltrs)</v>
          </cell>
        </row>
        <row r="146">
          <cell r="A146" t="str">
            <v>7235</v>
          </cell>
          <cell r="B146" t="str">
            <v>WIP - VALEREX 20/25 (25 ltrs)</v>
          </cell>
        </row>
        <row r="147">
          <cell r="A147" t="str">
            <v>7240</v>
          </cell>
          <cell r="B147" t="str">
            <v>WIP- V-20 REGRIND MATL.</v>
          </cell>
        </row>
        <row r="148">
          <cell r="A148" t="str">
            <v>7245</v>
          </cell>
          <cell r="B148" t="str">
            <v>WIP - V-20 TOP/ BASE</v>
          </cell>
        </row>
        <row r="149">
          <cell r="A149" t="str">
            <v>7300</v>
          </cell>
          <cell r="B149" t="str">
            <v>WIP - VALEREX 200/ 235</v>
          </cell>
        </row>
        <row r="150">
          <cell r="A150" t="str">
            <v>7305</v>
          </cell>
          <cell r="B150" t="str">
            <v>WIP - VALEREX 200</v>
          </cell>
        </row>
        <row r="151">
          <cell r="A151" t="str">
            <v>7310</v>
          </cell>
          <cell r="B151" t="str">
            <v>WIP - VALEREX 210</v>
          </cell>
        </row>
        <row r="152">
          <cell r="A152" t="str">
            <v>7315</v>
          </cell>
          <cell r="B152" t="str">
            <v>WIP - VALEREX 220</v>
          </cell>
        </row>
        <row r="153">
          <cell r="A153" t="str">
            <v>7320</v>
          </cell>
          <cell r="B153" t="str">
            <v>WIP - VALEREX 235</v>
          </cell>
        </row>
        <row r="154">
          <cell r="A154" t="str">
            <v>7325</v>
          </cell>
          <cell r="B154" t="str">
            <v>WIP - V- 200 TOP/ BOTTOM</v>
          </cell>
        </row>
        <row r="155">
          <cell r="A155" t="str">
            <v>7330</v>
          </cell>
          <cell r="B155" t="str">
            <v>WIP - V - 200 TUBE</v>
          </cell>
        </row>
        <row r="156">
          <cell r="A156" t="str">
            <v>7335</v>
          </cell>
          <cell r="B156" t="str">
            <v>WIP - VALEREX 200/235 (OHD)</v>
          </cell>
        </row>
        <row r="157">
          <cell r="A157" t="str">
            <v>7340</v>
          </cell>
          <cell r="B157" t="str">
            <v>WIP - VALEREX 200 (OHD)</v>
          </cell>
        </row>
        <row r="158">
          <cell r="A158" t="str">
            <v>7345</v>
          </cell>
          <cell r="B158" t="str">
            <v>WIP - VALEREX 210 (OHD)</v>
          </cell>
        </row>
        <row r="159">
          <cell r="A159" t="str">
            <v>7350</v>
          </cell>
          <cell r="B159" t="str">
            <v>WIP - VALEREX 220 (OHD)</v>
          </cell>
        </row>
        <row r="160">
          <cell r="A160" t="str">
            <v>7355</v>
          </cell>
          <cell r="B160" t="str">
            <v>WIP - VALEREX 235 (OHD)</v>
          </cell>
        </row>
        <row r="161">
          <cell r="A161" t="str">
            <v>7360</v>
          </cell>
          <cell r="B161">
            <v>0</v>
          </cell>
        </row>
        <row r="162">
          <cell r="A162" t="str">
            <v>7411</v>
          </cell>
          <cell r="B162" t="str">
            <v>WIP - BM REGRIND (COMMON)</v>
          </cell>
        </row>
        <row r="163">
          <cell r="A163" t="str">
            <v>7412</v>
          </cell>
          <cell r="B163" t="str">
            <v>WIP - BM NM 210 LTRS</v>
          </cell>
        </row>
        <row r="164">
          <cell r="A164" t="str">
            <v>7413</v>
          </cell>
          <cell r="B164" t="str">
            <v>WIP - BM NM 235 LTRS</v>
          </cell>
        </row>
        <row r="165">
          <cell r="A165" t="str">
            <v>7421</v>
          </cell>
          <cell r="B165" t="str">
            <v>WIP - BM OHD 200 LTRS</v>
          </cell>
        </row>
        <row r="166">
          <cell r="A166" t="str">
            <v>7422</v>
          </cell>
          <cell r="B166" t="str">
            <v>WIP - BM OHD 210 LTRS</v>
          </cell>
        </row>
        <row r="167">
          <cell r="A167" t="str">
            <v>7423</v>
          </cell>
          <cell r="B167" t="str">
            <v>WIP - BM OHD 235 LTRS</v>
          </cell>
        </row>
        <row r="168">
          <cell r="A168" t="str">
            <v>7430</v>
          </cell>
          <cell r="B168" t="str">
            <v>WIP - BM LINERS</v>
          </cell>
        </row>
        <row r="169">
          <cell r="A169" t="str">
            <v>7511</v>
          </cell>
          <cell r="B169" t="str">
            <v>WIP - BM NM 50 LTRS</v>
          </cell>
        </row>
        <row r="170">
          <cell r="A170" t="str">
            <v>7512</v>
          </cell>
          <cell r="B170" t="str">
            <v>WIP - BM NM 60 LTRS</v>
          </cell>
        </row>
        <row r="171">
          <cell r="A171" t="str">
            <v>7513</v>
          </cell>
          <cell r="B171" t="str">
            <v>WIP - BM NM 100 LTRS</v>
          </cell>
        </row>
        <row r="172">
          <cell r="A172" t="str">
            <v>7514</v>
          </cell>
          <cell r="B172" t="str">
            <v>WIP - BM NM 120 LTRS</v>
          </cell>
        </row>
        <row r="173">
          <cell r="A173" t="str">
            <v>7521</v>
          </cell>
          <cell r="B173" t="str">
            <v>WIP - BM WM 50 LTRS</v>
          </cell>
        </row>
        <row r="174">
          <cell r="A174" t="str">
            <v>7522</v>
          </cell>
          <cell r="B174" t="str">
            <v>WIP - BM WM 60 LTRS</v>
          </cell>
        </row>
        <row r="175">
          <cell r="A175" t="str">
            <v>7523</v>
          </cell>
          <cell r="B175" t="str">
            <v>WIP - BM WM 100 LTRS</v>
          </cell>
        </row>
        <row r="176">
          <cell r="A176" t="str">
            <v>7524</v>
          </cell>
          <cell r="B176" t="str">
            <v>WIP - BM WM 120 LTRS</v>
          </cell>
        </row>
        <row r="177">
          <cell r="A177" t="str">
            <v>7530</v>
          </cell>
          <cell r="B177" t="str">
            <v>WIP - BM OT 50 LTRS</v>
          </cell>
        </row>
        <row r="178">
          <cell r="A178" t="str">
            <v>7531</v>
          </cell>
          <cell r="B178" t="str">
            <v>WIP - BM OT 60 LTRS</v>
          </cell>
        </row>
        <row r="179">
          <cell r="A179" t="str">
            <v>7532</v>
          </cell>
          <cell r="B179" t="str">
            <v>WIP - BM OT 100 LTRS</v>
          </cell>
        </row>
        <row r="180">
          <cell r="A180" t="str">
            <v>7533</v>
          </cell>
          <cell r="B180" t="str">
            <v>WIP - BM OT 120 LTRS</v>
          </cell>
        </row>
        <row r="181">
          <cell r="A181" t="str">
            <v>7601</v>
          </cell>
          <cell r="B181" t="str">
            <v>WIP - BM NM 35 LTRS</v>
          </cell>
        </row>
        <row r="182">
          <cell r="A182" t="str">
            <v>7602</v>
          </cell>
          <cell r="B182" t="str">
            <v>WIP - BM NM 27 LTRS</v>
          </cell>
        </row>
        <row r="183">
          <cell r="A183" t="str">
            <v>7603</v>
          </cell>
          <cell r="B183" t="str">
            <v>WIP - BM NM 20 LTRS</v>
          </cell>
        </row>
        <row r="184">
          <cell r="A184" t="str">
            <v>7604</v>
          </cell>
          <cell r="B184" t="str">
            <v>WIP - BM NM 5 LTRS</v>
          </cell>
        </row>
        <row r="185">
          <cell r="A185" t="str">
            <v>7605</v>
          </cell>
          <cell r="B185" t="str">
            <v>WIP - BM SMALL CANS (5 LTRS)</v>
          </cell>
        </row>
        <row r="186">
          <cell r="A186" t="str">
            <v>7701</v>
          </cell>
          <cell r="B186" t="str">
            <v>WIP - SMARTPACK (HEAVY WT SP-1)</v>
          </cell>
        </row>
        <row r="187">
          <cell r="A187" t="str">
            <v>7702</v>
          </cell>
          <cell r="B187" t="str">
            <v>WIP - SMARTPACK (LIGHT WT SP-2)</v>
          </cell>
        </row>
        <row r="188">
          <cell r="A188" t="str">
            <v>7703</v>
          </cell>
          <cell r="B188" t="str">
            <v>WIP - SMARTPACK (SMALL WT SP-3)</v>
          </cell>
        </row>
        <row r="189">
          <cell r="A189" t="str">
            <v>7704</v>
          </cell>
          <cell r="B189" t="str">
            <v>WIP - NAMPAC (HEAVY WT SP-1)</v>
          </cell>
        </row>
        <row r="190">
          <cell r="A190" t="str">
            <v>8000</v>
          </cell>
          <cell r="B190" t="str">
            <v>CWIP</v>
          </cell>
        </row>
        <row r="191">
          <cell r="A191" t="str">
            <v>8010</v>
          </cell>
          <cell r="B191" t="str">
            <v>CWIP-PLANT &amp; MACHINERY</v>
          </cell>
        </row>
        <row r="192">
          <cell r="A192" t="str">
            <v>8020</v>
          </cell>
          <cell r="B192" t="str">
            <v>CWIP- OTHER ASSETS</v>
          </cell>
        </row>
        <row r="193">
          <cell r="A193" t="str">
            <v>8030</v>
          </cell>
          <cell r="B193" t="str">
            <v>SYSTEM EXPENSES</v>
          </cell>
        </row>
        <row r="194">
          <cell r="A194" t="str">
            <v>9100</v>
          </cell>
          <cell r="B194" t="str">
            <v>SERVICE CHARGES FOR V20 HANDLE</v>
          </cell>
        </row>
        <row r="195">
          <cell r="A195" t="str">
            <v>9105</v>
          </cell>
          <cell r="B195" t="str">
            <v>SERVICE CHARGES FOR DIN PLUG</v>
          </cell>
        </row>
        <row r="196">
          <cell r="A196" t="str">
            <v>9110</v>
          </cell>
          <cell r="B196" t="str">
            <v>REPAIRS TO MACHINES (SERVICE)</v>
          </cell>
        </row>
        <row r="197">
          <cell r="A197" t="str">
            <v>9210</v>
          </cell>
          <cell r="B197" t="str">
            <v>EX-PROFESSIONAL EXPENSES</v>
          </cell>
        </row>
        <row r="198">
          <cell r="A198" t="str">
            <v>9215</v>
          </cell>
          <cell r="B198" t="str">
            <v>EX-WELFARE EXPENSES WORKERS</v>
          </cell>
        </row>
        <row r="199">
          <cell r="A199" t="str">
            <v>9220</v>
          </cell>
          <cell r="B199" t="str">
            <v>REPAIRS TO BUILDING (SERVICE)</v>
          </cell>
        </row>
        <row r="200">
          <cell r="A200" t="str">
            <v>9225</v>
          </cell>
          <cell r="B200" t="str">
            <v>TRAINING &amp; CONFERANCE</v>
          </cell>
        </row>
      </sheetData>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fo"/>
      <sheetName val="Validations"/>
      <sheetName val="BS"/>
      <sheetName val="PL"/>
      <sheetName val="Cash Flow"/>
      <sheetName val="1,2,2.1"/>
      <sheetName val="3"/>
      <sheetName val="BS_Drop Down"/>
      <sheetName val="PL_Dropdown"/>
      <sheetName val="FAR"/>
      <sheetName val="OAR Sheet"/>
      <sheetName val="JV Sheet"/>
      <sheetName val="4,5,6,7,8,9,10,11"/>
      <sheetName val="11.1"/>
      <sheetName val="15,16,17,18"/>
      <sheetName val="19,20,21,22"/>
      <sheetName val="23,24,25,26"/>
    </sheetNames>
    <sheetDataSet>
      <sheetData sheetId="0"/>
      <sheetData sheetId="1"/>
      <sheetData sheetId="2">
        <row r="28">
          <cell r="C28">
            <v>573494435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9">
          <cell r="C69">
            <v>49109216</v>
          </cell>
        </row>
      </sheetData>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M&amp;Admin"/>
      <sheetName val="Accounts"/>
      <sheetName val="Cash flow"/>
      <sheetName val="Equity"/>
      <sheetName val="Investments"/>
      <sheetName val="Notes"/>
      <sheetName val="Int."/>
      <sheetName val="profit reco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25"/>
      <sheetName val="Sheet4"/>
      <sheetName val="PLAN_FEB97"/>
      <sheetName val="S2groupcode"/>
      <sheetName val="Index"/>
      <sheetName val="준검 내역서"/>
      <sheetName val="Embk top (2)"/>
      <sheetName val="profit reco (2)"/>
      <sheetName val="Model"/>
      <sheetName val="fa"/>
      <sheetName val="maing1"/>
      <sheetName val="basdat"/>
    </sheetNames>
    <sheetDataSet>
      <sheetData sheetId="0" refreshError="1"/>
      <sheetData sheetId="1" refreshError="1"/>
      <sheetData sheetId="2" refreshError="1">
        <row r="2">
          <cell r="A2">
            <v>100000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stimate"/>
      <sheetName val="Financials -Jan 03-Mar04"/>
    </sheetNames>
    <sheetDataSet>
      <sheetData sheetId="0" refreshError="1">
        <row r="2">
          <cell r="A2" t="str">
            <v>CHHQOUGM001</v>
          </cell>
        </row>
        <row r="3">
          <cell r="A3" t="str">
            <v>SIELMLE7004</v>
          </cell>
        </row>
        <row r="4">
          <cell r="A4" t="str">
            <v>CHHQOUGM002</v>
          </cell>
        </row>
        <row r="5">
          <cell r="A5" t="str">
            <v>CHHQMSMS001</v>
          </cell>
        </row>
        <row r="6">
          <cell r="A6" t="str">
            <v>SIELAUAL001</v>
          </cell>
        </row>
        <row r="7">
          <cell r="A7" t="str">
            <v>SIELAUAL002</v>
          </cell>
        </row>
        <row r="8">
          <cell r="A8" t="str">
            <v>SIELAUAL003</v>
          </cell>
        </row>
        <row r="9">
          <cell r="A9" t="str">
            <v>SIELAUAL004</v>
          </cell>
        </row>
        <row r="10">
          <cell r="A10" t="str">
            <v>SIELAUAL005</v>
          </cell>
        </row>
        <row r="11">
          <cell r="A11" t="str">
            <v>SIELAUAL006</v>
          </cell>
        </row>
        <row r="12">
          <cell r="A12" t="str">
            <v>SIELAUAL007</v>
          </cell>
        </row>
        <row r="13">
          <cell r="A13" t="str">
            <v>SIELAUAL008</v>
          </cell>
        </row>
        <row r="14">
          <cell r="A14" t="str">
            <v>SIELAUAL009</v>
          </cell>
        </row>
        <row r="15">
          <cell r="A15" t="str">
            <v>SIELAUAL010</v>
          </cell>
        </row>
        <row r="16">
          <cell r="A16" t="str">
            <v>SIELAUAL011</v>
          </cell>
        </row>
        <row r="17">
          <cell r="A17" t="str">
            <v>SIELAUAL012</v>
          </cell>
        </row>
        <row r="18">
          <cell r="A18" t="str">
            <v>SIELAUAL013</v>
          </cell>
        </row>
        <row r="19">
          <cell r="A19" t="str">
            <v>SIELNOFT001</v>
          </cell>
        </row>
        <row r="20">
          <cell r="A20" t="str">
            <v>SIELITAL001</v>
          </cell>
        </row>
        <row r="21">
          <cell r="A21" t="str">
            <v>SIELMLC1001</v>
          </cell>
        </row>
        <row r="22">
          <cell r="A22" t="str">
            <v>SIELMLC1002</v>
          </cell>
        </row>
        <row r="23">
          <cell r="A23" t="str">
            <v>SIELMLC1003</v>
          </cell>
        </row>
        <row r="24">
          <cell r="A24" t="str">
            <v>SIELMLC1004</v>
          </cell>
        </row>
        <row r="25">
          <cell r="A25" t="str">
            <v>SIELMLC1005</v>
          </cell>
        </row>
        <row r="26">
          <cell r="A26" t="str">
            <v>SIELMLC1006</v>
          </cell>
        </row>
        <row r="27">
          <cell r="A27" t="str">
            <v>SIELMLC1007</v>
          </cell>
        </row>
        <row r="28">
          <cell r="A28" t="str">
            <v>SIELMLOU001</v>
          </cell>
        </row>
        <row r="29">
          <cell r="A29" t="str">
            <v>SIELMLOU002</v>
          </cell>
        </row>
        <row r="30">
          <cell r="A30" t="str">
            <v>SIELMLOU003</v>
          </cell>
        </row>
        <row r="31">
          <cell r="A31" t="str">
            <v>SIELMLOU004</v>
          </cell>
        </row>
        <row r="32">
          <cell r="A32" t="str">
            <v>SIELMLOU005</v>
          </cell>
        </row>
        <row r="33">
          <cell r="A33" t="str">
            <v>SIELMLOU006</v>
          </cell>
        </row>
        <row r="34">
          <cell r="A34" t="str">
            <v>SIELMLOU007</v>
          </cell>
        </row>
        <row r="35">
          <cell r="A35" t="str">
            <v>SIELMLOU008</v>
          </cell>
        </row>
        <row r="36">
          <cell r="A36" t="str">
            <v>SIELMOAL001</v>
          </cell>
        </row>
        <row r="37">
          <cell r="A37" t="str">
            <v>SIELMOAL002</v>
          </cell>
        </row>
        <row r="38">
          <cell r="A38" t="str">
            <v>SIELMOAL003</v>
          </cell>
        </row>
        <row r="39">
          <cell r="A39" t="str">
            <v>SIELMOAL004</v>
          </cell>
        </row>
        <row r="40">
          <cell r="A40" t="str">
            <v>SIELMOAL005</v>
          </cell>
        </row>
        <row r="41">
          <cell r="A41" t="str">
            <v>SIELMOAL006</v>
          </cell>
        </row>
        <row r="42">
          <cell r="A42" t="str">
            <v>SIELMOAL007</v>
          </cell>
        </row>
        <row r="43">
          <cell r="A43" t="str">
            <v>SIELMOAL008</v>
          </cell>
        </row>
        <row r="44">
          <cell r="A44" t="str">
            <v>SIELMOMB001</v>
          </cell>
        </row>
        <row r="45">
          <cell r="A45" t="str">
            <v>SIELMOMB002</v>
          </cell>
        </row>
        <row r="46">
          <cell r="A46" t="str">
            <v>SIELMOMB003</v>
          </cell>
        </row>
        <row r="47">
          <cell r="A47" t="str">
            <v>SIELMOMB004</v>
          </cell>
        </row>
        <row r="48">
          <cell r="A48" t="str">
            <v>SIELMOMB006</v>
          </cell>
        </row>
        <row r="49">
          <cell r="A49" t="str">
            <v>SIELMOMB007</v>
          </cell>
        </row>
        <row r="50">
          <cell r="A50" t="str">
            <v>SIELMOMB008</v>
          </cell>
        </row>
        <row r="51">
          <cell r="A51" t="str">
            <v>SIELMOMB009</v>
          </cell>
        </row>
        <row r="52">
          <cell r="A52" t="str">
            <v>SIELMOMB010</v>
          </cell>
        </row>
        <row r="53">
          <cell r="A53" t="str">
            <v>SIELMOMB011</v>
          </cell>
        </row>
        <row r="54">
          <cell r="A54" t="str">
            <v>SIELMOMB012</v>
          </cell>
        </row>
        <row r="55">
          <cell r="A55" t="str">
            <v>SIELMOMB013</v>
          </cell>
        </row>
        <row r="56">
          <cell r="A56" t="str">
            <v>SIELMOMB014</v>
          </cell>
        </row>
        <row r="57">
          <cell r="A57" t="str">
            <v>SIELMOMB015</v>
          </cell>
        </row>
        <row r="58">
          <cell r="A58" t="str">
            <v>SIELMOOU001</v>
          </cell>
        </row>
        <row r="59">
          <cell r="A59" t="str">
            <v>SIELSSKJ001</v>
          </cell>
        </row>
        <row r="60">
          <cell r="A60" t="str">
            <v>SIELSSKJ002</v>
          </cell>
        </row>
        <row r="61">
          <cell r="A61" t="str">
            <v>TRITALCO001</v>
          </cell>
        </row>
        <row r="62">
          <cell r="A62" t="str">
            <v>SIELMLC1008</v>
          </cell>
        </row>
        <row r="63">
          <cell r="A63" t="str">
            <v>SIELMLC1009</v>
          </cell>
        </row>
        <row r="64">
          <cell r="A64" t="str">
            <v>SIELMLC1010</v>
          </cell>
        </row>
        <row r="65">
          <cell r="A65" t="str">
            <v>SIELMLC1011</v>
          </cell>
        </row>
        <row r="66">
          <cell r="A66" t="str">
            <v>SIELMLC1012</v>
          </cell>
        </row>
        <row r="67">
          <cell r="A67" t="str">
            <v>SIELMLC1013</v>
          </cell>
        </row>
        <row r="68">
          <cell r="A68" t="str">
            <v>TRITALCO002</v>
          </cell>
        </row>
        <row r="69">
          <cell r="A69" t="str">
            <v>SIELAUAL014</v>
          </cell>
        </row>
        <row r="70">
          <cell r="A70" t="str">
            <v>SIELAUAL015</v>
          </cell>
        </row>
        <row r="71">
          <cell r="A71" t="str">
            <v>SIELMLC1014</v>
          </cell>
        </row>
        <row r="72">
          <cell r="A72" t="str">
            <v>SIELMLC1015</v>
          </cell>
        </row>
        <row r="73">
          <cell r="A73" t="str">
            <v>SIELMOMB016</v>
          </cell>
        </row>
        <row r="74">
          <cell r="A74" t="str">
            <v>SIELMLOU009</v>
          </cell>
        </row>
        <row r="75">
          <cell r="A75" t="str">
            <v>SIELMLOU010</v>
          </cell>
        </row>
        <row r="76">
          <cell r="A76" t="str">
            <v>SIELMLOU011</v>
          </cell>
        </row>
        <row r="77">
          <cell r="A77" t="str">
            <v>SIELMLOU012</v>
          </cell>
        </row>
        <row r="78">
          <cell r="A78" t="str">
            <v>SIELMLOU013</v>
          </cell>
        </row>
        <row r="79">
          <cell r="A79" t="str">
            <v>SIELMLOU014</v>
          </cell>
        </row>
        <row r="80">
          <cell r="A80" t="str">
            <v>SIELMLOU015</v>
          </cell>
        </row>
        <row r="81">
          <cell r="A81" t="str">
            <v>SIELMOMB017</v>
          </cell>
        </row>
        <row r="82">
          <cell r="A82" t="str">
            <v>SIELRFCO001</v>
          </cell>
        </row>
        <row r="83">
          <cell r="A83" t="str">
            <v>SIELRFCO002</v>
          </cell>
        </row>
        <row r="84">
          <cell r="A84" t="str">
            <v>SIELAUAL016</v>
          </cell>
        </row>
        <row r="85">
          <cell r="A85" t="str">
            <v>SIELALEX001</v>
          </cell>
        </row>
        <row r="86">
          <cell r="A86" t="str">
            <v>PORTMLAL001</v>
          </cell>
        </row>
        <row r="87">
          <cell r="A87" t="str">
            <v>OGMAMLAL001</v>
          </cell>
        </row>
        <row r="88">
          <cell r="A88" t="str">
            <v>MUDRCOAL001</v>
          </cell>
        </row>
        <row r="89">
          <cell r="A89" t="str">
            <v>MUDRCOAL002</v>
          </cell>
        </row>
        <row r="90">
          <cell r="A90" t="str">
            <v>MUDRCOAL003</v>
          </cell>
        </row>
        <row r="91">
          <cell r="A91" t="str">
            <v>TRITALCO003</v>
          </cell>
        </row>
        <row r="92">
          <cell r="A92" t="str">
            <v>SIELMLC1016</v>
          </cell>
        </row>
        <row r="93">
          <cell r="A93" t="str">
            <v>SIELAUAL017</v>
          </cell>
        </row>
        <row r="94">
          <cell r="A94" t="str">
            <v>SIELCRAL001</v>
          </cell>
        </row>
        <row r="95">
          <cell r="A95" t="str">
            <v>SIELMLC1017</v>
          </cell>
        </row>
        <row r="96">
          <cell r="A96" t="str">
            <v>SIELMLC1018</v>
          </cell>
        </row>
        <row r="97">
          <cell r="A97" t="str">
            <v>SIELMOMB018</v>
          </cell>
        </row>
        <row r="98">
          <cell r="A98" t="str">
            <v>SIELMOMB019</v>
          </cell>
        </row>
        <row r="99">
          <cell r="A99" t="str">
            <v>SIELMLOU016</v>
          </cell>
        </row>
        <row r="100">
          <cell r="A100" t="str">
            <v>SIELCDAL001</v>
          </cell>
        </row>
        <row r="101">
          <cell r="A101" t="str">
            <v>SIELCDAL002</v>
          </cell>
        </row>
        <row r="102">
          <cell r="A102" t="str">
            <v>SIELMLAL001</v>
          </cell>
        </row>
        <row r="103">
          <cell r="A103" t="str">
            <v>SIELMOMB020</v>
          </cell>
        </row>
        <row r="104">
          <cell r="A104" t="str">
            <v>SIELMLC1019</v>
          </cell>
        </row>
        <row r="105">
          <cell r="A105" t="str">
            <v>SIELMLC1020</v>
          </cell>
        </row>
        <row r="106">
          <cell r="A106" t="str">
            <v>SIELMLC1021</v>
          </cell>
        </row>
        <row r="107">
          <cell r="A107" t="str">
            <v>CHHQCDML001</v>
          </cell>
        </row>
        <row r="108">
          <cell r="A108" t="str">
            <v>CHHQCDML002</v>
          </cell>
        </row>
        <row r="109">
          <cell r="A109" t="str">
            <v>CHHQCDML003</v>
          </cell>
        </row>
        <row r="110">
          <cell r="A110" t="str">
            <v>CHHQCDML004</v>
          </cell>
        </row>
        <row r="111">
          <cell r="A111" t="str">
            <v>SIELMOMB021</v>
          </cell>
        </row>
        <row r="112">
          <cell r="A112" t="str">
            <v>SIELCDAL003</v>
          </cell>
        </row>
        <row r="113">
          <cell r="A113" t="str">
            <v>SIELMLOU017</v>
          </cell>
        </row>
        <row r="114">
          <cell r="A114" t="str">
            <v>SIELMLC1022</v>
          </cell>
        </row>
        <row r="115">
          <cell r="A115" t="str">
            <v>SIELMOOU002</v>
          </cell>
        </row>
        <row r="116">
          <cell r="A116" t="str">
            <v>SIELMOMB022</v>
          </cell>
        </row>
        <row r="117">
          <cell r="A117" t="str">
            <v>SIELMLC1023</v>
          </cell>
        </row>
        <row r="118">
          <cell r="A118" t="str">
            <v>SIELMLC1024</v>
          </cell>
        </row>
        <row r="119">
          <cell r="A119" t="str">
            <v>CHHQINCN001</v>
          </cell>
        </row>
        <row r="120">
          <cell r="A120" t="str">
            <v>SIELCDAL004</v>
          </cell>
        </row>
        <row r="121">
          <cell r="A121" t="str">
            <v>SIELCDAL005</v>
          </cell>
        </row>
        <row r="122">
          <cell r="A122" t="str">
            <v>SIELRFCO003</v>
          </cell>
        </row>
        <row r="123">
          <cell r="A123" t="str">
            <v>SIELMLC1025</v>
          </cell>
        </row>
        <row r="124">
          <cell r="A124" t="str">
            <v>SIELMLE7001</v>
          </cell>
        </row>
        <row r="125">
          <cell r="A125" t="str">
            <v>SIELMOAL009</v>
          </cell>
        </row>
        <row r="126">
          <cell r="A126" t="str">
            <v>SIELCDAL006</v>
          </cell>
        </row>
        <row r="127">
          <cell r="A127" t="str">
            <v>SIELCDAL007</v>
          </cell>
        </row>
        <row r="128">
          <cell r="A128" t="str">
            <v>SIELMLOU018</v>
          </cell>
        </row>
        <row r="129">
          <cell r="A129" t="str">
            <v>SIELMLOU019</v>
          </cell>
        </row>
        <row r="130">
          <cell r="A130" t="str">
            <v>SIELMLAL002</v>
          </cell>
        </row>
        <row r="131">
          <cell r="A131" t="str">
            <v>SIELMLAL003</v>
          </cell>
        </row>
        <row r="132">
          <cell r="A132" t="str">
            <v>SIELCRAL002</v>
          </cell>
        </row>
        <row r="133">
          <cell r="A133" t="str">
            <v>SIELMLGS001</v>
          </cell>
        </row>
        <row r="134">
          <cell r="A134" t="str">
            <v>SIELMLGS002</v>
          </cell>
        </row>
        <row r="135">
          <cell r="A135" t="str">
            <v>SIELMLGS003</v>
          </cell>
        </row>
        <row r="136">
          <cell r="A136" t="str">
            <v>SIELMLGS004</v>
          </cell>
        </row>
        <row r="137">
          <cell r="A137" t="str">
            <v>SIELMLGS005</v>
          </cell>
        </row>
        <row r="138">
          <cell r="A138" t="str">
            <v>SIELMLGS006</v>
          </cell>
        </row>
        <row r="139">
          <cell r="A139" t="str">
            <v>SIELMLGS007</v>
          </cell>
        </row>
        <row r="140">
          <cell r="A140" t="str">
            <v>SAPLMLGS001</v>
          </cell>
        </row>
        <row r="141">
          <cell r="A141" t="str">
            <v>SIELGRWM001</v>
          </cell>
        </row>
        <row r="142">
          <cell r="A142" t="str">
            <v>SIELMLC1026</v>
          </cell>
        </row>
        <row r="143">
          <cell r="A143" t="str">
            <v>SIELLPAL001</v>
          </cell>
        </row>
        <row r="144">
          <cell r="A144" t="str">
            <v>SECLMLAL001</v>
          </cell>
        </row>
        <row r="145">
          <cell r="A145" t="str">
            <v>SECLMLAL002</v>
          </cell>
        </row>
        <row r="146">
          <cell r="A146" t="str">
            <v>SECLMLAL003</v>
          </cell>
        </row>
        <row r="147">
          <cell r="A147" t="str">
            <v>SECLMLAL004</v>
          </cell>
        </row>
        <row r="148">
          <cell r="A148" t="str">
            <v>CHHQCDML005</v>
          </cell>
        </row>
        <row r="149">
          <cell r="A149" t="str">
            <v>SIELAUAL018</v>
          </cell>
        </row>
        <row r="150">
          <cell r="A150" t="str">
            <v>MUDRCOAL004</v>
          </cell>
        </row>
        <row r="151">
          <cell r="A151" t="str">
            <v>MUDRCOAL005</v>
          </cell>
        </row>
        <row r="152">
          <cell r="A152" t="str">
            <v>SIELLPAL002</v>
          </cell>
        </row>
        <row r="153">
          <cell r="A153" t="str">
            <v>SIELMLAL004</v>
          </cell>
        </row>
        <row r="154">
          <cell r="A154" t="str">
            <v>SIELLPAL003</v>
          </cell>
        </row>
        <row r="155">
          <cell r="A155" t="str">
            <v>SIELLPAL004</v>
          </cell>
        </row>
        <row r="156">
          <cell r="A156" t="str">
            <v>SIELLPAL005</v>
          </cell>
        </row>
        <row r="157">
          <cell r="A157" t="str">
            <v>SIELLPAL006</v>
          </cell>
        </row>
        <row r="158">
          <cell r="A158" t="str">
            <v>SIELMLAL005</v>
          </cell>
        </row>
        <row r="159">
          <cell r="A159" t="str">
            <v>SIELLPAL007</v>
          </cell>
        </row>
        <row r="160">
          <cell r="A160" t="str">
            <v>SIELITAL002</v>
          </cell>
        </row>
        <row r="161">
          <cell r="A161" t="str">
            <v>SIELITAL003</v>
          </cell>
        </row>
        <row r="162">
          <cell r="A162" t="str">
            <v>SIELMLOU020</v>
          </cell>
        </row>
        <row r="163">
          <cell r="A163" t="str">
            <v>SIELMLOU021</v>
          </cell>
        </row>
        <row r="164">
          <cell r="A164" t="str">
            <v>SIELMLOU022</v>
          </cell>
        </row>
        <row r="165">
          <cell r="A165" t="str">
            <v>SIELLPAL009</v>
          </cell>
        </row>
        <row r="166">
          <cell r="A166" t="str">
            <v>SIELMLAL006</v>
          </cell>
        </row>
        <row r="167">
          <cell r="A167" t="str">
            <v>SIELMLC1027</v>
          </cell>
        </row>
        <row r="168">
          <cell r="A168" t="str">
            <v>SIELAUAL019</v>
          </cell>
        </row>
        <row r="169">
          <cell r="A169" t="str">
            <v>SIELITAL004</v>
          </cell>
        </row>
        <row r="170">
          <cell r="A170" t="str">
            <v>SIELITAL005</v>
          </cell>
        </row>
        <row r="171">
          <cell r="A171" t="str">
            <v>SIELITAL006</v>
          </cell>
        </row>
        <row r="172">
          <cell r="A172" t="str">
            <v>SIELITAL007</v>
          </cell>
        </row>
        <row r="173">
          <cell r="A173" t="str">
            <v>SIELCDAL008</v>
          </cell>
        </row>
        <row r="174">
          <cell r="A174" t="str">
            <v>SIELACAL001</v>
          </cell>
        </row>
        <row r="175">
          <cell r="A175" t="str">
            <v>SIELACAL002</v>
          </cell>
        </row>
        <row r="176">
          <cell r="A176" t="str">
            <v>SIELAUAL020</v>
          </cell>
        </row>
        <row r="177">
          <cell r="A177" t="str">
            <v>SIELMLC1028</v>
          </cell>
        </row>
        <row r="178">
          <cell r="A178" t="str">
            <v>SIELMLC1029</v>
          </cell>
        </row>
        <row r="179">
          <cell r="A179" t="str">
            <v>SIELMLC1030</v>
          </cell>
        </row>
        <row r="180">
          <cell r="A180" t="str">
            <v>SIELMLC1031</v>
          </cell>
        </row>
        <row r="181">
          <cell r="A181" t="str">
            <v>SIELMLC1031</v>
          </cell>
        </row>
        <row r="182">
          <cell r="A182" t="str">
            <v>SIELMLC1032</v>
          </cell>
        </row>
        <row r="183">
          <cell r="A183" t="str">
            <v>SIELLPAL010</v>
          </cell>
        </row>
        <row r="184">
          <cell r="A184" t="str">
            <v>SIELITAL008</v>
          </cell>
        </row>
        <row r="185">
          <cell r="A185" t="str">
            <v>SIELMLC1033</v>
          </cell>
        </row>
        <row r="186">
          <cell r="A186" t="str">
            <v>SIELLPAL011</v>
          </cell>
        </row>
        <row r="187">
          <cell r="A187" t="str">
            <v>SIELMOAL010</v>
          </cell>
        </row>
        <row r="188">
          <cell r="A188" t="str">
            <v>SIELMLAL007</v>
          </cell>
        </row>
        <row r="189">
          <cell r="A189" t="str">
            <v>SIELMLE7002</v>
          </cell>
        </row>
        <row r="190">
          <cell r="A190" t="str">
            <v>SIELMLOU023</v>
          </cell>
        </row>
        <row r="191">
          <cell r="A191" t="str">
            <v>SIELMLOU024</v>
          </cell>
        </row>
        <row r="192">
          <cell r="A192" t="str">
            <v>SIELLPOU012</v>
          </cell>
        </row>
        <row r="193">
          <cell r="A193" t="str">
            <v>SIELCDAL009</v>
          </cell>
        </row>
        <row r="194">
          <cell r="A194" t="str">
            <v>SIELCDAL010</v>
          </cell>
        </row>
        <row r="195">
          <cell r="A195" t="str">
            <v>SIELCDAL011</v>
          </cell>
        </row>
        <row r="196">
          <cell r="A196" t="str">
            <v>SIELITAL009</v>
          </cell>
        </row>
        <row r="197">
          <cell r="A197" t="str">
            <v>SIELMLE7003</v>
          </cell>
        </row>
        <row r="198">
          <cell r="A198" t="str">
            <v>SIELAUAL021</v>
          </cell>
        </row>
        <row r="199">
          <cell r="A199" t="str">
            <v>SIELITAL010</v>
          </cell>
        </row>
        <row r="200">
          <cell r="A200" t="str">
            <v>SIELMLOU025</v>
          </cell>
        </row>
        <row r="201">
          <cell r="A201" t="str">
            <v>SIELMLOU026</v>
          </cell>
        </row>
        <row r="202">
          <cell r="A202" t="str">
            <v>SIELMLOU027</v>
          </cell>
        </row>
        <row r="203">
          <cell r="A203" t="str">
            <v>SIELMLOU028</v>
          </cell>
        </row>
        <row r="204">
          <cell r="A204" t="str">
            <v>SIELMLOU029</v>
          </cell>
        </row>
        <row r="205">
          <cell r="A205" t="str">
            <v>TRITALCO004</v>
          </cell>
        </row>
        <row r="206">
          <cell r="A206" t="str">
            <v>SIELMLC1034</v>
          </cell>
        </row>
        <row r="207">
          <cell r="A207" t="str">
            <v>SIELMLC1035</v>
          </cell>
        </row>
        <row r="208">
          <cell r="A208" t="str">
            <v>SIELMLC1036</v>
          </cell>
        </row>
        <row r="209">
          <cell r="A209" t="str">
            <v>SIELMLE7005</v>
          </cell>
        </row>
        <row r="210">
          <cell r="A210" t="str">
            <v>SIELCDAL012</v>
          </cell>
        </row>
        <row r="211">
          <cell r="A211" t="str">
            <v>SIELMLAL008</v>
          </cell>
        </row>
        <row r="212">
          <cell r="A212" t="str">
            <v>SIELAUAL022</v>
          </cell>
        </row>
        <row r="213">
          <cell r="A213" t="str">
            <v>SIELAUAL023</v>
          </cell>
        </row>
        <row r="214">
          <cell r="A214" t="str">
            <v>SIELLPOU013</v>
          </cell>
        </row>
        <row r="215">
          <cell r="A215" t="str">
            <v>SIELMLAL009</v>
          </cell>
        </row>
        <row r="216">
          <cell r="A216">
            <v>0</v>
          </cell>
        </row>
        <row r="217">
          <cell r="A217">
            <v>0</v>
          </cell>
        </row>
        <row r="218">
          <cell r="A218" t="str">
            <v>SIELSSAL001</v>
          </cell>
        </row>
        <row r="219">
          <cell r="A219" t="str">
            <v>SIELMLC1037</v>
          </cell>
        </row>
        <row r="220">
          <cell r="A220" t="str">
            <v>SIELCDAL013</v>
          </cell>
        </row>
        <row r="221">
          <cell r="A221" t="str">
            <v>SIELCTAL014</v>
          </cell>
        </row>
        <row r="222">
          <cell r="A222" t="str">
            <v>SIELCTAL015</v>
          </cell>
        </row>
        <row r="223">
          <cell r="A223" t="str">
            <v>SIELMLE7006</v>
          </cell>
        </row>
        <row r="224">
          <cell r="A224" t="str">
            <v>SIELCDAL014</v>
          </cell>
        </row>
        <row r="225">
          <cell r="A225" t="str">
            <v>SIELMLAL010</v>
          </cell>
        </row>
        <row r="226">
          <cell r="A226">
            <v>0</v>
          </cell>
        </row>
        <row r="227">
          <cell r="A227" t="str">
            <v>SIELMLAL011</v>
          </cell>
        </row>
        <row r="228">
          <cell r="A228" t="str">
            <v>SIELMLAL012</v>
          </cell>
        </row>
        <row r="229">
          <cell r="A229" t="str">
            <v>SIELMLE7007</v>
          </cell>
        </row>
        <row r="230">
          <cell r="A230" t="str">
            <v>SIELMLAL013</v>
          </cell>
        </row>
        <row r="231">
          <cell r="A231" t="str">
            <v>MUDRCOAL006</v>
          </cell>
        </row>
        <row r="232">
          <cell r="A232">
            <v>0</v>
          </cell>
        </row>
        <row r="233">
          <cell r="A233">
            <v>0</v>
          </cell>
        </row>
        <row r="234">
          <cell r="A234">
            <v>0</v>
          </cell>
        </row>
        <row r="235">
          <cell r="A235">
            <v>0</v>
          </cell>
        </row>
        <row r="236">
          <cell r="A236">
            <v>0</v>
          </cell>
        </row>
        <row r="237">
          <cell r="A237" t="str">
            <v>SIELMLOU030</v>
          </cell>
        </row>
        <row r="238">
          <cell r="A238" t="str">
            <v>SIELMLOU031</v>
          </cell>
        </row>
        <row r="239">
          <cell r="A239" t="str">
            <v>SIELMLOU032</v>
          </cell>
        </row>
        <row r="240">
          <cell r="A240" t="str">
            <v>SIELLPAL014</v>
          </cell>
        </row>
        <row r="241">
          <cell r="A241" t="str">
            <v>SIELLPAL015</v>
          </cell>
        </row>
        <row r="242">
          <cell r="A242" t="str">
            <v>SIELLPAL016</v>
          </cell>
        </row>
        <row r="243">
          <cell r="A243" t="str">
            <v>SIELLPAL017</v>
          </cell>
        </row>
        <row r="244">
          <cell r="A244" t="str">
            <v>SIELLPAL018</v>
          </cell>
        </row>
        <row r="245">
          <cell r="A245" t="str">
            <v>SIELMLS5001</v>
          </cell>
        </row>
        <row r="246">
          <cell r="A246" t="str">
            <v>SIELMLGS008</v>
          </cell>
        </row>
        <row r="247">
          <cell r="A247" t="str">
            <v>CHHQMLAL001</v>
          </cell>
        </row>
        <row r="248">
          <cell r="A248" t="str">
            <v>CHHQMLAL002</v>
          </cell>
        </row>
        <row r="249">
          <cell r="A249" t="str">
            <v>CHHQMLAL003</v>
          </cell>
        </row>
        <row r="250">
          <cell r="A250" t="str">
            <v>SIELAUAL024</v>
          </cell>
        </row>
        <row r="251">
          <cell r="A251" t="str">
            <v>SIELAUAL025</v>
          </cell>
        </row>
        <row r="252">
          <cell r="A252" t="str">
            <v>SIELLPAL019</v>
          </cell>
        </row>
        <row r="253">
          <cell r="A253" t="str">
            <v>SIELMLC1038</v>
          </cell>
        </row>
        <row r="254">
          <cell r="A254" t="str">
            <v>SIELMLC1039</v>
          </cell>
        </row>
        <row r="255">
          <cell r="A255" t="str">
            <v>SIELAUAL026</v>
          </cell>
        </row>
        <row r="256">
          <cell r="A256" t="str">
            <v>SIELAUAL027</v>
          </cell>
        </row>
        <row r="257">
          <cell r="A257" t="str">
            <v>SIELMLAL014</v>
          </cell>
        </row>
        <row r="258">
          <cell r="A258" t="str">
            <v>SIELLPAL020</v>
          </cell>
        </row>
        <row r="259">
          <cell r="A259" t="str">
            <v>SIELLPAL021</v>
          </cell>
        </row>
        <row r="260">
          <cell r="A260" t="str">
            <v>SIELCTAL016</v>
          </cell>
        </row>
        <row r="261">
          <cell r="A261" t="str">
            <v>SIELMLAL015</v>
          </cell>
        </row>
        <row r="262">
          <cell r="A262" t="str">
            <v>SIELLPAL022</v>
          </cell>
        </row>
        <row r="263">
          <cell r="A263" t="str">
            <v>SIELLPAL023</v>
          </cell>
        </row>
        <row r="264">
          <cell r="A264" t="str">
            <v>SIELMLE7008</v>
          </cell>
        </row>
        <row r="265">
          <cell r="A265" t="str">
            <v>SIELMLR2016</v>
          </cell>
        </row>
        <row r="266">
          <cell r="A266" t="str">
            <v>SIELMLR2017</v>
          </cell>
        </row>
        <row r="267">
          <cell r="A267">
            <v>0</v>
          </cell>
        </row>
        <row r="268">
          <cell r="A268" t="str">
            <v>SIELPRAL001</v>
          </cell>
        </row>
        <row r="269">
          <cell r="A269" t="str">
            <v>SIELMLE7009</v>
          </cell>
        </row>
        <row r="270">
          <cell r="A270" t="str">
            <v>SIELLPAL024</v>
          </cell>
        </row>
        <row r="271">
          <cell r="A271" t="str">
            <v>SIELACAL003</v>
          </cell>
        </row>
        <row r="272">
          <cell r="A272" t="str">
            <v>SIELCTAL017</v>
          </cell>
        </row>
        <row r="273">
          <cell r="A273" t="str">
            <v>MUDRCOAL007</v>
          </cell>
        </row>
        <row r="274">
          <cell r="A274" t="str">
            <v>SIELACAL004</v>
          </cell>
        </row>
        <row r="275">
          <cell r="A275" t="str">
            <v>SIELMLS5002</v>
          </cell>
        </row>
        <row r="276">
          <cell r="A276" t="str">
            <v>SIELMLS5002</v>
          </cell>
        </row>
        <row r="277">
          <cell r="A277" t="str">
            <v>SIELMLAL016</v>
          </cell>
        </row>
        <row r="278">
          <cell r="A278" t="str">
            <v>SIELACAL005</v>
          </cell>
        </row>
        <row r="279">
          <cell r="A279" t="str">
            <v>MUDRCOAL008</v>
          </cell>
        </row>
        <row r="280">
          <cell r="A280" t="str">
            <v>SIELACAL006</v>
          </cell>
        </row>
        <row r="281">
          <cell r="A281" t="str">
            <v>SIELMLS5003</v>
          </cell>
        </row>
        <row r="282">
          <cell r="A282" t="str">
            <v>SIELMLS5004</v>
          </cell>
        </row>
        <row r="283">
          <cell r="A283" t="str">
            <v>SIELMLOU033</v>
          </cell>
        </row>
        <row r="284">
          <cell r="A284" t="str">
            <v>SIELMLC1040</v>
          </cell>
        </row>
        <row r="285">
          <cell r="A285" t="str">
            <v>SIELCTAL018</v>
          </cell>
        </row>
        <row r="286">
          <cell r="A286" t="str">
            <v>SIELMLC1041</v>
          </cell>
        </row>
        <row r="287">
          <cell r="A287" t="str">
            <v>SIELMLC1042</v>
          </cell>
        </row>
        <row r="288">
          <cell r="A288" t="str">
            <v>SIELPRAL002</v>
          </cell>
        </row>
        <row r="289">
          <cell r="A289" t="str">
            <v>SIELCTAL019</v>
          </cell>
        </row>
        <row r="290">
          <cell r="A290" t="str">
            <v>SIELPRAL003</v>
          </cell>
        </row>
        <row r="291">
          <cell r="A291" t="str">
            <v>SIELMLAL017</v>
          </cell>
        </row>
        <row r="292">
          <cell r="A292" t="str">
            <v>SIELLPAL025</v>
          </cell>
        </row>
        <row r="293">
          <cell r="A293" t="str">
            <v>SIELDVDAL001</v>
          </cell>
        </row>
        <row r="294">
          <cell r="A294" t="str">
            <v>SIELMLC1043</v>
          </cell>
        </row>
        <row r="295">
          <cell r="A295" t="str">
            <v>SIELMLE7010</v>
          </cell>
        </row>
        <row r="296">
          <cell r="A296" t="str">
            <v>SIELMLE7011</v>
          </cell>
        </row>
        <row r="297">
          <cell r="A297" t="str">
            <v>SIEL MOAL001</v>
          </cell>
        </row>
        <row r="298">
          <cell r="A298" t="str">
            <v>SIELMLS5005</v>
          </cell>
        </row>
        <row r="299">
          <cell r="A299" t="str">
            <v>SIELMLS5006</v>
          </cell>
        </row>
        <row r="300">
          <cell r="A300" t="str">
            <v>SIELLPAL026</v>
          </cell>
        </row>
        <row r="301">
          <cell r="A301" t="str">
            <v>SIELCTAL020</v>
          </cell>
        </row>
        <row r="302">
          <cell r="A302" t="str">
            <v>SIELACAL007</v>
          </cell>
        </row>
        <row r="303">
          <cell r="A303" t="str">
            <v>SIELMLE7012</v>
          </cell>
        </row>
        <row r="304">
          <cell r="A304" t="str">
            <v>SIELMLE7013</v>
          </cell>
        </row>
        <row r="305">
          <cell r="A305" t="str">
            <v>SIELACAL008</v>
          </cell>
        </row>
        <row r="306">
          <cell r="A306" t="str">
            <v>SIELACAL009</v>
          </cell>
        </row>
        <row r="307">
          <cell r="A307" t="str">
            <v>SIELMLC1044</v>
          </cell>
        </row>
        <row r="308">
          <cell r="A308" t="str">
            <v>SIELMLC1045</v>
          </cell>
        </row>
        <row r="309">
          <cell r="A309" t="str">
            <v>SIELMLC1046</v>
          </cell>
        </row>
        <row r="310">
          <cell r="A310" t="str">
            <v>SIELMLC1047</v>
          </cell>
        </row>
        <row r="311">
          <cell r="A311" t="str">
            <v>SIELLPAL027</v>
          </cell>
        </row>
        <row r="312">
          <cell r="A312" t="str">
            <v>SIELACAL010</v>
          </cell>
        </row>
        <row r="313">
          <cell r="A313" t="str">
            <v>SIELMLC1048</v>
          </cell>
        </row>
        <row r="314">
          <cell r="A314" t="str">
            <v>SIELMLC1049</v>
          </cell>
        </row>
        <row r="315">
          <cell r="A315" t="str">
            <v>SIELMLOU034</v>
          </cell>
        </row>
        <row r="316">
          <cell r="A316" t="str">
            <v>SIELMLOU035</v>
          </cell>
        </row>
        <row r="317">
          <cell r="A317" t="str">
            <v>SIELMLAL018</v>
          </cell>
        </row>
        <row r="318">
          <cell r="A318" t="str">
            <v>SIELMLAL019</v>
          </cell>
        </row>
        <row r="319">
          <cell r="A319" t="str">
            <v>SIELMLAL020</v>
          </cell>
        </row>
        <row r="320">
          <cell r="A320">
            <v>0</v>
          </cell>
        </row>
        <row r="321">
          <cell r="A321" t="str">
            <v>SAPLCTAL001</v>
          </cell>
        </row>
        <row r="322">
          <cell r="A322" t="str">
            <v>SAPLCTAL002</v>
          </cell>
        </row>
        <row r="323">
          <cell r="A323" t="str">
            <v>SIELMLC1050</v>
          </cell>
        </row>
        <row r="324">
          <cell r="A324" t="str">
            <v>SIELMLC1051</v>
          </cell>
        </row>
        <row r="325">
          <cell r="A325" t="str">
            <v>SIELMLAL021</v>
          </cell>
        </row>
        <row r="326">
          <cell r="A326" t="str">
            <v>SIELMLAL022</v>
          </cell>
        </row>
        <row r="327">
          <cell r="A327" t="str">
            <v>SIELACAL011</v>
          </cell>
        </row>
        <row r="328">
          <cell r="A328" t="str">
            <v>SIELCTAL021</v>
          </cell>
        </row>
        <row r="329">
          <cell r="A329" t="str">
            <v>SIELCTAL022</v>
          </cell>
        </row>
        <row r="330">
          <cell r="A330" t="str">
            <v>SIELMLAL023</v>
          </cell>
        </row>
        <row r="331">
          <cell r="A331" t="str">
            <v>SIELCTAL023</v>
          </cell>
        </row>
        <row r="332">
          <cell r="A332" t="str">
            <v>SIELPRAL004</v>
          </cell>
        </row>
        <row r="333">
          <cell r="A333" t="str">
            <v>SIELPRAL005</v>
          </cell>
        </row>
        <row r="334">
          <cell r="A334" t="str">
            <v>SIELCDRW015</v>
          </cell>
        </row>
        <row r="335">
          <cell r="A335">
            <v>0</v>
          </cell>
        </row>
        <row r="336">
          <cell r="A336" t="str">
            <v>SIELMLE7014</v>
          </cell>
        </row>
        <row r="337">
          <cell r="A337">
            <v>0</v>
          </cell>
        </row>
        <row r="338">
          <cell r="A338" t="str">
            <v>SIELPRAL006</v>
          </cell>
        </row>
        <row r="339">
          <cell r="A339" t="str">
            <v>SIELCTAL024</v>
          </cell>
        </row>
        <row r="340">
          <cell r="A340" t="str">
            <v>SIELMLC1052</v>
          </cell>
        </row>
        <row r="341">
          <cell r="A341" t="str">
            <v>SIELMLC1053</v>
          </cell>
        </row>
        <row r="342">
          <cell r="A342" t="str">
            <v>SIELMLS5007</v>
          </cell>
        </row>
        <row r="343">
          <cell r="A343" t="str">
            <v>SIELMLS5008</v>
          </cell>
        </row>
        <row r="344">
          <cell r="A344" t="str">
            <v>SIELMLAL024</v>
          </cell>
        </row>
        <row r="345">
          <cell r="A345" t="str">
            <v>SIELMLAL025</v>
          </cell>
        </row>
        <row r="346">
          <cell r="A346" t="str">
            <v>SIELMLC1054</v>
          </cell>
        </row>
        <row r="347">
          <cell r="A347" t="str">
            <v>SIELMLC1055</v>
          </cell>
        </row>
        <row r="348">
          <cell r="A348" t="str">
            <v>SIELMLC1056</v>
          </cell>
        </row>
        <row r="349">
          <cell r="A349" t="str">
            <v>SIELCDRW016</v>
          </cell>
        </row>
        <row r="350">
          <cell r="A350" t="str">
            <v>SIELCTAL025</v>
          </cell>
        </row>
        <row r="351">
          <cell r="A351" t="str">
            <v>SIELLPAL028</v>
          </cell>
        </row>
        <row r="352">
          <cell r="A352" t="str">
            <v>MUDRCOAL009</v>
          </cell>
        </row>
        <row r="353">
          <cell r="A353" t="str">
            <v>SIELACAL012</v>
          </cell>
        </row>
        <row r="354">
          <cell r="A354" t="str">
            <v>SIELCTAL026</v>
          </cell>
        </row>
        <row r="355">
          <cell r="A355" t="str">
            <v>SIELCTAL027</v>
          </cell>
        </row>
        <row r="356">
          <cell r="A356" t="str">
            <v>SIELMLS5009</v>
          </cell>
        </row>
        <row r="357">
          <cell r="A357" t="str">
            <v>SIELMLS5010</v>
          </cell>
        </row>
        <row r="358">
          <cell r="A358">
            <v>0</v>
          </cell>
        </row>
        <row r="359">
          <cell r="A359" t="str">
            <v>SIELCDRW017</v>
          </cell>
        </row>
        <row r="360">
          <cell r="A360" t="str">
            <v>SIELMLX4001</v>
          </cell>
        </row>
        <row r="361">
          <cell r="A361" t="str">
            <v>SIELMLX4002</v>
          </cell>
        </row>
        <row r="362">
          <cell r="A362" t="str">
            <v>SIELMLX1001</v>
          </cell>
        </row>
        <row r="363">
          <cell r="A363" t="str">
            <v>SIELMLX1002</v>
          </cell>
        </row>
        <row r="364">
          <cell r="A364" t="str">
            <v>SIELMLC1057</v>
          </cell>
        </row>
        <row r="365">
          <cell r="A365" t="str">
            <v>SIELMLC1058</v>
          </cell>
        </row>
        <row r="366">
          <cell r="A366" t="str">
            <v>SIELMLC1059</v>
          </cell>
        </row>
        <row r="367">
          <cell r="A367" t="str">
            <v>SIELMLC1060</v>
          </cell>
        </row>
        <row r="368">
          <cell r="A368" t="str">
            <v>SIELMLCD001</v>
          </cell>
        </row>
        <row r="369">
          <cell r="A369" t="str">
            <v>SIELPRAL007</v>
          </cell>
        </row>
        <row r="370">
          <cell r="A370" t="str">
            <v>SIELPRAL008</v>
          </cell>
        </row>
        <row r="371">
          <cell r="A371" t="str">
            <v>SIELPRAL009</v>
          </cell>
        </row>
        <row r="372">
          <cell r="A372">
            <v>0</v>
          </cell>
        </row>
        <row r="373">
          <cell r="A373" t="str">
            <v>SIELPRAL010</v>
          </cell>
        </row>
        <row r="374">
          <cell r="A374" t="str">
            <v>SIELMLS5011</v>
          </cell>
        </row>
        <row r="375">
          <cell r="A375" t="str">
            <v>SIELMLAL026</v>
          </cell>
        </row>
        <row r="376">
          <cell r="A376" t="str">
            <v>SIELCRAL003</v>
          </cell>
        </row>
        <row r="377">
          <cell r="A377" t="str">
            <v>SIELMLC1061</v>
          </cell>
        </row>
        <row r="378">
          <cell r="A378" t="str">
            <v>SIELPRAL011</v>
          </cell>
        </row>
        <row r="379">
          <cell r="A379" t="str">
            <v>SIELPRAL012</v>
          </cell>
        </row>
        <row r="380">
          <cell r="A380" t="str">
            <v>SIELPRAL013</v>
          </cell>
        </row>
        <row r="381">
          <cell r="A381" t="str">
            <v>SIELMLAL027</v>
          </cell>
        </row>
        <row r="382">
          <cell r="A382" t="str">
            <v>SIELMLAL028</v>
          </cell>
        </row>
        <row r="383">
          <cell r="A383" t="str">
            <v>SIELMLCD002</v>
          </cell>
        </row>
        <row r="384">
          <cell r="A384" t="str">
            <v>MUDRCOAL010</v>
          </cell>
        </row>
        <row r="385">
          <cell r="A385" t="str">
            <v>SIELMLC1062</v>
          </cell>
        </row>
        <row r="386">
          <cell r="A386" t="str">
            <v>SIELMLC1063</v>
          </cell>
        </row>
        <row r="387">
          <cell r="A387" t="str">
            <v>CHHQMLOT001</v>
          </cell>
        </row>
        <row r="388">
          <cell r="A388" t="str">
            <v>SIELMLOU036</v>
          </cell>
        </row>
        <row r="389">
          <cell r="A389" t="str">
            <v>SIELMLOU037</v>
          </cell>
        </row>
        <row r="390">
          <cell r="A390" t="str">
            <v>SIELSSAL002</v>
          </cell>
        </row>
        <row r="391">
          <cell r="A391" t="str">
            <v>SIELACAL013</v>
          </cell>
        </row>
        <row r="392">
          <cell r="A392" t="str">
            <v>SIELCTAL028</v>
          </cell>
        </row>
        <row r="393">
          <cell r="A393" t="str">
            <v>SIELMLX1003</v>
          </cell>
        </row>
        <row r="394">
          <cell r="A394" t="str">
            <v>SIELMLE7015</v>
          </cell>
        </row>
        <row r="395">
          <cell r="A395" t="str">
            <v>SIELCTAL029</v>
          </cell>
        </row>
        <row r="396">
          <cell r="A396" t="str">
            <v>SIELCTAL030</v>
          </cell>
        </row>
        <row r="397">
          <cell r="A397" t="str">
            <v>SIELACAL014</v>
          </cell>
        </row>
        <row r="398">
          <cell r="A398" t="str">
            <v>SIELCRAL004</v>
          </cell>
        </row>
        <row r="399">
          <cell r="A399" t="str">
            <v>SIELMLAL029</v>
          </cell>
        </row>
        <row r="400">
          <cell r="A400" t="str">
            <v>SIELMLAL030</v>
          </cell>
        </row>
        <row r="401">
          <cell r="A401" t="str">
            <v>SIELMLAL031</v>
          </cell>
        </row>
        <row r="402">
          <cell r="A402" t="str">
            <v>SIELMLAL032</v>
          </cell>
        </row>
        <row r="403">
          <cell r="A403" t="str">
            <v>SIELMLS5012</v>
          </cell>
        </row>
        <row r="404">
          <cell r="A404" t="str">
            <v>SIELMLS5013</v>
          </cell>
        </row>
        <row r="405">
          <cell r="A405" t="str">
            <v>SIELLPAL029</v>
          </cell>
        </row>
        <row r="406">
          <cell r="A406" t="str">
            <v>SIELLPAL030</v>
          </cell>
        </row>
        <row r="407">
          <cell r="A407" t="str">
            <v>SIELACAL015</v>
          </cell>
        </row>
        <row r="408">
          <cell r="A408" t="str">
            <v>SIELMLS5014</v>
          </cell>
        </row>
        <row r="409">
          <cell r="A409" t="str">
            <v>SIELMLE7016</v>
          </cell>
        </row>
        <row r="410">
          <cell r="A410" t="str">
            <v>SIELMLC1064</v>
          </cell>
        </row>
        <row r="411">
          <cell r="A411">
            <v>0</v>
          </cell>
        </row>
        <row r="412">
          <cell r="A412" t="str">
            <v>SIELMLX6001</v>
          </cell>
        </row>
        <row r="413">
          <cell r="A413" t="str">
            <v>SIELCTAL031</v>
          </cell>
        </row>
        <row r="414">
          <cell r="A414" t="str">
            <v>SIELMLX1004</v>
          </cell>
        </row>
        <row r="415">
          <cell r="A415" t="str">
            <v>SIELMLX1005</v>
          </cell>
        </row>
        <row r="416">
          <cell r="A416" t="str">
            <v>SIELACAL016</v>
          </cell>
        </row>
        <row r="417">
          <cell r="A417" t="str">
            <v>SIELCTAL032</v>
          </cell>
        </row>
        <row r="418">
          <cell r="A418" t="str">
            <v>SIELACAL017</v>
          </cell>
        </row>
        <row r="419">
          <cell r="A419" t="str">
            <v>SIELMLX6002</v>
          </cell>
        </row>
        <row r="420">
          <cell r="A420" t="str">
            <v>SIELMLAL033</v>
          </cell>
        </row>
        <row r="421">
          <cell r="A421" t="str">
            <v>SIELMLX1006</v>
          </cell>
        </row>
        <row r="422">
          <cell r="A422" t="str">
            <v>SIELMLX1007</v>
          </cell>
        </row>
        <row r="423">
          <cell r="A423" t="str">
            <v>SIELCRAL005</v>
          </cell>
        </row>
        <row r="424">
          <cell r="A424" t="str">
            <v>SIELACAL018</v>
          </cell>
        </row>
        <row r="425">
          <cell r="A425" t="str">
            <v>SIELCDRW018</v>
          </cell>
        </row>
        <row r="426">
          <cell r="A426" t="str">
            <v>SIELCDRW019</v>
          </cell>
        </row>
        <row r="427">
          <cell r="A427" t="str">
            <v>SIELACAL019</v>
          </cell>
        </row>
        <row r="428">
          <cell r="A428" t="str">
            <v>SIELACAL020</v>
          </cell>
        </row>
        <row r="429">
          <cell r="A429" t="str">
            <v>SIELCTAL033</v>
          </cell>
        </row>
        <row r="430">
          <cell r="A430" t="str">
            <v>SIELCTAL034</v>
          </cell>
        </row>
        <row r="431">
          <cell r="A431" t="str">
            <v>SIELCTAL035</v>
          </cell>
        </row>
        <row r="432">
          <cell r="A432">
            <v>0</v>
          </cell>
        </row>
        <row r="433">
          <cell r="A433">
            <v>0</v>
          </cell>
        </row>
        <row r="434">
          <cell r="A434" t="str">
            <v>SIELMLAL034</v>
          </cell>
        </row>
        <row r="435">
          <cell r="A435" t="str">
            <v>SIELMLAL035</v>
          </cell>
        </row>
        <row r="436">
          <cell r="A436" t="str">
            <v>SIELCTAL036</v>
          </cell>
        </row>
        <row r="437">
          <cell r="A437" t="str">
            <v>SIELCTAL037</v>
          </cell>
        </row>
        <row r="438">
          <cell r="A438" t="str">
            <v>SIELCTAL038</v>
          </cell>
        </row>
        <row r="439">
          <cell r="A439" t="str">
            <v>SIELCTAL039</v>
          </cell>
        </row>
        <row r="440">
          <cell r="A440" t="str">
            <v>SIELMLAL036</v>
          </cell>
        </row>
        <row r="441">
          <cell r="A441" t="str">
            <v>SIELMLX6003</v>
          </cell>
        </row>
        <row r="442">
          <cell r="A442" t="str">
            <v>SIELMLX6004</v>
          </cell>
        </row>
        <row r="443">
          <cell r="A443" t="str">
            <v>SIELMLX6005</v>
          </cell>
        </row>
        <row r="444">
          <cell r="A444" t="str">
            <v>SIELAUAL028</v>
          </cell>
        </row>
        <row r="445">
          <cell r="A445" t="str">
            <v>SIELAUAL029</v>
          </cell>
        </row>
        <row r="446">
          <cell r="A446" t="str">
            <v>SIELAUAL030</v>
          </cell>
        </row>
        <row r="447">
          <cell r="A447" t="str">
            <v>SIELAUAL031</v>
          </cell>
        </row>
        <row r="448">
          <cell r="A448" t="str">
            <v>SIELMLX6006</v>
          </cell>
        </row>
        <row r="449">
          <cell r="A449" t="str">
            <v>SIELMLX6007</v>
          </cell>
        </row>
        <row r="450">
          <cell r="A450" t="str">
            <v>SIELMLX6008</v>
          </cell>
        </row>
        <row r="451">
          <cell r="A451" t="str">
            <v>CHHQMLOT002</v>
          </cell>
        </row>
        <row r="452">
          <cell r="A452" t="str">
            <v>CHHQMLOT003</v>
          </cell>
        </row>
        <row r="453">
          <cell r="A453" t="str">
            <v>CHHQMLOT004</v>
          </cell>
        </row>
        <row r="454">
          <cell r="A454" t="str">
            <v>SIELLPAL031</v>
          </cell>
        </row>
        <row r="455">
          <cell r="A455" t="str">
            <v>SIELCTAL040</v>
          </cell>
        </row>
        <row r="456">
          <cell r="A456" t="str">
            <v>SIELCTAL041</v>
          </cell>
        </row>
        <row r="457">
          <cell r="A457" t="str">
            <v>SIELMLAL037</v>
          </cell>
        </row>
        <row r="458">
          <cell r="A458" t="str">
            <v>SIELMLAL038</v>
          </cell>
        </row>
        <row r="459">
          <cell r="A459" t="str">
            <v>SIELCTAL042</v>
          </cell>
        </row>
        <row r="460">
          <cell r="A460" t="str">
            <v>SIELCTAL043</v>
          </cell>
        </row>
        <row r="461">
          <cell r="A461" t="str">
            <v>SIELCTAL044</v>
          </cell>
        </row>
        <row r="462">
          <cell r="A462" t="str">
            <v>SIELCTAL045</v>
          </cell>
        </row>
        <row r="463">
          <cell r="A463" t="str">
            <v>SIELMLAL039</v>
          </cell>
        </row>
        <row r="464">
          <cell r="A464" t="str">
            <v>SIELAUAL032</v>
          </cell>
        </row>
        <row r="465">
          <cell r="A465" t="str">
            <v>SIELACAL021</v>
          </cell>
        </row>
        <row r="466">
          <cell r="A466" t="str">
            <v>SIELCTAL046</v>
          </cell>
        </row>
        <row r="467">
          <cell r="A467" t="str">
            <v>SIELCTAL047</v>
          </cell>
        </row>
        <row r="468">
          <cell r="A468" t="str">
            <v>SIELMLX6009</v>
          </cell>
        </row>
        <row r="469">
          <cell r="A469" t="str">
            <v>SIELMLAL040</v>
          </cell>
        </row>
        <row r="470">
          <cell r="A470" t="str">
            <v>SIELCTAL048</v>
          </cell>
        </row>
        <row r="471">
          <cell r="A471" t="str">
            <v>SIELACAL022</v>
          </cell>
        </row>
        <row r="472">
          <cell r="A472" t="str">
            <v>SIELMLAL041</v>
          </cell>
        </row>
        <row r="473">
          <cell r="A473" t="str">
            <v>SIELMLX6010</v>
          </cell>
        </row>
        <row r="474">
          <cell r="A474" t="str">
            <v>SIELMLAL042</v>
          </cell>
        </row>
        <row r="475">
          <cell r="A475" t="str">
            <v>SIELMLAL043</v>
          </cell>
        </row>
        <row r="476">
          <cell r="A476" t="str">
            <v>SIELMLAL044</v>
          </cell>
        </row>
        <row r="477">
          <cell r="A477" t="str">
            <v>SIELMLAL045</v>
          </cell>
        </row>
        <row r="478">
          <cell r="A478" t="str">
            <v>SIELMLAL046</v>
          </cell>
        </row>
        <row r="479">
          <cell r="A479" t="str">
            <v>SIELCTAL049</v>
          </cell>
        </row>
        <row r="480">
          <cell r="A480" t="str">
            <v>SIELPRAL014</v>
          </cell>
        </row>
        <row r="481">
          <cell r="A481" t="str">
            <v>SIELCRAL006</v>
          </cell>
        </row>
        <row r="482">
          <cell r="A482" t="str">
            <v>SIELMLAL047</v>
          </cell>
        </row>
        <row r="483">
          <cell r="A483" t="str">
            <v>SIELMLAL048</v>
          </cell>
        </row>
        <row r="484">
          <cell r="A484" t="str">
            <v>SIELMLAL049</v>
          </cell>
        </row>
        <row r="485">
          <cell r="A485" t="str">
            <v>SIELMLAL050</v>
          </cell>
        </row>
        <row r="486">
          <cell r="A486" t="str">
            <v>SIELCDRW020</v>
          </cell>
        </row>
        <row r="487">
          <cell r="A487" t="str">
            <v>SIEL MOAL012</v>
          </cell>
        </row>
        <row r="488">
          <cell r="A488" t="str">
            <v>SIEL MOAL013</v>
          </cell>
        </row>
        <row r="489">
          <cell r="A489" t="str">
            <v>SIELPRAL015</v>
          </cell>
        </row>
        <row r="490">
          <cell r="A490" t="str">
            <v>SIELACAL023</v>
          </cell>
        </row>
        <row r="491">
          <cell r="A491" t="str">
            <v>SIELACAL024</v>
          </cell>
        </row>
        <row r="492">
          <cell r="A492" t="str">
            <v>SIELPRAL016</v>
          </cell>
        </row>
        <row r="493">
          <cell r="A493" t="str">
            <v>SIELPRAL017</v>
          </cell>
        </row>
        <row r="494">
          <cell r="A494" t="str">
            <v>SIELMLAL051</v>
          </cell>
        </row>
        <row r="495">
          <cell r="A495" t="str">
            <v>SIELPRAL018</v>
          </cell>
        </row>
        <row r="496">
          <cell r="A496" t="str">
            <v>SIELPRAL019</v>
          </cell>
        </row>
        <row r="497">
          <cell r="A497" t="str">
            <v>SIELCTAL050</v>
          </cell>
        </row>
        <row r="498">
          <cell r="A498" t="str">
            <v>SIELACAL025</v>
          </cell>
        </row>
        <row r="499">
          <cell r="A499" t="str">
            <v>TWIIMLAL001</v>
          </cell>
        </row>
        <row r="500">
          <cell r="A500" t="str">
            <v>SIELPRAL20</v>
          </cell>
        </row>
        <row r="501">
          <cell r="A501" t="str">
            <v>SIELPRAL021</v>
          </cell>
        </row>
        <row r="502">
          <cell r="A502" t="str">
            <v>SIELMLX6011</v>
          </cell>
        </row>
        <row r="503">
          <cell r="A503" t="str">
            <v>SIELMLX6012</v>
          </cell>
        </row>
        <row r="504">
          <cell r="A504">
            <v>0</v>
          </cell>
        </row>
        <row r="505">
          <cell r="A505" t="str">
            <v>CHHQTRAL004</v>
          </cell>
        </row>
        <row r="506">
          <cell r="A506" t="str">
            <v>SIELCTAL051</v>
          </cell>
        </row>
        <row r="507">
          <cell r="A507" t="str">
            <v>SIELCTAL052</v>
          </cell>
        </row>
        <row r="508">
          <cell r="A508" t="str">
            <v>SIELCTAL053</v>
          </cell>
        </row>
        <row r="509">
          <cell r="A509" t="str">
            <v>SIELCRAL007</v>
          </cell>
        </row>
        <row r="510">
          <cell r="A510" t="str">
            <v>SIELCTAL054</v>
          </cell>
        </row>
        <row r="511">
          <cell r="A511" t="str">
            <v>SIELCTAL055</v>
          </cell>
        </row>
        <row r="512">
          <cell r="A512" t="str">
            <v>SIELSSAL003</v>
          </cell>
        </row>
        <row r="513">
          <cell r="A513" t="str">
            <v>SIELCTAL056</v>
          </cell>
        </row>
        <row r="514">
          <cell r="A514" t="str">
            <v>SIELMLAL052</v>
          </cell>
        </row>
        <row r="515">
          <cell r="A515" t="str">
            <v>SIELMLAL053</v>
          </cell>
        </row>
        <row r="516">
          <cell r="A516" t="str">
            <v>SIELMLX6013</v>
          </cell>
        </row>
        <row r="517">
          <cell r="A517" t="str">
            <v>SIELMLE7017</v>
          </cell>
        </row>
        <row r="518">
          <cell r="A518" t="str">
            <v>SIELMLX6014</v>
          </cell>
        </row>
        <row r="519">
          <cell r="A519" t="str">
            <v>SIELMLX6015</v>
          </cell>
        </row>
        <row r="520">
          <cell r="A520">
            <v>0</v>
          </cell>
        </row>
        <row r="521">
          <cell r="A521" t="str">
            <v>SIELCTAL057</v>
          </cell>
        </row>
        <row r="522">
          <cell r="A522" t="str">
            <v>SIELCDRW021</v>
          </cell>
        </row>
        <row r="523">
          <cell r="A523" t="str">
            <v>SIELCDRW022</v>
          </cell>
        </row>
        <row r="524">
          <cell r="A524" t="str">
            <v>SIELMLAL054</v>
          </cell>
        </row>
        <row r="525">
          <cell r="A525" t="str">
            <v>SIELMLAL055</v>
          </cell>
        </row>
        <row r="526">
          <cell r="A526">
            <v>0</v>
          </cell>
        </row>
        <row r="527">
          <cell r="A527" t="str">
            <v>SIELCTAL058</v>
          </cell>
        </row>
        <row r="528">
          <cell r="A528" t="str">
            <v>SIELMLX6016</v>
          </cell>
        </row>
        <row r="529">
          <cell r="A529" t="str">
            <v>SIELMLX6017</v>
          </cell>
        </row>
        <row r="530">
          <cell r="A530" t="str">
            <v>SIELCTAL059</v>
          </cell>
        </row>
        <row r="531">
          <cell r="A531" t="str">
            <v>SIELCTAL060</v>
          </cell>
        </row>
        <row r="532">
          <cell r="A532" t="str">
            <v>SIELCRAL008</v>
          </cell>
        </row>
        <row r="533">
          <cell r="A533" t="str">
            <v>SIELPRAL022</v>
          </cell>
        </row>
        <row r="534">
          <cell r="A534" t="str">
            <v>SIELMLX6018</v>
          </cell>
        </row>
        <row r="535">
          <cell r="A535" t="str">
            <v>SIELCTAL061</v>
          </cell>
        </row>
        <row r="536">
          <cell r="A536" t="str">
            <v>SIELPRAL023</v>
          </cell>
        </row>
        <row r="537">
          <cell r="A537" t="str">
            <v>SIELMLAL056</v>
          </cell>
        </row>
        <row r="538">
          <cell r="A538" t="str">
            <v>SIELCRAL009</v>
          </cell>
        </row>
        <row r="539">
          <cell r="A539" t="str">
            <v>SIELMLAL057</v>
          </cell>
        </row>
        <row r="540">
          <cell r="A540">
            <v>0</v>
          </cell>
        </row>
        <row r="541">
          <cell r="A541" t="str">
            <v>CHHQMLOT005</v>
          </cell>
        </row>
        <row r="542">
          <cell r="A542" t="str">
            <v>SIELOTAL001</v>
          </cell>
        </row>
        <row r="543">
          <cell r="A543" t="str">
            <v>SIELCTAL062</v>
          </cell>
        </row>
        <row r="544">
          <cell r="A544" t="str">
            <v>SIELMLAL058</v>
          </cell>
        </row>
        <row r="545">
          <cell r="A545" t="str">
            <v>SIELMLAL059</v>
          </cell>
        </row>
        <row r="546">
          <cell r="A546" t="str">
            <v>SIELMLAL060</v>
          </cell>
        </row>
        <row r="547">
          <cell r="A547" t="str">
            <v>SIELMLX6019</v>
          </cell>
        </row>
        <row r="548">
          <cell r="A548" t="str">
            <v>SIELCRAL010</v>
          </cell>
        </row>
        <row r="549">
          <cell r="A549" t="str">
            <v>SIELCRAL011</v>
          </cell>
        </row>
        <row r="550">
          <cell r="A550" t="str">
            <v>MUDRCOAL011</v>
          </cell>
        </row>
        <row r="551">
          <cell r="A551" t="str">
            <v>SIELACAL026</v>
          </cell>
        </row>
        <row r="552">
          <cell r="A552" t="str">
            <v>SIELMLX6020</v>
          </cell>
        </row>
        <row r="553">
          <cell r="A553" t="str">
            <v>SIELMLAL061</v>
          </cell>
        </row>
        <row r="554">
          <cell r="A554" t="str">
            <v>SIELCTAL063</v>
          </cell>
        </row>
        <row r="555">
          <cell r="A555" t="str">
            <v>SIELCTAL064</v>
          </cell>
        </row>
        <row r="556">
          <cell r="A556" t="str">
            <v>SIELMLAL062</v>
          </cell>
        </row>
        <row r="557">
          <cell r="A557" t="str">
            <v>SIELMLAL063</v>
          </cell>
        </row>
        <row r="558">
          <cell r="A558">
            <v>0</v>
          </cell>
        </row>
        <row r="559">
          <cell r="A559" t="str">
            <v>SIELMLOU038</v>
          </cell>
        </row>
        <row r="560">
          <cell r="A560" t="str">
            <v>SIELCTAL065</v>
          </cell>
        </row>
        <row r="561">
          <cell r="A561" t="str">
            <v>SIELMLE7018</v>
          </cell>
        </row>
        <row r="562">
          <cell r="A562" t="str">
            <v>SIELMLX6021</v>
          </cell>
        </row>
        <row r="563">
          <cell r="A563" t="str">
            <v>SIELACAL027</v>
          </cell>
        </row>
        <row r="564">
          <cell r="A564" t="str">
            <v>SIELMLX6022</v>
          </cell>
        </row>
        <row r="565">
          <cell r="A565" t="str">
            <v>SIELCTAL066</v>
          </cell>
        </row>
        <row r="566">
          <cell r="A566" t="str">
            <v>SIELPRAL024</v>
          </cell>
        </row>
        <row r="567">
          <cell r="A567" t="str">
            <v>SIELPRAL025</v>
          </cell>
        </row>
        <row r="568">
          <cell r="A568" t="str">
            <v>SIELMLX1008</v>
          </cell>
        </row>
        <row r="569">
          <cell r="A569" t="str">
            <v>SIELMLX1009</v>
          </cell>
        </row>
        <row r="570">
          <cell r="A570" t="str">
            <v>SIELCRAL012</v>
          </cell>
        </row>
        <row r="571">
          <cell r="A571" t="str">
            <v>SIELPRAL026</v>
          </cell>
        </row>
        <row r="572">
          <cell r="A572" t="str">
            <v>SIELMLX1010</v>
          </cell>
        </row>
        <row r="573">
          <cell r="A573" t="str">
            <v>SIELMLX1011</v>
          </cell>
        </row>
        <row r="574">
          <cell r="A574" t="str">
            <v>SIELOTRAL001</v>
          </cell>
        </row>
        <row r="575">
          <cell r="A575" t="str">
            <v>SIELCTAL067</v>
          </cell>
        </row>
        <row r="576">
          <cell r="A576" t="str">
            <v>SIELCTAL068</v>
          </cell>
        </row>
        <row r="577">
          <cell r="A577" t="str">
            <v>SIELMLE7019</v>
          </cell>
        </row>
        <row r="578">
          <cell r="A578" t="str">
            <v>SIELMLE7020</v>
          </cell>
        </row>
        <row r="579">
          <cell r="A579" t="str">
            <v>SIELMLAL064</v>
          </cell>
        </row>
        <row r="580">
          <cell r="A580" t="str">
            <v>SIELMLAL065</v>
          </cell>
        </row>
        <row r="581">
          <cell r="A581" t="str">
            <v>SIELMLAL066</v>
          </cell>
        </row>
        <row r="582">
          <cell r="A582" t="str">
            <v>SIELMLAL067</v>
          </cell>
        </row>
        <row r="583">
          <cell r="A583" t="str">
            <v>SIELMLAL068</v>
          </cell>
        </row>
        <row r="584">
          <cell r="A584" t="str">
            <v>SIELMLAL069</v>
          </cell>
        </row>
        <row r="585">
          <cell r="A585" t="str">
            <v>SIELMLAL070</v>
          </cell>
        </row>
        <row r="586">
          <cell r="A586" t="str">
            <v>SIELMLAL071</v>
          </cell>
        </row>
        <row r="587">
          <cell r="A587" t="str">
            <v>SIELOTRAL002</v>
          </cell>
        </row>
        <row r="588">
          <cell r="A588" t="str">
            <v>SIELMLX4003</v>
          </cell>
        </row>
        <row r="589">
          <cell r="A589" t="str">
            <v>SIELMLX6023</v>
          </cell>
        </row>
        <row r="590">
          <cell r="A590" t="str">
            <v>SIELMLX6024</v>
          </cell>
        </row>
        <row r="591">
          <cell r="A591" t="str">
            <v>SIELCTAL068</v>
          </cell>
        </row>
        <row r="592">
          <cell r="A592" t="str">
            <v>SIELMLX6025</v>
          </cell>
        </row>
        <row r="593">
          <cell r="A593" t="str">
            <v>SIELMLX6026</v>
          </cell>
        </row>
        <row r="594">
          <cell r="A594" t="str">
            <v>SIELMLX1012</v>
          </cell>
        </row>
        <row r="595">
          <cell r="A595" t="str">
            <v>SIELMLOU039</v>
          </cell>
        </row>
        <row r="596">
          <cell r="A596" t="str">
            <v>SIELMLAL072</v>
          </cell>
        </row>
        <row r="597">
          <cell r="A597" t="str">
            <v>SIELMLOU040</v>
          </cell>
        </row>
        <row r="598">
          <cell r="A598" t="str">
            <v>SIELMLOU041</v>
          </cell>
        </row>
        <row r="599">
          <cell r="A599" t="str">
            <v>SIELMLE7021</v>
          </cell>
        </row>
        <row r="600">
          <cell r="A600" t="str">
            <v>SIELPRAL027</v>
          </cell>
        </row>
        <row r="601">
          <cell r="A601" t="str">
            <v>SIELPRAL028</v>
          </cell>
        </row>
        <row r="602">
          <cell r="A602" t="str">
            <v>SIELMLOU042</v>
          </cell>
        </row>
        <row r="603">
          <cell r="A603" t="str">
            <v>SIELMLOU043</v>
          </cell>
        </row>
        <row r="604">
          <cell r="A604" t="str">
            <v>SIELMLOU044</v>
          </cell>
        </row>
        <row r="605">
          <cell r="A605" t="str">
            <v>SIELMLOU045</v>
          </cell>
        </row>
        <row r="606">
          <cell r="A606" t="str">
            <v>SIELMLX6027</v>
          </cell>
        </row>
        <row r="607">
          <cell r="A607" t="str">
            <v>SIELCTAL069</v>
          </cell>
        </row>
        <row r="608">
          <cell r="A608" t="str">
            <v>SIELMLOU046</v>
          </cell>
        </row>
        <row r="609">
          <cell r="A609" t="str">
            <v>SIELMLX6028</v>
          </cell>
        </row>
        <row r="610">
          <cell r="A610" t="str">
            <v>SIELMLX6029</v>
          </cell>
        </row>
        <row r="611">
          <cell r="A611" t="str">
            <v>SIELMLAL073</v>
          </cell>
        </row>
        <row r="612">
          <cell r="A612">
            <v>0</v>
          </cell>
        </row>
        <row r="613">
          <cell r="A613">
            <v>0</v>
          </cell>
        </row>
        <row r="614">
          <cell r="A614" t="str">
            <v>SIELMLAL074</v>
          </cell>
        </row>
        <row r="615">
          <cell r="A615" t="str">
            <v>SIELMLAL075</v>
          </cell>
        </row>
        <row r="616">
          <cell r="A616" t="str">
            <v>SIELMLC1065</v>
          </cell>
        </row>
        <row r="617">
          <cell r="A617" t="str">
            <v>SIELMLOU047</v>
          </cell>
        </row>
        <row r="618">
          <cell r="A618" t="str">
            <v>SIELMLOU048</v>
          </cell>
        </row>
        <row r="619">
          <cell r="A619" t="str">
            <v>SIELMLOU049</v>
          </cell>
        </row>
        <row r="620">
          <cell r="A620" t="str">
            <v>SIELMLOU050</v>
          </cell>
        </row>
        <row r="621">
          <cell r="A621" t="str">
            <v>SIELMLOU051</v>
          </cell>
        </row>
        <row r="622">
          <cell r="A622" t="str">
            <v>SIELMLX6030</v>
          </cell>
        </row>
        <row r="623">
          <cell r="A623" t="str">
            <v>SIELMLAL076</v>
          </cell>
        </row>
        <row r="624">
          <cell r="A624" t="str">
            <v>SIELMLOU052</v>
          </cell>
        </row>
        <row r="625">
          <cell r="A625" t="str">
            <v>SIELCDRW023</v>
          </cell>
        </row>
        <row r="626">
          <cell r="A626" t="str">
            <v>SIELMLAL077</v>
          </cell>
        </row>
        <row r="627">
          <cell r="A627" t="str">
            <v>SIELMLAL078</v>
          </cell>
        </row>
        <row r="628">
          <cell r="A628" t="str">
            <v>SIELMLX6031</v>
          </cell>
        </row>
        <row r="629">
          <cell r="A629" t="str">
            <v>SIELCTAL070</v>
          </cell>
        </row>
        <row r="630">
          <cell r="A630" t="str">
            <v>SIELCTAL071</v>
          </cell>
        </row>
        <row r="631">
          <cell r="A631" t="str">
            <v>SIELCTAL072</v>
          </cell>
        </row>
        <row r="632">
          <cell r="A632" t="str">
            <v>SIELPRAL029</v>
          </cell>
        </row>
        <row r="633">
          <cell r="A633" t="str">
            <v>SIELMLX6032</v>
          </cell>
        </row>
        <row r="634">
          <cell r="A634" t="str">
            <v>SIELMLAL079</v>
          </cell>
        </row>
        <row r="635">
          <cell r="A635" t="str">
            <v>SIELMLAL080</v>
          </cell>
        </row>
        <row r="636">
          <cell r="A636" t="str">
            <v>SIELACAL028</v>
          </cell>
        </row>
        <row r="637">
          <cell r="A637" t="str">
            <v>SIELACAL029</v>
          </cell>
        </row>
        <row r="638">
          <cell r="A638" t="str">
            <v>SIELMLAL081</v>
          </cell>
        </row>
        <row r="639">
          <cell r="A639" t="str">
            <v>SIELMLAL082</v>
          </cell>
        </row>
        <row r="640">
          <cell r="A640" t="str">
            <v>SIELMLAL083</v>
          </cell>
        </row>
        <row r="641">
          <cell r="A641" t="str">
            <v>SIELMLAL084</v>
          </cell>
        </row>
        <row r="642">
          <cell r="A642" t="str">
            <v>SIELMLAL085</v>
          </cell>
        </row>
        <row r="643">
          <cell r="A643" t="str">
            <v>SIELMLAL086</v>
          </cell>
        </row>
        <row r="644">
          <cell r="A644" t="str">
            <v>SIELMLX6033</v>
          </cell>
        </row>
        <row r="645">
          <cell r="A645" t="str">
            <v>SIELMLX6034</v>
          </cell>
        </row>
        <row r="646">
          <cell r="A646" t="str">
            <v>SIELMLX6035</v>
          </cell>
        </row>
        <row r="647">
          <cell r="A647" t="str">
            <v>SIELLPAL032</v>
          </cell>
        </row>
        <row r="648">
          <cell r="A648">
            <v>0</v>
          </cell>
        </row>
        <row r="649">
          <cell r="A649" t="str">
            <v>SIELMLAL087</v>
          </cell>
        </row>
        <row r="650">
          <cell r="A650" t="str">
            <v>SIELCTAL073</v>
          </cell>
        </row>
        <row r="651">
          <cell r="A651" t="str">
            <v>SIELMOMB023</v>
          </cell>
        </row>
        <row r="652">
          <cell r="A652" t="str">
            <v>SIELCTAL074</v>
          </cell>
        </row>
        <row r="653">
          <cell r="A653" t="str">
            <v>SIELCTAL075</v>
          </cell>
        </row>
        <row r="654">
          <cell r="A654" t="str">
            <v>SIELMLAL088</v>
          </cell>
        </row>
        <row r="655">
          <cell r="A655" t="str">
            <v>SIELMLAL089</v>
          </cell>
        </row>
        <row r="656">
          <cell r="A656" t="str">
            <v>SIELMLAL090</v>
          </cell>
        </row>
        <row r="657">
          <cell r="A657" t="str">
            <v>SIELMLX6036</v>
          </cell>
        </row>
        <row r="658">
          <cell r="A658" t="str">
            <v>SIELPRAL030</v>
          </cell>
        </row>
        <row r="659">
          <cell r="A659" t="str">
            <v>SIELACAL030</v>
          </cell>
        </row>
        <row r="660">
          <cell r="A660" t="str">
            <v>SIELCTAL076</v>
          </cell>
        </row>
        <row r="661">
          <cell r="A661" t="str">
            <v>SIELPRAL031</v>
          </cell>
        </row>
        <row r="662">
          <cell r="A662" t="str">
            <v>SIELPRAL032</v>
          </cell>
        </row>
        <row r="663">
          <cell r="A663" t="str">
            <v>SIELMLX6037</v>
          </cell>
        </row>
        <row r="664">
          <cell r="A664" t="str">
            <v>SIELCRAL013</v>
          </cell>
        </row>
        <row r="665">
          <cell r="A665" t="str">
            <v>SIELCTAL077</v>
          </cell>
        </row>
        <row r="666">
          <cell r="A666" t="str">
            <v>SIELCRAL014</v>
          </cell>
        </row>
        <row r="667">
          <cell r="A667" t="str">
            <v>SIELMLX6038</v>
          </cell>
        </row>
        <row r="668">
          <cell r="A668" t="str">
            <v>SIELMLAL091</v>
          </cell>
        </row>
        <row r="669">
          <cell r="A669" t="str">
            <v>SIELCTAL078</v>
          </cell>
        </row>
        <row r="670">
          <cell r="A670" t="str">
            <v>SIELCTAL079</v>
          </cell>
        </row>
        <row r="671">
          <cell r="A671" t="str">
            <v>SIELMLX1013</v>
          </cell>
        </row>
        <row r="672">
          <cell r="A672" t="str">
            <v>SIELMLX1014</v>
          </cell>
        </row>
        <row r="673">
          <cell r="A673" t="str">
            <v>SIELMLX6039</v>
          </cell>
        </row>
        <row r="674">
          <cell r="A674" t="str">
            <v>SIELMLX6040</v>
          </cell>
        </row>
        <row r="675">
          <cell r="A675" t="str">
            <v>SIELPRAL033</v>
          </cell>
        </row>
        <row r="676">
          <cell r="A676" t="str">
            <v>SIELPRAL034</v>
          </cell>
        </row>
        <row r="677">
          <cell r="A677" t="str">
            <v>SIELPRAL035</v>
          </cell>
        </row>
        <row r="678">
          <cell r="A678" t="str">
            <v>SIELCTAL080</v>
          </cell>
        </row>
        <row r="679">
          <cell r="A679" t="str">
            <v>SIELCTAL081</v>
          </cell>
        </row>
        <row r="680">
          <cell r="A680" t="str">
            <v>SIELPRAL036</v>
          </cell>
        </row>
        <row r="681">
          <cell r="A681" t="str">
            <v>SIELCRAL015</v>
          </cell>
        </row>
        <row r="682">
          <cell r="A682" t="str">
            <v>SIELCRAL016</v>
          </cell>
        </row>
        <row r="683">
          <cell r="A683" t="str">
            <v>SIELMLAL092</v>
          </cell>
        </row>
        <row r="684">
          <cell r="A684" t="str">
            <v>SIELMLAL093</v>
          </cell>
        </row>
        <row r="685">
          <cell r="A685" t="str">
            <v>SIELMLAL094</v>
          </cell>
        </row>
        <row r="686">
          <cell r="A686" t="str">
            <v>SIELMLAL095</v>
          </cell>
        </row>
        <row r="687">
          <cell r="A687" t="str">
            <v>SIELMLAL096</v>
          </cell>
        </row>
        <row r="688">
          <cell r="A688" t="str">
            <v>SIELMLAL097</v>
          </cell>
        </row>
        <row r="689">
          <cell r="A689" t="str">
            <v>SIELMLAL098</v>
          </cell>
        </row>
        <row r="690">
          <cell r="A690" t="str">
            <v>SIELMLAL099</v>
          </cell>
        </row>
        <row r="691">
          <cell r="A691" t="str">
            <v>SIELMLAL100</v>
          </cell>
        </row>
        <row r="692">
          <cell r="A692" t="str">
            <v>SIELMLAL101</v>
          </cell>
        </row>
        <row r="693">
          <cell r="A693" t="str">
            <v>SIELMLAL102</v>
          </cell>
        </row>
        <row r="694">
          <cell r="A694" t="str">
            <v>SIELMLAL103</v>
          </cell>
        </row>
        <row r="695">
          <cell r="A695" t="str">
            <v>SIELMLAL104</v>
          </cell>
        </row>
        <row r="696">
          <cell r="A696" t="str">
            <v>SIELMLAL105</v>
          </cell>
        </row>
        <row r="697">
          <cell r="A697" t="str">
            <v>SIELMLAL106</v>
          </cell>
        </row>
        <row r="698">
          <cell r="A698" t="str">
            <v>SIELMLAL107</v>
          </cell>
        </row>
        <row r="699">
          <cell r="A699" t="str">
            <v>SIELMLAL108</v>
          </cell>
        </row>
        <row r="700">
          <cell r="A700" t="str">
            <v>SIELMLAL109</v>
          </cell>
        </row>
        <row r="701">
          <cell r="A701" t="str">
            <v>SIELMLAL110</v>
          </cell>
        </row>
        <row r="702">
          <cell r="A702" t="str">
            <v>SIELMLAL111</v>
          </cell>
        </row>
        <row r="703">
          <cell r="A703" t="str">
            <v>SIELMLAL112</v>
          </cell>
        </row>
        <row r="704">
          <cell r="A704" t="str">
            <v>SIELMLAL113</v>
          </cell>
        </row>
        <row r="705">
          <cell r="A705" t="str">
            <v>SIELMLAL114</v>
          </cell>
        </row>
        <row r="706">
          <cell r="A706" t="str">
            <v>SIELMLAL115</v>
          </cell>
        </row>
        <row r="707">
          <cell r="A707" t="str">
            <v>SIELMLAL116</v>
          </cell>
        </row>
        <row r="708">
          <cell r="A708" t="str">
            <v>SIELCRAL017</v>
          </cell>
        </row>
        <row r="709">
          <cell r="A709" t="str">
            <v>SIELMLAL117</v>
          </cell>
        </row>
        <row r="710">
          <cell r="A710" t="str">
            <v>SIELCRAL018</v>
          </cell>
        </row>
        <row r="711">
          <cell r="A711" t="str">
            <v>SIELMLX6041</v>
          </cell>
        </row>
        <row r="712">
          <cell r="A712" t="str">
            <v>SIELMLAL118</v>
          </cell>
        </row>
        <row r="713">
          <cell r="A713" t="str">
            <v>SIELMLAL119</v>
          </cell>
        </row>
        <row r="714">
          <cell r="A714" t="str">
            <v>SIELMLX6042</v>
          </cell>
        </row>
        <row r="715">
          <cell r="A715" t="str">
            <v>SIELMLAL120</v>
          </cell>
        </row>
        <row r="716">
          <cell r="A716" t="str">
            <v>SIELMLAL121</v>
          </cell>
        </row>
        <row r="717">
          <cell r="A717" t="str">
            <v>SIELCTAL082</v>
          </cell>
        </row>
        <row r="718">
          <cell r="A718" t="str">
            <v>SIELCTAL083</v>
          </cell>
        </row>
        <row r="719">
          <cell r="A719" t="str">
            <v>SIELMLCDMA001</v>
          </cell>
        </row>
        <row r="720">
          <cell r="A720" t="str">
            <v>SIELPRAL037</v>
          </cell>
        </row>
        <row r="721">
          <cell r="A721" t="str">
            <v>SIELPRAL038</v>
          </cell>
        </row>
        <row r="722">
          <cell r="A722" t="str">
            <v>SIELMLAL122</v>
          </cell>
        </row>
        <row r="723">
          <cell r="A723" t="str">
            <v>SIELMLAL123</v>
          </cell>
        </row>
        <row r="724">
          <cell r="A724" t="str">
            <v>SIELMLAL124</v>
          </cell>
        </row>
        <row r="725">
          <cell r="A725" t="str">
            <v>SIELMLAL125</v>
          </cell>
        </row>
        <row r="726">
          <cell r="A726" t="str">
            <v>SIELMLAL126</v>
          </cell>
        </row>
        <row r="727">
          <cell r="A727" t="str">
            <v>SIELMLAL127</v>
          </cell>
        </row>
        <row r="728">
          <cell r="A728" t="str">
            <v>SIELMLAL128</v>
          </cell>
        </row>
        <row r="729">
          <cell r="A729" t="str">
            <v>SIELMLAL129</v>
          </cell>
        </row>
        <row r="730">
          <cell r="A730" t="str">
            <v>SIELMLAL130</v>
          </cell>
        </row>
        <row r="731">
          <cell r="A731" t="str">
            <v>SIELMLAL131</v>
          </cell>
        </row>
        <row r="732">
          <cell r="A732" t="str">
            <v>SIELMLAL132</v>
          </cell>
        </row>
        <row r="733">
          <cell r="A733" t="str">
            <v>SIELMLAL133</v>
          </cell>
        </row>
        <row r="734">
          <cell r="A734" t="str">
            <v>SIELMLCDMA002</v>
          </cell>
        </row>
        <row r="735">
          <cell r="A735" t="str">
            <v>SIELMLAL134</v>
          </cell>
        </row>
        <row r="736">
          <cell r="A736" t="str">
            <v>SIELMLAL135</v>
          </cell>
        </row>
        <row r="737">
          <cell r="A737" t="str">
            <v>SIELMLAL136</v>
          </cell>
        </row>
        <row r="738">
          <cell r="A738" t="str">
            <v>SIELMLAL137</v>
          </cell>
        </row>
        <row r="739">
          <cell r="A739" t="str">
            <v>SIELCRAL019</v>
          </cell>
        </row>
        <row r="740">
          <cell r="A740" t="str">
            <v>SIELMLAL138</v>
          </cell>
        </row>
        <row r="741">
          <cell r="A741" t="str">
            <v>SIELMLAL139</v>
          </cell>
        </row>
        <row r="742">
          <cell r="A742" t="str">
            <v>SIELMLAL140</v>
          </cell>
        </row>
        <row r="743">
          <cell r="A743" t="str">
            <v>SIELMLAL141</v>
          </cell>
        </row>
        <row r="744">
          <cell r="A744" t="str">
            <v>SIELMLAL142</v>
          </cell>
        </row>
        <row r="745">
          <cell r="A745" t="str">
            <v>SIELMLAL143</v>
          </cell>
        </row>
        <row r="746">
          <cell r="A746" t="str">
            <v>SIELMLAL144</v>
          </cell>
        </row>
        <row r="747">
          <cell r="A747" t="str">
            <v>SIELMLAL145</v>
          </cell>
        </row>
        <row r="748">
          <cell r="A748" t="str">
            <v>SIELMLAL146</v>
          </cell>
        </row>
        <row r="749">
          <cell r="A749" t="str">
            <v>SIELMLAL147</v>
          </cell>
        </row>
        <row r="750">
          <cell r="A750" t="str">
            <v>SIELMLAL148</v>
          </cell>
        </row>
        <row r="751">
          <cell r="A751" t="str">
            <v>SIELMLAL149</v>
          </cell>
        </row>
        <row r="752">
          <cell r="A752" t="str">
            <v>SIELMLAL150</v>
          </cell>
        </row>
        <row r="753">
          <cell r="A753" t="str">
            <v>SIELMLX1015</v>
          </cell>
        </row>
        <row r="754">
          <cell r="A754" t="str">
            <v>SIELMLX1016</v>
          </cell>
        </row>
        <row r="755">
          <cell r="A755" t="str">
            <v>SIELCRAL020</v>
          </cell>
        </row>
        <row r="756">
          <cell r="A756" t="str">
            <v>SIELCRAL021</v>
          </cell>
        </row>
        <row r="757">
          <cell r="A757" t="str">
            <v>SIELMLAL151</v>
          </cell>
        </row>
        <row r="758">
          <cell r="A758" t="str">
            <v>SIELMLAL152</v>
          </cell>
        </row>
        <row r="759">
          <cell r="A759" t="str">
            <v>SIELMLAL153</v>
          </cell>
        </row>
        <row r="760">
          <cell r="A760" t="str">
            <v>SIELMLAL154</v>
          </cell>
        </row>
        <row r="761">
          <cell r="A761" t="str">
            <v>SIELMLAL155</v>
          </cell>
        </row>
        <row r="762">
          <cell r="A762" t="str">
            <v>SIELMLAL156</v>
          </cell>
        </row>
        <row r="763">
          <cell r="A763" t="str">
            <v>SIELMLAL157</v>
          </cell>
        </row>
        <row r="764">
          <cell r="A764" t="str">
            <v>SIELMLAL158</v>
          </cell>
        </row>
        <row r="765">
          <cell r="A765" t="str">
            <v>SIELMLAL159</v>
          </cell>
        </row>
        <row r="766">
          <cell r="A766" t="str">
            <v>SIELMLAL160</v>
          </cell>
        </row>
        <row r="767">
          <cell r="A767" t="str">
            <v>CHHQMLAN001</v>
          </cell>
        </row>
        <row r="768">
          <cell r="A768" t="str">
            <v>SIELMLAL161</v>
          </cell>
        </row>
        <row r="769">
          <cell r="A769" t="str">
            <v>SIELMLAL162</v>
          </cell>
        </row>
        <row r="770">
          <cell r="A770" t="str">
            <v>SIELMLAL163</v>
          </cell>
        </row>
        <row r="771">
          <cell r="A771" t="str">
            <v>SIELMLAL164</v>
          </cell>
        </row>
        <row r="772">
          <cell r="A772" t="str">
            <v>SIELMLAL165</v>
          </cell>
        </row>
        <row r="773">
          <cell r="A773" t="str">
            <v>SIELMLAL166</v>
          </cell>
        </row>
        <row r="774">
          <cell r="A774" t="str">
            <v>SIELMLAL167</v>
          </cell>
        </row>
        <row r="775">
          <cell r="A775" t="str">
            <v>SIELMLAL168</v>
          </cell>
        </row>
        <row r="776">
          <cell r="A776" t="str">
            <v>SIELMLAL169</v>
          </cell>
        </row>
        <row r="777">
          <cell r="A777" t="str">
            <v>SIELMLAL170</v>
          </cell>
        </row>
        <row r="778">
          <cell r="A778" t="str">
            <v>SIELMLAL171</v>
          </cell>
        </row>
        <row r="779">
          <cell r="A779" t="str">
            <v>SIELAUAL033</v>
          </cell>
        </row>
        <row r="780">
          <cell r="A780" t="str">
            <v>SIELAUAL034</v>
          </cell>
        </row>
        <row r="781">
          <cell r="A781">
            <v>0</v>
          </cell>
        </row>
        <row r="782">
          <cell r="A782" t="str">
            <v>SIELMLAL172</v>
          </cell>
        </row>
        <row r="783">
          <cell r="A783" t="str">
            <v>SIELMLAL173</v>
          </cell>
        </row>
        <row r="784">
          <cell r="A784" t="str">
            <v>SIELMLAL174</v>
          </cell>
        </row>
        <row r="785">
          <cell r="A785" t="str">
            <v>SIELMLAL175</v>
          </cell>
        </row>
        <row r="786">
          <cell r="A786" t="str">
            <v>SIELMLAL176</v>
          </cell>
        </row>
        <row r="787">
          <cell r="A787" t="str">
            <v>SIELMLAL177</v>
          </cell>
        </row>
        <row r="788">
          <cell r="A788" t="str">
            <v>SIELMLAL178</v>
          </cell>
        </row>
        <row r="789">
          <cell r="A789" t="str">
            <v>SIELPRAL039</v>
          </cell>
        </row>
        <row r="790">
          <cell r="A790" t="str">
            <v>SIELPRAL040</v>
          </cell>
        </row>
        <row r="791">
          <cell r="A791" t="str">
            <v>SIELMLAL179</v>
          </cell>
        </row>
        <row r="792">
          <cell r="A792" t="str">
            <v>SIELMLAL180</v>
          </cell>
        </row>
        <row r="793">
          <cell r="A793" t="str">
            <v>SIELMLAL181</v>
          </cell>
        </row>
        <row r="794">
          <cell r="A794" t="str">
            <v>SIELMLX1017</v>
          </cell>
        </row>
        <row r="795">
          <cell r="A795" t="str">
            <v>SIELMLX1018</v>
          </cell>
        </row>
        <row r="796">
          <cell r="A796" t="str">
            <v>SIELCTAL084</v>
          </cell>
        </row>
        <row r="797">
          <cell r="A797" t="str">
            <v>SIELCTAL085</v>
          </cell>
        </row>
        <row r="798">
          <cell r="A798" t="str">
            <v>SIELMLAL182</v>
          </cell>
        </row>
        <row r="799">
          <cell r="A799" t="str">
            <v>SIELPRAL041</v>
          </cell>
        </row>
        <row r="800">
          <cell r="A800" t="str">
            <v>SIELMLX6043</v>
          </cell>
        </row>
        <row r="801">
          <cell r="A801" t="str">
            <v>SIELCRAL022</v>
          </cell>
        </row>
        <row r="802">
          <cell r="A802" t="str">
            <v>SIELMLX6044</v>
          </cell>
        </row>
        <row r="803">
          <cell r="A803" t="str">
            <v>SIELMLX6045</v>
          </cell>
        </row>
        <row r="804">
          <cell r="A804" t="str">
            <v>SIELCRAL023</v>
          </cell>
        </row>
        <row r="805">
          <cell r="A805" t="str">
            <v>SIELMLC1066</v>
          </cell>
        </row>
        <row r="806">
          <cell r="A806" t="str">
            <v>SIELMLAL183</v>
          </cell>
        </row>
        <row r="807">
          <cell r="A807" t="str">
            <v>SIELPRAL042</v>
          </cell>
        </row>
        <row r="808">
          <cell r="A808">
            <v>0</v>
          </cell>
        </row>
        <row r="809">
          <cell r="A809" t="str">
            <v>SIELLPAL033</v>
          </cell>
        </row>
        <row r="810">
          <cell r="A810" t="str">
            <v>SIELMLCDMA003</v>
          </cell>
        </row>
        <row r="811">
          <cell r="A811" t="str">
            <v>SIELMLAL184</v>
          </cell>
        </row>
        <row r="812">
          <cell r="A812" t="str">
            <v>SIELMLAL185</v>
          </cell>
        </row>
        <row r="813">
          <cell r="A813" t="str">
            <v>SIELMLAL186</v>
          </cell>
        </row>
        <row r="814">
          <cell r="A814" t="str">
            <v>SIELMLAL187</v>
          </cell>
        </row>
        <row r="815">
          <cell r="A815" t="str">
            <v>SIELMLAL188</v>
          </cell>
        </row>
        <row r="816">
          <cell r="A816" t="str">
            <v>SIELMLAL189</v>
          </cell>
        </row>
        <row r="817">
          <cell r="A817" t="str">
            <v>SIELMLAL190</v>
          </cell>
        </row>
        <row r="818">
          <cell r="A818" t="str">
            <v>SIELMLAL191</v>
          </cell>
        </row>
        <row r="819">
          <cell r="A819" t="str">
            <v>SIELMLAL192</v>
          </cell>
        </row>
        <row r="820">
          <cell r="A820" t="str">
            <v>SIELMLAL193</v>
          </cell>
        </row>
        <row r="821">
          <cell r="A821" t="str">
            <v>SIELMLAL194</v>
          </cell>
        </row>
        <row r="822">
          <cell r="A822" t="str">
            <v>SIELMLAL195</v>
          </cell>
        </row>
        <row r="823">
          <cell r="A823" t="str">
            <v>SIELMLC1067</v>
          </cell>
        </row>
        <row r="824">
          <cell r="A824" t="str">
            <v>SIELCRAL024</v>
          </cell>
        </row>
        <row r="825">
          <cell r="A825" t="str">
            <v>SIELCTAL086</v>
          </cell>
        </row>
        <row r="826">
          <cell r="A826" t="str">
            <v>SIELITAL011</v>
          </cell>
        </row>
        <row r="827">
          <cell r="A827" t="str">
            <v>SIELMLAL196</v>
          </cell>
        </row>
        <row r="828">
          <cell r="A828" t="str">
            <v>SIELMLAL197</v>
          </cell>
        </row>
        <row r="829">
          <cell r="A829" t="str">
            <v>SIELCTAL087</v>
          </cell>
        </row>
        <row r="830">
          <cell r="A830" t="str">
            <v>SIELCTAL088</v>
          </cell>
        </row>
        <row r="831">
          <cell r="A831" t="str">
            <v>SIELMLX6046</v>
          </cell>
        </row>
        <row r="832">
          <cell r="A832" t="str">
            <v>SIELPRAL043</v>
          </cell>
        </row>
        <row r="833">
          <cell r="A833" t="str">
            <v>SIELCTAL089</v>
          </cell>
        </row>
        <row r="834">
          <cell r="A834" t="str">
            <v>SIELCRAL025</v>
          </cell>
        </row>
        <row r="835">
          <cell r="A835" t="str">
            <v>SIELMLAL198</v>
          </cell>
        </row>
        <row r="836">
          <cell r="A836" t="str">
            <v>SIELMLAL199</v>
          </cell>
        </row>
        <row r="837">
          <cell r="A837" t="str">
            <v>SIELMLAL200</v>
          </cell>
        </row>
        <row r="838">
          <cell r="A838" t="str">
            <v>SIELMLAL201</v>
          </cell>
        </row>
        <row r="839">
          <cell r="A839" t="str">
            <v>SIELCAMAL001</v>
          </cell>
        </row>
        <row r="840">
          <cell r="A840" t="str">
            <v>SIELCAMAL002</v>
          </cell>
        </row>
        <row r="841">
          <cell r="A841" t="str">
            <v>SIELMLAL202</v>
          </cell>
        </row>
        <row r="842">
          <cell r="A842" t="str">
            <v>SIELCRAL026</v>
          </cell>
        </row>
        <row r="843">
          <cell r="A843" t="str">
            <v>SIELCTAL090</v>
          </cell>
        </row>
        <row r="844">
          <cell r="A844" t="str">
            <v>SIELCTAL091</v>
          </cell>
        </row>
        <row r="845">
          <cell r="A845" t="str">
            <v>SIELCRAL027</v>
          </cell>
        </row>
        <row r="846">
          <cell r="A846" t="str">
            <v>SIELCRAL028</v>
          </cell>
        </row>
        <row r="847">
          <cell r="A847" t="str">
            <v>SIELCRAL029</v>
          </cell>
        </row>
        <row r="848">
          <cell r="A848" t="str">
            <v>SIELMLAL203</v>
          </cell>
        </row>
        <row r="849">
          <cell r="A849">
            <v>0</v>
          </cell>
        </row>
        <row r="850">
          <cell r="A850" t="str">
            <v>SIELSSAL004</v>
          </cell>
        </row>
        <row r="851">
          <cell r="A851" t="str">
            <v>SIELSSAL005</v>
          </cell>
        </row>
        <row r="852">
          <cell r="A852" t="str">
            <v>SIELMLX6047</v>
          </cell>
        </row>
        <row r="853">
          <cell r="A853" t="str">
            <v>SIELCRAL030</v>
          </cell>
        </row>
        <row r="854">
          <cell r="A854" t="str">
            <v>SIELMLAL204</v>
          </cell>
        </row>
        <row r="855">
          <cell r="A855" t="str">
            <v>SIELMLAL205</v>
          </cell>
        </row>
        <row r="856">
          <cell r="A856" t="str">
            <v>SIELMLAL206</v>
          </cell>
        </row>
        <row r="857">
          <cell r="A857" t="str">
            <v>SIELMLAL207</v>
          </cell>
        </row>
        <row r="858">
          <cell r="A858" t="str">
            <v>SIELMLAL208</v>
          </cell>
        </row>
        <row r="859">
          <cell r="A859" t="str">
            <v>SIELPRAL044</v>
          </cell>
        </row>
        <row r="860">
          <cell r="A860" t="str">
            <v>SIELMLX6048</v>
          </cell>
        </row>
        <row r="861">
          <cell r="A861" t="str">
            <v>SIELCRAL031</v>
          </cell>
        </row>
        <row r="862">
          <cell r="A862" t="str">
            <v>SIELCRAL032</v>
          </cell>
        </row>
        <row r="863">
          <cell r="A863" t="str">
            <v>SIELACAL031</v>
          </cell>
        </row>
        <row r="864">
          <cell r="A864" t="str">
            <v>SIELPRAL045</v>
          </cell>
        </row>
        <row r="865">
          <cell r="A865" t="str">
            <v>SIELPRAL046</v>
          </cell>
        </row>
        <row r="866">
          <cell r="A866" t="str">
            <v>SIELMLAL209</v>
          </cell>
        </row>
        <row r="867">
          <cell r="A867" t="str">
            <v>SIELAUAL035</v>
          </cell>
        </row>
        <row r="868">
          <cell r="A868" t="str">
            <v>SIELLPAL034</v>
          </cell>
        </row>
        <row r="869">
          <cell r="A869" t="str">
            <v>SIELCRAL033</v>
          </cell>
        </row>
        <row r="870">
          <cell r="A870" t="str">
            <v>SIELCRAL034</v>
          </cell>
        </row>
        <row r="871">
          <cell r="A871">
            <v>0</v>
          </cell>
        </row>
        <row r="872">
          <cell r="A872">
            <v>0</v>
          </cell>
        </row>
        <row r="873">
          <cell r="A873">
            <v>0</v>
          </cell>
        </row>
        <row r="874">
          <cell r="A874">
            <v>0</v>
          </cell>
        </row>
        <row r="875">
          <cell r="A875">
            <v>0</v>
          </cell>
        </row>
        <row r="876">
          <cell r="A876">
            <v>0</v>
          </cell>
        </row>
        <row r="877">
          <cell r="A877">
            <v>0</v>
          </cell>
        </row>
        <row r="878">
          <cell r="A878">
            <v>0</v>
          </cell>
        </row>
        <row r="879">
          <cell r="A879">
            <v>0</v>
          </cell>
        </row>
        <row r="880">
          <cell r="A880">
            <v>0</v>
          </cell>
        </row>
        <row r="881">
          <cell r="A881">
            <v>0</v>
          </cell>
        </row>
        <row r="882">
          <cell r="A882">
            <v>0</v>
          </cell>
        </row>
        <row r="883">
          <cell r="A883">
            <v>0</v>
          </cell>
        </row>
        <row r="884">
          <cell r="A884">
            <v>0</v>
          </cell>
        </row>
        <row r="885">
          <cell r="A885">
            <v>0</v>
          </cell>
        </row>
        <row r="886">
          <cell r="A886">
            <v>0</v>
          </cell>
        </row>
        <row r="887">
          <cell r="A887">
            <v>0</v>
          </cell>
        </row>
        <row r="888">
          <cell r="A888">
            <v>0</v>
          </cell>
        </row>
        <row r="889">
          <cell r="A889">
            <v>0</v>
          </cell>
        </row>
        <row r="890">
          <cell r="A890">
            <v>0</v>
          </cell>
        </row>
        <row r="891">
          <cell r="A891">
            <v>0</v>
          </cell>
        </row>
        <row r="892">
          <cell r="A892">
            <v>0</v>
          </cell>
        </row>
        <row r="893">
          <cell r="A893">
            <v>0</v>
          </cell>
        </row>
        <row r="894">
          <cell r="A894">
            <v>0</v>
          </cell>
        </row>
        <row r="895">
          <cell r="A895">
            <v>0</v>
          </cell>
        </row>
        <row r="896">
          <cell r="A896">
            <v>0</v>
          </cell>
        </row>
        <row r="897">
          <cell r="A897">
            <v>0</v>
          </cell>
        </row>
        <row r="898">
          <cell r="A898">
            <v>0</v>
          </cell>
        </row>
        <row r="899">
          <cell r="A899">
            <v>0</v>
          </cell>
        </row>
        <row r="900">
          <cell r="A900">
            <v>0</v>
          </cell>
        </row>
        <row r="901">
          <cell r="A901">
            <v>0</v>
          </cell>
        </row>
      </sheetData>
      <sheetData sheetId="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c"/>
      <sheetName val="P &amp; L"/>
      <sheetName val="Sch Bsc"/>
      <sheetName val="Sche P &amp; L"/>
      <sheetName val="Sub Sch BS"/>
      <sheetName val="Sub Sch P&amp;L"/>
      <sheetName val="Cash Flow"/>
      <sheetName val="Defered tax"/>
      <sheetName val="FA Schedule"/>
      <sheetName val="Dep Working"/>
      <sheetName val="FA -addition"/>
      <sheetName val="Computation"/>
      <sheetName val="234"/>
      <sheetName val="EPS"/>
      <sheetName val="IT dep"/>
      <sheetName val="TCS"/>
      <sheetName val="TDS"/>
      <sheetName val="Sub Sch BS ROUGH"/>
    </sheetNames>
    <sheetDataSet>
      <sheetData sheetId="0"/>
      <sheetData sheetId="1"/>
      <sheetData sheetId="2"/>
      <sheetData sheetId="3"/>
      <sheetData sheetId="4" refreshError="1"/>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تدفقات و مدفوعات"/>
      <sheetName val="WORK COV"/>
      <sheetName val="اجور .ف1"/>
      <sheetName val="سلعيه"/>
      <sheetName val="خدمى"/>
      <sheetName val="مقاولين"/>
      <sheetName val="تحو"/>
      <sheetName val="تخصيصيه"/>
      <sheetName val="اهلاك"/>
      <sheetName val="معد .خ"/>
      <sheetName val="معد .ث"/>
      <sheetName val="B2826"/>
      <sheetName val="Index"/>
      <sheetName val="Form 1"/>
      <sheetName val="Form 2"/>
      <sheetName val="Form 3"/>
      <sheetName val="Form 4"/>
      <sheetName val="Form 5"/>
      <sheetName val="Form 7"/>
      <sheetName val="Form 6"/>
      <sheetName val="Form 8"/>
      <sheetName val="Form 9"/>
      <sheetName val="Form 10"/>
      <sheetName val="Form 11"/>
      <sheetName val="S1BOQ"/>
      <sheetName val="S2groupcode"/>
      <sheetName val="S3workplanqty"/>
      <sheetName val="S3workplanamt"/>
      <sheetName val="Shadow BOQ"/>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eason Dircost"/>
      <sheetName val="Chart1"/>
      <sheetName val="Chart-2"/>
      <sheetName val="Chart3"/>
      <sheetName val="Expenses"/>
      <sheetName val="turnover"/>
      <sheetName val="Chart4"/>
      <sheetName val="Chart5"/>
      <sheetName val="Sheet3"/>
      <sheetName val="est"/>
      <sheetName val="02.06.07 (2)"/>
      <sheetName val="B2753"/>
      <sheetName val="Page-1"/>
      <sheetName val="page-2"/>
      <sheetName val="Page-3"/>
      <sheetName val="Page-4"/>
      <sheetName val="Page-5"/>
      <sheetName val="Page-6"/>
      <sheetName val="30-7"/>
      <sheetName val="Proj Details"/>
      <sheetName val="."/>
      <sheetName val="Final Tender"/>
      <sheetName val="Sch A-Viaduct"/>
      <sheetName val="Sch A - Typ Station "/>
      <sheetName val="Q-Abstract"/>
      <sheetName val="FOB"/>
      <sheetName val=","/>
      <sheetName val=";"/>
      <sheetName val="Sch B"/>
      <sheetName val="Strip Plan"/>
      <sheetName val="Major Items"/>
      <sheetName val="Cost of equip,fabrication"/>
      <sheetName val="Schedule"/>
      <sheetName val="Late start"/>
      <sheetName val="early start"/>
      <sheetName val="Q-INP"/>
      <sheetName val="Q Baricade"/>
      <sheetName val="Q-Pil"/>
      <sheetName val="Q-PC"/>
      <sheetName val="Q-Pier"/>
      <sheetName val="Q-Seg"/>
      <sheetName val="Q-Para"/>
      <sheetName val="Q-CB"/>
      <sheetName val="Q-Be"/>
      <sheetName val="Q-HTS"/>
      <sheetName val="Q-CT"/>
      <sheetName val="Q-OS"/>
      <sheetName val="Q HR"/>
      <sheetName val="R-Mat"/>
      <sheetName val="R-Subcon"/>
      <sheetName val="R-Hire"/>
      <sheetName val="Equip Depl"/>
      <sheetName val="R-Con"/>
      <sheetName val="R-Stations"/>
      <sheetName val="R-Pil"/>
      <sheetName val="R-PC"/>
      <sheetName val="R-Pier"/>
      <sheetName val="R-Void Slab"/>
      <sheetName val="R-Seg"/>
      <sheetName val="R-Prest"/>
      <sheetName val="R-Laun"/>
      <sheetName val="R-OS"/>
      <sheetName val="R-SKB"/>
      <sheetName val="R-Bear"/>
      <sheetName val="R-CB"/>
      <sheetName val="R-Para"/>
      <sheetName val="R - portal"/>
      <sheetName val="R CLC"/>
      <sheetName val="R-CT"/>
      <sheetName val="P-Summary"/>
      <sheetName val="P-Ins &amp; Bonds"/>
      <sheetName val="P-Finance"/>
      <sheetName val="P-Salary"/>
      <sheetName val="P Staff fac"/>
      <sheetName val="P-Site fac"/>
      <sheetName val="P-Clients fac"/>
      <sheetName val="P-others"/>
      <sheetName val="P-Travel"/>
      <sheetName val="P-Admn"/>
      <sheetName val="P-Lab"/>
      <sheetName val="P Cash Flow"/>
      <sheetName val="??? .?"/>
      <sheetName val="Total Collection"/>
      <sheetName val="DMRC3"/>
      <sheetName val="BORING "/>
      <sheetName val="LINER"/>
      <sheetName val="EXPANSION JOINT"/>
      <sheetName val="CIS MAIN BERTH-1"/>
      <sheetName val="BOQ 725-769"/>
      <sheetName val="EVM-INDEX"/>
      <sheetName val="Flow Chart"/>
      <sheetName val="EVM1-Proj1"/>
      <sheetName val="EVM2-Proj1"/>
      <sheetName val="EVM2-Proj2"/>
      <sheetName val="EVM2-Proj3"/>
      <sheetName val="EVM3"/>
      <sheetName val="EVM4"/>
      <sheetName val="Performance Graph"/>
      <sheetName val="Format"/>
      <sheetName val="cost Format"/>
      <sheetName val="CJPC   "/>
      <sheetName val="Abstract "/>
      <sheetName val="Piling MB"/>
      <sheetName val="Abs of Pile Rein"/>
      <sheetName val="Reinforcement "/>
      <sheetName val="Pre cast Beam M.B"/>
      <sheetName val="Abs of Beam"/>
      <sheetName val="Pre cast Beam BBS"/>
      <sheetName val="C.In Situ Muff M.B."/>
      <sheetName val="P.C.Muff M.B"/>
      <sheetName val="Abs.of Muff"/>
      <sheetName val="Pre &amp; cast  Muff  BBS"/>
      <sheetName val="Abs. Cross Beam "/>
      <sheetName val="Sheet1"/>
      <sheetName val="BBS CROSS Beam"/>
      <sheetName val="Cross Beam M.B. "/>
      <sheetName val="Con.Pedstal M.B."/>
      <sheetName val="BBS C.B.P."/>
      <sheetName val="Total Abstract"/>
      <sheetName val="Reco_1"/>
      <sheetName val="Reco_2"/>
      <sheetName val="Walk-way M.B."/>
      <sheetName val="concrete"/>
      <sheetName val="Con Rate"/>
      <sheetName val="concrete detail"/>
      <sheetName val="CJPC"/>
      <sheetName val="Table of Contents"/>
      <sheetName val="Table of Contents (2)"/>
      <sheetName val="Abstract-Cert"/>
      <sheetName val="Abstract"/>
      <sheetName val="Index Sheet"/>
      <sheetName val="Meas-1"/>
      <sheetName val="Meas-2"/>
      <sheetName val="Meas-3"/>
      <sheetName val="Meas-4"/>
      <sheetName val="Meas-5"/>
      <sheetName val="Meas-6"/>
      <sheetName val="Extra Item"/>
      <sheetName val="1.04-1"/>
      <sheetName val="2.01(a)-1"/>
      <sheetName val="G-13 2.01-2"/>
      <sheetName val="G-13 2.01-3"/>
      <sheetName val="G-13 2.01-4"/>
      <sheetName val="R-2 2.01-5"/>
      <sheetName val="MRR-1 2.01-6"/>
      <sheetName val="G-13 2.01-7"/>
      <sheetName val="2.01-b-II-1"/>
      <sheetName val="2.01-b-II-2"/>
      <sheetName val="2.01-b-II-3"/>
      <sheetName val="2.07-1"/>
      <sheetName val="2.07-2"/>
      <sheetName val="2.07-3"/>
      <sheetName val="2.07-4"/>
      <sheetName val="2.07-5"/>
      <sheetName val="2.07-6"/>
      <sheetName val="3.01-1"/>
      <sheetName val="3.01-2"/>
      <sheetName val="3.01-3"/>
      <sheetName val="3.01-4"/>
      <sheetName val="3.01-5"/>
      <sheetName val="3.02-1"/>
      <sheetName val="3.02-2"/>
      <sheetName val="3.02-3"/>
      <sheetName val="3.02-4"/>
      <sheetName val="3.02-5"/>
      <sheetName val="3.02-6"/>
      <sheetName val="3.02-7"/>
      <sheetName val="3.02-8"/>
      <sheetName val="3.02-9"/>
      <sheetName val="3.02-10"/>
      <sheetName val="3.02-11"/>
      <sheetName val="3.02-13"/>
      <sheetName val="4.01-1"/>
      <sheetName val="4.02-1"/>
      <sheetName val="4.04-1"/>
      <sheetName val="4.04-2"/>
      <sheetName val="E03-1"/>
      <sheetName val="E03-2"/>
      <sheetName val="E12-1"/>
      <sheetName val="Rock Filling"/>
      <sheetName val="Cement Reconciliation"/>
      <sheetName val="Bitumen Reconciliation"/>
      <sheetName val="Steel"/>
      <sheetName val="Bitumen"/>
      <sheetName val="Bitumen-Consumption"/>
      <sheetName val="Prime Coat"/>
      <sheetName val="Tack Coat"/>
      <sheetName val="BM"/>
      <sheetName val="DBM"/>
      <sheetName val="Gate Pass"/>
      <sheetName val="print"/>
      <sheetName val="Bill"/>
      <sheetName val="Final"/>
      <sheetName val="Sheet2"/>
      <sheetName val="SEP-08(34)"/>
      <sheetName val="SEP-08 (5-9)"/>
      <sheetName val="Meas"/>
      <sheetName val="CJPC (2)"/>
      <sheetName val="RA-markate"/>
      <sheetName val="Civil Boq"/>
      <sheetName val="___ ._"/>
      <sheetName val="산근"/>
      <sheetName val="#REF"/>
      <sheetName val="000000"/>
      <sheetName val="XXXXXX"/>
      <sheetName val="KUWATI(Total) "/>
      <sheetName val="GC-01"/>
      <sheetName val="GC-02"/>
      <sheetName val="GC-03"/>
      <sheetName val="GC-04"/>
      <sheetName val="GC-07"/>
      <sheetName val="GC-08"/>
      <sheetName val="GC-09"/>
      <sheetName val="GC-10"/>
      <sheetName val="GC-19"/>
      <sheetName val="GC-21"/>
      <sheetName val="GC-22"/>
      <sheetName val="집계표(OPTION)"/>
      <sheetName val="OPTION 2"/>
      <sheetName val="OPTION 3"/>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2002년 현장공사비 국내 실적"/>
      <sheetName val="2003년국내현장공사비 실적"/>
      <sheetName val="_REF"/>
      <sheetName val="집계표_OPTION_"/>
      <sheetName val="당초"/>
      <sheetName val="단가(자재)"/>
      <sheetName val="단가(노임)"/>
      <sheetName val="기초목록"/>
      <sheetName val="노임단가"/>
      <sheetName val="???"/>
      <sheetName val="VC2 10.99"/>
      <sheetName val="예산"/>
      <sheetName val="KP1590_E"/>
      <sheetName val="영업2"/>
      <sheetName val="1월"/>
      <sheetName val="inter"/>
      <sheetName val="ERECIN"/>
      <sheetName val="INPUT DATA"/>
      <sheetName val="BQMPALOC"/>
      <sheetName val="공문"/>
      <sheetName val="영업3"/>
      <sheetName val="금액내역서"/>
      <sheetName val="BQ_Utl_Off"/>
      <sheetName val="??"/>
      <sheetName val="수입"/>
      <sheetName val="집계표 (25,26ဩ"/>
      <sheetName val="»ê±Ù"/>
      <sheetName val="12CGOU"/>
      <sheetName val="경영혁신본부"/>
      <sheetName val="Final(1)summary"/>
      <sheetName val="BD集計用"/>
      <sheetName val="연돌일위집계"/>
      <sheetName val="Form 0"/>
      <sheetName val="COVER"/>
      <sheetName val="___"/>
      <sheetName val="DESCRIPTION"/>
      <sheetName val="95삼성급(본사)"/>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갑지"/>
      <sheetName val="세금자료"/>
      <sheetName val="Form D-1"/>
      <sheetName val="Form B-1"/>
      <sheetName val="Form F-1"/>
      <sheetName val="Assist(B-1)"/>
      <sheetName val="Form A"/>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
      <sheetName val="집계표_(25,26ဩ"/>
      <sheetName val="Form_0"/>
      <sheetName val="Form_D-1"/>
      <sheetName val="Form_B-1"/>
      <sheetName val="Form_F-1"/>
      <sheetName val="Form_A"/>
      <sheetName val="Basic_Rate"/>
      <sheetName val="appendix_2_5_final_accounts"/>
      <sheetName val="Labour"/>
      <sheetName val="Material"/>
      <sheetName val="Sheet1_(2)"/>
      <sheetName val="General Data"/>
      <sheetName val="__"/>
      <sheetName val="LABOR &amp; 자재"/>
      <sheetName val="제작도"/>
      <sheetName val="입출재고현황 (2)"/>
      <sheetName val="SANDAN"/>
      <sheetName val="뜃맟뭁돽띿맟?-BLDG"/>
      <sheetName val="SALA-002"/>
      <sheetName val="TTL"/>
      <sheetName val="DRUM"/>
      <sheetName val="eq_data"/>
      <sheetName val="기성내역"/>
      <sheetName val="General_Data"/>
      <sheetName val="DHEQSUPT"/>
      <sheetName val="CB"/>
      <sheetName val="3.공통공사대비"/>
      <sheetName val="M-EQPT-Z"/>
      <sheetName val="주간기성"/>
      <sheetName val="간접비 총괄"/>
      <sheetName val="POWER"/>
      <sheetName val="ESCON"/>
      <sheetName val="뜃맟뭁돽띿맟_-BLDG"/>
      <sheetName val="내역ࠜĀ_x0000_M4)"/>
      <sheetName val="???(OPTION)"/>
      <sheetName val="B"/>
      <sheetName val="IN"/>
      <sheetName val="Price Schedule"/>
      <sheetName val="간접비내역-1"/>
      <sheetName val="Lup2"/>
      <sheetName val="당진1,2호기전선관설치및접지4차공사내역서-을지"/>
      <sheetName val="노임단가표"/>
      <sheetName val="6PILE  (돌출)"/>
      <sheetName val="h-013211-2"/>
      <sheetName val="표지"/>
      <sheetName val="Cash2"/>
      <sheetName val="Z"/>
      <sheetName val="A"/>
      <sheetName val="내역서 耰&quot;_x0000__x0000_"/>
      <sheetName val="_x0008_"/>
      <sheetName val="비교검토"/>
      <sheetName val="合成単価作成表-BLDG"/>
      <sheetName val="INSTR"/>
      <sheetName val="BOROUGE2"/>
      <sheetName val="CAL."/>
      <sheetName val="EQT-ESTN"/>
      <sheetName val="???¡§????"/>
      <sheetName val="????¢ç¢®¡¿????"/>
      <sheetName val="??????????¢ç??????"/>
      <sheetName val="???????¢ç¢®¢¯????"/>
      <sheetName val="???????®¡¿????"/>
      <sheetName val="??????????????????"/>
      <sheetName val="PRICES"/>
      <sheetName val="Q&amp;pl-V"/>
      <sheetName val="WE'T"/>
      <sheetName val="CTEMCOST"/>
      <sheetName val="Rate Analysis"/>
      <sheetName val="내역ࠜĀ?M4)"/>
      <sheetName val="F4-F7"/>
      <sheetName val="내역서 耰&quot;??"/>
      <sheetName val="24V"/>
      <sheetName val="EQUIPMENT -2"/>
      <sheetName val="LEGEND"/>
      <sheetName val="내역ࠜĀ_x005f_x0000_M4)"/>
      <sheetName val="물량"/>
      <sheetName val="WEIGHT LIST"/>
      <sheetName val="산#2-1 (2)"/>
      <sheetName val="POL6차-PIPING"/>
      <sheetName val="산#3-1"/>
      <sheetName val="BEND LOSS"/>
      <sheetName val="찍기"/>
      <sheetName val="PBS"/>
      <sheetName val="내역서 耰&quot;_x005f_x0000__x005f_x0000_"/>
      <sheetName val="_x005f_x0008_"/>
      <sheetName val="내역ࠜĀ_x005f_x005f_x005f_x0000_M4)"/>
      <sheetName val="PI"/>
      <sheetName val="EQUIP LIST"/>
      <sheetName val="내역"/>
      <sheetName val="단면 (2)"/>
      <sheetName val="SOURCE"/>
      <sheetName val="실행"/>
      <sheetName val="EQUIP"/>
      <sheetName val="공사비 내역 (가)"/>
      <sheetName val="Static Equip"/>
      <sheetName val="CAT_5"/>
      <sheetName val="3.Breakdown Direct Paint"/>
      <sheetName val="Spl"/>
      <sheetName val="내역ࠜĀ"/>
      <sheetName val="PROCURE"/>
      <sheetName val="BID"/>
      <sheetName val="국내"/>
      <sheetName val="Form A "/>
      <sheetName val="jobhist"/>
      <sheetName val="Quantity"/>
      <sheetName val="___(OPTION)"/>
      <sheetName val="____¢ç¢®¡¿____"/>
      <sheetName val="__________¢ç______"/>
      <sheetName val="___¡§____"/>
      <sheetName val="_______¢ç¢®¢¯____"/>
      <sheetName val="_______®¡¿____"/>
      <sheetName val="__________________"/>
      <sheetName val="내역서 耰&quot;__"/>
      <sheetName val="Summary Sheets"/>
      <sheetName val="내역서 耰&quot;"/>
      <sheetName val="내역ࠜĀ_M4)"/>
      <sheetName val="AOC"/>
      <sheetName val="01"/>
      <sheetName val="02"/>
      <sheetName val="03"/>
      <sheetName val="04"/>
      <sheetName val="05"/>
      <sheetName val="06"/>
      <sheetName val="07"/>
      <sheetName val="08"/>
      <sheetName val="09"/>
      <sheetName val="BoQ"/>
      <sheetName val="Budget Bearing _Samut"/>
      <sheetName val="Qty Bearing-Samut"/>
      <sheetName val="Basic Rate"/>
      <sheetName val="Summary of Cost"/>
      <sheetName val="Bill- 1"/>
      <sheetName val="Bill- 2"/>
      <sheetName val="Bill- 3"/>
      <sheetName val="Bill- 4"/>
      <sheetName val="Bill- 5"/>
      <sheetName val="Bill- 6"/>
      <sheetName val="Bill- 7"/>
      <sheetName val="Bill-8"/>
      <sheetName val="Bill- 9"/>
      <sheetName val="Bill- 10"/>
      <sheetName val="Bill-11"/>
      <sheetName val="Bill-12"/>
      <sheetName val="Bill-13"/>
      <sheetName val="Bill- 14"/>
      <sheetName val="Sheet1 (2)"/>
      <sheetName val="Copy of Prog"/>
      <sheetName val="B2826 Cost Bkp"/>
      <sheetName val="B2827"/>
      <sheetName val="B2827 Cost Bkp"/>
      <sheetName val="B2833"/>
      <sheetName val="B2833 Cost Bkp"/>
      <sheetName val="NS 34 &amp; 35 H1,11 CTC Analysis"/>
      <sheetName val="appendix 2.5 final accounts"/>
      <sheetName val="ftstaff"/>
      <sheetName val="1 Labour"/>
      <sheetName val="Station for phy s curve"/>
      <sheetName val="for phy s curve viaduct"/>
      <sheetName val="Rev Cash Flow"/>
      <sheetName val="fin S Curve"/>
      <sheetName val="for phy s curve FOB"/>
      <sheetName val="for phy s curve sch B"/>
      <sheetName val="Budget"/>
      <sheetName val="BCWS-CTC"/>
      <sheetName val="CTC Summary"/>
      <sheetName val="BCWP"/>
      <sheetName val="Site &amp; Administration Cost"/>
      <sheetName val="EVM1"/>
      <sheetName val="EVM2"/>
      <sheetName val="EVM4A"/>
      <sheetName val="EVM5"/>
      <sheetName val="EVM5- Revised"/>
      <sheetName val="W block"/>
      <sheetName val="Table 41"/>
      <sheetName val="Table 9"/>
      <sheetName val="Table11"/>
      <sheetName val="K-1"/>
      <sheetName val="K-2"/>
      <sheetName val="K-3"/>
      <sheetName val="Table 1"/>
      <sheetName val="Table 2"/>
      <sheetName val="Table 3"/>
      <sheetName val="Table 4"/>
      <sheetName val="Table 5"/>
      <sheetName val="Table 6"/>
      <sheetName val="Pivot"/>
      <sheetName val="Pivot 2"/>
      <sheetName val="DOT-Customer-data"/>
      <sheetName val="Fund Utilisation"/>
      <sheetName val="Consol"/>
      <sheetName val="Hyderabad_NLA"/>
      <sheetName val="Silokhera_NLA"/>
      <sheetName val="Cyber City_NLA"/>
      <sheetName val="Chennai_NLA"/>
      <sheetName val="Summary"/>
      <sheetName val="Chennai "/>
      <sheetName val="Tenant-Chennai"/>
      <sheetName val="Hyderabad"/>
      <sheetName val="Tanent-W Block"/>
      <sheetName val="W block (2)"/>
      <sheetName val="Silokhera"/>
      <sheetName val="Table 7"/>
      <sheetName val="Project Data"/>
      <sheetName val="Unleased area"/>
      <sheetName val="Assumption"/>
      <sheetName val="Pivot (2)"/>
      <sheetName val="Building Matrix"/>
      <sheetName val="Related - Construction"/>
      <sheetName val="TB31.12.2008"/>
      <sheetName val="BS &amp; PL"/>
      <sheetName val="Cash Flow"/>
      <sheetName val="BS Schedule"/>
      <sheetName val="Sch 4 FA Sch"/>
      <sheetName val="Sch 5- Investment"/>
      <sheetName val="P&amp;L Schedule"/>
      <sheetName val="Inventory"/>
      <sheetName val="POCM - 31.12.08"/>
      <sheetName val="Final - Plots  "/>
      <sheetName val="Final - Town Houses"/>
      <sheetName val="Deferred  Tax"/>
      <sheetName val="Tax Provision"/>
      <sheetName val="Dep As per IT act "/>
      <sheetName val="FBT-Working "/>
      <sheetName val="Details "/>
      <sheetName val="Fixed Assets Register"/>
      <sheetName val="AR TB"/>
      <sheetName val="ICD- interest Income  "/>
      <sheetName val="Interest CCD- Expenses"/>
      <sheetName val="Group -31.12.2008"/>
      <sheetName val="Related Party"/>
      <sheetName val="Balance Sheet"/>
      <sheetName val="Interest Allocation "/>
      <sheetName val="DTA &amp; C TAX"/>
      <sheetName val="One Pager"/>
      <sheetName val="P &amp; L Schedule"/>
      <sheetName val="Grouping Sheet"/>
      <sheetName val="Revised TB Ramco"/>
      <sheetName val="TB 31.03.10"/>
      <sheetName val="Ramco TB"/>
      <sheetName val="Pocm Sheet"/>
      <sheetName val="Q-1 Sale"/>
      <sheetName val="Project Summary"/>
      <sheetName val="Fixed Assets "/>
      <sheetName val="IT -Assets"/>
      <sheetName val="Furniture &amp; Fixture"/>
      <sheetName val="office equipment"/>
      <sheetName val="Leasehold"/>
      <sheetName val="Development Rights"/>
      <sheetName val="PF Details"/>
      <sheetName val="DRDL Int ICD"/>
      <sheetName val="DCDL Int ICD"/>
      <sheetName val="DHDL Int. CCD"/>
      <sheetName val="Clogs Int.CCD"/>
      <sheetName val="Epop Working"/>
      <sheetName val="Rent Equalization"/>
      <sheetName val="GAM Text"/>
      <sheetName val="BS SAC YS Ver 2.0"/>
      <sheetName val="P&amp;L SAC YS Ver 2.0"/>
      <sheetName val="BS SAC Ver 1.0"/>
      <sheetName val="P&amp;L SAC Ver 1.0"/>
      <sheetName val="YS SAC"/>
      <sheetName val="Schedule VI"/>
      <sheetName val="foundation"/>
      <sheetName val="substructure"/>
      <sheetName val="PSC SUP(5x15)"/>
      <sheetName val="PSC SUP(5x15) SR"/>
      <sheetName val="FIXED ITEMS"/>
      <sheetName val="Area Statement"/>
      <sheetName val="Calculation sheet"/>
      <sheetName val="Shuttering"/>
      <sheetName val="Eqpt.Running"/>
      <sheetName val="BOQ-CODE-SFP "/>
      <sheetName val="Activitywise Qty"/>
      <sheetName val="Time"/>
      <sheetName val="Qty"/>
      <sheetName val="Requiered"/>
      <sheetName val="Module1"/>
      <sheetName val="operat_staff"/>
      <sheetName val="Rate Ana"/>
      <sheetName val="estimate"/>
      <sheetName val="Book1"/>
      <sheetName val="BHANDUP"/>
      <sheetName val="PLAN_FEB97"/>
      <sheetName val=""/>
      <sheetName val="Bridges"/>
      <sheetName val="Bridges (Abst)"/>
      <sheetName val="Overpass"/>
      <sheetName val="Slab Culvert"/>
      <sheetName val="Underpass"/>
      <sheetName val="Admin"/>
      <sheetName val="Decision Table"/>
      <sheetName val="Dates"/>
      <sheetName val="EPC Cost"/>
      <sheetName val="PrjCost Assumptions"/>
      <sheetName val="Finance Assumptions"/>
      <sheetName val="Revenue Assumptions"/>
      <sheetName val="Traffic Assum"/>
      <sheetName val="TP1 - High Case"/>
      <sheetName val="TP1 - Base Case"/>
      <sheetName val="TP1 - Low Case"/>
      <sheetName val="TP2 - High Case"/>
      <sheetName val="TP2 - Base Case"/>
      <sheetName val="TP2 - Low Case"/>
      <sheetName val="O&amp;M Assumptions"/>
      <sheetName val="Abstract (2)"/>
      <sheetName val="Project Cost"/>
      <sheetName val="MoF"/>
      <sheetName val="LoanSch - Options"/>
      <sheetName val="LoanSch"/>
      <sheetName val="Securitization"/>
      <sheetName val="Traffic"/>
      <sheetName val="Toll Rates"/>
      <sheetName val="Toll Revenues"/>
      <sheetName val="O&amp;M"/>
      <sheetName val="Misc"/>
      <sheetName val="Revenue Share"/>
      <sheetName val="Profit &amp; Loss"/>
      <sheetName val="Ratios"/>
      <sheetName val="Traffic&gt;&gt;"/>
      <sheetName val="High Case"/>
      <sheetName val="Base case with Ganga"/>
      <sheetName val="Base case without Ganga"/>
      <sheetName val="Low Case"/>
      <sheetName val="O&amp;M&gt;&gt;"/>
      <sheetName val="Capex Cost"/>
      <sheetName val="Maintainence per kms cost"/>
      <sheetName val="MAintenance cost per month"/>
      <sheetName val="ATMS and Toll system"/>
      <sheetName val="staff"/>
      <sheetName val="Periodic Maintaince"/>
      <sheetName val="Road-Analysis"/>
      <sheetName val="Road-Boq"/>
      <sheetName val="Analy"/>
      <sheetName val="AppeE"/>
      <sheetName val="Boq-with fire"/>
      <sheetName val="Boq-wo fire"/>
      <sheetName val="Compare"/>
      <sheetName val="Shutter"/>
      <sheetName val="Appendix-E"/>
      <sheetName val="ANALYS"/>
      <sheetName val="Summary - Page 1"/>
      <sheetName val="Interest"/>
      <sheetName val="Facility"/>
      <sheetName val="P&amp;M"/>
      <sheetName val="Salary"/>
      <sheetName val="cons profitability statement"/>
      <sheetName val="cons volume"/>
      <sheetName val="cons captial employed"/>
      <sheetName val="cons cashflow"/>
      <sheetName val="cons scorecard"/>
      <sheetName val="agro_cons"/>
      <sheetName val="agroQrtWise"/>
      <sheetName val="Sumary"/>
      <sheetName val="AGRO Summary (2)"/>
      <sheetName val="energy only (2)"/>
      <sheetName val="energy _cashflow"/>
      <sheetName val="AGRO Summary"/>
      <sheetName val="agrops&amp;ce"/>
      <sheetName val="MSEZ_PMC 28022007"/>
      <sheetName val="MSEZL 28022007"/>
      <sheetName val="BS Group"/>
      <sheetName val="Grouping MSEZL"/>
      <sheetName val="Pivot Trial Balance"/>
      <sheetName val="MPSEZL"/>
      <sheetName val="PMC_MPSEZL"/>
      <sheetName val="MSEZ"/>
      <sheetName val="PMC_MSEZ"/>
      <sheetName val="ACL"/>
      <sheetName val="Grouping"/>
      <sheetName val="Trial Balances"/>
      <sheetName val="Highlight"/>
      <sheetName val="BirdEyeView"/>
      <sheetName val="Mundraport"/>
      <sheetName val="ContainerTerminal"/>
      <sheetName val="Container_Working"/>
      <sheetName val="SBMTerminal"/>
      <sheetName val="SBM_Working"/>
      <sheetName val="Variation"/>
      <sheetName val="AEL_NonAEL"/>
      <sheetName val="Marinesummary"/>
      <sheetName val="Marine_Working"/>
      <sheetName val="Marine_variation"/>
      <sheetName val="BerthFinIndicators"/>
      <sheetName val="DrySummary"/>
      <sheetName val="Dry_Working"/>
      <sheetName val="Coal"/>
      <sheetName val="DryCargo_THC"/>
      <sheetName val="DryCargo_THC (2)"/>
      <sheetName val="Liquid"/>
      <sheetName val="LiquidWorking"/>
      <sheetName val="Rail_Summary"/>
      <sheetName val="Rail_Working"/>
      <sheetName val="OtherIncome"/>
      <sheetName val="OtherIncome_Working"/>
      <sheetName val="Electricity"/>
      <sheetName val="FOH Details"/>
      <sheetName val="salient feature"/>
      <sheetName val="Brief Scope of work"/>
      <sheetName val="PVC"/>
      <sheetName val="Insurance"/>
      <sheetName val="BG"/>
      <sheetName val="Priority"/>
      <sheetName val="Payment"/>
      <sheetName val="Norms "/>
      <sheetName val="Eqpt Nos"/>
      <sheetName val="Cycle Time"/>
      <sheetName val="GC"/>
      <sheetName val="M.Qty"/>
      <sheetName val="Subcon Master"/>
      <sheetName val="Subcon"/>
      <sheetName val="Equipment Hr"/>
      <sheetName val="Material (2)"/>
      <sheetName val="S0 Key dates"/>
      <sheetName val="S41-1MATqty-code"/>
      <sheetName val="S41-2MATexp-code"/>
      <sheetName val="Note 14 (4)"/>
      <sheetName val="Fin P&amp;L"/>
      <sheetName val="notes to balancesheet and P&amp;L"/>
      <sheetName val="Fin BS"/>
      <sheetName val="NCL-fsv"/>
      <sheetName val="Significant ACing Policies"/>
      <sheetName val="Fixed Assets Schedule"/>
      <sheetName val="CASHFLOW"/>
      <sheetName val="CASH FLOW WORKING"/>
      <sheetName val="NCA as on 31.03.2012"/>
      <sheetName val="NCA "/>
      <sheetName val="BC as on 31.03.2012"/>
      <sheetName val="BC As on 31.03.2011"/>
      <sheetName val="NCL as on 31.03.2012"/>
      <sheetName val="SL_TB 2011"/>
      <sheetName val="Borrowings-sch.(31.12.2011)"/>
      <sheetName val="list of FDs kept as security"/>
      <sheetName val="status of Borrowings dec'11"/>
      <sheetName val="Note 14"/>
      <sheetName val="DLP status"/>
      <sheetName val="IDBI 3 Receipts Accrued"/>
      <sheetName val="Loans-CL and NCL"/>
      <sheetName val="exchange diff(31.12.2011)"/>
      <sheetName val="FD-YEs Bank"/>
      <sheetName val="UBI"/>
      <sheetName val="SBH"/>
      <sheetName val="IOB"/>
      <sheetName val="canara"/>
      <sheetName val="final 3 receipts"/>
      <sheetName val="Tirupur Court IDBI FD"/>
      <sheetName val="IDBI-GOMTI FD"/>
      <sheetName val="Lead Schedule"/>
      <sheetName val="N1.1"/>
      <sheetName val="N1.3"/>
      <sheetName val="N1.6"/>
      <sheetName val="N.2.13"/>
      <sheetName val="N1.8"/>
      <sheetName val="E.1"/>
      <sheetName val="E.2"/>
      <sheetName val="E.3"/>
      <sheetName val="POCM Working"/>
      <sheetName val="Q-2 Revised Sale Report"/>
      <sheetName val="Q2 Sale Report"/>
      <sheetName val="Q1 Sale Report "/>
      <sheetName val="Q3 Sale report"/>
      <sheetName val="Development Right"/>
      <sheetName val="Personnel expenses"/>
      <sheetName val="Kakanad"/>
      <sheetName val="Sriperamathur"/>
      <sheetName val="OMR - II"/>
      <sheetName val="Constructions Expenses"/>
      <sheetName val="Management expenses"/>
      <sheetName val="Project Management Expenses"/>
      <sheetName val="Financial expenses"/>
      <sheetName val="Interest allocation June 10"/>
      <sheetName val="Interest allocation Mar 2010"/>
      <sheetName val="._ls___ls___ls_Site Detail"/>
      <sheetName val="._ls_._ls_._ls_Site Detail"/>
      <sheetName val="po"/>
      <sheetName val="landed cost tower cranes"/>
      <sheetName val="Tender Summary"/>
      <sheetName val="Markup"/>
      <sheetName val="CCS"/>
      <sheetName val="Non-Rec"/>
      <sheetName val="Data"/>
      <sheetName val="Prelims"/>
      <sheetName val="Bill1"/>
      <sheetName val="1.1 Staff"/>
      <sheetName val="3.1 Labour"/>
      <sheetName val="4.1 Site_Offices"/>
      <sheetName val="6.1 Plant"/>
      <sheetName val="6.5.1 Ext Scaffold"/>
      <sheetName val="6.5.2 Int Scaffold"/>
      <sheetName val="POCM"/>
      <sheetName val="POCM - Entries"/>
      <sheetName val="POCM - working"/>
      <sheetName val="Inventory Main sheet"/>
      <sheetName val="Construction"/>
      <sheetName val="Approval Cost"/>
      <sheetName val="EDC IDC"/>
      <sheetName val="EDC &amp; IDC 118.562"/>
      <sheetName val="EDC &amp; IDC 34.01"/>
      <sheetName val="GL_SL-ACC CODE MATRIX"/>
      <sheetName val="GL-ACCOUNT CODE MAPPING"/>
      <sheetName val="coa_ramco_168"/>
      <sheetName val="Annexure"/>
      <sheetName val="Trial Balance"/>
      <sheetName val="Capital work in Progress"/>
      <sheetName val="CAPTLISATION OF INTEREST"/>
      <sheetName val="Consolidation Cash Flow"/>
      <sheetName val="Capital Commitment"/>
      <sheetName val="depreciation"/>
      <sheetName val="Prov Dec'09 (1)"/>
      <sheetName val="Prov Dec'09 (2)"/>
      <sheetName val="MLCP"/>
      <sheetName val="BALSHEET"/>
      <sheetName val="PROFIT&amp;LOSS"/>
      <sheetName val="Sech 01,02,03"/>
      <sheetName val="Sech 04"/>
      <sheetName val="Sch 05,06,07,08"/>
      <sheetName val="Sech 09,10"/>
      <sheetName val="Sech 11,12"/>
      <sheetName val="Sech 13,14,15,16"/>
      <sheetName val="6310"/>
      <sheetName val="6300"/>
      <sheetName val="7100"/>
      <sheetName val="5400"/>
      <sheetName val="5300"/>
      <sheetName val="5100"/>
      <sheetName val="5500"/>
      <sheetName val="8100"/>
      <sheetName val="8400"/>
      <sheetName val="Misc Expe"/>
      <sheetName val="S DR"/>
      <sheetName val="S CR"/>
      <sheetName val="8300 (3)"/>
      <sheetName val="Interest-8600"/>
      <sheetName val="6100"/>
      <sheetName val="8500"/>
      <sheetName val="Trial 31Dec07"/>
      <sheetName val="analysis"/>
      <sheetName val="summarywith exindia comparison"/>
      <sheetName val="datalcmar"/>
      <sheetName val="ex-india"/>
      <sheetName val="ebtreco"/>
      <sheetName val="DATA_INR"/>
      <sheetName val="Corp_EBTytd"/>
      <sheetName val="Global ytd"/>
      <sheetName val="Corp_Salesytd"/>
      <sheetName val="interco"/>
      <sheetName val="Backup of global consolidation "/>
      <sheetName val="Tracker"/>
      <sheetName val="Entries"/>
      <sheetName val="Provisional entries"/>
      <sheetName val="DCDL Consol June 06"/>
      <sheetName val="Infocity-Chandigarh"/>
      <sheetName val="Infocity-Kolkata"/>
      <sheetName val="DCDL-final"/>
      <sheetName val="Info city-Bangalore"/>
      <sheetName val="Info city-Hyderabad"/>
      <sheetName val="GKS"/>
      <sheetName val="Roadtech"/>
      <sheetName val="Udipti"/>
      <sheetName val="Bhoruka"/>
      <sheetName val="Shivaji"/>
      <sheetName val="Real Estate"/>
      <sheetName val="Info city- Chennai"/>
      <sheetName val="GT_Custom"/>
      <sheetName val="Passion"/>
      <sheetName val="infinity "/>
      <sheetName val="Related party new-format"/>
      <sheetName val="working of related party"/>
      <sheetName val="dep 8.2006"/>
      <sheetName val="corporate green"/>
      <sheetName val="Building 8"/>
      <sheetName val="IBM"/>
      <sheetName val="dAKSH"/>
      <sheetName val="Interest 30.11.06"/>
      <sheetName val="PROVISIONS"/>
      <sheetName val="ACCENTURE"/>
      <sheetName val="cwip 11.2006"/>
      <sheetName val="Balance sheet DCCDL Nov 06"/>
      <sheetName val="Cashflow for int"/>
      <sheetName val="CosntCostdata"/>
      <sheetName val="Const cost"/>
      <sheetName val="Rental PAT"/>
      <sheetName val="BU_Quarterly (3)"/>
      <sheetName val="Detailed-FY 08-09 (2)"/>
      <sheetName val="Detail P&amp;L"/>
      <sheetName val="Qwisepatfinal"/>
      <sheetName val="Qwisepatfinal Scen2"/>
      <sheetName val="fitout margin"/>
      <sheetName val="FrontsheetNew"/>
      <sheetName val="Final Cashflow"/>
      <sheetName val="Qwisecashflow"/>
      <sheetName val="Inputsheet"/>
      <sheetName val="Inputsheet qwise"/>
      <sheetName val="Security"/>
      <sheetName val="7.5%"/>
      <sheetName val="Corporate Debts"/>
      <sheetName val="Land Repfund"/>
      <sheetName val="Clearing house"/>
      <sheetName val="Land Payables"/>
      <sheetName val="LRD"/>
      <sheetName val="LRD Computation"/>
      <sheetName val="Debtpaymentschedule"/>
      <sheetName val="Assumption Sheet"/>
      <sheetName val="Sale rate"/>
      <sheetName val="Overheads"/>
      <sheetName val="Sale data"/>
      <sheetName val="Construction data"/>
      <sheetName val="Con schedule"/>
      <sheetName val="Sales value"/>
      <sheetName val="Cost"/>
      <sheetName val="Master"/>
      <sheetName val="Phasedates"/>
      <sheetName val="Existing buildings"/>
      <sheetName val="Other incomes"/>
      <sheetName val="Other incomes12onwards"/>
      <sheetName val="GL-ACCOUNT CODE MAPPING - 8FEB"/>
      <sheetName val="RAMCO COA 8-FEB-2008"/>
      <sheetName val="GL-SL-ACC CODE MAPPING 8FEB"/>
      <sheetName val="07-08"/>
      <sheetName val="Q1 08-09"/>
      <sheetName val="Depriciation"/>
      <sheetName val="blank ..."/>
      <sheetName val="worksheet for reference"/>
      <sheetName val="Review Form A"/>
      <sheetName val="Labour Chart"/>
      <sheetName val="Subcon - JAN 05"/>
      <sheetName val="Plant"/>
      <sheetName val="Notes - Plant"/>
      <sheetName val="Payment Summary"/>
      <sheetName val="RVs"/>
      <sheetName val="Notes - Accruals"/>
      <sheetName val="Notes - Formwork"/>
      <sheetName val="Notes - Concrete"/>
      <sheetName val="Notes - Reinforcement"/>
      <sheetName val="Notes - Building Fabric"/>
      <sheetName val="Notes - Sundries"/>
      <sheetName val="Area Build 8"/>
      <sheetName val="Budget Vs Actual- Bldg.8"/>
      <sheetName val="Area"/>
      <sheetName val="Interest 30.11.2006 for 337 and"/>
      <sheetName val="Budget Vs Actual- Infinity"/>
      <sheetName val="Interest 30.11.06 exp 337 &amp; 343"/>
      <sheetName val="Net assets"/>
      <sheetName val="BELDEN06"/>
      <sheetName val="DSP-06"/>
      <sheetName val="DOD-06"/>
      <sheetName val="EDWARD"/>
      <sheetName val="CONSOL 2006"/>
      <sheetName val="New Gen06"/>
      <sheetName val="DUL06"/>
      <sheetName val="Beverly06"/>
      <sheetName val="Akruti06"/>
      <sheetName val="DHDL06"/>
      <sheetName val="BHORUKA6"/>
      <sheetName val="DSL06"/>
      <sheetName val="DRDL06"/>
      <sheetName val="Kolkata"/>
      <sheetName val="DEDL"/>
      <sheetName val="FALGUNI"/>
      <sheetName val="AYUSHI"/>
      <sheetName val="SOLID"/>
      <sheetName val="SUMEDHA"/>
      <sheetName val="GULIKA"/>
      <sheetName val="GANIKA"/>
      <sheetName val="Ananti"/>
      <sheetName val="Monishka"/>
      <sheetName val="Dhyan"/>
      <sheetName val="Abhiraj"/>
      <sheetName val="Breeze"/>
      <sheetName val="ANJULI"/>
      <sheetName val="Natwar"/>
      <sheetName val="Gyan"/>
      <sheetName val="KAMINI"/>
      <sheetName val="DHOOMKETU"/>
      <sheetName val="CARLTON"/>
      <sheetName val="AMISHI"/>
      <sheetName val="ALOKI"/>
      <sheetName val="aadarshini"/>
      <sheetName val="KAIRAV"/>
      <sheetName val="PALIWAL"/>
      <sheetName val="JWALA"/>
      <sheetName val="Passion builders"/>
      <sheetName val="VSK"/>
      <sheetName val="UMED"/>
      <sheetName val="VALINI"/>
      <sheetName val="Talika"/>
      <sheetName val="Trisha"/>
      <sheetName val="Tuhina"/>
      <sheetName val="SIMBALA"/>
      <sheetName val="DIWAKAR"/>
      <sheetName val="Shrila"/>
      <sheetName val="Sanchalli"/>
      <sheetName val="EILA"/>
      <sheetName val="Rajika"/>
      <sheetName val="GOLF"/>
      <sheetName val="PHASE IV"/>
      <sheetName val="real est limited"/>
      <sheetName val="Chennai"/>
      <sheetName val="Bangalore"/>
      <sheetName val="Chandigarh"/>
      <sheetName val="DRP"/>
      <sheetName val="Avinashi"/>
      <sheetName val="DRB"/>
      <sheetName val="WELLINGTON"/>
      <sheetName val="DPD"/>
      <sheetName val="RBD"/>
      <sheetName val="Kavicon-06"/>
      <sheetName val="NILAYAM"/>
      <sheetName val="NOIDA"/>
      <sheetName val="NILIMA"/>
      <sheetName val="DHCL"/>
      <sheetName val="Nilgiri"/>
      <sheetName val="DALMIA"/>
      <sheetName val="DCDL"/>
      <sheetName val="rec foun"/>
      <sheetName val="DFSL"/>
      <sheetName val="CPC"/>
      <sheetName val="ridgewood"/>
      <sheetName val="COMPARISON"/>
      <sheetName val="STANDALONE"/>
      <sheetName val="BS"/>
      <sheetName val="P&amp;L"/>
      <sheetName val="CF (08)"/>
      <sheetName val="addl info"/>
      <sheetName val="SH1-2"/>
      <sheetName val="SH3-4"/>
      <sheetName val="SH5-6"/>
      <sheetName val="SH7"/>
      <sheetName val="SH8-11"/>
      <sheetName val="SH12-14"/>
      <sheetName val="SH15"/>
      <sheetName val="SH16-17"/>
      <sheetName val="SH18-22"/>
      <sheetName val="SH-23"/>
      <sheetName val="cons"/>
      <sheetName val="adjustment"/>
      <sheetName val="3"/>
      <sheetName val="CF"/>
      <sheetName val="Back up working"/>
      <sheetName val="SH18-21"/>
      <sheetName val="SH-22"/>
      <sheetName val="ENTERIES"/>
      <sheetName val="STANDALONE (2)"/>
      <sheetName val="review2audit"/>
      <sheetName val="Backup"/>
      <sheetName val="SH-7"/>
      <sheetName val="SH-22-23"/>
      <sheetName val="STANDALONE (3)"/>
      <sheetName val="Standalone_BS"/>
      <sheetName val="STANDALONE (4)"/>
      <sheetName val="Lead_sheet"/>
      <sheetName val="PL_Group"/>
      <sheetName val="P&amp;L_31"/>
      <sheetName val="L&amp;A (2)"/>
      <sheetName val="BS_31"/>
      <sheetName val="Deffered_Tax"/>
      <sheetName val="Const-ggn"/>
      <sheetName val="Non-Const-GGN"/>
      <sheetName val="Saket"/>
      <sheetName val="Club-V"/>
      <sheetName val="Dwarka"/>
      <sheetName val="Mumbai_Branch"/>
      <sheetName val="Marine_drive"/>
      <sheetName val="Bangalore_Branch"/>
      <sheetName val="L&amp;a"/>
      <sheetName val="CL"/>
      <sheetName val="INTERUNIT"/>
      <sheetName val="Lucknow_Branch"/>
      <sheetName val="Interest_reco"/>
      <sheetName val="LY REGROUP"/>
      <sheetName val="bs_Group"/>
      <sheetName val="Interest-others"/>
      <sheetName val="Covera 2011-12"/>
      <sheetName val="Other"/>
      <sheetName val="FIRE SI 2009-10"/>
      <sheetName val="DT CINEMAS &amp; FC"/>
      <sheetName val="DUL"/>
      <sheetName val="GOLF CLUB"/>
      <sheetName val="SHOPPING COMPLEX"/>
      <sheetName val="SHOPPING MALL"/>
      <sheetName val="HOME"/>
      <sheetName val="WATER TANKS"/>
      <sheetName val="WIP"/>
      <sheetName val="FLOP+ Other Add On"/>
      <sheetName val="Missl"/>
      <sheetName val="Summary (2)"/>
      <sheetName val="Fire SI 2011-12"/>
      <sheetName val="DT Cinemas &amp; Food Court"/>
      <sheetName val="sold malls stock"/>
      <sheetName val="dsl emporio"/>
      <sheetName val="dsl courtyard"/>
      <sheetName val="dsl promenade"/>
      <sheetName val="dsl chandigarh mall"/>
      <sheetName val="leased mall asset(mall own co)"/>
      <sheetName val="FAR Malls DSL"/>
      <sheetName val="BKS"/>
      <sheetName val="SN"/>
      <sheetName val="city court sikander pur"/>
      <sheetName val="Gateway Tower"/>
      <sheetName val="Infinity"/>
      <sheetName val="B-8"/>
      <sheetName val="B-5"/>
      <sheetName val="B-10"/>
      <sheetName val="F-Block"/>
      <sheetName val="Saket Mall"/>
      <sheetName val="V.K.Mall"/>
      <sheetName val="Chennai-Final"/>
      <sheetName val="All Accounts Summary"/>
      <sheetName val="Major Account Summ"/>
      <sheetName val="Non-Major Account Summary"/>
      <sheetName val="Major Accounts"/>
      <sheetName val="All Accounts Detail"/>
      <sheetName val="Lying Stock 1.4.99"/>
      <sheetName val="Issues-RTS 0499 to 0999"/>
      <sheetName val="Phy Stock 30.9.99"/>
      <sheetName val="Lying Stock 30.9.99"/>
      <sheetName val="MAT0499"/>
      <sheetName val="Final Sheet"/>
      <sheetName val="MAT Summary"/>
      <sheetName val="MAT Consolidated"/>
      <sheetName val="Debit MAT 499 to 999"/>
      <sheetName val="Income"/>
      <sheetName val="Contractor wise work done (2)"/>
      <sheetName val="Contractor wise work done"/>
      <sheetName val="VCH-SLC"/>
      <sheetName val="Item Master"/>
      <sheetName val="Supplier"/>
      <sheetName val="gateway tower 0999 ctc"/>
      <sheetName val="CONTR+MATERIAL CTC"/>
      <sheetName val="Gateway Contractor 1099 - FINAL"/>
      <sheetName val="Balance Order 0110"/>
      <sheetName val="mat"/>
      <sheetName val="mat summ"/>
      <sheetName val="STR. BASEMENT WITH FDN"/>
      <sheetName val="F.ISSUE  (BASEMENT WITH FDN)"/>
      <sheetName val="STR. BASEMENT WITHOUT FDN"/>
      <sheetName val="F.ISSUE  (BASEMENT WITHOUT FDN)"/>
      <sheetName val="FINISHING (BASEMENT)"/>
      <sheetName val="Conference"/>
      <sheetName val="guidance"/>
      <sheetName val="Detailed-DCF"/>
      <sheetName val="Main Sheet"/>
      <sheetName val="Daily"/>
      <sheetName val="Rupee-P&amp;L"/>
      <sheetName val="Bill-rates"/>
      <sheetName val="Billrt-margin"/>
      <sheetName val="DCF (2)"/>
      <sheetName val="Assumptions"/>
      <sheetName val="Results"/>
      <sheetName val="Sales(%)"/>
      <sheetName val="Sales(Rsm)"/>
      <sheetName val="SalesIncr(%)"/>
      <sheetName val="Profitability"/>
      <sheetName val="Dummy"/>
      <sheetName val="EVA"/>
      <sheetName val="Qtrly"/>
      <sheetName val="HY-Analysis"/>
      <sheetName val="Questions"/>
      <sheetName val="TMT"/>
      <sheetName val="S-w exports"/>
      <sheetName val="Employees"/>
      <sheetName val="Customers"/>
      <sheetName val="Profits"/>
      <sheetName val="Content"/>
      <sheetName val="Introduction"/>
      <sheetName val="Executive Summary"/>
      <sheetName val="Basis of the Cost Plan"/>
      <sheetName val="Inclusions Exclusions"/>
      <sheetName val="Appendix A"/>
      <sheetName val="Build-up"/>
      <sheetName val="Appendix B"/>
      <sheetName val="Staff Distrubution"/>
      <sheetName val="Histogram"/>
      <sheetName val="Appendix C"/>
      <sheetName val="Org Cost Summary"/>
      <sheetName val="Organisation Costs"/>
      <sheetName val="Appendix D"/>
      <sheetName val="Key"/>
      <sheetName val="Time Line"/>
      <sheetName val="Int Walls"/>
      <sheetName val="Buildups"/>
      <sheetName val="Euros"/>
      <sheetName val="GBP"/>
      <sheetName val="Sign Off"/>
      <sheetName val="Comm Final"/>
      <sheetName val="Maint final"/>
      <sheetName val="Maint"/>
      <sheetName val="Trial_SEZ FB_31.03.10"/>
      <sheetName val="Cyber SEZ Profit (80IAB)"/>
      <sheetName val="A302101-000-017"/>
      <sheetName val="P&amp;L variance"/>
      <sheetName val="Galaxy"/>
      <sheetName val="Sheet8"/>
      <sheetName val="rent prov"/>
      <sheetName val="comm prov"/>
      <sheetName val="TDS recoverable"/>
      <sheetName val="Current Liab"/>
      <sheetName val="Debtors"/>
      <sheetName val="Loan &amp; Advances"/>
      <sheetName val="stock reco"/>
      <sheetName val="Advance Tax"/>
      <sheetName val="Income Tax"/>
      <sheetName val="maintenance income"/>
      <sheetName val="misc income"/>
      <sheetName val="Sheet5"/>
      <sheetName val="Advance Ageing"/>
      <sheetName val="Sheet4"/>
      <sheetName val="Sheet7"/>
      <sheetName val="Sheet6"/>
      <sheetName val="adjust"/>
      <sheetName val="Creditor Ageing"/>
      <sheetName val="reqt"/>
      <sheetName val="unsec Loan"/>
      <sheetName val="Advances"/>
      <sheetName val="FDR"/>
      <sheetName val="corp bank"/>
      <sheetName val="Bank book"/>
      <sheetName val="SDR"/>
      <sheetName val="Security Deposit"/>
      <sheetName val="stock"/>
      <sheetName val="maint deb"/>
      <sheetName val="rent deb"/>
      <sheetName val="Amortization Table"/>
      <sheetName val="HRM Data"/>
      <sheetName val="cflwmpbswc"/>
      <sheetName val="Working Sheet"/>
      <sheetName val="Sales &amp; Profit"/>
      <sheetName val="Perf-summary"/>
      <sheetName val="profit"/>
      <sheetName val="Explanation "/>
      <sheetName val="QMM-Graph"/>
      <sheetName val="CONSOLIDATED"/>
      <sheetName val="MHO"/>
      <sheetName val="sbu1"/>
      <sheetName val="F A Sch sbu-2"/>
      <sheetName val="sbu-3"/>
      <sheetName val="sbu-4"/>
      <sheetName val="F A SBU-5"/>
      <sheetName val="F A Sch SBU-6"/>
      <sheetName val="sbu-7"/>
      <sheetName val="sbu-9"/>
      <sheetName val="F A Sch sbu-11"/>
      <sheetName val="eob"/>
      <sheetName val="ped"/>
      <sheetName val="F A Sch NBDD"/>
      <sheetName val="F A Sch HTC"/>
      <sheetName val="F A Sch EOU"/>
      <sheetName val="eou polymer"/>
      <sheetName val="F A Sch SPBU-1"/>
      <sheetName val="Old"/>
      <sheetName val="Operating Statistics"/>
      <sheetName val="Financials"/>
      <sheetName val="Financials(O)"/>
      <sheetName val="PL"/>
      <sheetName val="70% stake"/>
      <sheetName val="BS'03"/>
      <sheetName val="Cap. Exp."/>
      <sheetName val="Three Aces"/>
      <sheetName val="Tax Calculation"/>
      <sheetName val="Labour_Cess_Bill"/>
      <sheetName val="Work done Value"/>
      <sheetName val="QUANTITY CALCULATION FULLY UNIT"/>
      <sheetName val="ACP CLADDING"/>
      <sheetName val="spider glazing"/>
      <sheetName val="challan summary"/>
      <sheetName val="page 1 of 2"/>
      <sheetName val="page 2 of 2"/>
      <sheetName val="Explanation"/>
      <sheetName val="More Exp."/>
      <sheetName val="Database"/>
      <sheetName val="E-Core version"/>
      <sheetName val="list"/>
      <sheetName val="Laptop Loan Req Form"/>
      <sheetName val="Laptop Release Form"/>
      <sheetName val="FT-06-02"/>
      <sheetName val="key dates"/>
      <sheetName val="Actual"/>
      <sheetName val="Actual projected"/>
      <sheetName val="CFForecast detail"/>
      <sheetName val="CFTable2"/>
      <sheetName val="CFGraphs"/>
      <sheetName val="CSIRO"/>
      <sheetName val="CF%Print"/>
      <sheetName val="Profit n loss varience"/>
      <sheetName val="Revenue "/>
      <sheetName val="Personnel cost"/>
      <sheetName val="Expenditure-1"/>
      <sheetName val="Income- (2)"/>
      <sheetName val="Pl items"/>
      <sheetName val="Group Summary"/>
      <sheetName val="Sap Trl as at 300606 (2)"/>
      <sheetName val="C2 - CAJEs"/>
      <sheetName val=" WIP AS ON March '12"/>
      <sheetName val="Cost for Allocation of DO"/>
      <sheetName val="TB &amp; Detail of Provision"/>
      <sheetName val="Lead Sheet"/>
      <sheetName val="Control Sheet"/>
      <sheetName val="Gross Summary"/>
      <sheetName val="Rotation"/>
      <sheetName val="adeli"/>
      <sheetName val="DHRL_OLD"/>
      <sheetName val="DHRL"/>
      <sheetName val="DHHL"/>
      <sheetName val="anabel"/>
      <sheetName val="Group Com"/>
      <sheetName val="Other Com"/>
      <sheetName val="Paean"/>
      <sheetName val="Domus RE"/>
      <sheetName val="Good"/>
      <sheetName val="HAMILTON"/>
      <sheetName val="Seemless"/>
      <sheetName val="Top-sheet "/>
      <sheetName val="con-99"/>
      <sheetName val="P&amp;L-6"/>
      <sheetName val="Sheet9"/>
      <sheetName val="Sheet10"/>
      <sheetName val="pldt"/>
      <sheetName val="consolidations AFTER FINAL TRIA"/>
      <sheetName val="CON2001"/>
      <sheetName val="BS ( Revised)"/>
      <sheetName val="PL ( revised)"/>
      <sheetName val="Note 2"/>
      <sheetName val="Note 3"/>
      <sheetName val="Note 4"/>
      <sheetName val="Note 8-11"/>
      <sheetName val="Note 5"/>
      <sheetName val="Note 12-13"/>
      <sheetName val="Note 17"/>
      <sheetName val="Note 18"/>
      <sheetName val="Note 19"/>
      <sheetName val="Note 20"/>
      <sheetName val="Note 21-22"/>
      <sheetName val="Note 15-16"/>
      <sheetName val="Note 23-24"/>
      <sheetName val="Note 25-26"/>
      <sheetName val="NOTE 27-29"/>
      <sheetName val="P&amp;L_29"/>
      <sheetName val="Y.G.Realty CCD II"/>
      <sheetName val="Akriti"/>
      <sheetName val="Laverene"/>
      <sheetName val="Flora"/>
      <sheetName val="Mufallah"/>
      <sheetName val="Sangam"/>
      <sheetName val="City Gold Investment"/>
      <sheetName val="Isabel"/>
      <sheetName val="Marala"/>
      <sheetName val="marala_OLD"/>
      <sheetName val="muafa"/>
      <sheetName val="DLF Infra Hol"/>
      <sheetName val="delanco home &amp; resort"/>
      <sheetName val="DLF Southern"/>
      <sheetName val="bhamini"/>
      <sheetName val="BABETTE"/>
      <sheetName val="aINSTEY"/>
      <sheetName val="Cayenne"/>
      <sheetName val="Calista"/>
      <sheetName val="Cachet"/>
      <sheetName val="Dabria"/>
      <sheetName val="Delta"/>
      <sheetName val="Candace"/>
      <sheetName val="Calvine"/>
      <sheetName val="Galvin"/>
      <sheetName val="Melosa"/>
      <sheetName val="Mariposa"/>
      <sheetName val="Lenore"/>
      <sheetName val="Nerina"/>
      <sheetName val="First"/>
      <sheetName val="Shinanee"/>
      <sheetName val="Royalton"/>
      <sheetName val="Rochelle"/>
      <sheetName val="Vilina"/>
      <sheetName val="Vinanti"/>
      <sheetName val="padvamasa"/>
      <sheetName val="Naja"/>
      <sheetName val="Tusti"/>
      <sheetName val="Rosalind"/>
      <sheetName val="Ernesta"/>
      <sheetName val="Adeline"/>
      <sheetName val="Belden"/>
      <sheetName val="Domus"/>
      <sheetName val="Akiva"/>
      <sheetName val="Best"/>
      <sheetName val="Betha"/>
      <sheetName val="Beyonce"/>
      <sheetName val="Cadence"/>
      <sheetName val="Devdutta"/>
      <sheetName val="Devak"/>
      <sheetName val="Karida"/>
      <sheetName val="Lgnacio"/>
      <sheetName val="Subodhini"/>
      <sheetName val="Tamonash"/>
      <sheetName val="Tamish"/>
      <sheetName val="Vamil"/>
      <sheetName val="Zareb"/>
      <sheetName val="Eskana"/>
      <sheetName val="Elvira"/>
      <sheetName val="Delanco Real Estate"/>
      <sheetName val="Samali"/>
      <sheetName val="DLF Infra"/>
      <sheetName val="AKRUTI"/>
      <sheetName val="Bes Buildcon"/>
      <sheetName val="Catriona"/>
      <sheetName val="DLF Homes"/>
      <sheetName val="Durgapur"/>
      <sheetName val="Del Realtors"/>
      <sheetName val="Delta Buildcon"/>
      <sheetName val="Var Infratech"/>
      <sheetName val="DLF Homes Pune"/>
      <sheetName val="Rajapura"/>
      <sheetName val="DLF Southern Town-CCD"/>
      <sheetName val="Homes Rajapura -interest accrue"/>
      <sheetName val="Rajapur_CCD"/>
      <sheetName val="Rajapura ICD"/>
      <sheetName val="southern town"/>
      <sheetName val=" southern townCCD"/>
      <sheetName val="DLF Garden"/>
      <sheetName val="Indiabulls"/>
      <sheetName val="Kanan"/>
      <sheetName val="Mariana"/>
      <sheetName val="Saravati"/>
      <sheetName val="Nellis"/>
      <sheetName val="DLF Homes Panch"/>
      <sheetName val="DLF Homes Panch_CCD"/>
      <sheetName val="DLF Garden_CCD"/>
      <sheetName val="DLF Homes Ambala"/>
      <sheetName val="DLF Sez"/>
      <sheetName val="DLF Homes Services"/>
      <sheetName val="Mens"/>
      <sheetName val="Mhaya"/>
      <sheetName val="Nambi"/>
      <sheetName val="Rati"/>
      <sheetName val="Premium home"/>
      <sheetName val="Arash"/>
      <sheetName val="Janya"/>
      <sheetName val="G.K.Resi"/>
      <sheetName val="Chaitra"/>
      <sheetName val="Pune"/>
      <sheetName val="Zoria Infratech "/>
      <sheetName val="DLF Commercial Complexes"/>
      <sheetName val="Alvita"/>
      <sheetName val="Star alubuild"/>
      <sheetName val="DLF SEZ Holdings Ltd"/>
      <sheetName val="Urvashi Infratech Pvt Ltd"/>
      <sheetName val="DHRL_OLD Working"/>
      <sheetName val="Marala_OLD Working"/>
      <sheetName val="muafa (2)"/>
      <sheetName val="muafa (3)"/>
      <sheetName val="tb dec"/>
      <sheetName val="system Tb"/>
      <sheetName val="TRL"/>
      <sheetName val="CFS"/>
      <sheetName val="RP"/>
      <sheetName val="taxpaid"/>
      <sheetName val="int loan"/>
      <sheetName val="int fdd"/>
      <sheetName val="PART-IV"/>
      <sheetName val="P&amp;L_17"/>
      <sheetName val="P&amp;L_30"/>
      <sheetName val="BS_29"/>
      <sheetName val="BS_17"/>
      <sheetName val="Sch_MiscIncome_MiscExpenses"/>
      <sheetName val="BS_30"/>
      <sheetName val="Tax_computation"/>
      <sheetName val="0000"/>
      <sheetName val="xxxx"/>
      <sheetName val="P&amp;L  sep 09"/>
      <sheetName val="BS schedules"/>
      <sheetName val="Sch 4 Fixed Assets"/>
      <sheetName val="PL schedules"/>
      <sheetName val="Trial"/>
      <sheetName val="CCD Interest"/>
      <sheetName val="ICD Interest"/>
      <sheetName val="Lead Inventory"/>
      <sheetName val="Prov Apr-Jun"/>
      <sheetName val="TB 06-07"/>
      <sheetName val="TB05-06"/>
      <sheetName val="Star Tower-Silokhera"/>
      <sheetName val="Galleria-mayur vihar"/>
      <sheetName val="5(a)"/>
      <sheetName val="PARTY DETAILS"/>
      <sheetName val="Notes"/>
      <sheetName val="P &amp; L"/>
      <sheetName val="SCH 1-5"/>
      <sheetName val="SCH  6-7"/>
      <sheetName val="Details"/>
      <sheetName val="Trial 31.03.10"/>
      <sheetName val="Lease rent details "/>
      <sheetName val="Related Party New Format"/>
      <sheetName val="Bank Reco"/>
      <sheetName val="Investment"/>
      <sheetName val="I.TAX"/>
      <sheetName val="invest"/>
      <sheetName val="PARTIV"/>
      <sheetName val="PROJECT-EXP"/>
      <sheetName val="Intt &amp; TDS"/>
      <sheetName val="PIE-DETAILS"/>
      <sheetName val="CONTINGENT LIAB"/>
      <sheetName val="Notes to Accounts"/>
      <sheetName val="ANNEXURE TO NOTES TO ACCOUNTS"/>
      <sheetName val="CASH FLOW 2006"/>
      <sheetName val="delanco"/>
      <sheetName val="carmen"/>
      <sheetName val="Cachet "/>
      <sheetName val="DLF  Hotels and resorts"/>
      <sheetName val="Dabaria"/>
      <sheetName val="Deltaland real "/>
      <sheetName val="Marala "/>
      <sheetName val="Lenore "/>
      <sheetName val="First City"/>
      <sheetName val="Paen  Estate"/>
      <sheetName val="Delanco Home"/>
      <sheetName val="Vilina Estate Developers"/>
      <sheetName val="Tusti "/>
      <sheetName val="SKN "/>
      <sheetName val="Loans under the same management"/>
      <sheetName val="Loans to Subsidairy Companies "/>
      <sheetName val="Sch"/>
      <sheetName val="Sale"/>
      <sheetName val="Comp"/>
      <sheetName val="PACS"/>
      <sheetName val="Fur_Fixt"/>
      <sheetName val="Off_Eqp"/>
      <sheetName val="Vehicles"/>
      <sheetName val="Lease B9_dep"/>
      <sheetName val="&lt;5000"/>
      <sheetName val="TB-PL"/>
      <sheetName val="PL Gropuings"/>
      <sheetName val="P&amp;L &amp; Sch. 9-13"/>
      <sheetName val="TB-BS"/>
      <sheetName val="BS Groupings"/>
      <sheetName val="BS Schedule 1-4"/>
      <sheetName val="BS Sch. 5"/>
      <sheetName val="BS Schedule 6-8"/>
      <sheetName val="Gen. Business Profile"/>
      <sheetName val="AG00059"/>
      <sheetName val="AG00060"/>
      <sheetName val="AG00061"/>
      <sheetName val="AG00062"/>
      <sheetName val="AG00063"/>
      <sheetName val="AG00064"/>
      <sheetName val="AG00065"/>
      <sheetName val="Cover Letter"/>
      <sheetName val="General Information"/>
      <sheetName val="Index (CFC)"/>
      <sheetName val="Index (NC)"/>
      <sheetName val="Index (USEC)"/>
      <sheetName val="Ownership Changes"/>
      <sheetName val="Disclosure Data"/>
      <sheetName val="Boycott Questionaire"/>
      <sheetName val="Income Statement"/>
      <sheetName val="Sales &amp; Transfers"/>
      <sheetName val="Sales &amp; Transfers (USEC)"/>
      <sheetName val="Monthly Data (USEC)"/>
      <sheetName val="Equity Earnings &amp; Investments"/>
      <sheetName val="Other Income"/>
      <sheetName val="Dividends Received &amp; Paid"/>
      <sheetName val="Exchange Gain &amp; Loss"/>
      <sheetName val="Intercompany Transactions"/>
      <sheetName val="Intercompany Tran. (USEC)"/>
      <sheetName val="Interco (USEC) by Month"/>
      <sheetName val="Current Year Income Taxes"/>
      <sheetName val="Changes to Prior Year Taxes"/>
      <sheetName val="U.S. Source Income"/>
      <sheetName val="Other E&amp;P Adj. (USEC)"/>
      <sheetName val="Service tax"/>
      <sheetName val="comparision with sec 90-ANEX1"/>
      <sheetName val="BOQ SBM"/>
      <sheetName val="SA"/>
      <sheetName val="Stru. Backup sheet"/>
      <sheetName val="BUA A-Y"/>
      <sheetName val="CONSU qty 26-05-2009"/>
      <sheetName val="Stru. Coeff  CONSU "/>
      <sheetName val="Tower A (Rev 11_06)"/>
      <sheetName val="DSR DELHI MAR,08"/>
      <sheetName val="SHORT ANALYSIS"/>
      <sheetName val="PRW-DEC,08 "/>
      <sheetName val="BASIS -DEC 08"/>
      <sheetName val="Wastage"/>
      <sheetName val="FINISHING BOQ"/>
      <sheetName val="Tower _ A"/>
      <sheetName val="Tower _ B"/>
      <sheetName val="Tower _ C"/>
      <sheetName val="Tower _ D"/>
      <sheetName val="Tower _ E"/>
      <sheetName val="FinDSR JAN'09"/>
      <sheetName val="FinRate Analysis"/>
      <sheetName val="FinMaterial analysis"/>
      <sheetName val="FinPRW analysis"/>
      <sheetName val="plumbing &amp; fire"/>
      <sheetName val="Unit wise"/>
      <sheetName val="CHINAWARE &amp; CP"/>
      <sheetName val="FLUSHING"/>
      <sheetName val="Water Supply"/>
      <sheetName val="Pumping Equipment"/>
      <sheetName val="Soil Waste Rain"/>
      <sheetName val="Balcony Drain"/>
      <sheetName val="FIRE Basement "/>
      <sheetName val="Fire Tower"/>
      <sheetName val="Hot water Supply"/>
      <sheetName val="EXT Water Supply &amp; Yard Hydrant"/>
      <sheetName val="Deluge Sys"/>
      <sheetName val="Disposal of storm &amp; Sewer"/>
      <sheetName val="EXT Storm, Sewer, RWH"/>
      <sheetName val="execa. diff."/>
      <sheetName val="Fire Pump"/>
      <sheetName val="SERVICES"/>
      <sheetName val="BOQ SBM (2)"/>
      <sheetName val="CVF SHEET"/>
      <sheetName val="Test"/>
      <sheetName val="Electricity- Begur"/>
      <sheetName val="A302003R"/>
      <sheetName val="A302001revised"/>
      <sheetName val="POCM entries -Begur"/>
      <sheetName val="Customer- Begur Sep 2010"/>
      <sheetName val="POCM- Begur"/>
      <sheetName val="Summary-  Begur"/>
      <sheetName val="Bngl -Const"/>
      <sheetName val="Begur -others"/>
      <sheetName val="POCM-WorkingJune10"/>
      <sheetName val="POCM-Working- March 2010"/>
      <sheetName val="Sales return - Dec2010"/>
      <sheetName val="MSData-march "/>
      <sheetName val="A302001-worked"/>
      <sheetName val="A302001-OMR"/>
      <sheetName val="A302001-Begur"/>
      <sheetName val="A302001-Base"/>
      <sheetName val="A302003"/>
      <sheetName val="A302003-Begur"/>
      <sheetName val="A302312"/>
      <sheetName val="APT - POCM- DEC10"/>
      <sheetName val="SHOP POCM AFTER FORMAT 31.12.10"/>
      <sheetName val="Entry OMR"/>
      <sheetName val="OMR-SHOP Customer-Working"/>
      <sheetName val="APT POCM after ch in area_31.3."/>
      <sheetName val="POCM - OMR"/>
      <sheetName val="OMR-inv"/>
      <sheetName val="Chennai- details"/>
      <sheetName val="Begur -details"/>
      <sheetName val="Begur- Inv"/>
      <sheetName val="begur Customer-working"/>
      <sheetName val="WIP - Cons Div"/>
      <sheetName val="Entry"/>
      <sheetName val="BEGUR"/>
      <sheetName val="OMR- Sample Flat"/>
      <sheetName val="Customer"/>
      <sheetName val="JV"/>
      <sheetName val="Ramco Data TB dump"/>
      <sheetName val="Ramco TB dump"/>
      <sheetName val="Trial-Balance"/>
      <sheetName val="B S "/>
      <sheetName val="Sch 1-3"/>
      <sheetName val="Sch-4-15"/>
      <sheetName val="Detail"/>
      <sheetName val="Commercial TB"/>
      <sheetName val="CWIP"/>
      <sheetName val="Schedule of Balance Sheet"/>
      <sheetName val="Annexure of balance sheet"/>
      <sheetName val="Working Cap Commit."/>
      <sheetName val="BS- TRIAL BALANCE"/>
      <sheetName val="Reconciliation_Consol"/>
      <sheetName val="Reco  Books vs ITR vs 26 as"/>
      <sheetName val="LEDGER"/>
      <sheetName val="Report (2)"/>
      <sheetName val="CLIENT WISE AS PER BOOKS"/>
      <sheetName val="Download_TDS_Ledgers"/>
      <sheetName val="Working"/>
      <sheetName val="PIVOT 26AS "/>
      <sheetName val="PIVOT 26AS WORKING"/>
      <sheetName val="26AS"/>
      <sheetName val="MPHASIS"/>
      <sheetName val="31.03.08 (2)"/>
      <sheetName val="Provision Tab_2"/>
      <sheetName val="A105001"/>
      <sheetName val="A105602"/>
      <sheetName val="31.03.07"/>
      <sheetName val="31.03.08"/>
      <sheetName val="31.03.08 (4)"/>
      <sheetName val="31.03.08 (3)"/>
      <sheetName val="A904001"/>
      <sheetName val="A302404-31.3.8"/>
      <sheetName val="A302404-000-000"/>
      <sheetName val="A105101"/>
      <sheetName val="POCM 08-09-Q4 Actual"/>
      <sheetName val="Actual Spent"/>
      <sheetName val="POCM 08-09-Q4"/>
      <sheetName val="POCM 08-09-Q2"/>
      <sheetName val="TURN OVER"/>
      <sheetName val="POCM W Block"/>
      <sheetName val="POCM Chennai"/>
      <sheetName val="POCM Hyderabad"/>
      <sheetName val="status (3)"/>
      <sheetName val="Inner Parts stock"/>
      <sheetName val="Check"/>
      <sheetName val="Permanent Materials"/>
      <sheetName val="Dom SCs"/>
      <sheetName val="Temporary Materials"/>
      <sheetName val="nv besix sa"/>
      <sheetName val="Prov Sums"/>
      <sheetName val="Revised Contract Sum"/>
      <sheetName val="Revised Contract Sum (2)"/>
      <sheetName val="Local Accruals"/>
      <sheetName val="JIL Accruals"/>
      <sheetName val="deep"/>
      <sheetName val="Shivaji-Marg"/>
      <sheetName val="Star Tower-Silokhera (2)"/>
      <sheetName val="Crosspoint(galleria2)-Gurgaon"/>
      <sheetName val="Corporate park block 1"/>
      <sheetName val="Corporate Park -4B"/>
      <sheetName val="Corporate Park-4A"/>
      <sheetName val="CITY COURT-Sikanderpur"/>
      <sheetName val="Okh"/>
      <sheetName val="Precalculation"/>
      <sheetName val="IDC"/>
      <sheetName val="Misc. points"/>
      <sheetName val="qty abst"/>
      <sheetName val="Programe"/>
      <sheetName val="basic "/>
      <sheetName val="bua"/>
      <sheetName val="topsheet"/>
      <sheetName val="Iron Steel &amp; handrails"/>
      <sheetName val="Top Sheet"/>
      <sheetName val="Publicbuilding"/>
      <sheetName val="Deduction Summary F"/>
      <sheetName val="Deduction Summary "/>
      <sheetName val="P.O.Annex Deduction"/>
      <sheetName val="Misc Cash Exp Deduction "/>
      <sheetName val="Salary Deduction "/>
      <sheetName val="W.O. Annex Deduction "/>
      <sheetName val="Plant Hire Deduction"/>
      <sheetName val="Welfare"/>
      <sheetName val="Index 1"/>
      <sheetName val="Trial May 2010"/>
      <sheetName val="Trial May 2010 1"/>
      <sheetName val="Recon for DLF"/>
      <sheetName val="Recon for DLF 1"/>
      <sheetName val="Summary 1"/>
      <sheetName val="DLF Top Sheet"/>
      <sheetName val="DLF Top Sheet 1"/>
      <sheetName val="Abstract_IT  DLF"/>
      <sheetName val="Abstract_IT  DLF 1"/>
      <sheetName val="Revised service Tax-7"/>
      <sheetName val="Revised service Tax-7 1"/>
      <sheetName val="Purchase Order Annexure 1"/>
      <sheetName val="Purchase Order Annexure 2 1"/>
      <sheetName val="StockStatusAsOnDate.rpt 1"/>
      <sheetName val="Vat Output-10  (2)"/>
      <sheetName val="Vat Output-10  (2) 1"/>
      <sheetName val="Work Order Annexure 2"/>
      <sheetName val=" Staff Cost-3"/>
      <sheetName val="Misc Cash Exp. Ann-4"/>
      <sheetName val="Welfare Fac ANN-5"/>
      <sheetName val="Free Issue Mat Annexure-6"/>
      <sheetName val="Markup sheet Annexure(8)"/>
      <sheetName val="Plant Hire-Annex-11"/>
      <sheetName val="Shuttering-Annex-12(WDV)"/>
      <sheetName val="star"/>
      <sheetName val="Cost Head"/>
      <sheetName val="RMC Annexure 9"/>
      <sheetName val="SBM BOQ "/>
      <sheetName val="SBM BOQ  (2)"/>
      <sheetName val="INDEX "/>
      <sheetName val="MOEF Deviation"/>
      <sheetName val="Top-sheet 09.09.09"/>
      <sheetName val="Service tax (red)"/>
      <sheetName val="Reasons wrt SECTOR 90 STR."/>
      <sheetName val="structure boq "/>
      <sheetName val="DSR Chennai Dec 08"/>
      <sheetName val="WORKDONE TILL 06-07-2009"/>
      <sheetName val="PRW-DEC 08 "/>
      <sheetName val="Total Recd qty &amp; Value 31072009"/>
      <sheetName val="finishing"/>
      <sheetName val="Meas Tower A"/>
      <sheetName val="Meas Tower&quot;B&quot;"/>
      <sheetName val="Meas Tower &quot;C&quot;"/>
      <sheetName val="Misc."/>
      <sheetName val="Meas tower D"/>
      <sheetName val="finishing SUMMARY red"/>
      <sheetName val="plumbing &amp; fire (red)"/>
      <sheetName val="SERVICES "/>
      <sheetName val="SERVICES  (RED)"/>
      <sheetName val="builtup area"/>
      <sheetName val="OMR consultanCy"/>
      <sheetName val="budget analysis_tender "/>
      <sheetName val="budget analysis"/>
      <sheetName val="Refs"/>
      <sheetName val="boq_b2b_tender"/>
      <sheetName val="boq_b2b"/>
      <sheetName val="indirect cost"/>
      <sheetName val="equipment"/>
      <sheetName val="labour camp"/>
      <sheetName val="structure_split"/>
      <sheetName val="REVIEW"/>
      <sheetName val="Staff Forecast spread"/>
      <sheetName val="Labour Rates Used"/>
      <sheetName val="Subcontractors"/>
      <sheetName val="Sub Contract Liab Form"/>
      <sheetName val="Calc_ISC"/>
      <sheetName val="Interface_ISC"/>
      <sheetName val="Risk Analysis ISC"/>
      <sheetName val="Cash Flow Input Data_ISC"/>
      <sheetName val="Cash Flow Chart_ISC"/>
      <sheetName val="Calc_SC"/>
      <sheetName val="Interface_SC"/>
      <sheetName val="Risk Analysis SC"/>
      <sheetName val="Cash Flow Input Data_SC"/>
      <sheetName val="Cash Flow Chart_SC"/>
      <sheetName val="GD"/>
      <sheetName val="OS_PG"/>
      <sheetName val="Top-sheet vytilla"/>
      <sheetName val="STR-TYPE-1-2"/>
      <sheetName val="DATA SHEET"/>
      <sheetName val="M+L"/>
      <sheetName val="Structure BOQ VYTILLA 090709 r3"/>
      <sheetName val="PRW-JAN,09 "/>
      <sheetName val="BASIS -Jan, 09"/>
      <sheetName val="DSR 09 "/>
      <sheetName val="Structure BOQ VYTILLA (2)"/>
      <sheetName val="Structure BOQ VYTILLA"/>
      <sheetName val="SHUTTERING matt wthout taxes"/>
      <sheetName val="BOQ pro consul"/>
      <sheetName val="Material reconc"/>
      <sheetName val="Piling cumu bill"/>
      <sheetName val="PILING (rev) (2)"/>
      <sheetName val="PILING (rev)"/>
      <sheetName val="PILING"/>
      <sheetName val="Finishing Dec'08"/>
      <sheetName val="Block  &quot;A&quot;"/>
      <sheetName val="Block  &quot;B&quot;"/>
      <sheetName val="Block  &quot;C&quot;"/>
      <sheetName val="Block  &quot;D&quot;"/>
      <sheetName val="Block  &quot;E&quot;"/>
      <sheetName val="Vytilla FIN BOQ"/>
      <sheetName val="Vityla P&amp; ff "/>
      <sheetName val="Day Shift"/>
      <sheetName val="Night Shift"/>
      <sheetName val="Contract Day Staff"/>
      <sheetName val="Contract Night Staff"/>
      <sheetName val="Rates"/>
      <sheetName val="XXXXX"/>
      <sheetName val="XXXX0"/>
      <sheetName val="BoQ_DLF (2)"/>
      <sheetName val="BoQ_DLF"/>
      <sheetName val="DESIGN MIX"/>
      <sheetName val="Cost-Sqft"/>
      <sheetName val="BASIC"/>
      <sheetName val="Bill of Quantities"/>
      <sheetName val="P&amp;E Dep"/>
      <sheetName val="Staff Schedule"/>
      <sheetName val="HSE"/>
      <sheetName val="Lab Equp"/>
      <sheetName val="Travel"/>
      <sheetName val="Site facilities"/>
      <sheetName val="Site office &amp; Infra"/>
      <sheetName val="Preisblatt Lot B"/>
      <sheetName val="Name List"/>
      <sheetName val="Elemental Summary"/>
      <sheetName val="Detail Sheet - below Ground"/>
      <sheetName val="Detail Sheet - Above Ground"/>
      <sheetName val="Detail Sheet - Tower 1"/>
      <sheetName val="Detail Sheet - Tower 2"/>
      <sheetName val="Detail Sheet - Link Bride"/>
      <sheetName val="Detail Sheet - MP hall"/>
      <sheetName val="Detail Sheet - External"/>
      <sheetName val="2. Estimate Summary"/>
      <sheetName val="3. Elemental Summary"/>
      <sheetName val="Base"/>
      <sheetName val="Stilt"/>
      <sheetName val="Club house"/>
      <sheetName val="Tower 1"/>
      <sheetName val="Tower 2"/>
      <sheetName val="Tower 3"/>
      <sheetName val="Ext Works"/>
      <sheetName val="10. &amp; 11. Rate Code &amp; BQ"/>
      <sheetName val="4a. Trade"/>
      <sheetName val="5. Area &amp; Perimeter Statement"/>
      <sheetName val="12a. CFTable"/>
      <sheetName val="Assumption "/>
      <sheetName val="Civil"/>
      <sheetName val="Civil Chart"/>
      <sheetName val="Overall - Chart"/>
      <sheetName val="Aseet1998"/>
      <sheetName val="Main-Material"/>
      <sheetName val="경비공통"/>
      <sheetName val="BOQ Str"/>
      <sheetName val="Summary-Hardscape"/>
      <sheetName val="summary Septic Tank"/>
      <sheetName val="UPVC Windows"/>
      <sheetName val="Structural Steel"/>
      <sheetName val="Reinforcement Steel"/>
      <sheetName val="Ornamental Plaster"/>
      <sheetName val="BOQ Hardscape"/>
      <sheetName val="BOQ Septic Tank"/>
      <sheetName val="QTY Septic tank"/>
      <sheetName val="SITE OVERHEADS"/>
      <sheetName val="Additions"/>
      <sheetName val="Tax workings"/>
      <sheetName val="GSG"/>
      <sheetName val="Led"/>
      <sheetName val="Cons-RPD"/>
      <sheetName val="RPD"/>
      <sheetName val="BFSL"/>
      <sheetName val="BFSL-11"/>
      <sheetName val="Tax"/>
      <sheetName val="TB-Main"/>
      <sheetName val="TB"/>
      <sheetName val="FC"/>
      <sheetName val="DIL-BS"/>
      <sheetName val="DIL-PL"/>
      <sheetName val="CG"/>
      <sheetName val="Small cos"/>
      <sheetName val="Okhla"/>
      <sheetName val="POCM Cal"/>
      <sheetName val="S-FA"/>
      <sheetName val="FA"/>
      <sheetName val="Const"/>
      <sheetName val="Cons POCM"/>
      <sheetName val="TB-Cons"/>
      <sheetName val="Cons-Jindal"/>
      <sheetName val="Banjara"/>
      <sheetName val="Intt Inco_exp"/>
      <sheetName val="Jal"/>
      <sheetName val="AR-GL"/>
      <sheetName val="Variance"/>
      <sheetName val="Dep Sch"/>
      <sheetName val="Dep IT"/>
      <sheetName val="DEP"/>
      <sheetName val="Mumbai"/>
      <sheetName val="POCM "/>
      <sheetName val="Vari. Analy"/>
      <sheetName val="Reco"/>
      <sheetName val="Dep. wo"/>
      <sheetName val="POCM-LCK"/>
      <sheetName val="CWIP-R"/>
      <sheetName val="contrcters"/>
      <sheetName val="BvAAI"/>
      <sheetName val="P1"/>
      <sheetName val="P2"/>
      <sheetName val="P3"/>
      <sheetName val="P4"/>
      <sheetName val="P5"/>
      <sheetName val="P6"/>
      <sheetName val="P7"/>
      <sheetName val="P8"/>
      <sheetName val="P9"/>
      <sheetName val="For Blue Book"/>
      <sheetName val="Avg Cost"/>
      <sheetName val="YTD Revenue"/>
      <sheetName val="Charts"/>
      <sheetName val="Inputs AIR"/>
      <sheetName val="CApex"/>
      <sheetName val="ML DRS"/>
      <sheetName val="Actuals"/>
      <sheetName val="QTD Budget"/>
      <sheetName val="MIS"/>
      <sheetName val="Monthly Budget"/>
      <sheetName val="S.4.1_Auditors Remuneration"/>
      <sheetName val="S.4.2_Billing details"/>
      <sheetName val="S.4.3_SAP Dump"/>
      <sheetName val="S.3.1_Managerial Remuneration"/>
      <sheetName val="S.3.2_Ravi Uppal Compensation"/>
      <sheetName val="S.3.3_SRU Working"/>
      <sheetName val="S.3.4_Directors Fees"/>
      <sheetName val="S.3.5_Commission - Non Exec Dir"/>
      <sheetName val="S.3.6_GL Dump"/>
      <sheetName val="costlogic"/>
      <sheetName val="OPERATION"/>
      <sheetName val="Molyimpact"/>
      <sheetName val="Rawmatimpact"/>
      <sheetName val="27SETS"/>
      <sheetName val="FM Cost"/>
      <sheetName val="costmoly"/>
      <sheetName val="FIX_VARI"/>
      <sheetName val="FIX_V_MOLY"/>
      <sheetName val="SETNO"/>
      <sheetName val="DRGNO"/>
      <sheetName val="avg cost ring"/>
      <sheetName val="02A"/>
      <sheetName val="PRO"/>
      <sheetName val="alloy rate"/>
      <sheetName val="ALLOY"/>
      <sheetName val="ALLOYMOLY"/>
      <sheetName val="OPTSTD"/>
      <sheetName val="OPTKV1"/>
      <sheetName val="OPTIKA"/>
      <sheetName val="OPTSTEL"/>
      <sheetName val="SAPhalb"/>
      <sheetName val="ratebreakup"/>
      <sheetName val="TATA GK176MOBP"/>
      <sheetName val="TATA GK153P"/>
      <sheetName val="TATA GO582CPG"/>
      <sheetName val="LETTER"/>
      <sheetName val="LEAD"/>
      <sheetName val="COST "/>
      <sheetName val="COST  (2)"/>
      <sheetName val="LVD_2007-10 (Arthur)"/>
      <sheetName val="Pistons EU"/>
      <sheetName val="LVD_2007-10 (Sales)"/>
      <sheetName val="PRO Vs CAP (2)"/>
      <sheetName val="NGPIS (2)"/>
      <sheetName val="GIL-FORMAT SUMM (2)"/>
      <sheetName val="GIL-FORMAT SUMM"/>
      <sheetName val="sum pis&amp;pin"/>
      <sheetName val="piston-plant"/>
      <sheetName val="pin-plant"/>
      <sheetName val="BOUGHTOUT"/>
      <sheetName val="RING-MODVAT"/>
      <sheetName val="CIRCLIP"/>
      <sheetName val="LINERS"/>
      <sheetName val="Depot"/>
      <sheetName val="G I T"/>
      <sheetName val="depot no reco"/>
      <sheetName val="NGPINWW3"/>
      <sheetName val="PACKING COST"/>
      <sheetName val="NGPISWW3"/>
      <sheetName val="Alloy and OH rate"/>
      <sheetName val="Top"/>
      <sheetName val="RING"/>
      <sheetName val="plannsv"/>
      <sheetName val="indm"/>
      <sheetName val="POWER06-07"/>
      <sheetName val="LAP"/>
      <sheetName val="OE"/>
      <sheetName val="POWER05-06 (2)"/>
      <sheetName val="HCCE01"/>
      <sheetName val="PRICE (2)"/>
      <sheetName val="COST9899"/>
      <sheetName val="fdy-capnos"/>
      <sheetName val="PISCOST"/>
      <sheetName val="MC-TIME"/>
      <sheetName val="allocost"/>
      <sheetName val="PACKING"/>
      <sheetName val="QTY."/>
      <sheetName val="FDY"/>
      <sheetName val="MAT-COST"/>
      <sheetName val="SCRAP-CAL"/>
      <sheetName val="NEWMASTER"/>
      <sheetName val="BUDMASTER"/>
      <sheetName val="PRICE"/>
      <sheetName val="MC-TIMECAP"/>
      <sheetName val="CAPACITY"/>
      <sheetName val="CAP KEY"/>
      <sheetName val="FDY-BASIS"/>
      <sheetName val="RECO-COST"/>
      <sheetName val="piston-cost"/>
      <sheetName val="STORE-CONSUMED-FDY"/>
      <sheetName val="fdy-consumble"/>
      <sheetName val="FDY-COST"/>
      <sheetName val="power "/>
      <sheetName val="Split-chart"/>
      <sheetName val="MASTER-KEY"/>
      <sheetName val="Hero majestic 46 "/>
      <sheetName val="m-74"/>
      <sheetName val="rm pin saving (2)"/>
      <sheetName val="Piston 77Ø"/>
      <sheetName val="Dov 77"/>
      <sheetName val="Piston 78Ø"/>
      <sheetName val="dov 78 Ø"/>
      <sheetName val="Summary Published"/>
      <sheetName val="Detail Published"/>
      <sheetName val="Borrowing"/>
      <sheetName val="HO Analysis"/>
      <sheetName val="PAT Analysis"/>
      <sheetName val="Bng Analysis"/>
      <sheetName val="Bhd Analysis"/>
      <sheetName val="Detail Published Actual"/>
      <sheetName val="SummaryActual"/>
      <sheetName val="MAIN"/>
      <sheetName val="Scheme wise (2)"/>
      <sheetName val="Projectwise P&amp;L"/>
      <sheetName val="Zonewise P&amp;L"/>
      <sheetName val="P&amp;LSum"/>
      <sheetName val="Land  bkp old pro new cost"/>
      <sheetName val="ass suu old pro new cos"/>
      <sheetName val="Final Sum old pro new cost"/>
      <sheetName val="City Pivold pro new cost"/>
      <sheetName val="Interst 30.09.09"/>
      <sheetName val="Cap Ex"/>
      <sheetName val="CFS "/>
      <sheetName val="CF Adj"/>
      <sheetName val="BS(Revised)"/>
      <sheetName val="PL(revised)"/>
      <sheetName val="Note 2."/>
      <sheetName val="Note 4-5-6-7"/>
      <sheetName val="Note 8-9-10-11"/>
      <sheetName val="Note 12-13 FA console "/>
      <sheetName val="FA rental"/>
      <sheetName val="Note 15-16-17-18"/>
      <sheetName val="Note 19-20-21"/>
      <sheetName val="Note 22- 23"/>
      <sheetName val="Note 24 -28"/>
      <sheetName val="Note 25.3"/>
      <sheetName val="Others notes "/>
      <sheetName val="Related party note"/>
      <sheetName val="Related party working "/>
      <sheetName val="Loan summary"/>
      <sheetName val="comparative M-11"/>
      <sheetName val="March  2012 TB "/>
      <sheetName val="March 2011TB "/>
      <sheetName val="FA Register "/>
      <sheetName val="int in IHP"/>
      <sheetName val="Loans details &amp; intt"/>
      <sheetName val="Others details"/>
      <sheetName val="Tax status"/>
      <sheetName val="Deferred Tax New"/>
      <sheetName val="Tax Comp (IHP)"/>
      <sheetName val="Bifurcation of P&amp;L heads"/>
      <sheetName val="computation of deduction"/>
      <sheetName val="Normal provisons "/>
      <sheetName val="Revenue 801A"/>
      <sheetName val="MAT compuation "/>
      <sheetName val="payroll walk"/>
      <sheetName val="14A"/>
      <sheetName val="SEZ PB "/>
      <sheetName val="EPS "/>
      <sheetName val="Others details "/>
      <sheetName val="MD salary "/>
      <sheetName val="LRD loans &amp; Intt rate"/>
      <sheetName val="Intt Rate working - "/>
      <sheetName val="Extract"/>
      <sheetName val="12111001"/>
      <sheetName val="13870000"/>
      <sheetName val="15111501"/>
      <sheetName val="15312001"/>
      <sheetName val="15312002"/>
      <sheetName val="15353000"/>
      <sheetName val="15378000"/>
      <sheetName val="15417000"/>
      <sheetName val="15433508 "/>
      <sheetName val="15513000"/>
      <sheetName val="15570000"/>
      <sheetName val="15570502"/>
      <sheetName val="15570503"/>
      <sheetName val="15570506"/>
      <sheetName val="15618000"/>
      <sheetName val="15722701"/>
      <sheetName val="15892505"/>
      <sheetName val="15892508"/>
      <sheetName val="15892509"/>
      <sheetName val="15892757"/>
      <sheetName val="15923000"/>
      <sheetName val="16155502"/>
      <sheetName val="28483501"/>
      <sheetName val="CH1031"/>
      <sheetName val="PB1035"/>
      <sheetName val="HP1033"/>
      <sheetName val="UT1034"/>
      <sheetName val="DL1041"/>
      <sheetName val="SWLDL4041"/>
      <sheetName val="SWLCH4031"/>
      <sheetName val="SWLUT4034"/>
      <sheetName val="SWLHP4033"/>
      <sheetName val="HLDL2013"/>
      <sheetName val="HLUT2034"/>
      <sheetName val="Sales return after Mar-07"/>
      <sheetName val="Opening Balance"/>
      <sheetName val="FIXASET"/>
      <sheetName val="Note"/>
      <sheetName val="Details 2"/>
      <sheetName val="PL Depn"/>
      <sheetName val="INTERNAL REPORT"/>
      <sheetName val="DUE DELIGENCE"/>
      <sheetName val="IPO"/>
      <sheetName val="Wdv"/>
      <sheetName val="RFDETAIL"/>
      <sheetName val="C.O."/>
      <sheetName val="pack pnl-99"/>
      <sheetName val="old_serial no."/>
      <sheetName val="tot_ass_9697"/>
      <sheetName val="MSSL-Presentation, Action,  (2)"/>
      <sheetName val="Loan"/>
      <sheetName val="Short term loan"/>
      <sheetName val="Trade Payables"/>
      <sheetName val="Fixed Assets"/>
      <sheetName val="FAR"/>
      <sheetName val="Pre paid"/>
      <sheetName val="Contractors for work"/>
      <sheetName val="BRS"/>
      <sheetName val="Unbilled Revenue"/>
      <sheetName val="INDORAMA Group June 02"/>
      <sheetName val="IO List"/>
      <sheetName val="BMS BOQ"/>
      <sheetName val="Lead splm"/>
      <sheetName val="SLP Data"/>
      <sheetName val="Lead SLPM."/>
      <sheetName val="SLPM Data"/>
      <sheetName val="FORM7"/>
      <sheetName val="INDEX  (2)"/>
      <sheetName val="+ for Belaire"/>
      <sheetName val="variation (2)"/>
      <sheetName val="Struc. cheek sheet"/>
      <sheetName val="Structure BOQ (SBM)"/>
      <sheetName val="STRUCTURE MATERIAL SUMMARY"/>
      <sheetName val="STRUCTURE MATERIAL ANALYSIS"/>
      <sheetName val="RMC Analysis Rename"/>
      <sheetName val="Mix Design"/>
      <sheetName val="DSR SBM New delhi"/>
      <sheetName val="BASIS -RATE"/>
      <sheetName val="SBM Variation Fin PH- I &amp; I (2)"/>
      <sheetName val="VARIATION ( Str ) (Final)"/>
      <sheetName val="VARIATION ( Str ) (without fat)"/>
      <sheetName val="VARIATION ( Str )"/>
      <sheetName val="Variation_1 with OH"/>
      <sheetName val="Variation_1"/>
      <sheetName val="Consultant BOQ"/>
      <sheetName val="Comparision working"/>
      <sheetName val="Retaining wall"/>
      <sheetName val="Builtup phase I"/>
      <sheetName val="Stru. Backup Phase III"/>
      <sheetName val="Phase-III"/>
      <sheetName val="PRW-RATE"/>
      <sheetName val="SBM Variation Fin PH- I &amp; II"/>
      <sheetName val="SBM FINISHING BOQ - I &amp; II"/>
      <sheetName val="FinDSR JAN'09 SBM (M+L)"/>
      <sheetName val="FinDSR JAN'09 SBM"/>
      <sheetName val="Finishing Analysis"/>
      <sheetName val="FinRate Analysis SBM"/>
      <sheetName val="FinMaterial analysis SBM"/>
      <sheetName val="FinPRW analysis SBM"/>
      <sheetName val="Plum FF SUMMARY"/>
      <sheetName val="Indo-Tech "/>
      <sheetName val="Intangibles Amort Sched"/>
      <sheetName val="MOR-GAP"/>
      <sheetName val="BSHEET"/>
      <sheetName val="BCOST"/>
      <sheetName val="B COST DETAIL"/>
      <sheetName val="C&amp;B DETAIL"/>
      <sheetName val="ORDERS REPORT"/>
      <sheetName val="EMPLOYMENT"/>
      <sheetName val="AGENDA"/>
      <sheetName val="Task Breakdown"/>
      <sheetName val="Cash-Flow"/>
      <sheetName val="Detailed Costs"/>
      <sheetName val="2 - RTU_HMI Eng"/>
      <sheetName val="3 - Instalation"/>
      <sheetName val="4 - Panels"/>
      <sheetName val="5 - RTU Parts"/>
      <sheetName val="6 - HMI"/>
      <sheetName val="7 - T&amp;L"/>
      <sheetName val="8 - Training"/>
      <sheetName val="9 - Transport"/>
      <sheetName val="10 - Import Taxes and Hedge"/>
      <sheetName val="11 - Spare Parts &amp; Tools"/>
      <sheetName val="12 - Special Development"/>
      <sheetName val="13 - Maintenance Agreement"/>
      <sheetName val="Price - Sheet"/>
      <sheetName val="A - Proposta"/>
      <sheetName val="B - Proposta"/>
      <sheetName val="C - Proposta"/>
      <sheetName val="Tabela de Preços"/>
      <sheetName val="Reduções de preço"/>
      <sheetName val="Cronograma de desembolso"/>
      <sheetName val="Cronograma de desembolso B"/>
      <sheetName val="5.1 - D20 Pricing - nao usar"/>
      <sheetName val="5.2 - D200 Pricing - nao usar"/>
      <sheetName val="5.3 - Redundant D200 nao usar"/>
      <sheetName val="QE31-Mar-10"/>
      <sheetName val="Bal Sheet"/>
      <sheetName val="Sch 1to4"/>
      <sheetName val="FA Sch 5"/>
      <sheetName val="Sch 6 Inv"/>
      <sheetName val="Inv Details"/>
      <sheetName val="Sch 7 CA"/>
      <sheetName val="Sch 7 LA, 8"/>
      <sheetName val="Sch 9,10,11"/>
      <sheetName val="Sch 12,13,14,15"/>
      <sheetName val="Sch 16,17"/>
      <sheetName val="Grp Sch"/>
      <sheetName val="Tax, Def Tax"/>
      <sheetName val="IT Depn"/>
      <sheetName val="Wealth Tax"/>
      <sheetName val="Wealth Tax workings"/>
      <sheetName val="Ratio Analysis"/>
      <sheetName val="Debtors Analysis"/>
      <sheetName val="Provision for bad debts"/>
      <sheetName val="BG Status"/>
      <sheetName val="C-Form status"/>
      <sheetName val="Additions to FA"/>
      <sheetName val="Saidapet asset sale"/>
      <sheetName val="Marco template"/>
      <sheetName val="Walk"/>
      <sheetName val="TY est as of Jan"/>
      <sheetName val="PROFIT AND LOSS (2)"/>
      <sheetName val="Summary Presentation"/>
      <sheetName val="Shari's Estimates"/>
      <sheetName val="Top 25 - External"/>
      <sheetName val="FW 15 External"/>
      <sheetName val="FW15 Internal"/>
      <sheetName val="FW 15 External Workings"/>
      <sheetName val="Top 25 Orders"/>
      <sheetName val="GECARS Open Items Report - Dec"/>
      <sheetName val="Debit bal transfer - BRIO - Dec"/>
      <sheetName val="Brio - not due - Dec"/>
      <sheetName val="CRMPS raw"/>
      <sheetName val="CRMPS Summary"/>
      <sheetName val="December OFA raw"/>
      <sheetName val="December OFA summary"/>
      <sheetName val="All Data"/>
      <sheetName val=" Summary"/>
      <sheetName val="Receivable overview"/>
      <sheetName val="BHA Receivables Overview"/>
      <sheetName val="GEIS Receivables Overview"/>
      <sheetName val="xtab"/>
      <sheetName val="Salient features"/>
      <sheetName val="Cover Sheet"/>
      <sheetName val="Cashflow "/>
      <sheetName val="Cashflow Workings"/>
      <sheetName val="Journals"/>
      <sheetName val="COA"/>
      <sheetName val="ConsSched"/>
      <sheetName val="OP TB April 10"/>
      <sheetName val="OCTOBER PROVISION"/>
      <sheetName val="Expense details"/>
      <sheetName val="contract Labour"/>
      <sheetName val="PF&amp;ESI CONT"/>
      <sheetName val="ROYALTY"/>
      <sheetName val="PR"/>
      <sheetName val="S2G"/>
      <sheetName val="Reconciliation"/>
      <sheetName val="Press release"/>
      <sheetName val="Sch 7 8 9"/>
      <sheetName val="Sch 10 11 12"/>
      <sheetName val="Sch 13"/>
      <sheetName val="Sch 14,15.16"/>
      <sheetName val="Sch 17"/>
      <sheetName val="TB "/>
      <sheetName val="Accruals"/>
      <sheetName val="IT Depn "/>
      <sheetName val="IT Prov"/>
      <sheetName val="AS 11 "/>
      <sheetName val="Sales Register"/>
      <sheetName val="S 1"/>
      <sheetName val="S3a"/>
      <sheetName val="S 2b"/>
      <sheetName val="S 4"/>
      <sheetName val="S 5"/>
      <sheetName val="S 6 7"/>
      <sheetName val="S 8"/>
      <sheetName val="S 9 "/>
      <sheetName val="S 10"/>
      <sheetName val="S 11"/>
      <sheetName val="S 12"/>
      <sheetName val="S 13"/>
      <sheetName val="S 14"/>
      <sheetName val="s 15"/>
      <sheetName val="s16"/>
      <sheetName val="G.P."/>
      <sheetName val="Def Tax Rev"/>
      <sheetName val="IT-adj"/>
      <sheetName val="Def Tax"/>
      <sheetName val="LOSS"/>
      <sheetName val="TDS-List"/>
      <sheetName val="IIC Deletion (3)"/>
      <sheetName val="MainPage"/>
      <sheetName val="DR"/>
      <sheetName val="DR-Anx"/>
      <sheetName val="AR"/>
      <sheetName val="CARO"/>
      <sheetName val="CAROApp"/>
      <sheetName val="FundFlow"/>
      <sheetName val="Instructions"/>
      <sheetName val="BSSch"/>
      <sheetName val="FASch"/>
      <sheetName val="PLSch"/>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IT"/>
      <sheetName val="Masters"/>
      <sheetName val="Balance Sheet "/>
      <sheetName val="P&amp;L "/>
      <sheetName val="BS - Schedules"/>
      <sheetName val="P&amp;L Schedules"/>
      <sheetName val="sub-sch"/>
      <sheetName val="Groupings"/>
      <sheetName val="Computation"/>
      <sheetName val="Part IV"/>
      <sheetName val="TRIAL-GROUPING"/>
      <sheetName val="FIXED ASSETS FINAL (Rs. lacs)"/>
      <sheetName val="FIXEDASSET-MINERALS-FINAL"/>
      <sheetName val="PRVOSNL FA 0102"/>
      <sheetName val="FA - DEP SCH - ACCTS - 0102 "/>
      <sheetName val="Related Party Disclosure"/>
      <sheetName val="Cash Flow Statement"/>
      <sheetName val="Manual"/>
      <sheetName val="Messages"/>
      <sheetName val="CONTROL"/>
      <sheetName val="REFERENCES"/>
      <sheetName val="OPERATING ST"/>
      <sheetName val="CASH FLOW ST"/>
      <sheetName val="FINANCIAL SIT"/>
      <sheetName val="1. MACRO AND OS"/>
      <sheetName val="1.1. MACROECONOMIC INFO"/>
      <sheetName val="1.2. OPERATING STATEMENT"/>
      <sheetName val="1.3.A OS BUSINESS BGT"/>
      <sheetName val="1.4 SALES VARIATION BREAKDOWN"/>
      <sheetName val="1.5. MARGIN VARIATION"/>
      <sheetName val="2. VOLUMES &amp; PRICES"/>
      <sheetName val="2.1 SALES &amp; PRODUCTION VOLU"/>
      <sheetName val="2.2 CHANGES SALES PRICE"/>
      <sheetName val="3. COSTS &amp; EXPENSES"/>
      <sheetName val="2.1 SALES &amp; PRODUCTION VOLU (2)"/>
      <sheetName val="2.1 SALES &amp; PRODUCTION VOLU (3)"/>
      <sheetName val="3.1.A PERSONNEL "/>
      <sheetName val="3.1.B Org.chart "/>
      <sheetName val="3.2. PRODUCTION COSTS ALWAR"/>
      <sheetName val="Cost Kg Analisys Alwar Plant"/>
      <sheetName val="3.2. PROD. COSTS DEWAS"/>
      <sheetName val="Cost Kg Analysis Dewas Plant"/>
      <sheetName val="3.2. PROD. COSTS PERUNDURAI"/>
      <sheetName val="Cost Kg Analy Perundurai Plant"/>
      <sheetName val="3.2. PROD. COSTS RANIPET"/>
      <sheetName val="Cost Kg Analysis Ranipet"/>
      <sheetName val="3.2. PROD. COSTS ALL PLANTS"/>
      <sheetName val="3.3. OTHER COSTS"/>
      <sheetName val="3.4. GNRL.PRODUCTION alwar "/>
      <sheetName val="3.4. GNRL.PRODUCTION Dewas"/>
      <sheetName val="3.4. GNRL.PRODUCTION Ranipet "/>
      <sheetName val="3.4. GNRL.PRODUCTION Perund"/>
      <sheetName val="3.4. GNRL.PRODUCTION HO"/>
      <sheetName val="3.5 MArketing &amp; Sales"/>
      <sheetName val="3.5.B. PROM &amp; ADV"/>
      <sheetName val="3.6 Managem &amp; Admin"/>
      <sheetName val="3.7. FINANCIAL EXPENSES"/>
      <sheetName val="3.8 A.R. VALUE ADJUSTMENT "/>
      <sheetName val="3.9 ATYPICAL"/>
      <sheetName val="3.10 TAX"/>
      <sheetName val="4. CASHFLOW "/>
      <sheetName val="4.1 CASHFLOW STATEM. &amp; FIN."/>
      <sheetName val="4.2 Investment Budget"/>
      <sheetName val="4.2.A INVEST BUDGET Alwar"/>
      <sheetName val="4.2.B INVEST BUDGET DEWAS"/>
      <sheetName val="4.2.C INVEST BUDGET Ranipet"/>
      <sheetName val="4.2.D INVEST BUDGET PERUNDURAI"/>
      <sheetName val="4.2.E INVEST BUDGET ALLIED PROD"/>
      <sheetName val="4.2.E INVEST BUDGET HO"/>
      <sheetName val="4.4. Working capital details"/>
      <sheetName val="4.5 WORKING CAPITAL RATIO"/>
      <sheetName val="4.6. ASSETS"/>
      <sheetName val="4.7. EQUITY &amp; LIABILITIES"/>
      <sheetName val="5. ANNEX"/>
      <sheetName val="5. 1 DETAIL INVESTMENTS"/>
      <sheetName val="5. 2 HEADCOUNT DETAIL"/>
      <sheetName val="5.2A YE HEADCOUNT DETAIL"/>
      <sheetName val="ALESSI"/>
      <sheetName val="LIVING"/>
      <sheetName val="PALOMBA"/>
      <sheetName val="FORM"/>
      <sheetName val="CHULETA"/>
      <sheetName val="OPST"/>
      <sheetName val="Capital Expenditure"/>
      <sheetName val="WUPDATA"/>
      <sheetName val="Challan"/>
      <sheetName val="ACTIVO"/>
      <sheetName val="Cash payments _Rs_20_000"/>
      <sheetName val="Franchise Input"/>
      <sheetName val="OC5_Push Diag"/>
      <sheetName val="Settings"/>
      <sheetName val="한계원가"/>
      <sheetName val="유통망계획"/>
      <sheetName val="RELACION REFERENCIAS"/>
      <sheetName val="_____"/>
      <sheetName val="IT_FBT_DDTP"/>
      <sheetName val="Gap Analysis "/>
      <sheetName val="wHist_Data"/>
      <sheetName val="wInit_Frct_Data"/>
      <sheetName val="wFinal_Frct_Data"/>
      <sheetName val="oracleTB"/>
      <sheetName val="Reasons"/>
      <sheetName val="Flash "/>
      <sheetName val="high"/>
      <sheetName val="PL "/>
      <sheetName val="FP"/>
      <sheetName val="VARIANCE ANALYSIS"/>
      <sheetName val="VAR"/>
      <sheetName val="VAR - ACT VS BUD"/>
      <sheetName val=" ACT VS BUD WORKINGS(YTD) "/>
      <sheetName val=" ACT VS PR.YEA WORKINGS(MONTH) "/>
      <sheetName val=" ACT VS BUD WORKINGS(MONTH) "/>
      <sheetName val="VAR - ACT VS BUD WORKINGS"/>
      <sheetName val="VAR - PREV YR VS ACT"/>
      <sheetName val="VAR - WORKINGS PREV YR VS ACT"/>
      <sheetName val="prod"/>
      <sheetName val="prodcost"/>
      <sheetName val="exp "/>
      <sheetName val="emp"/>
      <sheetName val="int"/>
      <sheetName val="wc"/>
      <sheetName val="drs"/>
      <sheetName val="grist comp"/>
      <sheetName val="production"/>
      <sheetName val="RM CONS"/>
      <sheetName val="RM CONS YTD"/>
      <sheetName val="CHEM CONS"/>
      <sheetName val="CHEM CONS YTD"/>
      <sheetName val="PM CONS"/>
      <sheetName val="PM CONS YTD"/>
      <sheetName val="consumption 1 2003"/>
      <sheetName val="CONSUMPTIONYTD"/>
      <sheetName val="WIP workings"/>
      <sheetName val="WORKINGS"/>
      <sheetName val="Royalty-cal"/>
      <sheetName val="SALES -monthly"/>
      <sheetName val="SALES"/>
      <sheetName val="Depreication"/>
      <sheetName val="Creditors"/>
      <sheetName val="Creditor s"/>
      <sheetName val="Creditorss"/>
      <sheetName val="Debtors (2)"/>
      <sheetName val=" Creditors"/>
      <sheetName val="cost sheet based on brew"/>
      <sheetName val="COST SHEET"/>
      <sheetName val="Cost sheet based on brews YTD"/>
      <sheetName val="CL.STOCK"/>
      <sheetName val="COST SHEET YTD"/>
      <sheetName val="wastages"/>
      <sheetName val="monthly exp "/>
      <sheetName val="monthly  pl 01-02"/>
      <sheetName val="Monthly pl"/>
      <sheetName val="DEC WAGES "/>
      <sheetName val="DEC  EXP "/>
      <sheetName val="Creditors "/>
      <sheetName val="Stock Statement"/>
      <sheetName val="ytd adj"/>
      <sheetName val="Reco YTD SEPT 02"/>
      <sheetName val="Exp-YTD SEPT  02"/>
      <sheetName val="Int,Salary YTD SEPT  02"/>
      <sheetName val="SHARE CAPITAL"/>
      <sheetName val="R &amp; s"/>
      <sheetName val="Res &amp; surplus"/>
      <sheetName val="SEC LOAN "/>
      <sheetName val="UN-SEC.LOAN"/>
      <sheetName val="CASHBANK"/>
      <sheetName val="LOANS-ADV"/>
      <sheetName val="LIABILITIES"/>
      <sheetName val="PROVISION"/>
      <sheetName val="OTHER INC."/>
      <sheetName val="FinishedTraded Goods"/>
      <sheetName val="Int &amp; Fin chgs"/>
      <sheetName val="Extord-schedule"/>
      <sheetName val="Purchases"/>
      <sheetName val="Trial Bal 280203"/>
      <sheetName val="Monthly exp"/>
      <sheetName val="Billing Data"/>
      <sheetName val="WIP 280203"/>
      <sheetName val="Schedules BS"/>
      <sheetName val="Sch-7"/>
      <sheetName val="Schedules PL"/>
      <sheetName val="TB07"/>
      <sheetName val="TB06"/>
      <sheetName val="TB05"/>
      <sheetName val="TB04"/>
      <sheetName val="TB03"/>
      <sheetName val="Sec 212"/>
      <sheetName val="EPS"/>
      <sheetName val="Tax Computation"/>
      <sheetName val="depre logic"/>
      <sheetName val="far pivot"/>
      <sheetName val="Fareg"/>
      <sheetName val="cap commitment"/>
      <sheetName val="DF"/>
      <sheetName val="DT"/>
      <sheetName val="AP"/>
      <sheetName val="abst _2_"/>
      <sheetName val="IBM C BLOCK"/>
      <sheetName val="fidelity"/>
      <sheetName val="IBM D BLOCK"/>
      <sheetName val="cherryhill"/>
      <sheetName val="anz"/>
      <sheetName val="Campus"/>
      <sheetName val="Pine Valley"/>
      <sheetName val="24 bar 7"/>
      <sheetName val="COVANSYS"/>
      <sheetName val="Signature"/>
      <sheetName val="Netapps"/>
      <sheetName val="EGL-FOODCOURT"/>
      <sheetName val="IBM C Block Fitout"/>
      <sheetName val="IBM D Block Fitout"/>
      <sheetName val="24bar7 (ICON)"/>
      <sheetName val="24bar7 phase 2"/>
      <sheetName val="LG Soft Fitout"/>
      <sheetName val="kirby"/>
      <sheetName val="kirby Gs"/>
      <sheetName val="ibm1"/>
      <sheetName val="ibm2"/>
      <sheetName val="ibm3"/>
      <sheetName val="AppA1-1"/>
      <sheetName val="AppA1-2"/>
      <sheetName val="AppA2-1"/>
      <sheetName val="AppA2-2"/>
      <sheetName val="AppA3"/>
      <sheetName val="AppA4"/>
      <sheetName val="July"/>
      <sheetName val="Contents"/>
      <sheetName val="ES1"/>
      <sheetName val="ES2"/>
      <sheetName val="ES3"/>
      <sheetName val="ES4"/>
      <sheetName val="Contents (2)"/>
      <sheetName val="ES1 (2)"/>
      <sheetName val="ES3 (2)"/>
      <sheetName val="ES5"/>
      <sheetName val="ES6"/>
      <sheetName val="ES7"/>
      <sheetName val="F-1"/>
      <sheetName val="L"/>
      <sheetName val="C"/>
      <sheetName val="M"/>
      <sheetName val="CC"/>
      <sheetName val="PB"/>
      <sheetName val="BP"/>
      <sheetName val="P.CTN"/>
      <sheetName val="Total PL"/>
      <sheetName val="F-1(KL)"/>
      <sheetName val="F-2(KL)"/>
      <sheetName val="F-3(KL)"/>
      <sheetName val="F-4(KL)"/>
      <sheetName val="F-5(KL)"/>
      <sheetName val="F-22(KL)"/>
      <sheetName val="AP110"/>
      <sheetName val="A(KL)"/>
      <sheetName val="L(KL)"/>
      <sheetName val="M-MM(KL)"/>
      <sheetName val="N(KL)"/>
      <sheetName val="U(KL)"/>
      <sheetName val="U-1(KL)"/>
      <sheetName val="U-disclosure(KL)"/>
      <sheetName val="CC(KL)"/>
      <sheetName val="30(KL)"/>
      <sheetName val="Cost centre expenditure"/>
      <sheetName val="Interim --&gt; Top"/>
      <sheetName val="U-2_Sales Analysis"/>
      <sheetName val="U-1l2_Overall AR"/>
      <sheetName val="FF-3"/>
      <sheetName val="F-2"/>
      <sheetName val="F-3"/>
      <sheetName val="F-4"/>
      <sheetName val="F-5"/>
      <sheetName val="F-11"/>
      <sheetName val="F-11a"/>
      <sheetName val="F-22"/>
      <sheetName val="B-40"/>
      <sheetName val="B-50"/>
      <sheetName val="U "/>
      <sheetName val="U-10"/>
      <sheetName val="U-30"/>
      <sheetName val="BB-30"/>
      <sheetName val="CC-30"/>
      <sheetName val="FF-1"/>
      <sheetName val="FF-2"/>
      <sheetName val="FF-4"/>
      <sheetName val="FF-4a"/>
      <sheetName val="FF-5"/>
      <sheetName val="FF-6"/>
      <sheetName val="FF-7"/>
      <sheetName val="FF-8"/>
      <sheetName val="10"/>
      <sheetName val="11"/>
      <sheetName val="20"/>
      <sheetName val="21"/>
      <sheetName val="30"/>
      <sheetName val="40"/>
      <sheetName val="50"/>
      <sheetName val="DD-10"/>
      <sheetName val="FF-21(a)"/>
      <sheetName val="BPR"/>
      <sheetName val="Materiality"/>
      <sheetName val="F-6"/>
      <sheetName val="F-7"/>
      <sheetName val="F7wkg"/>
      <sheetName val="F-9"/>
      <sheetName val="BPR balance sheet"/>
      <sheetName val="BPR profit &amp; loss"/>
      <sheetName val="BPR BS analysis"/>
      <sheetName val="BPR PL analysis"/>
      <sheetName val="A-22"/>
      <sheetName val="B-1"/>
      <sheetName val="C-1"/>
      <sheetName val="N"/>
      <sheetName val="U"/>
      <sheetName val="U-100"/>
      <sheetName val="FF"/>
      <sheetName val="FF-10"/>
      <sheetName val="FF-20"/>
      <sheetName val="CA"/>
      <sheetName val="FF-22(hp)"/>
      <sheetName val="FF-23(d)"/>
      <sheetName val="FF-30"/>
      <sheetName val="FF-31"/>
      <sheetName val="FF-40"/>
      <sheetName val="PP"/>
      <sheetName val="PP(spare)"/>
      <sheetName val="PP-20"/>
      <sheetName val="31"/>
      <sheetName val="AA"/>
      <sheetName val="BB"/>
      <sheetName val="BB-1"/>
      <sheetName val="MM"/>
      <sheetName val="13"/>
      <sheetName val="14"/>
      <sheetName val="NN-12"/>
      <sheetName val="PP-30"/>
      <sheetName val="PP-31"/>
      <sheetName val="PP-40"/>
      <sheetName val="BPR-1"/>
      <sheetName val="B-30"/>
      <sheetName val="U-1 "/>
      <sheetName val="KK"/>
      <sheetName val="M&amp;MM"/>
      <sheetName val="NN"/>
      <sheetName val="sales cut off"/>
      <sheetName val="purchase cut off"/>
      <sheetName val="Hypothesis"/>
      <sheetName val="Profitability Analysis"/>
      <sheetName val="FSA"/>
      <sheetName val="F-1&amp;2"/>
      <sheetName val="CF1"/>
      <sheetName val="Purch cut off"/>
      <sheetName val="M&amp;MM-10"/>
      <sheetName val="pp-1"/>
      <sheetName val="40 (2)"/>
      <sheetName val="50 (2)"/>
      <sheetName val="60"/>
      <sheetName val="70"/>
      <sheetName val="BIF-collect"/>
      <sheetName val="BIF-OR"/>
      <sheetName val="Module2"/>
      <sheetName val="Module3"/>
      <sheetName val="Future"/>
      <sheetName val="Attachment"/>
      <sheetName val="30 "/>
      <sheetName val="Recovered_Sheet1"/>
      <sheetName val="Consol adjustments"/>
      <sheetName val="Goodwill"/>
      <sheetName val="Financial stats"/>
      <sheetName val="Segment - 2002 (new)"/>
      <sheetName val="Segment - 2002"/>
      <sheetName val="Changes in equity"/>
      <sheetName val="Inter-co"/>
      <sheetName val="Inter-co(subsidiary)"/>
      <sheetName val="MI"/>
      <sheetName val="FA-detailed"/>
      <sheetName val="P&amp;L-disclosure(2002)"/>
      <sheetName val="P&amp;L disclosure(2001)"/>
      <sheetName val="Cash flow -2001"/>
      <sheetName val="Consol cashflow"/>
      <sheetName val="URP"/>
      <sheetName val="Dev Expenditure"/>
      <sheetName val="CF-1 2-unused"/>
      <sheetName val="Disposal"/>
      <sheetName val="Associate"/>
      <sheetName val="FA movement "/>
      <sheetName val="FA-summary"/>
      <sheetName val="CF-13"/>
      <sheetName val="CF-10-unused"/>
      <sheetName val="CF-11- unused"/>
      <sheetName val="FACON- unused"/>
      <sheetName val="CF-3 1999 - unused"/>
      <sheetName val="CF-22- unused"/>
      <sheetName val="Sheet1- unused"/>
      <sheetName val="bhb0603"/>
      <sheetName val="OS"/>
      <sheetName val="BPR-PL "/>
      <sheetName val="BPR-BS"/>
      <sheetName val="F-1,2"/>
      <sheetName val="F-99"/>
      <sheetName val="A-1"/>
      <sheetName val="A-10"/>
      <sheetName val="B-2"/>
      <sheetName val="B-3"/>
      <sheetName val="L-2"/>
      <sheetName val="M MM "/>
      <sheetName val="U dis"/>
      <sheetName val="U-1"/>
      <sheetName val="U-3"/>
      <sheetName val="U-4"/>
      <sheetName val="BB-2"/>
      <sheetName val="BB-10"/>
      <sheetName val="BB-17"/>
      <sheetName val="FIN297"/>
      <sheetName val="DD"/>
      <sheetName val="DD-1"/>
      <sheetName val="FF-4(a)"/>
      <sheetName val="10,20"/>
      <sheetName val="10-1"/>
      <sheetName val="32"/>
      <sheetName val="Bank Rec review"/>
      <sheetName val="A-2"/>
      <sheetName val="C-10"/>
      <sheetName val="NRV-1"/>
      <sheetName val="NRV-2"/>
      <sheetName val="N-10"/>
      <sheetName val="N-11"/>
      <sheetName val="N-12"/>
      <sheetName val="N-20"/>
      <sheetName val="AA-3"/>
      <sheetName val="CC-24"/>
      <sheetName val="CC-50"/>
      <sheetName val="25"/>
      <sheetName val="Statement"/>
      <sheetName val="auditor"/>
      <sheetName val="acs"/>
      <sheetName val="fixed"/>
      <sheetName val="xxx"/>
      <sheetName val="accumdeprn"/>
      <sheetName val="addl cost"/>
      <sheetName val="dev_exp (2)"/>
      <sheetName val="dev_exp"/>
      <sheetName val="Addl Dev Exp"/>
      <sheetName val="F-2 (2)"/>
      <sheetName val="CF-IS"/>
      <sheetName val="CF-SCE"/>
      <sheetName val="DIVIDENDS"/>
      <sheetName val="Cash Flows"/>
      <sheetName val="Profit anal"/>
      <sheetName val="F-1l F-2"/>
      <sheetName val="Statement of Equity"/>
      <sheetName val="5 Analysis"/>
      <sheetName val="   Contents"/>
      <sheetName val="1 LeadSchedule"/>
      <sheetName val="2 Sec108"/>
      <sheetName val="3 P&amp;L - 4 Op.Exp"/>
      <sheetName val="3A Turnover 3B COS"/>
      <sheetName val="   Directors"/>
      <sheetName val="Shareholders"/>
      <sheetName val="Dividend"/>
      <sheetName val="ITA-RA"/>
      <sheetName val="Int-rest"/>
      <sheetName val="OTHER (2)"/>
      <sheetName val="Company Info"/>
      <sheetName val="Summary of Fixed Assets"/>
      <sheetName val="Disposals"/>
      <sheetName val="Hire Purchase"/>
      <sheetName val="Lease"/>
      <sheetName val="Controlled Transfer"/>
      <sheetName val="CA Comp"/>
      <sheetName val="IBA Comp "/>
      <sheetName val="FSL"/>
      <sheetName val="F-7B"/>
      <sheetName val="B-1."/>
      <sheetName val="U-2"/>
      <sheetName val="20-1"/>
      <sheetName val="20-2"/>
      <sheetName val="30-1"/>
      <sheetName val="30-2"/>
      <sheetName val="30(old)"/>
      <sheetName val="F-8-20-1"/>
      <sheetName val="TB-gl"/>
      <sheetName val="gl"/>
      <sheetName val="OSM"/>
      <sheetName val="AWPs Template"/>
      <sheetName val="A2-1 CLA"/>
      <sheetName val="A2-2 RJE"/>
      <sheetName val="A2-3 SAD"/>
      <sheetName val="A3"/>
      <sheetName val="A8"/>
      <sheetName val="Review Recon"/>
      <sheetName val="Review Cash book"/>
      <sheetName val="E"/>
      <sheetName val="E1"/>
      <sheetName val="E3 Recoverability"/>
      <sheetName val="E-1_Recoverability"/>
      <sheetName val="E-2"/>
      <sheetName val="G"/>
      <sheetName val="I"/>
      <sheetName val="J"/>
      <sheetName val="J-1 OSM"/>
      <sheetName val="J1 Devt costs breakdown"/>
      <sheetName val="J2 Budget &amp; Att profit"/>
      <sheetName val="J3 Actual 04"/>
      <sheetName val="J4  Lots sold report CHD"/>
      <sheetName val="J-1-1_Commission"/>
      <sheetName val="Recog Prof"/>
      <sheetName val="J-consol sv11"/>
      <sheetName val="J 1-1(2)"/>
      <sheetName val="K"/>
      <sheetName val="Unrecorded"/>
      <sheetName val="O"/>
      <sheetName val="O-1_Prov.Tax-2004"/>
      <sheetName val="Capital allowance"/>
      <sheetName val="DEFERRED TAX"/>
      <sheetName val="P"/>
      <sheetName val="P-1"/>
      <sheetName val="P2A"/>
      <sheetName val="P2B"/>
      <sheetName val="P3A"/>
      <sheetName val="P3B"/>
      <sheetName val="P3C"/>
      <sheetName val="T"/>
      <sheetName val="U-5"/>
      <sheetName val="U-6"/>
      <sheetName val="U1 Salary resonableness"/>
      <sheetName val="U1_Rental"/>
      <sheetName val="U2_Total Salary"/>
      <sheetName val="CHSB Salary Allocation Summary"/>
      <sheetName val="MegaPalm salary Allocation"/>
      <sheetName val="U4_RCSLS Interest"/>
      <sheetName val="E-2_Recognition of sales 03 "/>
      <sheetName val="J-5_Pre-acq dev cost alloc 03"/>
      <sheetName val="J-3_Bgt 03"/>
      <sheetName val="J-2_% of compl_Final 03"/>
      <sheetName val="J-3_Puan Sri Comm 03"/>
      <sheetName val="J-4_Rebate reasona03"/>
      <sheetName val="Listing of CNs 03"/>
      <sheetName val="Fees 03"/>
      <sheetName val="F-1 F-2"/>
      <sheetName val="D"/>
      <sheetName val="B "/>
      <sheetName val="B-4"/>
      <sheetName val="U-disc"/>
      <sheetName val="BB-5"/>
      <sheetName val="CC-3"/>
      <sheetName val="20 30"/>
      <sheetName val="70 "/>
      <sheetName val="MCMD95"/>
      <sheetName val="GL --&gt; Interim"/>
      <sheetName val="Top Summary"/>
      <sheetName val="GL Input Validations"/>
      <sheetName val="Scratchpad"/>
      <sheetName val="14 Column"/>
      <sheetName val="7 Column"/>
      <sheetName val="Cover "/>
      <sheetName val="Direct Report"/>
      <sheetName val="Dtr Rpt - 1 - 3"/>
      <sheetName val="Dtrs stmt - 4"/>
      <sheetName val="Aud Rpt - 5"/>
      <sheetName val="P&amp;L - 6"/>
      <sheetName val="BS - 7"/>
      <sheetName val="Equity - 8"/>
      <sheetName val="CF - 9"/>
      <sheetName val="Notes - 10 - 12"/>
      <sheetName val="Sch A"/>
      <sheetName val="Notes 2"/>
      <sheetName val="cashflowcomp"/>
      <sheetName val="cashflowcomp (2)"/>
      <sheetName val="A2l2"/>
      <sheetName val="Q"/>
      <sheetName val="F"/>
      <sheetName val="H"/>
      <sheetName val="SUMM"/>
      <sheetName val="OS list"/>
      <sheetName val="A3l1"/>
      <sheetName val="A3l1-1"/>
      <sheetName val="A2l1-RJE"/>
      <sheetName val="A2l2-CLA"/>
      <sheetName val="A2l3-SAD"/>
      <sheetName val="C8"/>
      <sheetName val="EA"/>
      <sheetName val="EC"/>
      <sheetName val="E1l1"/>
      <sheetName val="E7"/>
      <sheetName val="F1"/>
      <sheetName val="F2"/>
      <sheetName val="F3"/>
      <sheetName val="F4"/>
      <sheetName val="F5"/>
      <sheetName val="F6"/>
      <sheetName val="GA"/>
      <sheetName val="G1"/>
      <sheetName val="G2"/>
      <sheetName val="G4"/>
      <sheetName val="H1"/>
      <sheetName val="IA"/>
      <sheetName val="K1"/>
      <sheetName val="K2"/>
      <sheetName val="K3"/>
      <sheetName val="K3l1"/>
      <sheetName val="K4"/>
      <sheetName val="K5"/>
      <sheetName val="K6"/>
      <sheetName val="K7"/>
      <sheetName val="N1"/>
      <sheetName val="N2"/>
      <sheetName val="N8"/>
      <sheetName val="N9"/>
      <sheetName val="OA"/>
      <sheetName val="O1"/>
      <sheetName val="O2-CA"/>
      <sheetName val="O3-Disposal"/>
      <sheetName val="O4"/>
      <sheetName val="Pl1"/>
      <sheetName val="P1l2"/>
      <sheetName val="R"/>
      <sheetName val="R1-Sch I"/>
      <sheetName val="R2-Sch IIa"/>
      <sheetName val="R3-Sch IIb"/>
      <sheetName val="R4-Sch III"/>
      <sheetName val="R5-NQA04"/>
      <sheetName val="R6-NQA03"/>
      <sheetName val="R1"/>
      <sheetName val="R1l1"/>
      <sheetName val="R1l2"/>
      <sheetName val="S"/>
      <sheetName val="Issues"/>
      <sheetName val="SRM(final)"/>
      <sheetName val="SAD(not used)"/>
      <sheetName val="RJE(not used)"/>
      <sheetName val="A3-1l2"/>
      <sheetName val="A3|3"/>
      <sheetName val="E-2(not used)"/>
      <sheetName val="K(disclosure)"/>
      <sheetName val="K (2)"/>
      <sheetName val="K1-DepnReasonablenessTest"/>
      <sheetName val="N2 Prov for bonus(final)"/>
      <sheetName val="N3 Prov for audit fee(final)"/>
      <sheetName val="N4"/>
      <sheetName val="N5(final)"/>
      <sheetName val="O(final)"/>
      <sheetName val="O1(final)"/>
      <sheetName val="O2(final)"/>
      <sheetName val="R(final)"/>
      <sheetName val="R1(final)"/>
      <sheetName val="R2(final)"/>
      <sheetName val="UA-Disclosure items(final)"/>
      <sheetName val="U10|20"/>
      <sheetName val="U10|1"/>
      <sheetName val="U20|1"/>
      <sheetName val="Purchases cut off"/>
      <sheetName val="Payroll analysis(final)"/>
      <sheetName val="EPF(final)"/>
      <sheetName val="U-70"/>
      <sheetName val="PreM'sia(info)"/>
      <sheetName val="PreBrunei(info) (2)"/>
      <sheetName val="PreBrunei(info)"/>
      <sheetName val="F.G6-1 "/>
      <sheetName val="F.G6-2"/>
      <sheetName val="F.G7-1"/>
      <sheetName val="F.G7-2"/>
      <sheetName val="F.G8-1 "/>
      <sheetName val="F.G8-2"/>
      <sheetName val="Com(Brunei)"/>
      <sheetName val="Com(M'sia)"/>
      <sheetName val="H-lead"/>
      <sheetName val="H1_MGS"/>
      <sheetName val="H2_Cagamas"/>
      <sheetName val="H3_Debentures"/>
      <sheetName val="H4_Quoted Shares"/>
      <sheetName val="revised high demand"/>
      <sheetName val="BB-1 (2)"/>
      <sheetName val="A2-5"/>
      <sheetName val="A2-2"/>
      <sheetName val="Provision DD"/>
      <sheetName val="A8-2"/>
      <sheetName val="A8-5"/>
      <sheetName val="Form EYP 1"/>
      <sheetName val="FS - 1"/>
      <sheetName val="FS - 2"/>
      <sheetName val="FS - 3"/>
      <sheetName val="C1"/>
      <sheetName val="C2 FD"/>
      <sheetName val="G2-1 "/>
      <sheetName val="K1-2 Policy"/>
      <sheetName val="N7Accrual"/>
      <sheetName val="Q1"/>
      <sheetName val="Q1-1"/>
      <sheetName val="U1income statm"/>
      <sheetName val="u1ar"/>
      <sheetName val="U2direct cost"/>
      <sheetName val="U3 fees reasonable"/>
      <sheetName val="U4 EPF &amp;staff"/>
      <sheetName val="U1 (2)"/>
      <sheetName val="U3 fees reasonable (2)"/>
      <sheetName val="U4 EPF &amp;staff (2)"/>
      <sheetName val="Capital Allowances"/>
      <sheetName val="PL Mapping"/>
      <sheetName val="download 06022002"/>
      <sheetName val="Tabelle3"/>
      <sheetName val="MV INS &amp; R.TAX EXP LIST"/>
      <sheetName val="EQMT INS EXP LIST"/>
      <sheetName val="PREPAID-INS,RTAX"/>
      <sheetName val="3 P&amp;L - 3A Op.Exp"/>
      <sheetName val="4 Analysis"/>
      <sheetName val="M, MM"/>
      <sheetName val=" BB-2"/>
      <sheetName val="CC-1"/>
      <sheetName val="CC-2"/>
      <sheetName val="CC-3-1"/>
      <sheetName val="PP-2"/>
      <sheetName val="RCD 5- (APPENDIX 1)"/>
      <sheetName val="k-Discl"/>
      <sheetName val="DM"/>
      <sheetName val="LABOUR,SUB-CON,LEASE"/>
      <sheetName val="ADM&amp; OHH INCOME"/>
      <sheetName val="S.OH"/>
      <sheetName val="BPR-Bloom"/>
      <sheetName val="F-4l5"/>
      <sheetName val="UA"/>
      <sheetName val="accounts"/>
      <sheetName val="stmt of equity"/>
      <sheetName val="auditors' report"/>
      <sheetName val="Attach"/>
      <sheetName val="Hypo"/>
      <sheetName val="AP110 sup"/>
      <sheetName val="AP110sup"/>
      <sheetName val="FF "/>
      <sheetName val="FF-2 (1)"/>
      <sheetName val="FF-2 (2)"/>
      <sheetName val="FF-2 (3)"/>
      <sheetName val="KK-1"/>
      <sheetName val="MM-1"/>
      <sheetName val="MM-10"/>
      <sheetName val="NN-1"/>
      <sheetName val="Payroll"/>
      <sheetName val="U dis (3)"/>
      <sheetName val="U dis (2)"/>
      <sheetName val="F-1,2 (2)"/>
      <sheetName val="F-3 (2)"/>
      <sheetName val="F-22 (2)"/>
      <sheetName val="F-1,2 (3)"/>
      <sheetName val="F-3 (3)"/>
      <sheetName val="F-22 (3)"/>
      <sheetName val="CF-4 "/>
      <sheetName val="CF-1,2"/>
      <sheetName val="CF-3"/>
      <sheetName val="CF-4"/>
      <sheetName val="ccf"/>
      <sheetName val="A5"/>
      <sheetName val="A5l1"/>
      <sheetName val="PPE"/>
      <sheetName val="(U3-2) Realised forex loss"/>
      <sheetName val="(U3) Unrealised forex gain-loss"/>
      <sheetName val="(U3-1) Realised forex gain"/>
      <sheetName val="**_x0000__x0000_"/>
      <sheetName val="CF-1"/>
      <sheetName val="CF-2"/>
      <sheetName val="BPR - Conclusion"/>
      <sheetName val="F-1l2"/>
      <sheetName val="F-8(FSA)"/>
      <sheetName val="F-9b"/>
      <sheetName val="F-9c"/>
      <sheetName val="F-21"/>
      <sheetName val="RCD-1-1"/>
      <sheetName val="C-5"/>
      <sheetName val="C-6"/>
      <sheetName val="C-6a"/>
      <sheetName val="M MM"/>
      <sheetName val="Pnl-10"/>
      <sheetName val="10-2"/>
      <sheetName val="30-Note"/>
      <sheetName val="30a"/>
      <sheetName val="CF workings"/>
      <sheetName val="Pg7"/>
      <sheetName val="SumV2"/>
      <sheetName val="WRAP"/>
      <sheetName val="Pg8"/>
      <sheetName val="Actvs Bud"/>
      <sheetName val="Pg15"/>
      <sheetName val="Current Year"/>
      <sheetName val="Pg11"/>
      <sheetName val="OHDcom"/>
      <sheetName val="SRM"/>
      <sheetName val="A6-1l1"/>
      <sheetName val="A6-1l2"/>
      <sheetName val="A3-1"/>
      <sheetName val="A3-3"/>
      <sheetName val="A4"/>
      <sheetName val="A3-7"/>
      <sheetName val="E "/>
      <sheetName val="F "/>
      <sheetName val="G "/>
      <sheetName val="K-1 "/>
      <sheetName val="N-1"/>
      <sheetName val="O-1"/>
      <sheetName val="U1"/>
      <sheetName val="U1-1"/>
      <sheetName val="U2"/>
      <sheetName val="U2-1"/>
      <sheetName val="U3-1"/>
      <sheetName val="Waterfall"/>
      <sheetName val="Sources&amp;Apps"/>
      <sheetName val="Holdco"/>
      <sheetName val="SPV"/>
      <sheetName val="EMIR"/>
      <sheetName val="Output"/>
      <sheetName val="Consol FY08"/>
      <sheetName val="Consol FY09"/>
      <sheetName val="Prop.Summ"/>
      <sheetName val="Val.Sum"/>
      <sheetName val="Prop.Schedule"/>
      <sheetName val="Adjustments"/>
      <sheetName val="Depn"/>
      <sheetName val="(1) Pacific Dunes"/>
      <sheetName val="(2) Peach Tree"/>
      <sheetName val="(3) St.Andrews"/>
      <sheetName val="(4) Crystal Down"/>
      <sheetName val="(5) Augusta"/>
      <sheetName val="(6) Fairwinds"/>
      <sheetName val="(7-A) BlueBay"/>
      <sheetName val="(7-B) Fountain Head"/>
      <sheetName val="(8) Pine Valley"/>
      <sheetName val="(9) Eagle Ridge"/>
      <sheetName val="(10) Yahoo"/>
      <sheetName val="(11) Sunningdale"/>
      <sheetName val="(12) New Office"/>
      <sheetName val="(13) Cypress Point"/>
      <sheetName val="(14) Pine Hurst"/>
      <sheetName val="(15) Manyata Blk B"/>
      <sheetName val="(16) Manyata Blk D1"/>
      <sheetName val="(17) Manyata Blk D2"/>
      <sheetName val="(18) Manyata Blk D3"/>
      <sheetName val="Mkt.Rent"/>
      <sheetName val="Fitout.I"/>
      <sheetName val="Exist.RR"/>
      <sheetName val="New.RR"/>
      <sheetName val="Carpark.I"/>
      <sheetName val="Terrace.I"/>
      <sheetName val="Maint.I"/>
      <sheetName val="Misc.I"/>
      <sheetName val="Sensitivity"/>
      <sheetName val="Revenue by tenants"/>
      <sheetName val="Depri Rates"/>
      <sheetName val="FA on 31.12.01"/>
      <sheetName val="FA on 31.3.02-Final"/>
      <sheetName val="FA on 31.12.02-Final"/>
      <sheetName val="FA Add 1.4.02 to 31.12.02"/>
      <sheetName val="FA on 31.12.02"/>
      <sheetName val="FA on 31.12.02 v 1.0"/>
      <sheetName val="Status"/>
      <sheetName val="Controls"/>
      <sheetName val="Sal Break up"/>
      <sheetName val="Segment Workings"/>
      <sheetName val="sal cost"/>
      <sheetName val="Deferred Tax "/>
      <sheetName val="Int on TDS Disallowance"/>
      <sheetName val="IT 09-10"/>
      <sheetName val="Debtors Ageing"/>
      <sheetName val="Cash Flow working "/>
      <sheetName val="Schedules"/>
      <sheetName val="CFS Final"/>
      <sheetName val="CF workings - BSR"/>
      <sheetName val="ExistingRangeDetails"/>
      <sheetName val="IEDC"/>
      <sheetName val="FA- Sch"/>
      <sheetName val="Groupings BSR revised"/>
      <sheetName val="FA 2009 - 10"/>
      <sheetName val="IT_DEP "/>
      <sheetName val="Groupings IGAAP"/>
      <sheetName val="Depreciation  fINAL (2)"/>
      <sheetName val="Investments - 2009"/>
      <sheetName val="TB 2010"/>
      <sheetName val="Investments details"/>
      <sheetName val="bs-abs"/>
      <sheetName val="fa 000"/>
      <sheetName val="FA_Sch 07-08 (2)"/>
      <sheetName val="C Flow Final"/>
      <sheetName val="212 (1) (e) (2)"/>
      <sheetName val="217(2A)"/>
      <sheetName val="CF Lead 2010"/>
      <sheetName val="CF Work 2010"/>
      <sheetName val="short term fund"/>
      <sheetName val="Linked TB-3Unit"/>
      <sheetName val="Linked TB-EoU"/>
      <sheetName val="fa rupee"/>
      <sheetName val="Warranty"/>
      <sheetName val="note def tax"/>
      <sheetName val="IT computation 05"/>
      <sheetName val="IT computation 04"/>
      <sheetName val="Dep-28.02.2010"/>
      <sheetName val="Depreciation  fINAL"/>
      <sheetName val="Veh sale"/>
      <sheetName val="Audit entries"/>
      <sheetName val="symphony-08-09"/>
      <sheetName val="IT computaion 03"/>
      <sheetName val="FBT"/>
      <sheetName val="AUDIT ISSUES"/>
      <sheetName val="IT 07-08 Final"/>
      <sheetName val="TB 2005"/>
      <sheetName val="CF Lead 2008"/>
      <sheetName val="CF Work 2008"/>
      <sheetName val="FA_Sch-link to iggap"/>
      <sheetName val="depn schedule"/>
      <sheetName val="sale deed value"/>
      <sheetName val="land cost17000"/>
      <sheetName val="sales details-13808"/>
      <sheetName val="MergerAnalysis"/>
      <sheetName val="Contribution"/>
      <sheetName val="AcqShares"/>
      <sheetName val="TgtShares"/>
      <sheetName val="Acq IS"/>
      <sheetName val="Tgt IS"/>
      <sheetName val="PFIS"/>
      <sheetName val="SumStat"/>
      <sheetName val="BlankPage"/>
      <sheetName val="Counters"/>
      <sheetName val="Alw"/>
      <sheetName val="Dew"/>
      <sheetName val="Rpt"/>
      <sheetName val="Prd"/>
      <sheetName val="Otros Costes"/>
      <sheetName val=" GGP Alw"/>
      <sheetName val=" GGP Dew"/>
      <sheetName val=" GGP Prd"/>
      <sheetName val=" GGP Rpt"/>
      <sheetName val="Gastos Comerciales"/>
      <sheetName val="Gastos Generales"/>
      <sheetName val="INDICE "/>
      <sheetName val="OPERATING SIT."/>
      <sheetName val="CASHFLOW SIT."/>
      <sheetName val="FINANCIAL SIT."/>
      <sheetName val="1. MACROECONOMIC &amp; OPERATING ST"/>
      <sheetName val="1.1. MACROEC. INDICATORS"/>
      <sheetName val="MB"/>
      <sheetName val="A.1.3.A RESULTS BY BUS. (BGT)"/>
      <sheetName val="A.1.3.B RESULTS BY BUS.(F'CAST)"/>
      <sheetName val="KALE RESULTS BY BUS.(F'CAST)"/>
      <sheetName val="1.4. COMPAR. SALES ANALYSIS"/>
      <sheetName val="1.5. GROSS MARGIN VARIATION AN."/>
      <sheetName val="2.1. SALES &amp; PRODUCT. UTS"/>
      <sheetName val="3.1.B PERSONNEL - ORG. CHART"/>
      <sheetName val="3.2.A PRODUCTION COSTS RANIPET"/>
      <sheetName val="3.2.B PRODUCTION COSTS ALWAR"/>
      <sheetName val="3.2.C PRODUCTION COSTS DEWAS"/>
      <sheetName val="3.2.D PRODUCTION COSTS PERUND"/>
      <sheetName val="3.2.B. PURCHASED COSTS"/>
      <sheetName val="3.4.A GRAL PROD COSTS RANIPET "/>
      <sheetName val="3.4.B GRAL PROD COSTS ALWAR"/>
      <sheetName val="3.4.C GRAL PROD COSTS DEWAS"/>
      <sheetName val="3.4.D GRAL PROD COSTS PERUND"/>
      <sheetName val="3.5.A MARKETING &amp; SALES"/>
      <sheetName val="3.5.B PROMOTION &amp; ADVERTISING"/>
      <sheetName val="3.6. GNRL &amp; ADMIN."/>
      <sheetName val="3.8 A.R. VALUE ADJUSTMENT"/>
      <sheetName val="3.9 NON OPERAT. INCOME &amp; EXPS"/>
      <sheetName val="3.10 TAXES"/>
      <sheetName val="4. CASHFLOW"/>
      <sheetName val="4.1 CASHFL. STATEM &amp; FIN. SIT."/>
      <sheetName val="4.2.INVESTMENT BUDGET"/>
      <sheetName val="4.3. INVESTMENT F'CAST"/>
      <sheetName val="4.4. WORKING CAPITAL DETAIL"/>
      <sheetName val="4.5.A WORKING CAPITAL RATIOS"/>
      <sheetName val="4.5.2 WORKING CAPITAL BGT"/>
      <sheetName val="4.6 ASSETS"/>
      <sheetName val="4.7.EQUITY &amp; LIABILITIES"/>
      <sheetName val="GM COMMENTS"/>
      <sheetName val="322540-StaffWelfare"/>
      <sheetName val="ARD _ BS"/>
      <sheetName val="RPT 71-VOLUME DATA-PCI "/>
      <sheetName val="BSH"/>
      <sheetName val="sch 1,2,3"/>
      <sheetName val="Interest on i-Tax"/>
      <sheetName val="Delloite"/>
      <sheetName val="BS P&amp;L"/>
      <sheetName val="Schedule 4"/>
      <sheetName val="Schedule5"/>
      <sheetName val="STATEMENT OF INCOME"/>
      <sheetName val="DEPIT31032001"/>
      <sheetName val="80HHC DEDUCTION"/>
      <sheetName val="WORKING FOR EXPORT TRADING"/>
      <sheetName val="DONATION"/>
      <sheetName val="INT.BANK"/>
      <sheetName val="PREV YR EXP ACTD IN AY 01-02"/>
      <sheetName val="DIVIDEND RECEIVED"/>
      <sheetName val="INT ON TAX FREE BONDS"/>
      <sheetName val="INT. ON INST. BONDS"/>
      <sheetName val="DR BAL WOFF"/>
      <sheetName val="TDS CLAIM"/>
      <sheetName val="CAP.GAINS"/>
      <sheetName val="CAP.GAINS (2)"/>
      <sheetName val="Pioneer Conversions"/>
      <sheetName val="Aditya Packaging"/>
      <sheetName val="Dee Aar Packaging"/>
      <sheetName val="Baweja Traders"/>
      <sheetName val="Amar Udyog"/>
      <sheetName val="Brisk"/>
      <sheetName val="Summary_HYP"/>
      <sheetName val="Plant Stock"/>
      <sheetName val="Depot Stock"/>
      <sheetName val="GIT Stock"/>
      <sheetName val="Transporter Stock"/>
      <sheetName val="STU Stock"/>
      <sheetName val="J Stock"/>
      <sheetName val="Blank store Stock"/>
      <sheetName val="Machine ShopStock"/>
      <sheetName val="Return Material Stock"/>
      <sheetName val="G.Insert Stock"/>
      <sheetName val="G.I Sleevs"/>
      <sheetName val="MRP"/>
      <sheetName val="BOM"/>
      <sheetName val="Standard Cost Zcostsplit"/>
      <sheetName val="Ring Sale Prices"/>
      <sheetName val="engline"/>
      <sheetName val="Consolidated "/>
      <sheetName val="B_SHEET consol"/>
      <sheetName val="P&amp;L consol"/>
      <sheetName val="Cash Flow-Consol"/>
      <sheetName val="SCH 1 -20 consol"/>
      <sheetName val="Fixed assets consol"/>
      <sheetName val="B_SHEET"/>
      <sheetName val="Cash Flow-Stand alone"/>
      <sheetName val="SCH 1 -20"/>
      <sheetName val="Fixed Assets (3)"/>
      <sheetName val="Consol B &amp; Sheet"/>
      <sheetName val="Consol P &amp; L"/>
      <sheetName val="Consol Sch1-20"/>
      <sheetName val="SCH 6,7"/>
      <sheetName val="Grouping_120506"/>
      <sheetName val="Sch 15 Provisions"/>
      <sheetName val="Summary_Dec.09"/>
      <sheetName val="SUMMARY Inv"/>
      <sheetName val="EL Leave Enca_Mgr &amp; Exec"/>
      <sheetName val="PPV Nov09"/>
      <sheetName val="Rs 6000"/>
      <sheetName val="Domestic Enq."/>
      <sheetName val="EHS"/>
      <sheetName val="NSF"/>
      <sheetName val="Royalty Calculation (2)"/>
      <sheetName val="Retainer Ship"/>
      <sheetName val="ESI Cases"/>
      <sheetName val="Land Tax"/>
      <sheetName val="Rates &amp; Tax Labour"/>
      <sheetName val="Legal &amp; Local Freight"/>
      <sheetName val="LTA PROV Aug.09_FMGIL"/>
      <sheetName val="Leave En Contr"/>
      <sheetName val="Bonus Contr"/>
      <sheetName val="MBO 2009 True Up"/>
      <sheetName val="MBO Dec08"/>
      <sheetName val="S.Tax Non Eligible Input"/>
      <sheetName val="Exgratia"/>
      <sheetName val="JM MEDICAL REIMB09-10"/>
      <sheetName val="Medical "/>
      <sheetName val="Med Reim Prov"/>
      <sheetName val="Petrol Reim. Exp."/>
      <sheetName val="Bonus_Emp. Prov."/>
      <sheetName val="Professional Fees"/>
      <sheetName val="GIL WORKMEN &amp; STAFF Sep'09"/>
      <sheetName val="old GIL WORKMEN &amp; STAFF Aug.09"/>
      <sheetName val="old Aug.09 Pending Serv. Bills"/>
      <sheetName val="Sr Bils_Oct.09"/>
      <sheetName val="Aug.09 Pending Serv. Bills"/>
      <sheetName val="Incentive Sep.09"/>
      <sheetName val="Hotel Air Ticket Drivers"/>
      <sheetName val="Freight Prov"/>
      <sheetName val="현대 해외진출업체"/>
      <sheetName val="해외 진출업체 업무FLOW "/>
      <sheetName val="TA JV"/>
      <sheetName val="major"/>
      <sheetName val="S5"/>
      <sheetName val="S7"/>
      <sheetName val="S8"/>
      <sheetName val="S9"/>
      <sheetName val="S10"/>
      <sheetName val="S11"/>
      <sheetName val="S12"/>
      <sheetName val="S13"/>
      <sheetName val="S14"/>
      <sheetName val="INVENT"/>
      <sheetName val="depot stk"/>
      <sheetName val="Charts "/>
      <sheetName val="Summary (US)"/>
      <sheetName val="Summary (Foreign) (2)"/>
      <sheetName val="Summary (Foreign)"/>
      <sheetName val="Pivot Summ"/>
      <sheetName val="Pivot Check"/>
      <sheetName val="CrossRef"/>
      <sheetName val="IMF"/>
      <sheetName val="Trends"/>
      <sheetName val="%Good"/>
      <sheetName val="GTP ASSETS"/>
      <sheetName val="Comp Depr"/>
      <sheetName val="Piston Status"/>
      <sheetName val="ZMIS2"/>
      <sheetName val="Piston"/>
      <sheetName val="Pin"/>
      <sheetName val="circlips"/>
      <sheetName val="Rings"/>
      <sheetName val="Shims"/>
      <sheetName val="SLPins"/>
      <sheetName val="Blanks"/>
      <sheetName val="S023"/>
      <sheetName val="S015"/>
      <sheetName val="SM02"/>
      <sheetName val="S005"/>
      <sheetName val="S029"/>
      <sheetName val="Rec.Pin"/>
      <sheetName val="Rec.Piston"/>
      <sheetName val="KIT J STOCK"/>
      <sheetName val="Kit MODVAT Stock"/>
      <sheetName val="Piston Modvat Stock"/>
      <sheetName val="Piston J-Stock"/>
      <sheetName val="Pin Modvat"/>
      <sheetName val="Pin J-Stock"/>
      <sheetName val="Circlips (2)"/>
      <sheetName val="USD"/>
      <sheetName val="INR"/>
      <sheetName val="INCOME -DET"/>
      <sheetName val="LEAD04 (2)"/>
      <sheetName val="LEAD04"/>
      <sheetName val="NAR-PIN"/>
      <sheetName val="NAR-PISTON"/>
      <sheetName val="SCRAP-PIN"/>
      <sheetName val="KEYPIN"/>
      <sheetName val="NSV-PPCR"/>
      <sheetName val="compenents"/>
      <sheetName val="CHIPS SUMM."/>
      <sheetName val="SCRAP-PISTON"/>
      <sheetName val="KEY-(PIS)2003"/>
      <sheetName val="목차"/>
      <sheetName val="formula sheet"/>
      <sheetName val="scrap rate calclation (fdy) (2)"/>
      <sheetName val="scrap rate calclation (fdy)"/>
      <sheetName val="scrap rate calclation(Mshop)_"/>
      <sheetName val="2004-05 TARGET"/>
      <sheetName val="NAR-PIN (3)"/>
      <sheetName val="NAR-Pistons (2)"/>
      <sheetName val="CHIPS MELTING .04"/>
      <sheetName val="BUD SCRAP PISTON FDY"/>
      <sheetName val="NSV-Roylty (2)"/>
      <sheetName val="Rc Tractor pip"/>
      <sheetName val="FINISH WT"/>
      <sheetName val="MSHOP-SCARP"/>
      <sheetName val="budget 2006-07"/>
      <sheetName val="wip-blank "/>
      <sheetName val="newstoresum (2)"/>
      <sheetName val="newstoresum-TEMP"/>
      <sheetName val="Weighted  Avg Cost-fm %"/>
      <sheetName val="liners PRICE (2)-13.07."/>
      <sheetName val="Apr 07"/>
      <sheetName val="May07"/>
      <sheetName val="dept-Power (2)"/>
      <sheetName val="dept-Power"/>
      <sheetName val="Power-jan  (3)"/>
      <sheetName val="26.02.2007"/>
      <sheetName val="2005-06 power "/>
      <sheetName val="Power-jan "/>
      <sheetName val="EB"/>
      <sheetName val="malden"/>
      <sheetName val="Strat Plan"/>
      <sheetName val="GRING"/>
      <sheetName val="RM"/>
      <sheetName val="ZBILL12 (1)"/>
      <sheetName val="GTP"/>
      <sheetName val="O.INCOME"/>
      <sheetName val="NAR-Pistons"/>
      <sheetName val="Compenent"/>
      <sheetName val="HO-RM FORMAT"/>
      <sheetName val="CAP (2)"/>
      <sheetName val="454-272 Cost Summ"/>
      <sheetName val="newstoresum"/>
      <sheetName val="ploss-03-04"/>
      <sheetName val="bonding ALLOY CAL"/>
      <sheetName val=" scrp-pip"/>
      <sheetName val="BUD2004-05"/>
      <sheetName val="repiars"/>
      <sheetName val="common"/>
      <sheetName val="PIP"/>
      <sheetName val="2006-07 power-RATE"/>
      <sheetName val="Roylty"/>
      <sheetName val="Power -Sarbjeet"/>
      <sheetName val="Packing c"/>
      <sheetName val="XXXXXXXX"/>
      <sheetName val="bsvertical"/>
      <sheetName val="sch1"/>
      <sheetName val="sch2"/>
      <sheetName val="sch3"/>
      <sheetName val="sch4"/>
      <sheetName val="sch5"/>
      <sheetName val="sch6-btd"/>
      <sheetName val="sch8,9,10,11"/>
      <sheetName val="sch12,13,14"/>
      <sheetName val="B Sheet"/>
      <sheetName val="PreOp"/>
      <sheetName val="DET0900"/>
      <sheetName val="414000 UPDATED INSURANCE"/>
      <sheetName val="16862"/>
      <sheetName val="DIRECTORS DETAILS"/>
      <sheetName val="UPDATED ON 23 07 01"/>
      <sheetName val="Detail Sheet"/>
      <sheetName val="laroux"/>
      <sheetName val="BAL S"/>
      <sheetName val="BAL SHEET 12 april 02"/>
      <sheetName val="TALLY "/>
      <sheetName val="429400"/>
      <sheetName val="SHEET"/>
      <sheetName val="429400 june"/>
      <sheetName val="PROF"/>
      <sheetName val="JUNE   "/>
      <sheetName val="425230 june"/>
      <sheetName val="Bal Sheet Aug 01 (15.9.01)  (2)"/>
      <sheetName val="GIST"/>
      <sheetName val="A.1"/>
      <sheetName val="A.2"/>
      <sheetName val="D 1"/>
      <sheetName val="D 3"/>
      <sheetName val="D 4"/>
      <sheetName val="D 5"/>
      <sheetName val="D 6"/>
      <sheetName val="Balance Sheet upto Sept., 2001"/>
      <sheetName val="D 7"/>
      <sheetName val="D 7.1"/>
      <sheetName val="D 2"/>
      <sheetName val="D 8"/>
      <sheetName val="425230 apr may 01"/>
      <sheetName val="D 9"/>
      <sheetName val="D 10"/>
      <sheetName val="D 10.1"/>
      <sheetName val="D 10.2"/>
      <sheetName val="D 10.3"/>
      <sheetName val="D 11"/>
      <sheetName val="D 12"/>
      <sheetName val="D 13"/>
      <sheetName val="E.3.1"/>
      <sheetName val="E.3.2"/>
      <sheetName val="E.3.3"/>
      <sheetName val="E.4"/>
      <sheetName val="E.5"/>
      <sheetName val="E.6"/>
      <sheetName val="E.7"/>
      <sheetName val="E.8"/>
      <sheetName val="F.1"/>
      <sheetName val="F.2"/>
      <sheetName val="425229 apr may 01"/>
      <sheetName val="415030(APR01)"/>
      <sheetName val="410010"/>
      <sheetName val="COVERPAGE"/>
      <sheetName val="HIGHLIGHTS"/>
      <sheetName val="mis - reports"/>
      <sheetName val="p&amp;l  "/>
      <sheetName val="PBIDT-GROUP"/>
      <sheetName val="CONTRACT"/>
      <sheetName val="Trend"/>
      <sheetName val="EMP-LOAN"/>
      <sheetName val="INCENTIVE-1"/>
      <sheetName val="INITIATIVE-SUMM"/>
      <sheetName val="CANTEEN-SUM"/>
      <sheetName val="HIRD_VEH"/>
      <sheetName val="PROFF"/>
      <sheetName val="HRD&amp;GS"/>
      <sheetName val="REBATE"/>
      <sheetName val="W.CAP"/>
      <sheetName val="STK OP.SUPPLIES"/>
      <sheetName val="STK.SPARES"/>
      <sheetName val="STK.SIP"/>
      <sheetName val="DISC.ROLL"/>
      <sheetName val="DR.BAL-HSM"/>
      <sheetName val="DR.BAL-SIP"/>
      <sheetName val="LEFT-EMP "/>
      <sheetName val="FREE ISSUE"/>
      <sheetName val="DRS COM"/>
      <sheetName val="SCHE-12-SIP"/>
      <sheetName val="SCH_12-HSM"/>
      <sheetName val="SCH13HSM"/>
      <sheetName val="SCH13SIP"/>
      <sheetName val="FUND REP"/>
      <sheetName val="IIL-IMIL"/>
      <sheetName val="Emp loan"/>
      <sheetName val="RECOVERY LIST"/>
      <sheetName val="INITIATIVES"/>
      <sheetName val="ElectInst"/>
      <sheetName val="Plan&amp;Mach"/>
      <sheetName val="Railway"/>
      <sheetName val="Buildings"/>
      <sheetName val="Dep-Tally"/>
      <sheetName val="Final-Asset-Depre-SKG"/>
      <sheetName val="AssetMaster-Final"/>
      <sheetName val="Sch-3-fixedAssets"/>
      <sheetName val="Final-Allocation-SKG"/>
      <sheetName val="fluct-2yrs"/>
      <sheetName val="Frgn-Exch-Diff"/>
      <sheetName val="CWIP-Tally"/>
      <sheetName val="cwip-proj"/>
      <sheetName val="CWIP-remain"/>
      <sheetName val="CWIP-detl-AUC"/>
      <sheetName val="details for cwip remain"/>
      <sheetName val="Final data for DEP."/>
      <sheetName val="Main data for Dep"/>
      <sheetName val="Final Allocation Summary"/>
      <sheetName val="SINTER+CHFES+COAL INJ."/>
      <sheetName val="Tally with SAP"/>
      <sheetName val="ORIGINAL Sint+CHFES+Coal Inj"/>
      <sheetName val="NMDC Porf"/>
      <sheetName val="report"/>
      <sheetName val="ByProduct Summary"/>
      <sheetName val="RM Summary"/>
      <sheetName val="FG Summary"/>
      <sheetName val="Allocation of MP"/>
      <sheetName val="Trail Run"/>
      <sheetName val="Pub"/>
      <sheetName val="PL-Print"/>
      <sheetName val="Fund Flow"/>
      <sheetName val="Sch - BS"/>
      <sheetName val="Sch - PL"/>
      <sheetName val="Sch 5"/>
      <sheetName val="Sch - 8"/>
      <sheetName val="Sch 6&amp;7"/>
      <sheetName val="Reclassification"/>
      <sheetName val="Tax Cal."/>
      <sheetName val="PL-CPP"/>
      <sheetName val="DTA"/>
      <sheetName val="PL Approach"/>
      <sheetName val="A03.2 SI Cash Flow"/>
      <sheetName val="JVs"/>
      <sheetName val="A03.2b"/>
      <sheetName val="A03.2c"/>
      <sheetName val="REI"/>
      <sheetName val="GP Analysis"/>
      <sheetName val="LS"/>
      <sheetName val="Obsv"/>
      <sheetName val="codes"/>
      <sheetName val="Analytical"/>
      <sheetName val="Avg Rate"/>
      <sheetName val="CN  Cut-off"/>
      <sheetName val="Cut off"/>
      <sheetName val="Sample-Monthwise"/>
      <sheetName val="Sample-Productwise"/>
      <sheetName val="Excess Calc"/>
      <sheetName val="XREF"/>
      <sheetName val="Tickmarks"/>
      <sheetName val="Threshold Calc"/>
      <sheetName val="18_4_10 pm"/>
      <sheetName val="ADJ_TB"/>
      <sheetName val="Map"/>
      <sheetName val="Pub-res"/>
      <sheetName val="AR-BS"/>
      <sheetName val="AR-P&amp;L"/>
      <sheetName val="related"/>
      <sheetName val="Segment"/>
      <sheetName val="SCH 1_2"/>
      <sheetName val="SCH _3"/>
      <sheetName val="SCH_4"/>
      <sheetName val="SCH 5 (N)"/>
      <sheetName val=" SCH 6_7 "/>
      <sheetName val=" SCH 8 9 10 11"/>
      <sheetName val="SCH121314"/>
      <sheetName val="SCH 1516"/>
      <sheetName val="SCH1718"/>
      <sheetName val="SCH19"/>
      <sheetName val="CFLOW"/>
      <sheetName val="wkg cflo"/>
      <sheetName val="BS Abstract"/>
      <sheetName val="8PSCH66A-NA"/>
      <sheetName val="TRDG PROFIT"/>
      <sheetName val="sub"/>
      <sheetName val="debt"/>
      <sheetName val="PointNo.5"/>
      <sheetName val="Entity List"/>
      <sheetName val="Agra"/>
      <sheetName val="Udaipur"/>
      <sheetName val="Projections"/>
      <sheetName val="Recon"/>
      <sheetName val="Sales to schenider"/>
      <sheetName val="Sales Regr 2011-12"/>
      <sheetName val="Control Chart"/>
      <sheetName val="U_Instructions CFIAT"/>
      <sheetName val="U-1_SGA BLock Reconciliation"/>
      <sheetName val="U-2_SGA Inventory Tally"/>
      <sheetName val="U-3_Depreciation Reasonability"/>
      <sheetName val="U-4_Investments &amp; FD"/>
      <sheetName val="U-5_Raw Materials Tally"/>
      <sheetName val="U-6_Yield Analysis-RMPM"/>
      <sheetName val="U-7_Finished Goods Tally"/>
      <sheetName val="U-8_Schedule VI-FG Tally &amp; RM"/>
      <sheetName val="U-9_NRV Testing-FG"/>
      <sheetName val="U-10_Container Reconciliation"/>
      <sheetName val="U-11_Finished Goods Excise Duty"/>
      <sheetName val="U-12_Accrued Expenses Turnover"/>
      <sheetName val="U-13_Excise Duty Reasonability"/>
      <sheetName val="U-14_Sales Tax Reconciliation"/>
      <sheetName val="Sales Tax Reco-Working"/>
      <sheetName val="U-15_Sales Tax Incentive"/>
      <sheetName val="U-16_OAR-Balance Sheet"/>
      <sheetName val="U-17_GP Reconciliation"/>
      <sheetName val="U-18_Qty &amp; Rate Variance_GP, NP"/>
      <sheetName val="U-19_NP Reconciliation"/>
      <sheetName val="U-20_Payroll Expense"/>
      <sheetName val="U-21_Power &amp; Fuel Expense"/>
      <sheetName val="U-22_OAR-P&amp;L Account"/>
      <sheetName val="U-23_Contingent Liabilities"/>
      <sheetName val="U-24_Ratios Chart"/>
      <sheetName val="U-25_Balance Sheet_2004"/>
      <sheetName val="U-26_P&amp;L Account_2004"/>
      <sheetName val="U-27_Schedules_2004"/>
      <sheetName val="U-28_Ross TB_2004"/>
      <sheetName val="U-29_FA Schedule_2004"/>
      <sheetName val="U-30_Additional Info_2004"/>
      <sheetName val="U-31_Miscellaneous Info_2004"/>
      <sheetName val="U-32_Inter Unit Sales-FG_2004"/>
      <sheetName val="U-33_Balance Sheet_2003"/>
      <sheetName val="U-34_P&amp;L Account_2003"/>
      <sheetName val="U-35_Schedules_2003"/>
      <sheetName val="U-36_Ross TB_2003"/>
      <sheetName val="U-37_FA Schedule_2003"/>
      <sheetName val="U-38_Additional Info_2003"/>
      <sheetName val="U-39_Miscellaneous Info_2003"/>
      <sheetName val="Input"/>
      <sheetName val="YS"/>
      <sheetName val="GW"/>
      <sheetName val="Head office"/>
      <sheetName val="Consolidated excl pz&amp;gw"/>
      <sheetName val="1.1 Cashflow analysis"/>
      <sheetName val="1.2 Secured loans"/>
      <sheetName val="1.3 Fixed Assets"/>
      <sheetName val="1.4 Debtors"/>
      <sheetName val="1.5 Loans and advances"/>
      <sheetName val="Shareholders fund"/>
      <sheetName val="Margin analysis"/>
      <sheetName val="Sales mfg"/>
      <sheetName val="Sales Trd"/>
      <sheetName val="3.3 Employee costs"/>
      <sheetName val="1.2 Inventory"/>
      <sheetName val="3.1 Sales mfg"/>
      <sheetName val="3.1 Sales Trd"/>
      <sheetName val="3.1 Other Income"/>
      <sheetName val="3.2 CoM"/>
      <sheetName val="3.4 Other operating expenses"/>
      <sheetName val="Payables"/>
      <sheetName val="Seg P&amp;L"/>
      <sheetName val="Seg BS"/>
      <sheetName val="XCWIP_segment"/>
      <sheetName val="Assets_segmantal"/>
      <sheetName val="PROFIT &amp; LOSS ACCOUNT"/>
      <sheetName val="COMM"/>
      <sheetName val="R&amp;d"/>
      <sheetName val="Cash Flow Workings"/>
      <sheetName val="GR SERVICES"/>
      <sheetName val="GR CAP"/>
      <sheetName val="GR MAT"/>
      <sheetName val="Prov. Others"/>
      <sheetName val="FORM-16"/>
      <sheetName val="MD Office"/>
      <sheetName val="Quality"/>
      <sheetName val="Proface"/>
      <sheetName val="EE"/>
      <sheetName val="MKt"/>
      <sheetName val="HR"/>
      <sheetName val="Finance"/>
      <sheetName val="Industry"/>
      <sheetName val="Logistics"/>
      <sheetName val="CCC"/>
      <sheetName val="BLD"/>
      <sheetName val="ISC"/>
      <sheetName val="BMS"/>
      <sheetName val="Distri"/>
      <sheetName val="PEC"/>
      <sheetName val="SISC"/>
      <sheetName val="SGBD"/>
      <sheetName val="E&amp;I"/>
      <sheetName val="IT &amp; Bridge"/>
      <sheetName val="Approval Matrix"/>
      <sheetName val="01 T"/>
      <sheetName val="03 "/>
      <sheetName val="WELCOME"/>
      <sheetName val="Q2 YTD OG Sales Analysis"/>
      <sheetName val="ER3"/>
      <sheetName val="ER11_Old"/>
      <sheetName val="ER10_Old"/>
      <sheetName val="Total Expenses"/>
      <sheetName val="Insructions"/>
      <sheetName val="Adj"/>
      <sheetName val="Coding"/>
      <sheetName val="D22TRIALCY"/>
      <sheetName val="D22TRIALPY"/>
      <sheetName val="TRIALPYE"/>
      <sheetName val="2"/>
      <sheetName val="Group Code"/>
      <sheetName val="4"/>
      <sheetName val="5"/>
      <sheetName val="6"/>
      <sheetName val="7"/>
      <sheetName val="8"/>
      <sheetName val="9"/>
      <sheetName val="12"/>
      <sheetName val="15"/>
      <sheetName val="16"/>
      <sheetName val="17"/>
      <sheetName val="18"/>
      <sheetName val="19"/>
      <sheetName val="22"/>
      <sheetName val="23"/>
      <sheetName val="24"/>
      <sheetName val="2627"/>
      <sheetName val="28"/>
      <sheetName val="29"/>
      <sheetName val="33"/>
      <sheetName val="contgn"/>
      <sheetName val="Note output"/>
      <sheetName val="Vs."/>
      <sheetName val="Others discl"/>
      <sheetName val="SCH D 0413"/>
      <sheetName val="SCH D 0412"/>
      <sheetName val="Given to Sanjeev"/>
      <sheetName val="CODE"/>
      <sheetName val="Revised"/>
      <sheetName val="100Provn"/>
      <sheetName val="109Provn"/>
      <sheetName val="114Provn"/>
      <sheetName val="116 Prov"/>
      <sheetName val="CRITERIA1"/>
      <sheetName val="Acc_10.5"/>
      <sheetName val="PF Payable"/>
      <sheetName val="PF Exp."/>
      <sheetName val="PF Admn. charges"/>
      <sheetName val=" CL 21(ii)(B)  (2)- Employe (2)"/>
      <sheetName val="1"/>
      <sheetName val="Interest on Loan from Director"/>
      <sheetName val="Unsecured  Loan"/>
      <sheetName val="5A Director_s Remuneration"/>
      <sheetName val="5B Director Exp_summ"/>
      <sheetName val="Mobile CMSG"/>
      <sheetName val="Mob LG"/>
      <sheetName val="mobile Product"/>
      <sheetName val="10 Unearned Revenue"/>
      <sheetName val="TDS LG"/>
      <sheetName val="TDS CMSG"/>
      <sheetName val="TDS Product"/>
      <sheetName val="(Foreign Travelling) (2)"/>
      <sheetName val="(Foreign Travelling)"/>
      <sheetName val="OD Account"/>
      <sheetName val="Prepaid "/>
      <sheetName val="Internet"/>
      <sheetName val="Landline"/>
      <sheetName val="Generator Expenses"/>
      <sheetName val="(Legal and Proff)"/>
      <sheetName val="(Travelling)"/>
      <sheetName val="Travelling CMSG LG"/>
      <sheetName val="Fixed Assets Addition"/>
      <sheetName val="FDRs"/>
      <sheetName val="SALE TAX"/>
      <sheetName val="hwf"/>
      <sheetName val="ESI"/>
      <sheetName val="Provident Fund"/>
      <sheetName val="pf-pii"/>
      <sheetName val="Sales Tax"/>
      <sheetName val="Comm Link (2)"/>
      <sheetName val=".training"/>
      <sheetName val="Training-"/>
      <sheetName val="training srb"/>
      <sheetName val="Office Repairs"/>
      <sheetName val="Comp Leased Acco. SORTED"/>
      <sheetName val="AMC"/>
      <sheetName val="Training "/>
      <sheetName val="Staff Welfare"/>
      <sheetName val="CAR_Maint"/>
      <sheetName val="Legal &amp; Professional"/>
      <sheetName val="Sec format 2"/>
      <sheetName val="Security "/>
      <sheetName val="security SRB"/>
      <sheetName val="Brokerage &amp; Comm"/>
      <sheetName val="Office Repairs1"/>
      <sheetName val="Other repairs"/>
      <sheetName val="Comm Link"/>
      <sheetName val="Comm Link Before prepaird break"/>
      <sheetName val="Business Promotion"/>
      <sheetName val="Staff Rec_Add"/>
      <sheetName val="Recruitment all Location."/>
      <sheetName val="Staff Recruitment ."/>
      <sheetName val="Membership &amp; Subscription "/>
      <sheetName val="Hardware Maintenance "/>
      <sheetName val="Corporate_Advt"/>
      <sheetName val="Conference &amp; Seminar"/>
      <sheetName val="Power Supply"/>
      <sheetName val="Telphone Repaire"/>
      <sheetName val="Software License"/>
      <sheetName val="Property Insurance"/>
      <sheetName val="Insurance others"/>
      <sheetName val="Caters"/>
      <sheetName val="Postage"/>
      <sheetName val="Client Entertain"/>
      <sheetName val="Entertaining Emp."/>
      <sheetName val="AC Repairs"/>
      <sheetName val="Furniture"/>
      <sheetName val="Vehicle Hire "/>
      <sheetName val="Rental Equipment"/>
      <sheetName val="Hosue Keeping Material"/>
      <sheetName val="Relocation"/>
      <sheetName val="rent"/>
      <sheetName val="GH Cost"/>
      <sheetName val="Landscaping"/>
      <sheetName val="IT Consumbales"/>
      <sheetName val="long Service Retirement"/>
      <sheetName val="Emp Reward"/>
      <sheetName val="Comp Leased Acco."/>
      <sheetName val="Notice pay paid"/>
      <sheetName val="Notice pay paid (Cr.)"/>
      <sheetName val="SCHOLARSHIP"/>
      <sheetName val="Office Mobile"/>
      <sheetName val="office tele."/>
      <sheetName val="Rent of Prop."/>
      <sheetName val="Service Chargs"/>
      <sheetName val="Car Insurance"/>
      <sheetName val="Eqipment Repair"/>
      <sheetName val="Imp Goods Clearing &amp; duty "/>
      <sheetName val="Travel Domestic"/>
      <sheetName val="Vehicle Hire1"/>
      <sheetName val="Staff Welfare (2)"/>
      <sheetName val="House Keeping"/>
      <sheetName val="House Keeping (2)"/>
      <sheetName val="Utility"/>
      <sheetName val="Annexuer-1"/>
      <sheetName val="AP-2.1"/>
      <sheetName val="AP -3"/>
      <sheetName val="AP-2.2"/>
      <sheetName val="Annexure 2"/>
      <sheetName val="Annexure2.1"/>
      <sheetName val="Annexure2.2"/>
      <sheetName val="Annexure3"/>
      <sheetName val="Annexure3.1"/>
      <sheetName val="annexure-3.2"/>
      <sheetName val="AP-06"/>
      <sheetName val="Annexure-4"/>
      <sheetName val="Annexure-5"/>
      <sheetName val="Annexure-6"/>
      <sheetName val="Annexure7"/>
      <sheetName val="Annexure-8"/>
      <sheetName val="AP-7.1"/>
      <sheetName val="AP-8A"/>
      <sheetName val="AP-8"/>
      <sheetName val="Annexure-"/>
      <sheetName val="Ack"/>
      <sheetName val="Ack (2)"/>
      <sheetName val="Page1"/>
      <sheetName val="Page2"/>
      <sheetName val="Page3"/>
      <sheetName val="Page4"/>
      <sheetName val="Page5"/>
      <sheetName val="Page6"/>
      <sheetName val="Page7"/>
      <sheetName val="Page8"/>
      <sheetName val="Page9"/>
      <sheetName val="Page10"/>
      <sheetName val="Direc"/>
      <sheetName val="Part A General"/>
      <sheetName val="Subsidiary Co Details"/>
      <sheetName val="MD, Dir, Co. secy"/>
      <sheetName val="Beneficial_owners"/>
      <sheetName val="Profit and Loss"/>
      <sheetName val="Other Info"/>
      <sheetName val="Stock details"/>
      <sheetName val="Part B"/>
      <sheetName val="Part C"/>
      <sheetName val="Sch 1 Bus"/>
      <sheetName val="Sch 2 CG"/>
      <sheetName val="Sch 3 Depr"/>
      <sheetName val="Sch 4 HP"/>
      <sheetName val="Sch 5 OS"/>
      <sheetName val="Sch 6 Setoff"/>
      <sheetName val="Sch 7 Bf Setoff"/>
      <sheetName val="Sch 8 Cf Losses"/>
      <sheetName val="Sch 9 Dedns"/>
      <sheetName val="Sch 10 VIA-Sch 11"/>
      <sheetName val="Sch 12-Sch 13"/>
      <sheetName val="Sch 14 88E-Sch 15 115B"/>
      <sheetName val="Sch 16 Div"/>
      <sheetName val="Sch 17 FB"/>
      <sheetName val="Sch 18 Bank"/>
      <sheetName val="Sch 19, 20 Taxes"/>
      <sheetName val="Sch 21 Div Tax"/>
      <sheetName val="Sch 22, 23 FBT"/>
      <sheetName val="Sch 24 TDS"/>
      <sheetName val="Sch 25 TCS"/>
      <sheetName val="Apr-03"/>
      <sheetName val="Apr-03 "/>
      <sheetName val="May-03"/>
      <sheetName val="June-03"/>
      <sheetName val="July-03"/>
      <sheetName val="Aug-03"/>
      <sheetName val="Sept-03"/>
      <sheetName val="Conversion"/>
      <sheetName val="INV verification"/>
      <sheetName val="Oct-04 To Sept-05"/>
      <sheetName val="For STN Pending"/>
      <sheetName val="For E Mail"/>
      <sheetName val="For Detention Chgs"/>
      <sheetName val="Ack 1"/>
      <sheetName val="Sec 349"/>
      <sheetName val="Managerial Remuneration 3 month"/>
      <sheetName val="INVOICE Sep-09  "/>
      <sheetName val="Local Benefit"/>
      <sheetName val="PF calcu"/>
      <sheetName val="rustin"/>
      <sheetName val="Directors"/>
      <sheetName val="recos"/>
      <sheetName val="cap gains"/>
      <sheetName val="CARRY-FORWARD"/>
      <sheetName val="general info"/>
      <sheetName val="ifhp"/>
      <sheetName val="pgbp"/>
      <sheetName val="ifos"/>
      <sheetName val="brought forward"/>
      <sheetName val="MAT INCOME"/>
      <sheetName val="ST.TAXES"/>
      <sheetName val="b&amp;p info"/>
      <sheetName val="exempt."/>
      <sheetName val="Ack1"/>
      <sheetName val="Ack2"/>
      <sheetName val="1997"/>
      <sheetName val="FCAST96"/>
      <sheetName val="party"/>
      <sheetName val="bank"/>
      <sheetName val="bnc"/>
      <sheetName val="Legal"/>
      <sheetName val="CURING DEATAILS "/>
      <sheetName val="CURING AMR CR. TO PARTY AC"/>
      <sheetName val="other credits"/>
      <sheetName val="bnc-OTHER"/>
      <sheetName val="Missing PDC"/>
      <sheetName val="DEUCH BANK -coll"/>
      <sheetName val="DB-BNC"/>
      <sheetName val="Missign PDC- details to WGE"/>
      <sheetName val="Details for WGE"/>
      <sheetName val="DAT DETAILS"/>
      <sheetName val="Other BNC"/>
      <sheetName val="DEUCH BANK "/>
      <sheetName val="FA reco"/>
      <sheetName val="FA REcon-Details"/>
      <sheetName val="DTA new method "/>
      <sheetName val="it-dep"/>
      <sheetName val="asst-deletion"/>
      <sheetName val="FA_SchV-31122003"/>
      <sheetName val="asst-deletion sep"/>
      <sheetName val="Leased Assets"/>
      <sheetName val="Owned-Add"/>
      <sheetName val="Owned-Retire."/>
      <sheetName val="New Lease-Dec-03"/>
      <sheetName val="Taken on Lease"/>
      <sheetName val="Dec-03 TB..ver1"/>
      <sheetName val="2003 Dec. Working"/>
      <sheetName val="23450new"/>
      <sheetName val="EAST"/>
      <sheetName val="SOUTH"/>
      <sheetName val="west"/>
      <sheetName val="north"/>
      <sheetName val="MAR-03-MM"/>
      <sheetName val="24037-mar03"/>
      <sheetName val="24037-apr03"/>
      <sheetName val="apr03"/>
      <sheetName val="mar03"/>
      <sheetName val="feb-03"/>
      <sheetName val="southgl-8thmar"/>
      <sheetName val="westgl-8thmar"/>
      <sheetName val="northgl-8th mar"/>
      <sheetName val="New Lease-mar04"/>
      <sheetName val="Unexpired income"/>
      <sheetName val="dma"/>
      <sheetName val="Provision details"/>
      <sheetName val="Deliquent income"/>
      <sheetName val="Trial-Sub"/>
      <sheetName val="Invesment-019500001&amp;019500004"/>
      <sheetName val="Deff Reve Exp-122001004.0201"/>
      <sheetName val="Dfault AP-122005001.0099"/>
      <sheetName val=" Adv 122008003-0201"/>
      <sheetName val="Off Loan-122008003-0202"/>
      <sheetName val="Chart of Future Loan Repayment"/>
      <sheetName val="SAL ADVANCE122008003-0203"/>
      <sheetName val="Emp Advances 122003001-0060"/>
      <sheetName val="122003001.0060"/>
      <sheetName val="122008003.0204 PREPID EXP UPDAT"/>
      <sheetName val="Secu Depo 122008003.0205"/>
      <sheetName val="Secu Depo 122008003-0205"/>
      <sheetName val="Rent Adv-122008003-0206"/>
      <sheetName val="Corpus Contri-122008003-0212"/>
      <sheetName val=" Adv For exp-122008003-0213 "/>
      <sheetName val="AS-19 Liability 306003005.0012"/>
      <sheetName val="Gratuity- 307099001-0011"/>
      <sheetName val="Accounts Payable"/>
      <sheetName val="Rev Prov-307099001.0015"/>
      <sheetName val="ACC.Payable-307099001.0010"/>
      <sheetName val="GECSI-307099001.0242"/>
      <sheetName val="GECIS 307099001-0243"/>
      <sheetName val="CW-307099001.0244"/>
      <sheetName val="GEBPMS 307099001.0247"/>
      <sheetName val="ACCRUED PAYROLL-320004001.0000"/>
      <sheetName val="PF-320005001.0001"/>
      <sheetName val="PF"/>
      <sheetName val=" PF"/>
      <sheetName val="SAF-320005001.0002"/>
      <sheetName val="SAF"/>
      <sheetName val="HLWF-320005001.0003"/>
      <sheetName val="307099001.0249"/>
      <sheetName val="307099001.0250"/>
      <sheetName val="P.Tax-309007001.0054"/>
      <sheetName val="P.Tax"/>
      <sheetName val="452530001"/>
      <sheetName val="999999004&amp;999999034"/>
      <sheetName val="999999018"/>
      <sheetName val="999999032"/>
      <sheetName val="999999033"/>
      <sheetName val="Invesment-019500001 &amp; 01950004"/>
      <sheetName val="317200004.0202-FMO"/>
      <sheetName val="OFA"/>
      <sheetName val="FX"/>
      <sheetName val="CDR"/>
      <sheetName val="STAT"/>
      <sheetName val="Write Offs"/>
      <sheetName val="Expense Summary"/>
      <sheetName val="PRM"/>
      <sheetName val="NI 02SI vs 01ACT"/>
      <sheetName val="NI 02SI vs 02OP"/>
      <sheetName val="NI LRF"/>
      <sheetName val="NI_NEA Walk"/>
      <sheetName val="Cost Walk ACT01 v SI05"/>
      <sheetName val="HCWalk ACT01 v SI05"/>
      <sheetName val="Acquisition"/>
      <sheetName val="ERROR"/>
      <sheetName val="Exp Variance"/>
      <sheetName val="Misc Exp"/>
      <sheetName val="Meeting"/>
      <sheetName val="Advtg, SP &amp; Comm"/>
      <sheetName val="Collection Charges"/>
      <sheetName val="BPOC"/>
      <sheetName val="Portfolio"/>
      <sheetName val="Volumes"/>
      <sheetName val="Notes-COI"/>
      <sheetName val="234C"/>
      <sheetName val="Revised Tax Dep Schedule"/>
      <sheetName val="Workings of Provisions"/>
      <sheetName val="STP P&amp;L"/>
      <sheetName val="FA Final Schedule"/>
      <sheetName val="FA register-copy"/>
      <sheetName val="Retirals"/>
      <sheetName val="Reco-updated"/>
      <sheetName val="Fixed asset register"/>
      <sheetName val="Add. vehicle"/>
      <sheetName val="Add-Pl. &amp; Mach"/>
      <sheetName val="Add-Off Eqp"/>
      <sheetName val="ADD-Comp"/>
      <sheetName val="ADD-Furn."/>
      <sheetName val="FNDWRR (2)"/>
      <sheetName val="changes"/>
      <sheetName val="RT-12(QTY)"/>
      <sheetName val="RT-12(FIRST)"/>
      <sheetName val="RT-12(SECOND)"/>
      <sheetName val="8 (Exportrs)"/>
      <sheetName val="9 &amp;10"/>
      <sheetName val="DSA-SEP"/>
      <sheetName val="list (2)"/>
      <sheetName val="IDTO"/>
      <sheetName val="pay"/>
      <sheetName val="VB_Payroll Lead"/>
      <sheetName val="VB1_Salaries, wages and bonus"/>
      <sheetName val="VB1.1_Monthwise Salary"/>
      <sheetName val="VB1.2_Employeewise Salary"/>
      <sheetName val="VB2_Cont. to PF"/>
      <sheetName val="VB2.1_PF"/>
      <sheetName val="VB2.2_ESI"/>
      <sheetName val="VB 3_Staff Welfare"/>
      <sheetName val="Original Profit"/>
      <sheetName val="TB Chennai Plant"/>
      <sheetName val="TB Bawal11"/>
      <sheetName val="TB Chennai Warehouse"/>
      <sheetName val="Inventory adjustment"/>
      <sheetName val="Combined TB (2)"/>
      <sheetName val="Exchange Rate"/>
      <sheetName val="Ad. Entries"/>
      <sheetName val="TBW09"/>
      <sheetName val="TB CP09"/>
      <sheetName val="Schedules1"/>
      <sheetName val="Schedule 4 F.Assets"/>
      <sheetName val="Pviot TB CP 09"/>
      <sheetName val="TBCW09"/>
      <sheetName val="Combined TB"/>
      <sheetName val="BS (2)"/>
      <sheetName val="1-2"/>
      <sheetName val="3-4"/>
      <sheetName val="5-8"/>
      <sheetName val="10-13"/>
      <sheetName val="14-17"/>
      <sheetName val="18-22"/>
      <sheetName val="23-24"/>
      <sheetName val="25-26"/>
      <sheetName val="26_"/>
      <sheetName val="27"/>
      <sheetName val="27-31"/>
      <sheetName val="33-38"/>
      <sheetName val="Detail of Current Assets-CL"/>
      <sheetName val="Old_Detail of Exp. &amp; Oth. Incom"/>
      <sheetName val="Royalty rectification"/>
      <sheetName val="PM TE SAD"/>
      <sheetName val="BS-S"/>
      <sheetName val="P&amp;L-S"/>
      <sheetName val="FA_DEC'07"/>
      <sheetName val="Conv"/>
      <sheetName val="ExactBS08"/>
      <sheetName val="ExactPL08"/>
      <sheetName val="ExactBS07"/>
      <sheetName val="ExactPL07"/>
      <sheetName val="ExactBS06"/>
      <sheetName val="ExactPL06"/>
      <sheetName val="Schedule-E06-07A"/>
      <sheetName val="Taxable Income2007"/>
      <sheetName val="Defferred Tax2007"/>
      <sheetName val="IT provn &amp; DTA"/>
      <sheetName val="Entries08"/>
      <sheetName val="RM &amp; Components"/>
      <sheetName val="RMMS"/>
      <sheetName val="S.I.T."/>
      <sheetName val="SIT_mARCH"/>
      <sheetName val="1401S"/>
      <sheetName val="1401"/>
      <sheetName val="1401M"/>
      <sheetName val="1402S"/>
      <sheetName val="1402"/>
      <sheetName val="1402M"/>
      <sheetName val="1403S"/>
      <sheetName val="1403"/>
      <sheetName val="1403M"/>
      <sheetName val="1404S"/>
      <sheetName val="1404"/>
      <sheetName val="1404M"/>
      <sheetName val="1405S"/>
      <sheetName val="1405"/>
      <sheetName val="1405M"/>
      <sheetName val="1406M"/>
      <sheetName val="1407S"/>
      <sheetName val="1407"/>
      <sheetName val="1407M"/>
      <sheetName val="1408S"/>
      <sheetName val="1408"/>
      <sheetName val="1408M"/>
      <sheetName val="1409S"/>
      <sheetName val="1409"/>
      <sheetName val="1409M"/>
      <sheetName val="1410S"/>
      <sheetName val="1410"/>
      <sheetName val="1410M"/>
      <sheetName val="1411M"/>
      <sheetName val="1412S"/>
      <sheetName val="1412"/>
      <sheetName val="1412M"/>
      <sheetName val="1413S"/>
      <sheetName val="1413"/>
      <sheetName val="1413M"/>
      <sheetName val="1414S"/>
      <sheetName val="1414r"/>
      <sheetName val="1414M"/>
      <sheetName val="1415S"/>
      <sheetName val="1415"/>
      <sheetName val="1415M"/>
      <sheetName val="1417S"/>
      <sheetName val="1417"/>
      <sheetName val="1417M"/>
      <sheetName val="1418S"/>
      <sheetName val="1418"/>
      <sheetName val="1418M"/>
      <sheetName val="1419S"/>
      <sheetName val="1419"/>
      <sheetName val="1419M"/>
      <sheetName val="1420S"/>
      <sheetName val="1420"/>
      <sheetName val="1420M"/>
      <sheetName val="1421S"/>
      <sheetName val="1421"/>
      <sheetName val="1421M"/>
      <sheetName val="1422S"/>
      <sheetName val="1422"/>
      <sheetName val="1422M"/>
      <sheetName val="1423S"/>
      <sheetName val="1423"/>
      <sheetName val="1423M"/>
      <sheetName val="1425S"/>
      <sheetName val="1425"/>
      <sheetName val="1425M"/>
      <sheetName val="1427S"/>
      <sheetName val="1427"/>
      <sheetName val="1427M"/>
      <sheetName val="1428S"/>
      <sheetName val="1428"/>
      <sheetName val="1428M"/>
      <sheetName val="1449S"/>
      <sheetName val="1449"/>
      <sheetName val="1449M"/>
      <sheetName val="1450S"/>
      <sheetName val="1450"/>
      <sheetName val="1450M"/>
      <sheetName val="1451S"/>
      <sheetName val="1451"/>
      <sheetName val="1451M"/>
      <sheetName val="1452S"/>
      <sheetName val="1452"/>
      <sheetName val="1452M"/>
      <sheetName val="1601S"/>
      <sheetName val="1601"/>
      <sheetName val="1601M"/>
      <sheetName val="1602S"/>
      <sheetName val="1602"/>
      <sheetName val="1602M"/>
      <sheetName val="1801S"/>
      <sheetName val="1801r"/>
      <sheetName val="1801M"/>
      <sheetName val="Drawing"/>
      <sheetName val="Specs"/>
      <sheetName val="Rate"/>
      <sheetName val="ABC-Det"/>
      <sheetName val="ABC-Sum"/>
      <sheetName val="Major Models"/>
      <sheetName val="Growth Initiatives "/>
      <sheetName val="Operational Targets 2005-06"/>
      <sheetName val="Targets not met fully"/>
      <sheetName val="Business Development Targets "/>
      <sheetName val="Localisation, Source Change"/>
      <sheetName val="Negotiations, Price Disocunts"/>
      <sheetName val="VAVE Six Sigma Kaizen"/>
      <sheetName val="Productvity Improvement"/>
      <sheetName val="Shopfloor wastage reduction"/>
      <sheetName val="Customer Rating"/>
      <sheetName val="PPM"/>
      <sheetName val="Vendor Management"/>
      <sheetName val="Market Size"/>
      <sheetName val="Action plan"/>
      <sheetName val="Capacity Utilisation"/>
      <sheetName val="Bajaj"/>
      <sheetName val="Bajaj OS"/>
      <sheetName val="Ford"/>
      <sheetName val="Yamaha"/>
      <sheetName val="volvo"/>
      <sheetName val="M&amp;M"/>
      <sheetName val="Hyundai"/>
      <sheetName val="honda motors"/>
      <sheetName val="honda siel"/>
      <sheetName val="TATA Engg"/>
      <sheetName val="TKML"/>
      <sheetName val="TKML-Supplier"/>
      <sheetName val="Fiat"/>
      <sheetName val="GM"/>
      <sheetName val="AL"/>
      <sheetName val="Bajaj1"/>
      <sheetName val="Process"/>
      <sheetName val="Identity"/>
      <sheetName val="SEC0-DropdownList"/>
      <sheetName val="DrowDownLists"/>
      <sheetName val="Sec1-Titles"/>
      <sheetName val="Sec2-Inputs"/>
      <sheetName val="Profit Variance"/>
      <sheetName val="Overheads-Input"/>
      <sheetName val="Sales Variance FTM"/>
      <sheetName val="Sales Variance FTM Per BU  "/>
      <sheetName val="Sales Variance FTM Per Taco"/>
      <sheetName val="Sales Variance YTD Per BU "/>
      <sheetName val="Sales Variance YTD Per Taco "/>
      <sheetName val="Customer wise sales"/>
      <sheetName val="Export countrywise Details"/>
      <sheetName val="Export Details-Input"/>
      <sheetName val="Major Models Input"/>
      <sheetName val="Working Capital"/>
      <sheetName val="Inventory Ageing"/>
      <sheetName val="Cash Flow - Input"/>
      <sheetName val="Headcount"/>
      <sheetName val="Statutory Compliance Report"/>
      <sheetName val="NFE Status"/>
      <sheetName val="Marketing"/>
      <sheetName val="Operations"/>
      <sheetName val="Conso Results"/>
      <sheetName val="Input Conso Results"/>
      <sheetName val="Parent BU"/>
      <sheetName val="BU Std List"/>
      <sheetName val="Sec3-Outputs"/>
      <sheetName val="BU-P&amp;L"/>
      <sheetName val="BU-Mthly-P&amp;L"/>
      <sheetName val="JV summary"/>
      <sheetName val="BU-Mthly-Var"/>
      <sheetName val="Inventory Graph"/>
      <sheetName val="P &amp; L Graphs"/>
      <sheetName val="Sum Fin Sts"/>
      <sheetName val="Reasonwise-Analysis"/>
      <sheetName val="Performance Highlights"/>
      <sheetName val="TACO Group Summary"/>
      <sheetName val="TACO Legal Entity"/>
      <sheetName val="TACO Var"/>
      <sheetName val="Gross Sales"/>
      <sheetName val="Net Sales"/>
      <sheetName val="Exports"/>
      <sheetName val="Value addition"/>
      <sheetName val="Gross Margin"/>
      <sheetName val="EBITDA"/>
      <sheetName val="PBT"/>
      <sheetName val="PAT"/>
      <sheetName val="Cash Profit"/>
      <sheetName val="ASA"/>
      <sheetName val="Profit Reco Summary"/>
      <sheetName val="Profit Reco Details"/>
      <sheetName val="Sales var Summary"/>
      <sheetName val="Sales Variance Details"/>
      <sheetName val="Operations Graph"/>
      <sheetName val="Export countrywise-Output"/>
      <sheetName val="TACO+TAPS Conso BS"/>
      <sheetName val="Profit Reco - Output"/>
      <sheetName val="Cash Flow-Output"/>
      <sheetName val="MIS Summary"/>
      <sheetName val="Gross Sales &amp; PAT"/>
      <sheetName val="Conco Results"/>
      <sheetName val="Major Models -Output Sheet"/>
      <sheetName val="Export Details-Output"/>
      <sheetName val="Overheads-Output"/>
      <sheetName val="Sec4-Discuss"/>
      <sheetName val="Sec5-NotRequired"/>
      <sheetName val="NotReqd-TACO Brk up"/>
      <sheetName val="NotReqd-Sales BH"/>
      <sheetName val="NotReqd-Profit Reconciliation"/>
      <sheetName val="NotReqd-Profit Analysis"/>
      <sheetName val="NotReqd-Cost Reduction"/>
      <sheetName val="NotReqd-TBEM, Shinohara"/>
      <sheetName val="NotReqd-Growth Plans"/>
      <sheetName val="NotReqd-Add for Engineering"/>
      <sheetName val="NotReqd-Additional for Retail"/>
      <sheetName val="NotReqd-Additional for SCM"/>
      <sheetName val="NotReqd-WD Report"/>
      <sheetName val="p-4 (2)"/>
      <sheetName val="P-15"/>
      <sheetName val="p-4"/>
      <sheetName val="in house frameBOXER"/>
      <sheetName val="FORWARD BOXER"/>
      <sheetName val="Rear Boxer"/>
      <sheetName val="IN HOUSE FRAME CT-100"/>
      <sheetName val="FORWARD CT100"/>
      <sheetName val="Rear CT"/>
      <sheetName val="Operation_Bhosari With Igarshi "/>
      <sheetName val="LIL SALES Plan"/>
      <sheetName val="Profitability HO"/>
      <sheetName val="Profitability Corp"/>
      <sheetName val="SED Feedback"/>
      <sheetName val="Operation_Bhosari"/>
      <sheetName val="SALES PLAN"/>
      <sheetName val="RMC PLAN"/>
      <sheetName val="MSEB_Cost"/>
      <sheetName val="PM BOM"/>
      <sheetName val="Packing Mtrl"/>
      <sheetName val="2436"/>
      <sheetName val="Repair"/>
      <sheetName val="Manpower Summary"/>
      <sheetName val="W-230 Worker"/>
      <sheetName val="W-230 Staff"/>
      <sheetName val="Consumable"/>
      <sheetName val="CONS PLAN"/>
      <sheetName val="New Consul"/>
      <sheetName val="Other MFG Expan"/>
      <sheetName val="Packing &amp; Forwarding"/>
      <sheetName val="Corporate Fund"/>
      <sheetName val="SECRETARIAL"/>
      <sheetName val="Contractor"/>
      <sheetName val="CONS BOM"/>
      <sheetName val="MISC EXP."/>
      <sheetName val="Secritrial"/>
      <sheetName val="FINANCE COST"/>
      <sheetName val="2495"/>
      <sheetName val="2642"/>
      <sheetName val="SALES MATRIX Bhosari 08-09"/>
      <sheetName val="RMC PLAN WITH IGARSHI MOTOR"/>
      <sheetName val="new manpower (2)"/>
      <sheetName val="Power_cycletime"/>
      <sheetName val="Trans_Plan BOM"/>
      <sheetName val="2456"/>
      <sheetName val="2461"/>
      <sheetName val="2452"/>
      <sheetName val="2415"/>
      <sheetName val="2410"/>
      <sheetName val="2404"/>
      <sheetName val="2398"/>
      <sheetName val="2510"/>
      <sheetName val="2386"/>
      <sheetName val="2369"/>
      <sheetName val="2367"/>
      <sheetName val="2364"/>
      <sheetName val="2359"/>
      <sheetName val="2355"/>
      <sheetName val="2501"/>
      <sheetName val="2330"/>
      <sheetName val="2433"/>
      <sheetName val="2417"/>
      <sheetName val="2544"/>
      <sheetName val="2511"/>
      <sheetName val="5439"/>
      <sheetName val="5392"/>
      <sheetName val="2453"/>
      <sheetName val="2371"/>
      <sheetName val="2525"/>
      <sheetName val="2486"/>
      <sheetName val="2389"/>
      <sheetName val="5441"/>
      <sheetName val="2360"/>
      <sheetName val="5516"/>
      <sheetName val="2512"/>
      <sheetName val="2399"/>
      <sheetName val="GMA "/>
      <sheetName val="DEP CHART"/>
      <sheetName val="LAND"/>
      <sheetName val="BUILDING"/>
      <sheetName val="ASTTTA"/>
      <sheetName val="GENRT"/>
      <sheetName val="R&amp;D MC"/>
      <sheetName val="RDSFT"/>
      <sheetName val="DIE"/>
      <sheetName val="PMA"/>
      <sheetName val="EFFILU"/>
      <sheetName val="EDPSOFT"/>
      <sheetName val="EDP"/>
      <sheetName val="DTANK"/>
      <sheetName val="MC BELOW"/>
      <sheetName val="AST-TTB"/>
      <sheetName val="FURNI"/>
      <sheetName val="OEQAB"/>
      <sheetName val="FELECABO"/>
      <sheetName val="INTRCOM "/>
      <sheetName val="OFEEQB"/>
      <sheetName val="ELEB"/>
      <sheetName val="CAR"/>
      <sheetName val="PMLES"/>
      <sheetName val="NPSASS"/>
      <sheetName val="TRF."/>
      <sheetName val="CHK2"/>
      <sheetName val="pmare"/>
      <sheetName val="KVV"/>
      <sheetName val="formula"/>
      <sheetName val="FIN.RESULTS"/>
      <sheetName val="UNIT-WISE"/>
      <sheetName val="P-1 "/>
      <sheetName val="P-2  "/>
      <sheetName val="p-3 "/>
      <sheetName val="P-5"/>
      <sheetName val="P-6"/>
      <sheetName val="HONDA"/>
      <sheetName val="P-7-8 "/>
      <sheetName val="P-9 "/>
      <sheetName val="P-10-12 "/>
      <sheetName val="P-13"/>
      <sheetName val="Ratio (2)"/>
      <sheetName val="P-13-14 "/>
      <sheetName val="2003-04"/>
      <sheetName val="P-16"/>
      <sheetName val="VARIANCE FOR MONTH 0608 (2)"/>
      <sheetName val="works"/>
      <sheetName val="OUT_PUT"/>
      <sheetName val="作成要領"/>
      <sheetName val="MENU"/>
      <sheetName val="OUT_PUT_SHEET"/>
      <sheetName val="COMMENT&amp;GRAPHS"/>
      <sheetName val="上下検証(出力用)"/>
      <sheetName val="上下ｺﾒﾝﾄ"/>
      <sheetName val="2007_ACT・EST"/>
      <sheetName val="2007PLAN"/>
      <sheetName val="2007見通し"/>
      <sheetName val="2006ACT"/>
      <sheetName val="ZSUPPLY"/>
      <sheetName val="KE30"/>
      <sheetName val="Change due to Noida"/>
      <sheetName val="Profit Reco"/>
      <sheetName val="Results March_final"/>
      <sheetName val="Results Dec_final"/>
      <sheetName val="Results JUNE 06_final"/>
      <sheetName val="UPTO June 2006"/>
      <sheetName val="UPTO June 2005"/>
      <sheetName val="UPTO MArch 2006"/>
      <sheetName val="Cash flow grouping"/>
      <sheetName val="FSne120506"/>
      <sheetName val="BCO125RG"/>
      <sheetName val="NCONS04AL"/>
      <sheetName val="NCONS04A"/>
      <sheetName val="FSne"/>
      <sheetName val="DC0906"/>
      <sheetName val="DCALL"/>
      <sheetName val="FA07"/>
      <sheetName val="Working for Notes"/>
      <sheetName val="BS0506RG "/>
      <sheetName val="BCO047RG"/>
      <sheetName val="GS0407RG"/>
      <sheetName val="BCO027RG"/>
      <sheetName val="DC0307"/>
      <sheetName val="GS0207RG"/>
      <sheetName val="BCO126RG"/>
      <sheetName val="DC1206"/>
      <sheetName val="GS1206RG"/>
      <sheetName val="BCO096RG"/>
      <sheetName val="GS0906RG"/>
      <sheetName val="BCO066RG"/>
      <sheetName val="GS0606RG"/>
      <sheetName val="BCO036RG"/>
      <sheetName val="GS0306RG"/>
      <sheetName val="FA06"/>
      <sheetName val="BCO027RG (BEFORE IU EXP TRFD)"/>
      <sheetName val="NCONS04A (AUDITOR) (2)"/>
      <sheetName val="bco035RG"/>
      <sheetName val="GS0305RG "/>
      <sheetName val="BCO036RG-TEMP"/>
      <sheetName val="FC MIS"/>
      <sheetName val="PE MIS FORMAT FOR YEAR 2005-06"/>
      <sheetName val="PUR.New MIS Report"/>
      <sheetName val="Annexure-I"/>
      <sheetName val="Param"/>
      <sheetName val="Results Sept'06_final"/>
      <sheetName val="Results Sept'07_final"/>
      <sheetName val="Results Dec'07_final"/>
      <sheetName val="Cash flow grouping (2)"/>
      <sheetName val="Cash Flow (2)"/>
      <sheetName val="Results March2008_final (2)"/>
      <sheetName val="Results March2008_final"/>
      <sheetName val="DIFF"/>
      <sheetName val="MIS0308L-MTH"/>
      <sheetName val="MIS0308L"/>
      <sheetName val="MIS0308"/>
      <sheetName val="BCO127RG (2)"/>
      <sheetName val="BCO018RG (2)"/>
      <sheetName val="BCO038RG (2)"/>
      <sheetName val="BCO038RG"/>
      <sheetName val="GS0308RG"/>
      <sheetName val="FA08"/>
      <sheetName val="BCO127RG"/>
      <sheetName val="GS1207RG"/>
      <sheetName val="BCO097RG"/>
      <sheetName val="GS0907RG"/>
      <sheetName val="BCO067RG"/>
      <sheetName val="GS0607RG"/>
      <sheetName val="Results (2)"/>
      <sheetName val="FR0908"/>
      <sheetName val="Results Sept'08_final"/>
      <sheetName val="Results June'08_final"/>
      <sheetName val="MIS0309L-MTH"/>
      <sheetName val="MIS0309L"/>
      <sheetName val="MIS0309"/>
      <sheetName val="BCO039RG"/>
      <sheetName val="GS0309RG"/>
      <sheetName val="GS0309RG-G"/>
      <sheetName val="GS0309RG (2)"/>
      <sheetName val="GS0309RG-DIFF"/>
      <sheetName val="GS0309RG (3)"/>
      <sheetName val="GS0309RGSH"/>
      <sheetName val="GS0309RGSH-DIFF"/>
      <sheetName val="SCHEDULE6"/>
      <sheetName val="1000"/>
      <sheetName val="2000"/>
      <sheetName val="3000"/>
      <sheetName val="Intermix"/>
      <sheetName val="Blender"/>
      <sheetName val="TST"/>
      <sheetName val="CV"/>
      <sheetName val="AA2"/>
      <sheetName val="newexpected"/>
      <sheetName val="Summary-mixing"/>
      <sheetName val="SUMMARYline"/>
      <sheetName val="COMPOUNDING"/>
      <sheetName val="prod3(val)"/>
      <sheetName val="Renault"/>
      <sheetName val="CVtrend"/>
      <sheetName val="OCT06"/>
      <sheetName val="SALE7C"/>
      <sheetName val="Coversheet"/>
      <sheetName val="Sales Customer (CCI)"/>
      <sheetName val="Gap Analysis (CCI)"/>
      <sheetName val="P&amp;L Sub"/>
      <sheetName val="DCF(CCI)"/>
      <sheetName val="WACC (CCI)"/>
      <sheetName val="BETA(CCI)"/>
      <sheetName val="CFS (CCI)"/>
      <sheetName val="IL&amp;FS"/>
      <sheetName val="P&amp;L (CCI)"/>
      <sheetName val="BS (CCI)"/>
      <sheetName val="Revised Logistics (2)"/>
      <sheetName val="Revised Logistics"/>
      <sheetName val="Logistics (CCI)"/>
      <sheetName val="Assumption (CCI)"/>
      <sheetName val="FF Business (CCI)"/>
      <sheetName val="Deprn FF (CCI)"/>
      <sheetName val="Loan Schedule (CCI)"/>
      <sheetName val="Deprn Logistics (CCI)"/>
      <sheetName val="Future Income (2)"/>
      <sheetName val="UILP Sales FY11"/>
      <sheetName val="UILP Expense FY11"/>
      <sheetName val="Warehouse (CCI)"/>
      <sheetName val="Oper Exps"/>
      <sheetName val="GP from Audited Nos"/>
      <sheetName val="Oper Income"/>
      <sheetName val="Fin Yr 10-11"/>
      <sheetName val="Final GP &amp; Projections (CCI)"/>
      <sheetName val="Fin Yr 09 - 10"/>
      <sheetName val="OT FY10"/>
      <sheetName val="OT R FY10"/>
      <sheetName val="OT FY11"/>
      <sheetName val="OT R FY11"/>
      <sheetName val="Employee Cost"/>
      <sheetName val="S&amp;A Expenses"/>
      <sheetName val="Interest &amp; Finance Charges"/>
      <sheetName val="Taxes (CCI)"/>
      <sheetName val="Investments (CCI)"/>
      <sheetName val="Loans &amp; Advances (CCI)"/>
      <sheetName val="Current Liabilities (CCI)"/>
      <sheetName val="Provision (CCI)"/>
      <sheetName val="Reserve &amp; Surplus (CCI)"/>
      <sheetName val="Secured Loan (CCI)"/>
      <sheetName val="Unsecured Loan (CCI)"/>
      <sheetName val="Proj Freight"/>
      <sheetName val="Depreciation (CCI)"/>
      <sheetName val="YEAR"/>
      <sheetName val="SAPBEXqueries"/>
      <sheetName val="SAPBEXfilters"/>
      <sheetName val="BS PL"/>
      <sheetName val="dEPR"/>
      <sheetName val="Vendor Branches"/>
      <sheetName val="stock valuation"/>
      <sheetName val="Current ac"/>
      <sheetName val="operation BC"/>
      <sheetName val="Advance"/>
      <sheetName val="TB Dec-09-10"/>
      <sheetName val="ADVANCES CASH IN KIND (3)"/>
      <sheetName val="ADVANCES CASH IN KIND (2)"/>
      <sheetName val="ADVANCES CASH IN KIND"/>
      <sheetName val="memo WROK summary  (2)"/>
      <sheetName val="81"/>
      <sheetName val="Correction Require "/>
      <sheetName val="Debtor summary"/>
      <sheetName val="BS Detail Sheet"/>
      <sheetName val="INT SEC 18 "/>
      <sheetName val="BS PL "/>
      <sheetName val="memo  summary OTHER THAN IOT"/>
      <sheetName val="CWIP SECHUDELE"/>
      <sheetName val="cAPITAL adv &amp; cRS"/>
      <sheetName val="SUMMARY MEMO IOT"/>
      <sheetName val="PL Detail Sheet JSLO"/>
      <sheetName val="47"/>
      <sheetName val="Debit  1 loans"/>
      <sheetName val="DEP Sec 5 BS "/>
      <sheetName val="PL FOR HO "/>
      <sheetName val="PL Interest Paid"/>
      <sheetName val="PL SAP TB "/>
      <sheetName val="BS SAP TB "/>
      <sheetName val="P-Admin"/>
      <sheetName val="Final MEMO"/>
      <sheetName val="PL.Schedules"/>
      <sheetName val="Power Plant"/>
      <sheetName val="Exch Fluct"/>
      <sheetName val="other expens"/>
      <sheetName val="P-Sales"/>
      <sheetName val="Selling Exp "/>
      <sheetName val="Project power"/>
      <sheetName val="Raw mat cons"/>
      <sheetName val="buyers credit"/>
      <sheetName val="FREIGHT INWARD INDIGENOUS"/>
      <sheetName val="P List 870"/>
      <sheetName val="Final BS PL March 11 "/>
      <sheetName val="dEPR 10-11"/>
      <sheetName val="Fin BS Detail Sheet MARCH 11"/>
      <sheetName val="Capital  Vendor  Final"/>
      <sheetName val="Acceptance"/>
      <sheetName val="Exch Flucat"/>
      <sheetName val="IUT"/>
      <sheetName val="Trail  Pr 11.05.11 "/>
      <sheetName val="Capital Advance "/>
      <sheetName val="Stock 31.03.11"/>
      <sheetName val="Opeartion BC"/>
      <sheetName val="Trail 11.05.11"/>
      <sheetName val="Final BS PL Dec  qUATERWISD"/>
      <sheetName val="Reconciliation 4th Quarter"/>
      <sheetName val="Nov FITL Intt"/>
      <sheetName val="ECB Interest"/>
      <sheetName val="FCCB Interest Calculation "/>
      <sheetName val="P&amp;L up to Nov 10"/>
      <sheetName val="DEP "/>
      <sheetName val="Ph I Int Term Loan &amp; ECB"/>
      <sheetName val="DPS Power"/>
      <sheetName val="Selling Exp"/>
      <sheetName val="Sales Reco with TB"/>
      <sheetName val="other manufct exp"/>
      <sheetName val="Transport"/>
      <sheetName val="wroking capital "/>
      <sheetName val="Exch Fluct "/>
      <sheetName val="Jan 08.Trial"/>
      <sheetName val="TB 30.11.10"/>
      <sheetName val="Consum Chrome Friable"/>
      <sheetName val="Memo Entry"/>
      <sheetName val="wrok rough "/>
      <sheetName val="Nov Consu"/>
      <sheetName val="Raw mat cons Nov"/>
      <sheetName val="Dep. &amp; Intt."/>
      <sheetName val="Prov Dec-09"/>
      <sheetName val="Tally"/>
      <sheetName val="Trial. Dec 07"/>
      <sheetName val="Ope_Trial"/>
      <sheetName val="FG Val"/>
      <sheetName val="SFG val"/>
      <sheetName val="Rm-TISCo"/>
      <sheetName val="material detail Indonesia"/>
      <sheetName val="PIVOT-MATERIAL INDIA"/>
      <sheetName val="Material Detail- india"/>
      <sheetName val="Material Summary"/>
      <sheetName val="Money Summary"/>
      <sheetName val="QUALITY COM"/>
      <sheetName val="Monthly P&amp;L"/>
      <sheetName val="July 03"/>
      <sheetName val="Aug 03"/>
      <sheetName val="Sep 03"/>
      <sheetName val="Oct 03"/>
      <sheetName val="Nov 03"/>
      <sheetName val="CDR Ratios "/>
      <sheetName val="Other Ratios"/>
      <sheetName val="Net Worth"/>
      <sheetName val="TOL CDR"/>
      <sheetName val="Secured Borrowings"/>
      <sheetName val="Current Ratio"/>
      <sheetName val="Interface"/>
      <sheetName val="IRR 1 year"/>
      <sheetName val="IRR with 2 years"/>
      <sheetName val="R&amp;C"/>
      <sheetName val="2008-09"/>
      <sheetName val="Qtr debt profile"/>
      <sheetName val="CONS(F)-Final"/>
      <sheetName val="Overall Summary"/>
      <sheetName val="Debt profile"/>
      <sheetName val="Debt 31.03.10"/>
      <sheetName val="Monthly repayments"/>
      <sheetName val="Sacrifice"/>
      <sheetName val="Existing loan sch"/>
      <sheetName val="Lender wise 2"/>
      <sheetName val="Lender-wise"/>
      <sheetName val="Sacrifice backup"/>
      <sheetName val="Rs Crore-JSL Ratios"/>
      <sheetName val="Presentation slides"/>
      <sheetName val="Graphs"/>
      <sheetName val="try"/>
      <sheetName val="sbicap"/>
      <sheetName val="JSL - Financials"/>
      <sheetName val="phase II"/>
      <sheetName val="PPT"/>
      <sheetName val="Consolidated (Try)"/>
      <sheetName val="OSL - Financials"/>
      <sheetName val="Inv. Sch."/>
      <sheetName val="CONS(F)"/>
      <sheetName val="Capacity &amp; Cost"/>
      <sheetName val="consolidated IT Cal"/>
      <sheetName val="CMA (rough)"/>
      <sheetName val="Old DP"/>
      <sheetName val="Selling Prices"/>
      <sheetName val="Sales Mix"/>
      <sheetName val="Raw Material Costs"/>
      <sheetName val="Consolidated Qtr"/>
      <sheetName val="Valuation"/>
      <sheetName val="Spec. Consumptions"/>
      <sheetName val="ProcessYields"/>
      <sheetName val="Chemistry"/>
      <sheetName val="Utilization"/>
      <sheetName val="R&amp;C Impact"/>
      <sheetName val="Capital Cost"/>
      <sheetName val="2009"/>
      <sheetName val="addon4"/>
      <sheetName val="addon3"/>
      <sheetName val="addon2"/>
      <sheetName val="addon1"/>
      <sheetName val="Ration"/>
      <sheetName val="JSS-STOCK TALLY"/>
      <sheetName val="JSW-STOCK TALLY"/>
      <sheetName val="B. Sheet Abstract "/>
      <sheetName val="JSN-STOCK TALLY"/>
      <sheetName val="B. S. 2009-2010 "/>
      <sheetName val="JSN-Ageing"/>
      <sheetName val="JSW-Ageing"/>
      <sheetName val="JSS-Cust-Ageing"/>
      <sheetName val="JSS-FG Valuation"/>
      <sheetName val="JSS-Scrap"/>
      <sheetName val="(JSS) Inc-Dec. "/>
      <sheetName val="JSN-WIP Valuation"/>
      <sheetName val="JSN-Scrap Valuation"/>
      <sheetName val="JSN INC-DEC WORKING"/>
      <sheetName val="Notes to ac part B"/>
      <sheetName val="Gratuity P.no 12"/>
      <sheetName val="B. S. 09-10"/>
      <sheetName val="Ann B"/>
      <sheetName val="F.Assets Consolidated"/>
      <sheetName val="Working Cash flow"/>
      <sheetName val="Cap. Commitment"/>
      <sheetName val="CIF VALUE DETAIL"/>
      <sheetName val="JSN- Vendor"/>
      <sheetName val="JSW-Vendor"/>
      <sheetName val="JSS-VENDOR"/>
      <sheetName val="Schedule-5(Consolidated)"/>
      <sheetName val="JSN-DEP"/>
      <sheetName val="JSW-DEP"/>
      <sheetName val="JSS-DEP"/>
      <sheetName val="JSSS_Dep"/>
      <sheetName val="TB Chennai"/>
      <sheetName val="TB Mumbai"/>
      <sheetName val="TB Gurgaon"/>
      <sheetName val="D. Tax Liability Cal. 09-10"/>
      <sheetName val="I. Tax Prov. 09-10"/>
      <sheetName val="JSN-Cons. Sheet"/>
      <sheetName val="JSW-Cons. Sheet"/>
      <sheetName val="JSS-Cons. Sheet"/>
      <sheetName val="JSN-FG Valuation"/>
      <sheetName val="JSN-Sales Return"/>
      <sheetName val="JSW-FG (31.03.10)"/>
      <sheetName val="JSW-Scrap(31.03.10)"/>
      <sheetName val="JSW-Sales Return"/>
      <sheetName val="JSS-Sales Return"/>
      <sheetName val="INT RECD. JSW"/>
      <sheetName val="JSW-Inc-Dec. Working"/>
      <sheetName val="JSN-Interest Received Detail"/>
      <sheetName val="Annexure G"/>
      <sheetName val="Sched"/>
      <sheetName val="FA_Final"/>
      <sheetName val="Groupings-final"/>
      <sheetName val="prov"/>
      <sheetName val="gain.loss"/>
      <sheetName val="sap trial"/>
      <sheetName val="Scheme Area Details_Block__ C2"/>
      <sheetName val="New33KVSS_E3"/>
      <sheetName val="Prop aug of Ex 33KVSS_E3a"/>
      <sheetName val="SIN"/>
      <sheetName val="CREV"/>
      <sheetName val="DREV"/>
      <sheetName val="IDCCALHYD_GOO"/>
      <sheetName val="Buildings-III (2)"/>
      <sheetName val="cap-gas (31-3-02) (2)"/>
      <sheetName val="sch 4 (2)"/>
      <sheetName val="dep on exch -fluct (2)"/>
      <sheetName val="IFCI"/>
      <sheetName val="offshore spares"/>
      <sheetName val="FC (2)"/>
      <sheetName val="CIF VALUE "/>
      <sheetName val="Prro.for Tax (R) (2)"/>
      <sheetName val="sch 1,2"/>
      <sheetName val="sch 3"/>
      <sheetName val="sch 4"/>
      <sheetName val="sch 5 "/>
      <sheetName val="sch 6,7,8,9,10,11"/>
      <sheetName val="TB - 31.03.02"/>
      <sheetName val="Computation of Tax "/>
      <sheetName val="MAT CAL"/>
      <sheetName val="Restate-Crs"/>
      <sheetName val="Reinst - FCL"/>
      <sheetName val="F &amp; F"/>
      <sheetName val="Computers"/>
      <sheetName val="oe-1"/>
      <sheetName val="Leasehold Premises"/>
      <sheetName val="dep on exch -fluct"/>
      <sheetName val="buidlings - I"/>
      <sheetName val="buildings - II"/>
      <sheetName val="Buildings-III"/>
      <sheetName val="ONSHORE-EQUIP"/>
      <sheetName val="Offshore Equipment"/>
      <sheetName val="cap-gas (31-3-02)"/>
      <sheetName val="GAS"/>
      <sheetName val="NAPHTHA"/>
      <sheetName val="HSD"/>
      <sheetName val="Int.Cal "/>
      <sheetName val="Guarantee Commn."/>
      <sheetName val="Prepaid Insurance"/>
      <sheetName val="leave encashment"/>
      <sheetName val="Prro.for Tax (R)"/>
      <sheetName val="Prov.for Tax"/>
      <sheetName val="APTRANSCO-Dr"/>
      <sheetName val="APTRANSCO-Sales"/>
      <sheetName val="Int.Receivable-BreakUp"/>
      <sheetName val="Hire charges"/>
      <sheetName val="Break up of o.s.liability &amp; TDS"/>
      <sheetName val="Cal of dividend"/>
      <sheetName val="General Reserve"/>
      <sheetName val="DRR "/>
      <sheetName val="cashflow -PWC"/>
      <sheetName val="cashflow-LKPPL"/>
      <sheetName val="cashflow -final"/>
      <sheetName val="sch 3 "/>
      <sheetName val="sch 5,6,7,8,9,10"/>
      <sheetName val="sch 11,12,13,14"/>
      <sheetName val="Groupings 10.6.05"/>
      <sheetName val="TB - 10.6.05"/>
      <sheetName val="Fin.Summary (2)"/>
      <sheetName val="Fin.Summary"/>
      <sheetName val="Prov.for Tax "/>
      <sheetName val="Pro.for Tax "/>
      <sheetName val="Cal of 234(C) "/>
      <sheetName val="Cal. of Bonus"/>
      <sheetName val="Sales 10-6-05 "/>
      <sheetName val="Sales (2005-06 )"/>
      <sheetName val="Comfort fees"/>
      <sheetName val="Ex.fluct.on rept.FCL"/>
      <sheetName val="ONSHORE-EQUIP "/>
      <sheetName val="cap-gas "/>
      <sheetName val="dep on exch -fluct   "/>
      <sheetName val="Gas Bills"/>
      <sheetName val="HSD &amp; Naptha"/>
      <sheetName val="Interest-2005"/>
      <sheetName val="Loans-2005"/>
      <sheetName val="00000"/>
      <sheetName val="bud-act (4)"/>
      <sheetName val="bud-act (3)"/>
      <sheetName val="bud-act (2)"/>
      <sheetName val="dep on exch -fluct "/>
      <sheetName val="capital payments (2)"/>
      <sheetName val="Variance-July"/>
      <sheetName val="bud-act"/>
      <sheetName val="Act02-03(Workings)"/>
      <sheetName val="LTMA"/>
      <sheetName val="LTAPSA"/>
      <sheetName val="generation(bud -Act)"/>
      <sheetName val="intincome -act"/>
      <sheetName val="Act-Interest"/>
      <sheetName val="Status-27-31.5"/>
      <sheetName val="Status-2002-03"/>
      <sheetName val="cashflows"/>
      <sheetName val="cashflows (breaf)"/>
      <sheetName val="capital payments"/>
      <sheetName val="O&amp;M Consumtions-Ser"/>
      <sheetName val="o&amp;M forecast -march"/>
      <sheetName val="RTL"/>
      <sheetName val="FCL"/>
      <sheetName val="PAT (USD)"/>
      <sheetName val="forecast-mar"/>
      <sheetName val="ASSU-NOTES"/>
      <sheetName val="tra"/>
      <sheetName val="cash budget"/>
      <sheetName val="operating budget"/>
      <sheetName val="Cashflows (2)"/>
      <sheetName val="Inputs"/>
      <sheetName val="FCOSTS"/>
      <sheetName val="fx_interest"/>
      <sheetName val="re_interest"/>
      <sheetName val="Term Loans"/>
      <sheetName val="equity"/>
      <sheetName val="Mis."/>
      <sheetName val="interest1"/>
      <sheetName val="Additions-2001-02 "/>
      <sheetName val="4 FAssets-onshore(corrected)"/>
      <sheetName val="otheritems-dep"/>
      <sheetName val="CIVIL DEP"/>
      <sheetName val="ONSHORE-DEP"/>
      <sheetName val="OFFSHORE-DEP"/>
      <sheetName val="int-mar"/>
      <sheetName val="int-oct"/>
      <sheetName val="fcl-disb"/>
      <sheetName val="allocation"/>
      <sheetName val="stocks-naptha"/>
      <sheetName val="stocks-hsd"/>
      <sheetName val="cashflows (april)"/>
      <sheetName val="bud-act (april)"/>
      <sheetName val="books"/>
      <sheetName val="gasprice(Feb)"/>
      <sheetName val="gasprice(Jan)"/>
      <sheetName val="gasprice(Dec)"/>
      <sheetName val="gasprice"/>
      <sheetName val="Establishment Prov."/>
      <sheetName val="bud-act(SEP)"/>
      <sheetName val="bud-act (OCT)"/>
      <sheetName val="EMAIL"/>
      <sheetName val="gas price(Nov)"/>
      <sheetName val="wc-int"/>
      <sheetName val="bud-act(Jan) (2)"/>
      <sheetName val="bud-act(Feb)"/>
      <sheetName val="cap-actuals"/>
      <sheetName val="loans"/>
      <sheetName val="depciation"/>
      <sheetName val="assu"/>
      <sheetName val="fuel (2)"/>
      <sheetName val="fuel"/>
      <sheetName val="Clause 41 - final"/>
      <sheetName val="SCH (1-4) "/>
      <sheetName val="SCH INV 6"/>
      <sheetName val="SCH CA (7-12)"/>
      <sheetName val="SCH PL (13-17)"/>
      <sheetName val="Cash flow for DEC,09"/>
      <sheetName val="LITL"/>
      <sheetName val="Stock &amp; WIP"/>
      <sheetName val="Income and Deferred Tax"/>
      <sheetName val="Windpower Fin."/>
      <sheetName val="Seg in lakhs"/>
      <sheetName val="IT Dep"/>
      <sheetName val="Recon sheet"/>
      <sheetName val="FA-TA"/>
      <sheetName val="FA-IA"/>
      <sheetName val="Invst."/>
      <sheetName val="Assets"/>
      <sheetName val="PL Notes"/>
      <sheetName val="Work CY"/>
      <sheetName val="Work PY"/>
      <sheetName val="Grps CY"/>
      <sheetName val="Grps PY"/>
      <sheetName val="TB CY"/>
      <sheetName val="TB PY"/>
      <sheetName val="Forex"/>
      <sheetName val="Forex Cap Detail"/>
      <sheetName val="PY regrouping"/>
      <sheetName val="Calculations"/>
      <sheetName val="SHP &amp; Dir"/>
      <sheetName val="NP EDC"/>
      <sheetName val="ICBC"/>
      <sheetName val="****00"/>
      <sheetName val="ENGG_VAL"/>
      <sheetName val="ADD_WAVG"/>
      <sheetName val="VAL31MAR-ALL"/>
      <sheetName val="MPS_PACKING"/>
      <sheetName val="K1 FAR Lead"/>
      <sheetName val="K1A Additions Checking"/>
      <sheetName val="K1.1 Off Equip"/>
      <sheetName val="K1.2 F&amp;F"/>
      <sheetName val="K1.3 Computers"/>
      <sheetName val="K1.3 Computers old"/>
      <sheetName val="Recovered_Sheet2"/>
      <sheetName val="Comparing Summary "/>
      <sheetName val="new Data-Labor &amp; OH -Joan"/>
      <sheetName val="Process-Gary"/>
      <sheetName val="Quote - Labor &amp; OH &amp; MU"/>
      <sheetName val="Dept Alloc pivot"/>
      <sheetName val="Costing&amp;Quoting Capacity"/>
      <sheetName val="Direct Labor  "/>
      <sheetName val="Support Allocations"/>
      <sheetName val="Support Pivot"/>
      <sheetName val="Drivers"/>
      <sheetName val="Dept Alloc"/>
      <sheetName val="Budgeted Cycle Time"/>
      <sheetName val="FA Kunshan 200911"/>
      <sheetName val="Var and Fixed cost"/>
      <sheetName val="Labor Utilization"/>
      <sheetName val="Labor Rates"/>
      <sheetName val="Data - Materials"/>
      <sheetName val="Dept Alloc pivot (2)"/>
      <sheetName val="Inventory Balance"/>
      <sheetName val="Inventory Balance (2)"/>
      <sheetName val="NVH 存货收发存汇总表"/>
      <sheetName val="Moen 存货收发存汇总表"/>
      <sheetName val="MOen FLoor value for Kingdee"/>
      <sheetName val="NVH Floor Value for Kingdee"/>
      <sheetName val="checklist"/>
      <sheetName val="Saiyang LOC"/>
      <sheetName val="PettyCash"/>
      <sheetName val="CashBanks"/>
      <sheetName val="TradeAR"/>
      <sheetName val="AllowDbtflAcc.Domest"/>
      <sheetName val="OthAcctRec.Tooling"/>
      <sheetName val="OthAcctRec.VATRec"/>
      <sheetName val="OthAcctRec.EmployRec"/>
      <sheetName val="STRec.STNotes"/>
      <sheetName val="NETINV"/>
      <sheetName val="PpdExp.PpdInsurance&amp;Rent&amp;Other"/>
      <sheetName val="PpdExp.OtHPpdExp.Deposits"/>
      <sheetName val="AdvPayVendor"/>
      <sheetName val="FA Depreciation List"/>
      <sheetName val="CIP.Equipment"/>
      <sheetName val="NetCompSoftware.CompSoftware"/>
      <sheetName val="OtherIntang.OtherAssets"/>
      <sheetName val="ToolDies.InProcess"/>
      <sheetName val="ToolDies.NonRecov"/>
      <sheetName val="TradeAP.Domestic"/>
      <sheetName val="TradeAP.RecptNotVouch"/>
      <sheetName val="OtherAP.Other"/>
      <sheetName val="STNotePay.NotePayCur"/>
      <sheetName val="ICPAYABLE"/>
      <sheetName val="AccOthTax.VAT"/>
      <sheetName val="AccOthTax.Duties"/>
      <sheetName val="AccPropTaxReal Property Tax"/>
      <sheetName val="Accrued LiabilitiesInsurance"/>
      <sheetName val="Accrued LiabilitiesRent"/>
      <sheetName val="AccLiabOthInterest"/>
      <sheetName val="AccLiabOthWarranty &amp; Quality"/>
      <sheetName val="AccLiabOthAudit Fees"/>
      <sheetName val="OthCurLiabDeferredToolingProfit"/>
      <sheetName val="AccLiabOth.Other"/>
      <sheetName val="ICNotes"/>
      <sheetName val="STOCKEQUITY"/>
      <sheetName val="Saiyang GAPLC"/>
      <sheetName val="Saiyang BS LC"/>
      <sheetName val="Saiyang IS LC"/>
      <sheetName val="Summary-Horizontal"/>
      <sheetName val="Summary-Vertical"/>
      <sheetName val="Package-Horizontal"/>
      <sheetName val="Package-Vertical"/>
      <sheetName val="Outbound Cost"/>
      <sheetName val="Process-Full process"/>
      <sheetName val="Process Cost"/>
      <sheetName val="Costed BOM (2)"/>
      <sheetName val="Product Cost Summary"/>
      <sheetName val="Business Case"/>
      <sheetName val="IRR"/>
      <sheetName val="Business Plan"/>
      <sheetName val="BizPlan-1"/>
      <sheetName val="BizPlan-2"/>
      <sheetName val="JIT"/>
      <sheetName val="Removal Capital"/>
      <sheetName val="Labor"/>
      <sheetName val="Roadmap"/>
      <sheetName val="人员配置表"/>
      <sheetName val="PCS-JIT Yantai"/>
      <sheetName val="审计费"/>
      <sheetName val="I_S IC Accounts"/>
      <sheetName val="ADMINISTRATION"/>
      <sheetName val="ENTITY_QUERY"/>
      <sheetName val="Instruction"/>
      <sheetName val="Income Stmt"/>
      <sheetName val="Cost&amp;saving"/>
      <sheetName val="Freight"/>
      <sheetName val="Plant efficiency"/>
      <sheetName val="MVP vs prior"/>
      <sheetName val="MVP_Monthly"/>
      <sheetName val="Variable Margin"/>
      <sheetName val="Balance Sht"/>
      <sheetName val="Budget_IS"/>
      <sheetName val="Budget_expenses"/>
      <sheetName val="Unit Cost"/>
      <sheetName val="4Q02 Walk - 1f"/>
      <sheetName val="2002 Walk - 1"/>
      <sheetName val="1Q03 Walk - 2f"/>
      <sheetName val="2003 Walk - 2"/>
      <sheetName val="Fin. Summary - 3"/>
      <sheetName val="Highlights - 5f"/>
      <sheetName val="Highlights - 5"/>
      <sheetName val="Sales - 10f"/>
      <sheetName val="OpMarg - 10"/>
      <sheetName val="?????"/>
      <sheetName val="2003 P &amp; L at 03.31.03 on 04"/>
      <sheetName val="Booked Rev YTD"/>
      <sheetName val="13  Week Cash Flow"/>
      <sheetName val="13 Week Cash Flow"/>
      <sheetName val="Booked Revenue v2"/>
      <sheetName val="Nova Scotia 86 YTD"/>
      <sheetName val="Press P &amp; L"/>
      <sheetName val="Content P &amp; L"/>
      <sheetName val="Requirements"/>
      <sheetName val="Storage"/>
      <sheetName val="Financial"/>
      <sheetName val="Sens"/>
      <sheetName val="5600.Fixed.Assets.March"/>
      <sheetName val="5600.Fixed.Assets.December"/>
      <sheetName val="dep.chart"/>
      <sheetName val="sch-E"/>
      <sheetName val="Expectation of Dep."/>
      <sheetName val="2002-2003"/>
      <sheetName val="plant &amp; mach"/>
      <sheetName val="20001-2002"/>
      <sheetName val="BUILDING-02-03"/>
      <sheetName val="building &amp; other"/>
      <sheetName val="sales2002-2003"/>
      <sheetName val="for exch"/>
      <sheetName val="addition99-2000"/>
      <sheetName val="insurable store"/>
      <sheetName val="Detail of sales 2000-2001"/>
      <sheetName val="fixasset99"/>
      <sheetName val="98-99"/>
      <sheetName val="add2000-2001"/>
      <sheetName val="indore add2002-2003"/>
      <sheetName val="sales2001-2002"/>
      <sheetName val="sensitivities"/>
      <sheetName val="Roll Out"/>
      <sheetName val="Incoming IUC"/>
      <sheetName val="PCO Revenue"/>
      <sheetName val="Opex"/>
      <sheetName val="Non PCO Revenue"/>
      <sheetName val="Mobility Rev"/>
      <sheetName val="Broadband Cust &amp; Rev"/>
      <sheetName val="Rev &amp; Cust Summary"/>
      <sheetName val="Finance Cost new"/>
      <sheetName val="QC"/>
      <sheetName val="DCF-10"/>
      <sheetName val="DCF-5"/>
      <sheetName val="DCF-2"/>
      <sheetName val="NAV"/>
      <sheetName val="BS-2005"/>
      <sheetName val="receipts"/>
      <sheetName val="detail delhi"/>
      <sheetName val="detal b'lore"/>
      <sheetName val="flow"/>
      <sheetName val="I-Tax-Dep"/>
      <sheetName val="SISIL"/>
      <sheetName val="CCM-Const"/>
      <sheetName val="Multiples"/>
      <sheetName val="Fin"/>
      <sheetName val="BSE"/>
      <sheetName val="NSE"/>
      <sheetName val="LOM_MOD"/>
      <sheetName val="MSU"/>
      <sheetName val="Main Equ. List"/>
      <sheetName val="oresreqsum"/>
      <sheetName val="Mnd Comml.Srvy"/>
      <sheetName val="Infra.Spot Mandis"/>
      <sheetName val="ADEX"/>
      <sheetName val="Mnd150km"/>
      <sheetName val="Exp Dir Pur"/>
      <sheetName val="Exp Dir Pur (2)"/>
      <sheetName val="Gate Pur. Proc."/>
      <sheetName val="Agenda05"/>
      <sheetName val="Crop Estm."/>
      <sheetName val="HD"/>
      <sheetName val="TM"/>
      <sheetName val="BN"/>
      <sheetName val="KTG"/>
      <sheetName val="KN"/>
      <sheetName val="KR"/>
      <sheetName val="SR"/>
      <sheetName val="APPL"/>
      <sheetName val="Control Chart-KOFIAT"/>
      <sheetName val="Instructions-KOFIAT"/>
      <sheetName val="Check Sheet-KOFIAT"/>
      <sheetName val="WW Details"/>
      <sheetName val="ZZ04,ZZ05"/>
      <sheetName val="Depreciation Reasonability"/>
      <sheetName val="OAR_BS QIV 07 vs QIV 06"/>
      <sheetName val="OAR_BS QIV 07 vs QIII 07"/>
      <sheetName val="OAR_P&amp;L QIV 07 vs QIV 06"/>
      <sheetName val="OAR_P&amp;L QIV 07 vs QIII 07"/>
      <sheetName val="OAR_P&amp;L YTD 07 vs YTD 06"/>
      <sheetName val="Sales Tax Incentive"/>
      <sheetName val="FOBO Balances"/>
      <sheetName val="Accrued Expenses"/>
      <sheetName val="Accrual Analysis"/>
      <sheetName val="Provision for Assets"/>
      <sheetName val="SGA Information"/>
      <sheetName val="AR AP Reco Status"/>
      <sheetName val="Ratios _ YTD 2007 vs YTD 2006"/>
      <sheetName val="Ratio Workings"/>
      <sheetName val="AR &amp;COL Analysis"/>
      <sheetName val="Top 10 Distirbutors"/>
      <sheetName val="Sales Data"/>
      <sheetName val="Market Stock Analysis"/>
      <sheetName val="Days Sales Outstanding"/>
      <sheetName val="Inventory Turnover Ratios"/>
      <sheetName val="GP Ratio"/>
      <sheetName val="Qty &amp; Rate Variance_GP, NP"/>
      <sheetName val="NP Reco"/>
      <sheetName val="Yield Analysis"/>
      <sheetName val="Form No. 906_2007"/>
      <sheetName val="Form No. 906_2006"/>
      <sheetName val="MMR 2007"/>
      <sheetName val="MMR 2006"/>
      <sheetName val="RM Tally 2007"/>
      <sheetName val="RM Tally 2006"/>
      <sheetName val="Form 107 (Fixed Assets)"/>
      <sheetName val="FG Tally 2007"/>
      <sheetName val="FG Tally 2006"/>
      <sheetName val="BPA 2007"/>
      <sheetName val="BPA 2006"/>
      <sheetName val="MiscInfo_2007"/>
      <sheetName val="IN(108)"/>
      <sheetName val="TB UGAAP-07"/>
      <sheetName val="TB UGAAP-06"/>
      <sheetName val="OAR_P&amp;L QIV 05 vs QIV 04 (2)"/>
      <sheetName val="OAR_P&amp;L YTD 05 vs YTD 04 (2)"/>
      <sheetName val="E.01.5_Major Parties Analysis"/>
      <sheetName val="B&amp;S31-03-04"/>
      <sheetName val="P_M__08_09"/>
      <sheetName val="付属明細書"/>
      <sheetName val="情報通信設備"/>
      <sheetName val="TI.TOCheck"/>
      <sheetName val="INST COST"/>
      <sheetName val="FINAL REPORT含ORACLE"/>
      <sheetName val="FINAL REPORT"/>
      <sheetName val="FY0233&amp;89YTD_17Y 最終"/>
      <sheetName val="FY0233&amp;89YTD_18Y 最終"/>
      <sheetName val="CATEGORY"/>
      <sheetName val="FY0233&amp;89YTD_17Y_2"/>
      <sheetName val="FY0233&amp;89YTD_18Y_2"/>
      <sheetName val="FY0233&amp;89YTD_17Y"/>
      <sheetName val="FY0233&amp;89YTD_18Y"/>
      <sheetName val="FINAL REPORT_AGL"/>
      <sheetName val="LEGACY TB"/>
      <sheetName val="ORACLE TB"/>
      <sheetName val="33&amp;89_17最終"/>
      <sheetName val="33&amp;89_18最終"/>
      <sheetName val="33&amp;89_17"/>
      <sheetName val="33&amp;89_18"/>
      <sheetName val="加工"/>
      <sheetName val="ADDRESS"/>
      <sheetName val="FY00 AGILENT OFFICE"/>
      <sheetName val="貸出先3位ﾘｽﾄ"/>
      <sheetName val="FAWS"/>
      <sheetName val="10INTRA 残 JV"/>
      <sheetName val="11eiffel"/>
      <sheetName val="11 EIFFEL"/>
      <sheetName val="11_eiffel　"/>
      <sheetName val="11_eiffel　加工"/>
      <sheetName val="11_eiffel intra"/>
      <sheetName val="11_eiffel_JV"/>
      <sheetName val="10_eiffel　INTRA CLEAR"/>
      <sheetName val="10INTRA "/>
      <sheetName val="10EIFFEL shoho"/>
      <sheetName val="PIM"/>
      <sheetName val="10 FAWS"/>
      <sheetName val="4412&amp;4413 "/>
      <sheetName val="4414&amp;4415  "/>
      <sheetName val="441_LL"/>
      <sheetName val="4423"/>
      <sheetName val="4424"/>
      <sheetName val="442LL"/>
      <sheetName val="Jul-02 tb"/>
      <sheetName val="table"/>
      <sheetName val="Trial Balance - Sum4412-4417 "/>
      <sheetName val="Trial Balance - Sum441LL"/>
      <sheetName val="Trial Balance - Sum4422-4427"/>
      <sheetName val="Trial Balance - Sum442LL"/>
      <sheetName val="EIFFEL"/>
      <sheetName val="204eiffel"/>
      <sheetName val="04YACCS"/>
      <sheetName val="04 INTRA CLEAR"/>
      <sheetName val="04 INTRA "/>
      <sheetName val="CREDIT INV2 TO BZ"/>
      <sheetName val="YACCS"/>
      <sheetName val="INTRA CLEAR"/>
      <sheetName val="EIFFEL903"/>
      <sheetName val="YACCS903"/>
      <sheetName val="05 EIFEL"/>
      <sheetName val="05YACCS"/>
      <sheetName val="05 INTRA "/>
      <sheetName val="04  INTRA clear "/>
      <sheetName val="04CREDIT INV"/>
      <sheetName val="CREDIT INV2 TO BZ (2)"/>
      <sheetName val="10eiffel"/>
      <sheetName val="10YACCS"/>
      <sheetName val="10 INTRA "/>
      <sheetName val="09  INTRA CLEAR"/>
      <sheetName val="CREDIT INV1"/>
      <sheetName val="Temp1"/>
      <sheetName val="CREDIT INV TO BZ"/>
      <sheetName val="10 INTRA  期末処理"/>
      <sheetName val="SCSTBL"/>
      <sheetName val="0007"/>
      <sheetName val="0008"/>
      <sheetName val="0009"/>
      <sheetName val="0011"/>
      <sheetName val="0012"/>
      <sheetName val="0101"/>
      <sheetName val="0102"/>
      <sheetName val="0103"/>
      <sheetName val="0104"/>
      <sheetName val="0105"/>
      <sheetName val="0106"/>
      <sheetName val="0107"/>
      <sheetName val="0108"/>
      <sheetName val="0109"/>
      <sheetName val="0110"/>
      <sheetName val="0111"/>
      <sheetName val="0112"/>
      <sheetName val="0201"/>
      <sheetName val="0202"/>
      <sheetName val="0203"/>
      <sheetName val="0204"/>
      <sheetName val="0205"/>
      <sheetName val="0206"/>
      <sheetName val="0207"/>
      <sheetName val="0208"/>
      <sheetName val="0209"/>
      <sheetName val="0210"/>
      <sheetName val="0210YAN"/>
      <sheetName val="0211"/>
      <sheetName val="0211YAN"/>
      <sheetName val="9911"/>
      <sheetName val="0001"/>
      <sheetName val="0002"/>
      <sheetName val="0003"/>
      <sheetName val="0004"/>
      <sheetName val="0006"/>
      <sheetName val="ICMARS vs GL"/>
      <sheetName val="MARS"/>
      <sheetName val="TBAL"/>
      <sheetName val="TBvsMARS  (3)"/>
      <sheetName val="AC DETAIL"/>
      <sheetName val="AC DETAIL-HP"/>
      <sheetName val="AC DETAIL-AGI"/>
      <sheetName val="DTL"/>
      <sheetName val="T_B"/>
      <sheetName val="商法決済仕訳"/>
      <sheetName val="未着品BALANCE"/>
      <sheetName val="建仮１"/>
      <sheetName val="建仮2"/>
      <sheetName val="A (2)"/>
      <sheetName val="Final Projections"/>
      <sheetName val="Transactions"/>
      <sheetName val="Units"/>
      <sheetName val="Hours"/>
      <sheetName val="Net Sales Per Hour"/>
      <sheetName val="AVG Price per Unit"/>
      <sheetName val="AVG Transaction AMT"/>
      <sheetName val="Store Numbers"/>
      <sheetName val="Fcst vs Budgets"/>
      <sheetName val="Fcst vs Budget - summary"/>
      <sheetName val="budget + mapping"/>
      <sheetName val="July, 1999 - June, 2000"/>
      <sheetName val="SG"/>
      <sheetName val="HC"/>
      <sheetName val="secondments"/>
      <sheetName val="adp-budget"/>
      <sheetName val="Commission to agent"/>
      <sheetName val="TESTING"/>
      <sheetName val="SAMPLE"/>
      <sheetName val="EXHIBBN"/>
      <sheetName val="SALEPROM"/>
      <sheetName val="ADV&amp;PUB"/>
      <sheetName val="COMP-OP"/>
      <sheetName val="REPONMAC"/>
      <sheetName val="REP&amp;MAIN"/>
      <sheetName val="SECUR"/>
      <sheetName val="SUBSCRIP"/>
      <sheetName val="charity"/>
      <sheetName val="INSURANC"/>
      <sheetName val="TENDER"/>
      <sheetName val="FINE&amp;PEN"/>
      <sheetName val="RENT&amp;TAX"/>
      <sheetName val="TELE"/>
      <sheetName val="Printing"/>
      <sheetName val="R2J.1_Legal and Prof Charges"/>
      <sheetName val="TRAVELL"/>
      <sheetName val="TRAVFORN"/>
      <sheetName val="SCOOT-OP"/>
      <sheetName val="CAR-OPE"/>
      <sheetName val="POST&amp;TEL"/>
      <sheetName val="業績検証シート（出力用）"/>
      <sheetName val="コメント・推移グラフ"/>
      <sheetName val="四半期ｺﾒﾝﾄ"/>
      <sheetName val="売上高"/>
      <sheetName val="2006実績（見込）"/>
      <sheetName val="2006単計"/>
      <sheetName val="2006見通し"/>
      <sheetName val="2005実績"/>
      <sheetName val="在庫高グラフ"/>
      <sheetName val="2007実績（見込）"/>
      <sheetName val="在庫高グラフ用データ"/>
      <sheetName val="2007単計"/>
      <sheetName val="2006実績"/>
      <sheetName val="DHR"/>
      <sheetName val="AprMayJune"/>
      <sheetName val="Based on the factoring_CH2 (2)"/>
      <sheetName val="SUMMARY ANN-D"/>
      <sheetName val="Sale 1-19 Dec09"/>
      <sheetName val="ANNE-D(HHML)"/>
      <sheetName val="ANNE-D(MUL)"/>
      <sheetName val="ANNE-D(MUL -Bulb YV-4)"/>
      <sheetName val="ANNE-D(HMSI)"/>
      <sheetName val="ANNE-D(HMSI) (RM)"/>
      <sheetName val="ANNE-D(YAMAHA)"/>
      <sheetName val="ANNE-D(VAVE)"/>
      <sheetName val="ANNE-D(Tool. Amort.)"/>
      <sheetName val="Sale 1-12 Dec"/>
      <sheetName val="Sale 1-5 Dec09"/>
      <sheetName val="ANNE-D RMC (VAVE) "/>
      <sheetName val="ANNE-A(WITH TOOL) (2)"/>
      <sheetName val="TOTAL LOANS"/>
      <sheetName val="GROUPPING"/>
      <sheetName val="Cash Flow0"/>
      <sheetName val="MIS0310L-MTH"/>
      <sheetName val="SCHEDULE 6"/>
      <sheetName val="MIS0310L"/>
      <sheetName val="MIS0310"/>
      <sheetName val="BCO0310RG"/>
      <sheetName val="GS0310RG"/>
      <sheetName val="GS0310RG (G)"/>
      <sheetName val="GS0310RG (X)"/>
      <sheetName val="GS0310RG (F)"/>
      <sheetName val="GS0310RG (E)"/>
      <sheetName val="GS0310RG (D)"/>
      <sheetName val="FA0309"/>
      <sheetName val="FORM_II"/>
      <sheetName val="FORM_III"/>
      <sheetName val="FORM_IV"/>
      <sheetName val="FORM_V"/>
      <sheetName val="FORM VI"/>
      <sheetName val="sumprofit"/>
      <sheetName val="INTT"/>
      <sheetName val="TL-OS"/>
      <sheetName val="10 CR"/>
      <sheetName val="15 CR"/>
      <sheetName val="10 CR NEW"/>
      <sheetName val="35 CR"/>
      <sheetName val="100 CR"/>
      <sheetName val="10.35"/>
      <sheetName val="DEPN-CA"/>
      <sheetName val="DEP-IT"/>
      <sheetName val="WDV-IT"/>
      <sheetName val="FA09"/>
      <sheetName val="STDFR"/>
      <sheetName val="ADDITIONS (CA)"/>
      <sheetName val="CWIP FA"/>
      <sheetName val="LOAN DETAILUNSEC "/>
      <sheetName val="LOAN DETAILSEC"/>
      <sheetName val="EXPORT CUSTOMERS"/>
      <sheetName val="CARO Checklist"/>
      <sheetName val="Annex 1 &amp; 1A TDS Remittance"/>
      <sheetName val="Annex 1B TDS Remittance"/>
      <sheetName val="Annex 2 Sales tax Palakkad"/>
      <sheetName val="Annex 3 &amp; 4 PF Remittance"/>
      <sheetName val="Annex 5 TDS Remittance"/>
      <sheetName val="Annex 6 TDS Remittance"/>
      <sheetName val="Annex 6A ABFL Remittance Delays"/>
      <sheetName val="Annex 7 CARO Madurai Unit"/>
      <sheetName val="Annex 8 CARO Chennai Unit"/>
      <sheetName val="BALANCESHEET"/>
      <sheetName val="Notes2"/>
      <sheetName val="Branch"/>
      <sheetName val="Assets sale &amp; transfer"/>
      <sheetName val="Stock trf"/>
      <sheetName val="GROSSING UP"/>
      <sheetName val="Other notes"/>
      <sheetName val="AP GROSSING UP"/>
      <sheetName val="Central Vendor balances"/>
      <sheetName val="Upfronts"/>
      <sheetName val="Stock transfers"/>
      <sheetName val="Installed Capcty"/>
      <sheetName val="Contingent liability"/>
      <sheetName val="SCRAP"/>
      <sheetName val="AR GROSSING UP"/>
      <sheetName val="Qty Information"/>
      <sheetName val="MainComp"/>
      <sheetName val="TotalSalary"/>
      <sheetName val="Allowances"/>
      <sheetName val="Perquisites"/>
      <sheetName val="Chapter VIA"/>
      <sheetName val="Sal conv"/>
      <sheetName val="ALLPLANTS"/>
      <sheetName val="TALSTOCKVAL"/>
      <sheetName val="BKCSTOCKVAL"/>
      <sheetName val="MAHSTOCKVAL"/>
      <sheetName val="BAL (2)"/>
      <sheetName val="P&amp;F (2)"/>
      <sheetName val="accounting policies"/>
      <sheetName val="BAL"/>
      <sheetName val="P&amp;F"/>
      <sheetName val="scd1,2"/>
      <sheetName val="scd3"/>
      <sheetName val="scd 6"/>
      <sheetName val="SCH 7"/>
      <sheetName val="SCH 8"/>
      <sheetName val="SCD 9"/>
      <sheetName val="sch 10"/>
      <sheetName val="scd 11"/>
      <sheetName val="sch12"/>
      <sheetName val="sch 13 actual"/>
      <sheetName val="SCH 14"/>
      <sheetName val="SCH 15"/>
      <sheetName val="SCHD 16"/>
      <sheetName val="scd 16 cont"/>
      <sheetName val="scd 17"/>
      <sheetName val="Scd-17cont"/>
      <sheetName val="Scd-17 cont"/>
      <sheetName val="Scd-17 contd"/>
      <sheetName val="sch-17 contd."/>
      <sheetName val="Cash Flow (round)"/>
      <sheetName val="sch 5 2nd copy"/>
      <sheetName val="GROUPINGS(Assets &amp; Liabilities)"/>
      <sheetName val="GROUPIMGS(SALES) "/>
      <sheetName val="GROUPINGS( EXPS)"/>
      <sheetName val="GROUPIMGS( EXCISE)"/>
      <sheetName val="TRIAL BALANCE 31.03.08"/>
      <sheetName val="scd1,2 "/>
      <sheetName val="scd 5(FBD)"/>
      <sheetName val="sch5(DB)"/>
      <sheetName val="scd5(DEL)"/>
      <sheetName val="sch-6"/>
      <sheetName val="scd8 "/>
      <sheetName val="SCD10 "/>
      <sheetName val="personnel cost &amp; other exps."/>
      <sheetName val="other misc. exps."/>
      <sheetName val="FBT 07-08"/>
      <sheetName val="Sale Vs prod.07-08 "/>
      <sheetName val="GROUPING(INTEREST) "/>
      <sheetName val="SECURITY DEPOSIT  RECD "/>
      <sheetName val="SECURITY DEPOSIT Paid"/>
      <sheetName val="FOB 07-08(final)"/>
      <sheetName val="Prepaid,Ins,Rates&amp;taxes, etc."/>
      <sheetName val="FAR (FARIDABAD) 31.03.08"/>
      <sheetName val="Additions assets FBD(31.03.08)"/>
      <sheetName val="CWIP(PLANT)"/>
      <sheetName val="CWIP(TUBEWELL)"/>
      <sheetName val="CWIP(WATER CH.)"/>
      <sheetName val=" PROJECT EXPS"/>
      <sheetName val="POWER &amp; FUEL"/>
      <sheetName val="WATCH &amp; WARD"/>
      <sheetName val="Security Deposit FBD"/>
      <sheetName val="PROFESSIONAL CHARGES"/>
      <sheetName val="NAME OF LAWERS"/>
      <sheetName val="EXP.PAYABLE"/>
      <sheetName val="scd 16"/>
      <sheetName val="Scd-16cont"/>
      <sheetName val="Scd-16 cont"/>
      <sheetName val="Scd-16 contd"/>
      <sheetName val="scd-16 contd."/>
      <sheetName val="Cash Flow "/>
      <sheetName val="Cash Flow(consolidated)"/>
      <sheetName val="PROVISION BONUS 07-08(FBD)"/>
      <sheetName val="FDRS(31.03.08)"/>
      <sheetName val="HELLA INTT.(FINAL)06-07"/>
      <sheetName val="HELLA INTT e-mail"/>
      <sheetName val="HELLA loan payable(Mar'08)"/>
      <sheetName val="FBD DEBTORS"/>
      <sheetName val="scd 5"/>
      <sheetName val="scd 4"/>
      <sheetName val="scd 5(Pollution )"/>
      <sheetName val="scd7 "/>
      <sheetName val="OTHER LIABILITY (AS A WHOLE)"/>
      <sheetName val="scd12"/>
      <sheetName val="scd13"/>
      <sheetName val="scd14"/>
      <sheetName val="Scd15"/>
      <sheetName val="scd 15 cont"/>
      <sheetName val="bal sheet "/>
      <sheetName val="scd3 and 4"/>
      <sheetName val="scd5"/>
      <sheetName val="sch.no.7 contd."/>
      <sheetName val="Sch no.8"/>
      <sheetName val="Sch 9 &amp; 10"/>
      <sheetName val="Sch 11,12"/>
      <sheetName val="ED"/>
      <sheetName val="Mat'l "/>
      <sheetName val="SEBI"/>
      <sheetName val="SCH-A-M"/>
      <sheetName val="Original Trial-29"/>
      <sheetName val="MIS- RECO."/>
      <sheetName val="Adjusted Trial"/>
      <sheetName val="CODE CHECK"/>
      <sheetName val="Grouped Trial"/>
      <sheetName val="B.S.-Groupings"/>
      <sheetName val="P.L.-Groupings"/>
      <sheetName val="Reserve &amp; Surplus"/>
      <sheetName val="Secured Loans"/>
      <sheetName val="Unsecured Loans"/>
      <sheetName val="BS Schdl-3-Fixed Assets"/>
      <sheetName val="Other current assets"/>
      <sheetName val="Misc. Expenditure"/>
      <sheetName val="BS Schdl- 1 &amp; 2"/>
      <sheetName val="BS Schdl-4 to 11"/>
      <sheetName val="PL Schdl- 12 to 16"/>
      <sheetName val="Fixed Assets-Last year"/>
      <sheetName val="GDR"/>
      <sheetName val="TDS"/>
      <sheetName val="Div-details"/>
      <sheetName val="Enclosure 1"/>
      <sheetName val="Enclosure 2"/>
      <sheetName val="Enclosure 3"/>
      <sheetName val="Enclosure 4"/>
      <sheetName val="Enclosure 4A"/>
      <sheetName val="add dep"/>
      <sheetName val="Enclosure 5"/>
      <sheetName val="Enclosure 5A"/>
      <sheetName val="not reqd"/>
      <sheetName val="Enclosure 6"/>
      <sheetName val="Enclosure 7"/>
      <sheetName val="Enclosure 8 "/>
      <sheetName val="Enclosure 9"/>
      <sheetName val="not reqd-1"/>
      <sheetName val="Enclosure 10"/>
      <sheetName val="Enclosure 11"/>
      <sheetName val="Enclosure 12"/>
      <sheetName val="Enclosure 13"/>
      <sheetName val="Details of Payments"/>
      <sheetName val="Raw Mat IAM"/>
      <sheetName val="RM Derabassi"/>
      <sheetName val="VAT &amp; CST on sale"/>
      <sheetName val="Dera Bassi Logic Test"/>
      <sheetName val="Sales Tax IAM (2)"/>
      <sheetName val="FBD Logic TEst"/>
      <sheetName val="Vat Set"/>
      <sheetName val="Consol."/>
      <sheetName val="Working IAM"/>
      <sheetName val="DRB ED AS PER EXCISE 09-10"/>
      <sheetName val="Working Fbd"/>
      <sheetName val="Sales Tax IAM"/>
      <sheetName val="Enclosure 4. (PBC)"/>
      <sheetName val="Enc. XXX"/>
      <sheetName val="Enclosure-4"/>
      <sheetName val="Enclosure 4A "/>
      <sheetName val="Enclosure 5A "/>
      <sheetName val="Enclosure 5B"/>
      <sheetName val="Enclosure- 8"/>
      <sheetName val="Enclosure 8"/>
      <sheetName val="Enclosure-11"/>
      <sheetName val="Enclosure 11-A"/>
      <sheetName val="Enclosure 14"/>
      <sheetName val="BONUS FARIDABAD"/>
      <sheetName val="BONUS DERABASSI"/>
      <sheetName val="Annexure II"/>
      <sheetName val="Encl. 1"/>
      <sheetName val="Encl 2 "/>
      <sheetName val="Encl. 3"/>
      <sheetName val="Encl. 4 "/>
      <sheetName val="Encl. 4A"/>
      <sheetName val="Encl. 5"/>
      <sheetName val="Encl 6"/>
      <sheetName val="Encl 7"/>
      <sheetName val="Encl. 8"/>
      <sheetName val="Encl. 9A"/>
      <sheetName val="Encl. 9B"/>
      <sheetName val="Encl. 10"/>
      <sheetName val="Encl 11"/>
      <sheetName val="Encl. 12"/>
      <sheetName val="Encl. 13"/>
      <sheetName val="Encl. 14"/>
      <sheetName val="Encl.14 contd"/>
      <sheetName val="Enclosure 15"/>
      <sheetName val="Plntmach final"/>
      <sheetName val="Furnfix"/>
      <sheetName val="NRbldg"/>
      <sheetName val="Enclosure 2 old"/>
      <sheetName val="P&amp;M add dep"/>
      <sheetName val="Payable"/>
      <sheetName val="Cenvat reco"/>
      <sheetName val="CASH FLOW 03-08"/>
      <sheetName val="phy cycle (2)"/>
      <sheetName val="phy cycle"/>
      <sheetName val="Revenue Inputs"/>
      <sheetName val="Business Revenues"/>
      <sheetName val="Cost Inputs"/>
      <sheetName val="Roll out plan"/>
      <sheetName val="Fibre plan"/>
      <sheetName val="ULL costs"/>
      <sheetName val="Summary of roll-out plan"/>
      <sheetName val="S C H E M A"/>
      <sheetName val="1 Sites and Lines"/>
      <sheetName val="2 Revenue"/>
      <sheetName val="3 Minutes"/>
      <sheetName val="4 Summary"/>
      <sheetName val="Inputs from PSTN Model"/>
      <sheetName val="All Codes"/>
      <sheetName val=".BS"/>
      <sheetName val="BA_1"/>
      <sheetName val="BA_2"/>
      <sheetName val="BA_3"/>
      <sheetName val="LineMacros"/>
      <sheetName val="Summary Macros"/>
      <sheetName val="General"/>
      <sheetName val="BuildGroup"/>
      <sheetName val="BuildBook"/>
      <sheetName val="GroupMod"/>
      <sheetName val="GBDialog"/>
      <sheetName val="PrintDialog"/>
      <sheetName val="LineDialog"/>
      <sheetName val="PCodeDialog"/>
      <sheetName val="Splash"/>
      <sheetName val="PCs"/>
      <sheetName val="MCL"/>
      <sheetName val="PrintCommands"/>
      <sheetName val="Sicom (2)"/>
      <sheetName val="SICOM99-00"/>
      <sheetName val="sicom"/>
      <sheetName val="Summ98-99"/>
      <sheetName val="Summ99TO2000"/>
      <sheetName val="rough"/>
      <sheetName val="Model"/>
      <sheetName val="Revenue Breakout"/>
      <sheetName val="is"/>
      <sheetName val="valn"/>
      <sheetName val="valn2"/>
      <sheetName val="capex-BWA"/>
      <sheetName val="capex-NWA"/>
      <sheetName val="capex-ISP+CLEC"/>
      <sheetName val="capex-other"/>
      <sheetName val="Inter_Menu"/>
      <sheetName val="interconnect"/>
      <sheetName val="cos"/>
      <sheetName val="opex-it"/>
      <sheetName val="opex-custSvc"/>
      <sheetName val="opex-G&amp;A"/>
      <sheetName val="opex-S&amp;Mktg"/>
      <sheetName val="cos-Urguay"/>
      <sheetName val="deprec"/>
      <sheetName val="by_city"/>
      <sheetName val="rev-BWA"/>
      <sheetName val="rev-BWA (Uruguay)"/>
      <sheetName val="Uruguay"/>
      <sheetName val="rev-NWA"/>
      <sheetName val="rev-ISP+CLEC"/>
      <sheetName val="DSL"/>
      <sheetName val="Int2_2001"/>
      <sheetName val="Int2_traf_2001"/>
      <sheetName val="Int2_tra_2001_2"/>
      <sheetName val="Prices_Interurban"/>
      <sheetName val="C-TM1"/>
      <sheetName val="SendToTM1"/>
      <sheetName val="PeriodFunction"/>
      <sheetName val="auto"/>
      <sheetName val="SAP Data 291204"/>
      <sheetName val="US Engg"/>
      <sheetName val="US"/>
      <sheetName val="Total"/>
      <sheetName val="CT"/>
      <sheetName val="Merlin"/>
      <sheetName val="nMR"/>
      <sheetName val="Horizon"/>
      <sheetName val="C&amp;B"/>
      <sheetName val="T&amp;L"/>
      <sheetName val="Exchange"/>
      <sheetName val="Julie's Request Form"/>
      <sheetName val="SCR L_E 2002"/>
      <sheetName val="BIMP 13th August"/>
      <sheetName val="LOCAL XRAY (2)"/>
      <sheetName val="CARM"/>
      <sheetName val="LOCAL XRAY"/>
      <sheetName val="RecoveredExternalLink1"/>
      <sheetName val="NKSC"/>
      <sheetName val="MAINT,QP,COMM"/>
      <sheetName val="SUPPORTING"/>
      <sheetName val="PLGroupings"/>
      <sheetName val="PLAN 01-02"/>
      <sheetName val="Price updates"/>
      <sheetName val="LANGUAGE"/>
      <sheetName val="PART_DISCOUNT"/>
      <sheetName val="7470 MSP (1)"/>
      <sheetName val="7470 MSP (2)"/>
      <sheetName val="7470 MSP (3)"/>
      <sheetName val="7470 MSP (4)"/>
      <sheetName val="7470 MSP (5)"/>
      <sheetName val="7470 MSP (6)"/>
      <sheetName val="7470 MSP (7)"/>
      <sheetName val="7470 MSP (8)"/>
      <sheetName val="7470 MSP (9)"/>
      <sheetName val="7470 MSP (10)"/>
      <sheetName val="7470 MSP (11)"/>
      <sheetName val="7470 MSP (12)"/>
      <sheetName val="7470 MSP (13)"/>
      <sheetName val="7470 MSP (14)"/>
      <sheetName val="7470 MSP (15)"/>
      <sheetName val="7470 MSP (16)"/>
      <sheetName val="7470 MSP (17)"/>
      <sheetName val="7470 MSP (18)"/>
      <sheetName val="7470 MSP (19)"/>
      <sheetName val="7470 MSP (20)"/>
      <sheetName val="7470 MSP Matrix"/>
      <sheetName val="CATEGORY_DISCOUNT"/>
      <sheetName val="Volume"/>
      <sheetName val="Data Graph"/>
      <sheetName val="MIS-PL"/>
      <sheetName val="gn-div"/>
      <sheetName val="UB-p&amp;L"/>
      <sheetName val="ub"/>
      <sheetName val="group"/>
      <sheetName val="cogs"/>
      <sheetName val="prestn"/>
      <sheetName val="Data File"/>
      <sheetName val="publi"/>
      <sheetName val="Inc Dec - Stock"/>
      <sheetName val="MIS-OH"/>
      <sheetName val="C-COHs"/>
      <sheetName val="INV"/>
      <sheetName val="ub-BS"/>
      <sheetName val="C-Misc Income"/>
      <sheetName val="Presnt-2"/>
      <sheetName val="Raw TB"/>
      <sheetName val="consTB"/>
      <sheetName val="TBrow"/>
      <sheetName val="PC "/>
      <sheetName val="Ratio"/>
      <sheetName val="progrs"/>
      <sheetName val="LLCMIS"/>
      <sheetName val="Q03-04"/>
      <sheetName val="c f Final"/>
      <sheetName val="Q04-05"/>
      <sheetName val="mainBS"/>
      <sheetName val="sc3,4,5 (New)"/>
      <sheetName val="sch-21-mbi1"/>
      <sheetName val="sch-21-mbi2"/>
      <sheetName val="SC-21(1)"/>
      <sheetName val="SC21(2)"/>
      <sheetName val="sc1,2"/>
      <sheetName val="sc3,4"/>
      <sheetName val="sc5"/>
      <sheetName val="sc6,7,8,9"/>
      <sheetName val="sc10,11,12"/>
      <sheetName val="sc13,14,15"/>
      <sheetName val="sc16,17,18,19"/>
      <sheetName val="pwc-cash flow"/>
      <sheetName val="Dep-CON"/>
      <sheetName val="dep-GN"/>
      <sheetName val="dep-A164"/>
      <sheetName val="dep-RTDM"/>
      <sheetName val="dep-HO"/>
      <sheetName val="dep-NEPZ"/>
      <sheetName val="dep-AV"/>
      <sheetName val="dep-B17"/>
      <sheetName val="dep-TR"/>
      <sheetName val="dep-B4"/>
      <sheetName val="dep-MET"/>
      <sheetName val="a164"/>
      <sheetName val="gn"/>
      <sheetName val="av"/>
      <sheetName val="ho"/>
      <sheetName val="rtd"/>
      <sheetName val="nepz"/>
      <sheetName val="B17"/>
      <sheetName val="b4"/>
      <sheetName val="met"/>
      <sheetName val="tr"/>
      <sheetName val="In-De GN"/>
      <sheetName val="IU"/>
      <sheetName val="Q02-03"/>
      <sheetName val="PreQs"/>
      <sheetName val="working03-04"/>
      <sheetName val="Cons-working03-04"/>
      <sheetName val="Optical PL-04-05"/>
      <sheetName val="Eurooptic05-06 PL"/>
      <sheetName val="Eurooptic05-06BS"/>
      <sheetName val="Eurooptic OpticalBS-04-05"/>
      <sheetName val="GDM 0506"/>
      <sheetName val="GDM 0405"/>
      <sheetName val="MBPVL-BS"/>
      <sheetName val="P&amp;L (2)"/>
      <sheetName val="GDM Reco AM"/>
      <sheetName val="ConsBS"/>
      <sheetName val="ConsP&amp;L"/>
      <sheetName val="Conssc1,2"/>
      <sheetName val="Conssc3,4"/>
      <sheetName val="Conssc5"/>
      <sheetName val="Conssc6,7,8,9"/>
      <sheetName val="Conssc10,11,12"/>
      <sheetName val="Conssc13,14,15"/>
      <sheetName val="Conssc16,17,18"/>
      <sheetName val="Cons-pwc-cash flow"/>
      <sheetName val="Cons-Working"/>
      <sheetName val="GDM0405"/>
      <sheetName val="trial balance 30092003"/>
      <sheetName val="Old Sep-03TB"/>
      <sheetName val="Yen Loan-Original"/>
      <sheetName val="#"/>
      <sheetName val="new summary"/>
      <sheetName val="Monthwise sale"/>
      <sheetName val="LTA PROVISON AUGUST'10"/>
      <sheetName val="Med. AUGUST'10"/>
      <sheetName val="Transmittal Front Page"/>
      <sheetName val="Pilotage"/>
      <sheetName val="Agency BS"/>
      <sheetName val="FA Schedule"/>
      <sheetName val="FA Register"/>
      <sheetName val="depreciation Summary"/>
      <sheetName val="FA Register (2)"/>
      <sheetName val="indus"/>
      <sheetName val="Veh (Alto)"/>
      <sheetName val="Motor Cycle"/>
      <sheetName val="Veh (WR)"/>
      <sheetName val="Veh (Zen)"/>
      <sheetName val="Veh (Esteem)"/>
      <sheetName val="Veh (M 800) 1"/>
      <sheetName val="Veh (M 800) 2"/>
      <sheetName val="Veh (SX4)"/>
      <sheetName val="Veh (DZire)"/>
      <sheetName val="Veh (AStar)"/>
      <sheetName val="EECO"/>
      <sheetName val="RITZ"/>
      <sheetName val="VERSA (MSV)"/>
      <sheetName val="Swift"/>
      <sheetName val="Veh (MOS)"/>
      <sheetName val="UPS"/>
      <sheetName val="Tools"/>
      <sheetName val="Sign Board"/>
      <sheetName val="Elec Equip"/>
      <sheetName val="Generator"/>
      <sheetName val="F&amp;F"/>
      <sheetName val="Bldgs"/>
      <sheetName val="Digi Cam"/>
      <sheetName val="Low Temp Drier"/>
      <sheetName val="Auto Lift"/>
      <sheetName val="Display Board"/>
      <sheetName val="Paint Booth"/>
      <sheetName val="Water Cooler"/>
      <sheetName val="Remarks"/>
      <sheetName val="Degreasing"/>
      <sheetName val="wip-Dec."/>
      <sheetName val="Primer"/>
      <sheetName val="Sandblasting"/>
      <sheetName val="TB Jan-Dec96"/>
      <sheetName val="Managerial Remuneration-Dec96"/>
      <sheetName val="BS&amp;PL_DEC96"/>
      <sheetName val="Diagramm1"/>
      <sheetName val="Daten für Diagramm"/>
      <sheetName val="SAP 01_02 bis 30.04.03"/>
      <sheetName val="Eingabe"/>
      <sheetName val="Print out"/>
      <sheetName val="HGB Bilanz Eingabe"/>
      <sheetName val="Balance Sheet Permira"/>
      <sheetName val="Investitionen"/>
      <sheetName val="Invest DPC"/>
      <sheetName val="Deckblatt"/>
      <sheetName val="Steuerung"/>
      <sheetName val="Gesamt 2000-03"/>
      <sheetName val="Planung-Ö 2000-03"/>
      <sheetName val="Planung-D 2000-03"/>
      <sheetName val="Zugänge 2000-03"/>
      <sheetName val="Zugänge 2000-2003 Handel"/>
      <sheetName val="list of changes"/>
      <sheetName val="segment split"/>
      <sheetName val="Group NTA 25 Jun 04"/>
      <sheetName val="NTA &amp; NAV &amp; revaluation"/>
      <sheetName val="PPE 25 Jun 04"/>
      <sheetName val="2004 P&amp;L projections"/>
      <sheetName val=" CF"/>
      <sheetName val="DepreciationAmor"/>
      <sheetName val="DCF Group"/>
      <sheetName val="DCF Liner"/>
      <sheetName val="DCF Others"/>
      <sheetName val="Firm Value"/>
      <sheetName val="Premium (2)"/>
      <sheetName val="Premium"/>
      <sheetName val="Comps - Gp"/>
      <sheetName val="Comps - SOTP"/>
      <sheetName val="Share price in SGD and USD"/>
      <sheetName val="share px &amp; vol 1993-YTD weekly"/>
      <sheetName val="share px &amp; vol 2003-YTD"/>
      <sheetName val="freight rates - from Nikhil"/>
      <sheetName val="football field - Eqty value"/>
      <sheetName val="freight rates"/>
      <sheetName val="P&amp;L Detail"/>
      <sheetName val="Profit &amp; Loss Statement"/>
      <sheetName val="Income Statements"/>
      <sheetName val="Output Debt"/>
      <sheetName val="Calculation Debt"/>
      <sheetName val="Input Financing Assumptions"/>
      <sheetName val="INPUT Investments-Deprec."/>
      <sheetName val="INPUT KEY PARAMETER SUBSCRIBER"/>
      <sheetName val="SUBSCRIBER TOTAL"/>
      <sheetName val="SUBSCRIBER-DTH"/>
      <sheetName val="SUBSCRIBER-CABLE"/>
      <sheetName val="INPUT PACKAGE PARAMETER"/>
      <sheetName val="OUTPUT PACKAGES "/>
      <sheetName val="PACKAGES FOR PAYMENTS"/>
      <sheetName val="Revenues_Subscription PPC"/>
      <sheetName val="REVENUES PREMIERE PLUS"/>
      <sheetName val="Revenues_Subscription PPV"/>
      <sheetName val="Revenues Sublicencing"/>
      <sheetName val="Revenues_Decoder and others"/>
      <sheetName val=" Revenues Others"/>
      <sheetName val="OVERVIEW PROGRAMM"/>
      <sheetName val="MOVIE CALCULATION"/>
      <sheetName val="INPUT MOVIE SUBS "/>
      <sheetName val="INPUT MINIMUMGARANTEE "/>
      <sheetName val="INPUT ESCALATOR"/>
      <sheetName val="INPUT CPS "/>
      <sheetName val="INPUT MOVIE TITLES"/>
      <sheetName val="INPUT PPV MOVIE"/>
      <sheetName val="OUTPUT SPORT"/>
      <sheetName val="INPUT SPORT LICENCES"/>
      <sheetName val="INPUT SPORT PROD."/>
      <sheetName val="EVENTCALENDER"/>
      <sheetName val="BACKUP BUNDESLIGA"/>
      <sheetName val="INPUT PPV BL"/>
      <sheetName val="INPUT LIBRARY"/>
      <sheetName val="INPUT THIRD PARTY"/>
      <sheetName val="INPUT OTHER PROGRAMME"/>
      <sheetName val="Programming costs royalties"/>
      <sheetName val="Decoder Costs"/>
      <sheetName val="Transmission DTH"/>
      <sheetName val="Transmission Cable"/>
      <sheetName val="PLAY OUT-TRANSPONDER"/>
      <sheetName val="Subscriber Marketing Costs"/>
      <sheetName val="Selling-Costs"/>
      <sheetName val="G&amp;A"/>
      <sheetName val="PARAMETERS"/>
      <sheetName val="ÜA"/>
      <sheetName val="Kursübersicht"/>
      <sheetName val="Übersicht(SV)"/>
      <sheetName val="Lizenzen Fiction rollierend"/>
      <sheetName val="Lizenzen Indies rollierend"/>
      <sheetName val="Kabel_Sat rollierend (SV)"/>
      <sheetName val="Kabel_Sat Berech. (SV)"/>
      <sheetName val="Sum. lease commitments 311203"/>
      <sheetName val="Receiver rollierend"/>
      <sheetName val="Berechnung Receiver"/>
      <sheetName val="Sport Prod. roll. (SV)"/>
      <sheetName val="Sport Prod. Berech. (SV)"/>
      <sheetName val="Sport Honorar rollierend (SV)"/>
      <sheetName val="Sport Honorar Berech. (SV)"/>
      <sheetName val="Sport Lizenzen rollierend (SV)"/>
      <sheetName val="Sport Lizenzen Berechnung (SV)"/>
      <sheetName val="Marketing rollierend ÜA "/>
      <sheetName val="Berechnung Marketing ÜA "/>
      <sheetName val="Vertrieb rollierend ÜA "/>
      <sheetName val="Berechnung Vertrieb ÜA"/>
      <sheetName val="Verwaltung rollierend ÜA"/>
      <sheetName val="Berechnung Verwaltung ÜA"/>
      <sheetName val="Buchungen"/>
      <sheetName val="Zuordnung Goodwill u Zinssätze"/>
      <sheetName val="Verprobung Goodwill"/>
      <sheetName val="Tax Amortization Benefit"/>
      <sheetName val="Assembled Workforce"/>
      <sheetName val="UB und Lat. Steuern"/>
      <sheetName val="Markenzeichen"/>
      <sheetName val="Planzahlen"/>
      <sheetName val="Planung PBC"/>
      <sheetName val="Contributory Asset Charges"/>
      <sheetName val="Kundenliste"/>
      <sheetName val="Order Backlog"/>
      <sheetName val="Daily graph"/>
      <sheetName val="Comb daily"/>
      <sheetName val="NOL Chart- weekly"/>
      <sheetName val="Comb weekly"/>
      <sheetName val="PE EV charts"/>
      <sheetName val="intrinsic value field"/>
      <sheetName val="market football field"/>
      <sheetName val="Revalued Fleet"/>
      <sheetName val="Shipping key historic metrics"/>
      <sheetName val="Margin charts"/>
      <sheetName val="football field"/>
      <sheetName val="2003 Margin charts"/>
      <sheetName val="liquidity analysis"/>
      <sheetName val="Comp descriptions"/>
      <sheetName val="Asset Revaluation"/>
      <sheetName val="2004 Margin charts"/>
      <sheetName val="Historical"/>
      <sheetName val="Linked"/>
      <sheetName val="Conservative"/>
      <sheetName val="Aggressive"/>
      <sheetName val="Brand Allocation Template"/>
      <sheetName val="Consolidated Old"/>
      <sheetName val="Allocations"/>
      <sheetName val="HGTV"/>
      <sheetName val="FOOD"/>
      <sheetName val="DIY"/>
      <sheetName val="FL"/>
      <sheetName val="ONLINE"/>
      <sheetName val="VOD"/>
      <sheetName val="HISPANIC"/>
      <sheetName val="BROADBAND"/>
      <sheetName val="SAH"/>
      <sheetName val="HDTV"/>
      <sheetName val="SNU"/>
      <sheetName val="Telval"/>
      <sheetName val="PanEuro"/>
      <sheetName val="New structure"/>
      <sheetName val="SoP"/>
      <sheetName val="Revenue drivers"/>
      <sheetName val="Cost drivers"/>
      <sheetName val="DeleteMe"/>
      <sheetName val="Backsheet"/>
      <sheetName val="Net debt"/>
      <sheetName val="1H"/>
      <sheetName val="EV"/>
      <sheetName val="Turkcell"/>
      <sheetName val="Scenarios"/>
      <sheetName val="B.S."/>
      <sheetName val="Debt payments"/>
      <sheetName val="interconnection charges"/>
      <sheetName val="legal disputes"/>
      <sheetName val="Qtrly cashflow"/>
      <sheetName val="Result table"/>
      <sheetName val="scenario Mrket share ARPU"/>
      <sheetName val="WACC"/>
      <sheetName val="Valuation comparable"/>
      <sheetName val="Fair values_Scenarios"/>
      <sheetName val="Valuation Custom. Rel. Service"/>
      <sheetName val="Client Customer Rel. Service"/>
      <sheetName val="Bearbeitet_25"/>
      <sheetName val="Pivot25"/>
      <sheetName val="Software"/>
      <sheetName val="assembled workforce IST"/>
      <sheetName val="TAB"/>
      <sheetName val="Universe"/>
      <sheetName val="HGTV Affil"/>
      <sheetName val="Food Affil"/>
      <sheetName val="DIY Affil"/>
      <sheetName val="FL Affil"/>
      <sheetName val="GAC Affil"/>
      <sheetName val="HGTV Linked"/>
      <sheetName val="Food Linked"/>
      <sheetName val="DIY Linked"/>
      <sheetName val="FL Linked"/>
      <sheetName val="GAC Linked"/>
      <sheetName val="Überleitung Konzern"/>
      <sheetName val="Kabel_Sat rollierend (SV)."/>
      <sheetName val="Kabel_Sat Berech. (SV)."/>
      <sheetName val="Sum. lease commitments 300604"/>
      <sheetName val="Sport Prod. roll. (SV)."/>
      <sheetName val="Sport Prod. Berech. (SV)."/>
      <sheetName val="Sport Honorar rollierend (SV)."/>
      <sheetName val="Sport Honorar Berech. (SV)."/>
      <sheetName val="Sport Lizenzen rollierend (SV)."/>
      <sheetName val="Sport Lizenzen Berechnung (SV)."/>
      <sheetName val="Marketing rollierend ÜA. "/>
      <sheetName val="Berechnung Marketing ÜA. "/>
      <sheetName val="Vertrieb rollierend ÜA. "/>
      <sheetName val="Berechnung Vertrieb ÜA."/>
      <sheetName val="Verwaltung rollierend ÜA."/>
      <sheetName val="Berechnung Verwaltung ÜA."/>
      <sheetName val="sonstige rollierend"/>
      <sheetName val="Berechnung sonstige"/>
      <sheetName val="Capital Purchase Guidelines"/>
      <sheetName val="Menus"/>
      <sheetName val="Capital Worksheet"/>
      <sheetName val="Capital Spending Summary"/>
      <sheetName val="Depreciation Expense - Total"/>
      <sheetName val="Depreciation Expense - All"/>
      <sheetName val="Depreciation Expense - HGTV"/>
      <sheetName val="Depreciation Expense - FOOD"/>
      <sheetName val="Depreciation Expense - DIY"/>
      <sheetName val="Depreciation Expense - FL"/>
      <sheetName val="Depreciation Expense - GAC"/>
      <sheetName val="Depreciation Expense - SP"/>
      <sheetName val="Depreciation Expense - BB"/>
      <sheetName val="Depreciation Expense - VOD"/>
      <sheetName val="Depreciation Expense - HD HGTV"/>
      <sheetName val="Depreciation Expense - HD FOOD"/>
      <sheetName val="Depreciation Expense - SNA"/>
      <sheetName val="R. Johnson_5130"/>
      <sheetName val="T. Killoy"/>
      <sheetName val="D. Metz"/>
      <sheetName val="J. Ajamie"/>
      <sheetName val="R. Johnson_5132"/>
      <sheetName val="R. Feinbaum"/>
      <sheetName val="M. Donovan"/>
      <sheetName val="P. Crowley"/>
      <sheetName val="B. Fails"/>
      <sheetName val="2004 Strat Plan Capital "/>
      <sheetName val="Expense Items"/>
      <sheetName val="Depreciation Expense - HDTV"/>
      <sheetName val="Depreciation Expense - HDTV HG"/>
      <sheetName val="Depreciation Expense - HDTV FD"/>
      <sheetName val="DCF"/>
      <sheetName val="DCFHEMA"/>
      <sheetName val="DCFVD"/>
      <sheetName val="DCFBijenkorf"/>
      <sheetName val="DCFDIY"/>
      <sheetName val="DCFFashion"/>
      <sheetName val="DCFCE"/>
      <sheetName val="DCFSC"/>
      <sheetName val="DCFITS"/>
      <sheetName val="DCFTHoll"/>
      <sheetName val="DCFCFS"/>
      <sheetName val="DCFProperty"/>
      <sheetName val="DCFHolding"/>
      <sheetName val="DCFContingency"/>
      <sheetName val="Hema"/>
      <sheetName val="VD"/>
      <sheetName val="Bijenkorf"/>
      <sheetName val="Praxis"/>
      <sheetName val="Brico"/>
      <sheetName val="Formido"/>
      <sheetName val="Keur"/>
      <sheetName val="LeroyM"/>
      <sheetName val="Fashion"/>
      <sheetName val="ClStr"/>
      <sheetName val="Hunk"/>
      <sheetName val="M&amp;S"/>
      <sheetName val="CE"/>
      <sheetName val="Dixons"/>
      <sheetName val="Impact"/>
      <sheetName val="SchaapCitroen"/>
      <sheetName val="ITServices"/>
      <sheetName val="TechoHolland"/>
      <sheetName val="Property"/>
      <sheetName val="FAInvestments"/>
      <sheetName val="SPD"/>
      <sheetName val="Neptune Assumptions"/>
      <sheetName val="Neptune IS"/>
      <sheetName val="Neptune BS"/>
      <sheetName val="Neptune CF"/>
      <sheetName val="Neptune Debt"/>
      <sheetName val="LBO - Neptune"/>
      <sheetName val="Buyback Analysis"/>
      <sheetName val="Virgo Assumptions"/>
      <sheetName val="Virgo IS"/>
      <sheetName val="Virgo BS"/>
      <sheetName val="Aquarius BS"/>
      <sheetName val="Virgo CF"/>
      <sheetName val="Virgo Debt"/>
      <sheetName val="Merged Assumptions"/>
      <sheetName val="Transaction Terms"/>
      <sheetName val="Merged Debt"/>
      <sheetName val="Merged IS"/>
      <sheetName val="Merged BS"/>
      <sheetName val="Merged CF"/>
      <sheetName val="CSFB - Sensitivity"/>
      <sheetName val="CSFB - EPS Impact"/>
      <sheetName val="CSFB - Transaction"/>
      <sheetName val="CSFB - Financials"/>
      <sheetName val="CSFB - Credit Analysis"/>
      <sheetName val="CSFB - Merger Savings"/>
      <sheetName val="Neptune - UFCF"/>
      <sheetName val="Neptune - PVM(EBITDA) 10Y"/>
      <sheetName val="Neptune - PVM(Growth) 10Y"/>
      <sheetName val="Neptune - Valuation Summary"/>
      <sheetName val="Virgo - UFCF"/>
      <sheetName val="Virgo - PVM(EBITDA) 10Y"/>
      <sheetName val="Virgo - PVM(Growth) 10Y"/>
      <sheetName val="Virgo_valuation"/>
      <sheetName val="Neptune_valuation"/>
      <sheetName val="Merged_valuation"/>
      <sheetName val="WACC (CSFB)"/>
      <sheetName val="WACC (OLD)"/>
      <sheetName val="Comps"/>
      <sheetName val="ReturnMeasures"/>
      <sheetName val="RV"/>
      <sheetName val="RV2"/>
      <sheetName val="CreditSummary"/>
      <sheetName val="CreditPresentation"/>
      <sheetName val="Neptune_2003Fleet"/>
      <sheetName val="Virgo Fleet"/>
      <sheetName val="Virgo EPS Impact"/>
      <sheetName val="Godzilla_Fleet - OLD"/>
      <sheetName val="Graph"/>
      <sheetName val="EquityGraphs"/>
      <sheetName val="Acquisition assumptions"/>
      <sheetName val="Acquirer financing"/>
      <sheetName val="Acquirer Input"/>
      <sheetName val="Target Input"/>
      <sheetName val="Target (Acquiror FYE)"/>
      <sheetName val="Target proforma"/>
      <sheetName val="Acquirer proforma"/>
      <sheetName val="Ratings"/>
      <sheetName val="Debt finance schedule"/>
      <sheetName val="Opl adjustment"/>
      <sheetName val="Anleitung"/>
      <sheetName val="wp_HGB"/>
      <sheetName val="wp_IAS"/>
      <sheetName val="F-6-1"/>
      <sheetName val="Steuersatz_Berechnung QRC"/>
      <sheetName val="F-15_IAS"/>
      <sheetName val="F-15_1_IAS"/>
      <sheetName val="F-15_2_IAS"/>
      <sheetName val="F-15_3_IAS"/>
      <sheetName val="F-12_IAS"/>
      <sheetName val="FF-51_IAS"/>
      <sheetName val="L-40_IAS"/>
      <sheetName val="L-41_IAS"/>
      <sheetName val="F-32-1_IAS"/>
      <sheetName val="F-32-4_IAS"/>
      <sheetName val="F-121"/>
      <sheetName val="J-4"/>
      <sheetName val="J-5"/>
      <sheetName val="A-15"/>
      <sheetName val="A-16"/>
      <sheetName val="B-20"/>
      <sheetName val="B-21"/>
      <sheetName val="B-22"/>
      <sheetName val="L-10-1-1"/>
      <sheetName val="L-10-1-2"/>
      <sheetName val="L-10-2"/>
      <sheetName val="L-11"/>
      <sheetName val="L-11-1-1"/>
      <sheetName val="L-11-1-2"/>
      <sheetName val="L-11-1-3"/>
      <sheetName val="L-11-1-4"/>
      <sheetName val="L-11-2-1"/>
      <sheetName val="L-11-2-2"/>
      <sheetName val="L-11-2-3"/>
      <sheetName val="L-11-2-4"/>
      <sheetName val="L-13"/>
      <sheetName val="L-20"/>
      <sheetName val="L-30"/>
      <sheetName val="M-28"/>
      <sheetName val="M-29"/>
      <sheetName val="M-31-1"/>
      <sheetName val="N-30"/>
      <sheetName val="N-50"/>
      <sheetName val="N-110_IAS"/>
      <sheetName val="U-80_IAS"/>
      <sheetName val="U-81_IAS"/>
      <sheetName val="U-82_IAS"/>
      <sheetName val="BB-22"/>
      <sheetName val="CC-5_1_IAS"/>
      <sheetName val="CC-5"/>
      <sheetName val="DD-10-1"/>
      <sheetName val="DD-10-2"/>
      <sheetName val="DD-30_IAS"/>
      <sheetName val="FF-50_IAS"/>
      <sheetName val="SS-10"/>
      <sheetName val="SS-10_IAS"/>
      <sheetName val="40-1"/>
      <sheetName val="80"/>
      <sheetName val="90"/>
      <sheetName val="90-1_IAS"/>
      <sheetName val="100"/>
      <sheetName val="100-1"/>
      <sheetName val="110"/>
      <sheetName val="130"/>
      <sheetName val="Eingabe_IAS"/>
      <sheetName val="F-1-FINAL-2001"/>
      <sheetName val="F-2-FINAL-2001"/>
      <sheetName val="F-3-CF-2001"/>
      <sheetName val="F-1-FINAL-2002"/>
      <sheetName val="F-2-FINAL-2002"/>
      <sheetName val="F-3-CF-2002"/>
      <sheetName val="F-1-FINAL-2001-OLD"/>
      <sheetName val="F-2-FINAL-2001-OLD"/>
      <sheetName val="F-1-FINAL-2002-OLD"/>
      <sheetName val="F-2-FINAL-2002-OLD"/>
      <sheetName val="Tabelle5"/>
      <sheetName val="BILANZ-NOTES"/>
      <sheetName val="CHECKSUM"/>
      <sheetName val="NOTES-GuV"/>
      <sheetName val="NOTES-BILANZ"/>
      <sheetName val="NOTES-CF-I"/>
      <sheetName val="NOTES-CF-II"/>
      <sheetName val="NOTES-EK"/>
      <sheetName val="NOTES-EA-Tools"/>
      <sheetName val="wp-EPS"/>
      <sheetName val="KONSO"/>
      <sheetName val="KAPKO"/>
      <sheetName val="AKQUISITION-AEM"/>
      <sheetName val="AKQUISITION"/>
      <sheetName val="AUEKO"/>
      <sheetName val="SCHUKO"/>
      <sheetName val="ZWERG"/>
      <sheetName val="UMGLIEDERUNG"/>
      <sheetName val="wp_CF-I"/>
      <sheetName val="wp_CF"/>
      <sheetName val="BET.ERTRÄGE"/>
      <sheetName val="Summary SAP vs Legacy"/>
      <sheetName val="SAP vs Legacy Deails"/>
      <sheetName val="As per Legacy"/>
      <sheetName val="Scenrerion Testing Revaluation"/>
      <sheetName val="sOFTWARE 1"/>
      <sheetName val="SOFTWARE 2"/>
      <sheetName val="0405 vs 0506"/>
      <sheetName val="MSSL India"/>
      <sheetName val="MSSL Japan"/>
      <sheetName val="MSSL Thailand"/>
      <sheetName val="MSSL GB"/>
      <sheetName val="MSSL ME"/>
      <sheetName val="MSSL M1A"/>
      <sheetName val="Harness Wise Breakup- India"/>
      <sheetName val="Harness Wise Breakup- Thailand"/>
      <sheetName val="Reduzierter CBD"/>
      <sheetName val="Empfohlener CBD"/>
      <sheetName val="XLS Avg Rev"/>
      <sheetName val="価格一覧表"/>
      <sheetName val="TJC - Total"/>
      <sheetName val="CBD Kolben"/>
      <sheetName val="Brush Assembly"/>
      <sheetName val="LOAD"/>
      <sheetName val="HKKalk280100 modifiziert"/>
      <sheetName val="Definitions"/>
      <sheetName val="Opdata (2)"/>
      <sheetName val="207 "/>
      <sheetName val="SAFARI"/>
      <sheetName val="LCV MCV HCV"/>
      <sheetName val="HRD"/>
      <sheetName val="ENGG."/>
      <sheetName val="MARKETING+bonded"/>
      <sheetName val="COMMERCIAL+stores"/>
      <sheetName val="QP&amp;S "/>
      <sheetName val="SUMMARY REPORT"/>
      <sheetName val="Obser. W.C"/>
      <sheetName val="Entries (2)"/>
      <sheetName val="Cash Loss"/>
      <sheetName val="5-7"/>
      <sheetName val="9-12"/>
      <sheetName val="13-16"/>
      <sheetName val="17-22"/>
      <sheetName val="Conbined TB"/>
      <sheetName val="TB-NM"/>
      <sheetName val="TB-PWL"/>
      <sheetName val="Entries MWC"/>
      <sheetName val="23-25"/>
      <sheetName val="26-27"/>
      <sheetName val="28-32"/>
      <sheetName val="Prior Period Expenses"/>
      <sheetName val="x"/>
      <sheetName val="x (2)"/>
      <sheetName val="Copper Base June"/>
      <sheetName val="Escorts Matrix"/>
      <sheetName val="P&amp;L-CUM-MAY-05 (2)"/>
      <sheetName val="front page"/>
      <sheetName val="Prov."/>
      <sheetName val="Feb.07"/>
      <sheetName val="asst &amp; liabl"/>
      <sheetName val="adnl rmc"/>
      <sheetName val="Mfg. Cost"/>
      <sheetName val="Adm. Cost"/>
      <sheetName val="S&amp; D"/>
      <sheetName val="financecost"/>
      <sheetName val="drs grph"/>
      <sheetName val="crs aging grph"/>
      <sheetName val="Debtors "/>
      <sheetName val="crs age "/>
      <sheetName val="adv to suppl"/>
      <sheetName val="Loans &amp; Adv."/>
      <sheetName val="Imprest"/>
      <sheetName val="dispute drs"/>
      <sheetName val="Esti Proft(M5.2)"/>
      <sheetName val="Esti Proft(M5.3) "/>
      <sheetName val="Cash Flow(M5.13)"/>
      <sheetName val="Analysis of wages"/>
      <sheetName val="cash flow, BS monthly(3)"/>
      <sheetName val="hdpg"/>
      <sheetName val="MID-JNT"/>
      <sheetName val="corr&amp; sllve1"/>
      <sheetName val="SUMMERY"/>
      <sheetName val="DEBT_AGING30-30-JUN-07"/>
      <sheetName val="AGEING"/>
      <sheetName val="ADV 30.06."/>
      <sheetName val="profit reco."/>
      <sheetName val="groupnew"/>
      <sheetName val="Activity &amp; Resp"/>
      <sheetName val="indexforworkbook"/>
      <sheetName val="cover page"/>
      <sheetName val="guidelines"/>
      <sheetName val="indexforbudget"/>
      <sheetName val="finance&amp;accounts"/>
      <sheetName val="scwc"/>
      <sheetName val="BS_ABD"/>
      <sheetName val="p&amp;l-marginal cost"/>
      <sheetName val="Cash Flow-MIS"/>
      <sheetName val="Qtr-P&amp;L-Marginal -Trend"/>
      <sheetName val="Reason for Increase in Cost"/>
      <sheetName val="Budget I Version Reco"/>
      <sheetName val="PBT-Revised Recon"/>
      <sheetName val="mfg"/>
      <sheetName val="overheads summary"/>
      <sheetName val="deptt wise overheads"/>
      <sheetName val="selling&amp;distn"/>
      <sheetName val="sales&amp;marketing"/>
      <sheetName val="share of business"/>
      <sheetName val="forecast"/>
      <sheetName val="bad debts"/>
      <sheetName val="movement of debtors"/>
      <sheetName val="movement of finished goods"/>
      <sheetName val="mkt segmentwise"/>
      <sheetName val="price inc_dec"/>
      <sheetName val="planned no of days"/>
      <sheetName val="raw materials"/>
      <sheetName val="purchase plan"/>
      <sheetName val="break even point"/>
      <sheetName val="movmnt of rm inv_creditors"/>
      <sheetName val="new product"/>
      <sheetName val="human resources"/>
      <sheetName val="manpower cost summary"/>
      <sheetName val="deptt wise manpower"/>
      <sheetName val="manpower-staff"/>
      <sheetName val="manpower-associates"/>
      <sheetName val="orgn structure"/>
      <sheetName val="capital budget"/>
      <sheetName val="capex summary"/>
      <sheetName val="capex details (2)"/>
      <sheetName val="capex details"/>
      <sheetName val="tools (ih-bo)"/>
      <sheetName val="deptt wise schedule capex"/>
      <sheetName val="schedule capex"/>
      <sheetName val="quality imprvmt plan"/>
      <sheetName val="Q&amp;P improvement plan"/>
      <sheetName val="others"/>
      <sheetName val="cost reduction"/>
      <sheetName val="sale of assets"/>
      <sheetName val="benchmarks"/>
      <sheetName val="index orderwise"/>
      <sheetName val="key activity control plan"/>
      <sheetName val="Budget Version Reco (2)"/>
      <sheetName val="Tooling Advance -Domestic"/>
      <sheetName val="PBT Reco Version-I Vs Today"/>
      <sheetName val="indexforbudget (2)"/>
      <sheetName val="p&amp;l-marginal cost (N+P)"/>
      <sheetName val="PBT-revised Reco"/>
      <sheetName val="Budget Version Reco"/>
      <sheetName val="Cash flow-Noida"/>
      <sheetName val="TOOLING ADVANCE"/>
      <sheetName val="Basis"/>
      <sheetName val="Qtrly-Marginal Trend"/>
      <sheetName val="BS (F)"/>
      <sheetName val="OH-New"/>
      <sheetName val="OH-Old"/>
      <sheetName val="Sale Summary"/>
      <sheetName val="RMC Summary"/>
      <sheetName val="sensitivity anyalsis"/>
      <sheetName val="Party wise Price Increase"/>
      <sheetName val="p&amp;l-m cQTR."/>
      <sheetName val="PBT-RECO"/>
      <sheetName val="BS-Qtr."/>
      <sheetName val="Justifiation"/>
      <sheetName val="Term Loan"/>
      <sheetName val="Paint shop"/>
      <sheetName val="working-fC"/>
      <sheetName val="OE-PUNE PLANT"/>
      <sheetName val="REPL-PUNE-PLANT"/>
      <sheetName val="DEVL-PUNE"/>
      <sheetName val="lineshifting"/>
      <sheetName val="RMC"/>
      <sheetName val="raw materials "/>
      <sheetName val="RMC(OE) "/>
      <sheetName val="RMC(OE)"/>
      <sheetName val="RMC(DEV)"/>
      <sheetName val="RMC(REPL)"/>
      <sheetName val="staff as per new org chart"/>
      <sheetName val="TOOLS IN HOUSE (Old)"/>
      <sheetName val="TOOLS IN HOUSE (with N&amp;H)"/>
      <sheetName val="TOOLS IN HOUSE (48.55%)"/>
      <sheetName val="deptt.wise"/>
      <sheetName val="TOOLS IN HOUSE"/>
      <sheetName val="original capex"/>
      <sheetName val="deptt.wise (Old with N &amp; Hold)"/>
      <sheetName val="COST REDUCTION (2)"/>
      <sheetName val="Qtrly-Trend"/>
      <sheetName val="Cost justification"/>
      <sheetName val="Contribution Analysis"/>
      <sheetName val="Key Focus Areas"/>
      <sheetName val="Sales Summary"/>
      <sheetName val="Reco. of Profit"/>
      <sheetName val="Rawmat"/>
      <sheetName val="Cost Red."/>
      <sheetName val="Export benefit &amp; Freight"/>
      <sheetName val="per cost backup"/>
      <sheetName val="cover page (NOIDA)"/>
      <sheetName val="cover page (PUNE)"/>
      <sheetName val="s&amp;d agency commision"/>
      <sheetName val="depreciaton"/>
      <sheetName val="Comparisonsheet"/>
      <sheetName val="titlesheet"/>
      <sheetName val="actionpoints"/>
      <sheetName val=" budvsindvsactmthchart"/>
      <sheetName val="budvsindvsactytdchart"/>
      <sheetName val="varbudvsindvsactmth"/>
      <sheetName val="varbudvsindnextmth"/>
      <sheetName val="catA"/>
      <sheetName val="catB"/>
      <sheetName val="cat C"/>
      <sheetName val="cat D"/>
      <sheetName val="sob-cus"/>
      <sheetName val="sob-top5cus&amp;var-reasons-action"/>
      <sheetName val="collection-mth"/>
      <sheetName val="varcollection-reasons-action"/>
      <sheetName val="debtors aging"/>
      <sheetName val="collection-nextmth"/>
      <sheetName val="varcollectionpla-reasons-action"/>
      <sheetName val="contribution-formonth"/>
      <sheetName val="contribution-YTD"/>
      <sheetName val="customercomplaints"/>
      <sheetName val="rejectiontrend"/>
      <sheetName val="rejection"/>
      <sheetName val="productioneffciency"/>
      <sheetName val="prodivityimprplan"/>
      <sheetName val="standardtimeimprplan"/>
      <sheetName val="oee"/>
      <sheetName val="reasonsactplanoee"/>
      <sheetName val="itr"/>
      <sheetName val="itr-rm-wip-fg"/>
      <sheetName val="red&amp;gray"/>
      <sheetName val="actionplanforitr"/>
      <sheetName val="rejectionppm"/>
      <sheetName val="power&amp;fuel"/>
      <sheetName val="premiumfreight"/>
      <sheetName val="premiumfreightreasonsaction"/>
      <sheetName val="Anyalsis-May"/>
      <sheetName val="Anyalsis-april"/>
      <sheetName val="product Contribution"/>
      <sheetName val="sales details"/>
      <sheetName val="Paints Shop"/>
      <sheetName val="Anyalsis-June"/>
      <sheetName val="productmix"/>
      <sheetName val="Anyalsis-July"/>
      <sheetName val="Anyalsis-Aug"/>
      <sheetName val="mat.varience"/>
      <sheetName val="Com"/>
      <sheetName val="FlashReport"/>
      <sheetName val="August05"/>
      <sheetName val="july05"/>
      <sheetName val="june05"/>
      <sheetName val="May05"/>
      <sheetName val="APRIL05 "/>
      <sheetName val="New profitablity"/>
      <sheetName val="variablecost%tosales"/>
      <sheetName val="rawmaterialanalysis"/>
      <sheetName val="mfgcost%tosales"/>
      <sheetName val="fixedcost"/>
      <sheetName val="personnelcost"/>
      <sheetName val="admncost"/>
      <sheetName val="RMC "/>
      <sheetName val="s&amp;d"/>
      <sheetName val="workingcapital"/>
      <sheetName val="Price Inc."/>
      <sheetName val="actionplantoimprovewc"/>
      <sheetName val="creditors list"/>
      <sheetName val="creditorsageing"/>
      <sheetName val="costreductiontrend"/>
      <sheetName val="costreductionstatus"/>
      <sheetName val="statutoryauditstatusplan"/>
      <sheetName val="internalauditstatus&amp;plan"/>
      <sheetName val="concernsauditstat&amp;internal"/>
      <sheetName val="manpowerstrength"/>
      <sheetName val="rev&amp;contribperemployee"/>
      <sheetName val="employeetraining-forthemth"/>
      <sheetName val="employeetraining-ytd"/>
      <sheetName val="employeetraining-fornextmth"/>
      <sheetName val="employeeturnover"/>
      <sheetName val="empltoreasons&amp;actionplan"/>
      <sheetName val="absenteeism"/>
      <sheetName val="statutorycompliance"/>
      <sheetName val="BS-Abstract"/>
      <sheetName val="Regrouping additional entry"/>
      <sheetName val="PUBLISHED RESULTS"/>
      <sheetName val="bal sheet (with appro.)"/>
      <sheetName val="bal sheet (2)"/>
      <sheetName val="Back-up"/>
      <sheetName val="Fa Sch Final 310305"/>
      <sheetName val="Regroup"/>
      <sheetName val="AS-29 (Provision)"/>
      <sheetName val="AS-29 DISCLOSURE"/>
      <sheetName val="APRIL,03"/>
      <sheetName val="MAY,03"/>
      <sheetName val="JUNE,03"/>
      <sheetName val="JULY,03"/>
      <sheetName val="AUG,03"/>
      <sheetName val="SEPT,03"/>
      <sheetName val="Oct,03"/>
      <sheetName val="Nov,03 "/>
      <sheetName val="NOV,04 (2)"/>
      <sheetName val="BS (April 2006))"/>
      <sheetName val="Oct 05 (2)"/>
      <sheetName val="Sept05"/>
      <sheetName val="April 05"/>
      <sheetName val="FEB,05 (2)"/>
      <sheetName val="May 05"/>
      <sheetName val="June 05"/>
      <sheetName val="Aug05"/>
      <sheetName val="Sept05 (2)"/>
      <sheetName val="Nov 05 "/>
      <sheetName val="Dec 05"/>
      <sheetName val="Jan 06"/>
      <sheetName val="Feb 06"/>
      <sheetName val="March 06"/>
      <sheetName val="April 06"/>
      <sheetName val="May 06"/>
      <sheetName val="June 06"/>
      <sheetName val="July 06 (M)"/>
      <sheetName val="Aug 06 "/>
      <sheetName val="July 06"/>
      <sheetName val="Aug 06 (M)"/>
      <sheetName val="Sept 06 (2)"/>
      <sheetName val="Sept 06"/>
      <sheetName val="Oct 06 (2)"/>
      <sheetName val="Oct 06"/>
      <sheetName val="Oct 06 (R)"/>
      <sheetName val="CASH FLOW-F"/>
      <sheetName val="WC-Statement"/>
      <sheetName val="RMC Justification"/>
      <sheetName val="Analysis-II"/>
      <sheetName val="Analysis-II (R)"/>
      <sheetName val="QWise"/>
      <sheetName val="Group Corporate"/>
      <sheetName val="Job description"/>
      <sheetName val="Bal. Sheet"/>
      <sheetName val="Bal. Sheet Details"/>
      <sheetName val="Profit Movement"/>
      <sheetName val="comparision "/>
      <sheetName val="MFG Backup"/>
      <sheetName val="wages working"/>
      <sheetName val="overhead back up"/>
      <sheetName val="Persn. back up "/>
      <sheetName val="Salary Compairsion"/>
      <sheetName val="Forwarding Expn."/>
      <sheetName val="rmc reco"/>
      <sheetName val="Domestic Sales"/>
      <sheetName val="export sale"/>
      <sheetName val="finance cost back up"/>
      <sheetName val="Cost Saving "/>
      <sheetName val="Cost saving backup"/>
      <sheetName val="Movment of RM Inv. _  Creditors"/>
      <sheetName val="Movment of Finished Goods"/>
      <sheetName val="Movment of Debtors"/>
      <sheetName val="SOB"/>
      <sheetName val="1% CST Reduction Impact"/>
      <sheetName val="INTER UNIT"/>
      <sheetName val="INTER UNIT PUNE"/>
      <sheetName val="BS SCH"/>
      <sheetName val="P&amp;L SCH"/>
      <sheetName val="GR-P&amp;L"/>
      <sheetName val="Estab Exp."/>
      <sheetName val="Qty Detail"/>
      <sheetName val="CAI"/>
      <sheetName val="Deff_Tax"/>
      <sheetName val="DEP-ITR"/>
      <sheetName val="Dep-Calc"/>
      <sheetName val="CAR_SALE"/>
      <sheetName val="REPORLIST"/>
      <sheetName val="Plantwise Summary"/>
      <sheetName val="Engine"/>
      <sheetName val="Aggregates-Kvl"/>
      <sheetName val="Kandivli"/>
      <sheetName val="Nasik"/>
      <sheetName val="Zbad"/>
      <sheetName val="Haridwar"/>
      <sheetName val="Highest"/>
      <sheetName val="Kvl-Loss"/>
      <sheetName val="Nsk-loss-UV"/>
      <sheetName val="Nsk-Scorpio"/>
      <sheetName val="Zhb-3 wd"/>
      <sheetName val="Zhb-4wd UV"/>
      <sheetName val="MIPL-4wd LCV"/>
      <sheetName val="SLOW"/>
      <sheetName val="All Product wise"/>
      <sheetName val="Product wise sale"/>
      <sheetName val="D2"/>
      <sheetName val="D Depreciation Sum"/>
      <sheetName val="DTA P&amp;L"/>
      <sheetName val="DT1011"/>
      <sheetName val="WT 2007"/>
      <sheetName val="DT0506"/>
      <sheetName val="DT0607"/>
      <sheetName val="DTA P&amp;L "/>
      <sheetName val="Interest  234 C"/>
      <sheetName val="Interest on Tax"/>
      <sheetName val="MAT Provision"/>
      <sheetName val="43bnew"/>
      <sheetName val="DT1112"/>
      <sheetName val="Dec11"/>
      <sheetName val="sales_rmc_details"/>
      <sheetName val="MAYANK PUNE"/>
      <sheetName val="DEPT."/>
      <sheetName val="MAYANK NOIDA"/>
      <sheetName val="prod_capex"/>
      <sheetName val="quality_capex"/>
      <sheetName val="it_capex"/>
      <sheetName val="p&amp;l_total"/>
      <sheetName val="p&amp;l_noida"/>
      <sheetName val=" Sales Delhi"/>
      <sheetName val="sale_noida"/>
      <sheetName val="Sale Partwise_Noida"/>
      <sheetName val="MAYANK"/>
      <sheetName val="RMC Delhi"/>
      <sheetName val="RMC Partwise Delhi"/>
      <sheetName val="orgn structure(2)"/>
      <sheetName val="Jigs &amp; Fixture"/>
      <sheetName val="Detl Cost Redn "/>
      <sheetName val="Elec Calculation"/>
      <sheetName val="Mc. Expenses"/>
      <sheetName val="Manpower Cost"/>
      <sheetName val="Total Machine Cost"/>
      <sheetName val="100T"/>
      <sheetName val="160T"/>
      <sheetName val="200T"/>
      <sheetName val="350T"/>
      <sheetName val="450T"/>
      <sheetName val="660T"/>
      <sheetName val="E90"/>
      <sheetName val="E50"/>
      <sheetName val="800T"/>
      <sheetName val="other expenses ( 13 ) "/>
      <sheetName val="Infrastructure(3)"/>
      <sheetName val="ORG. CHART (1)"/>
      <sheetName val="ELECT. LOAD ( 9 )"/>
      <sheetName val="T - room expense ( 7 )"/>
      <sheetName val="Power cost ( 11 )"/>
      <sheetName val="INDEX (2)"/>
      <sheetName val="Machine Planning"/>
      <sheetName val="Machine summary sheet"/>
      <sheetName val="MACHINE PLAN"/>
      <sheetName val="Corporate expenses"/>
      <sheetName val="Pre Operative"/>
      <sheetName val="Time Plan Project Impln"/>
      <sheetName val="BLOW"/>
      <sheetName val="Scenario"/>
      <sheetName val="Cost Template"/>
      <sheetName val="COMPUTATION "/>
      <sheetName val="C 145A"/>
      <sheetName val="Sales tax working"/>
      <sheetName val="11 working"/>
      <sheetName val="2a working"/>
      <sheetName val="11(new)"/>
      <sheetName val="D1"/>
      <sheetName val="F (PF)"/>
      <sheetName val="G-Related Party"/>
      <sheetName val="H-43B"/>
      <sheetName val="I-43B"/>
      <sheetName val="Annexure I"/>
      <sheetName val="Summary of stock"/>
      <sheetName val="Bonus "/>
      <sheetName val="annex C work"/>
      <sheetName val="Links"/>
      <sheetName val="land "/>
      <sheetName val="man power inj molding mc "/>
      <sheetName val="capital_cost"/>
      <sheetName val="wcr"/>
      <sheetName val="loan_shedule"/>
      <sheetName val="costing_revised"/>
      <sheetName val="finished goods"/>
      <sheetName val=" rm inv_creditors"/>
      <sheetName val="deptt wise manpower (2)"/>
      <sheetName val="reco 30902"/>
      <sheetName val="FY2001-02"/>
      <sheetName val="Funding"/>
      <sheetName val="IRR NPV"/>
      <sheetName val="summary-sensitivity"/>
      <sheetName val="Mktg Plan"/>
      <sheetName val="RMC backup"/>
      <sheetName val="Mfg Cost"/>
      <sheetName val="Manpower"/>
      <sheetName val="Working Cap"/>
      <sheetName val="Depr Cos Act"/>
      <sheetName val="Depr IT Act"/>
      <sheetName val="Amort of Pre-ops"/>
      <sheetName val="Mc Plg"/>
      <sheetName val="Pre-ops"/>
      <sheetName val="MFA"/>
      <sheetName val="Tool Room "/>
      <sheetName val="QA Cost "/>
      <sheetName val="Sensitivity -10% sales"/>
      <sheetName val="Sensitivity +10 % RMC"/>
      <sheetName val="Sensitivity -10% sales +10% rmc"/>
      <sheetName val="Sensitivity PL -10 % Sale price"/>
      <sheetName val="income tax-sensitivity"/>
      <sheetName val="Consumables 19"/>
      <sheetName val="Imported vs. Indi. 18"/>
      <sheetName val="ZINC-NOIDA"/>
      <sheetName val="Excise Duty"/>
      <sheetName val="Defferd tax"/>
      <sheetName val="P.Nagar 1"/>
      <sheetName val="plastic"/>
      <sheetName val="DC Pune"/>
      <sheetName val="abd"/>
      <sheetName val="DC GN"/>
      <sheetName val="Surface"/>
      <sheetName val="entries "/>
      <sheetName val="FA 11"/>
      <sheetName val="Defferd tax (2)"/>
      <sheetName val="P.Nagar 11"/>
      <sheetName val="CFW"/>
      <sheetName val="R Party"/>
      <sheetName val="349"/>
      <sheetName val="published"/>
      <sheetName val="Planning Materiality Mar 06"/>
      <sheetName val="Summary for F05"/>
      <sheetName val="shortfal"/>
      <sheetName val="Shortfall"/>
      <sheetName val="F-05 Expected"/>
      <sheetName val="BA10-ISUZU (2)"/>
      <sheetName val="Summary f05"/>
      <sheetName val="CED"/>
      <sheetName val="Comparision"/>
      <sheetName val="TYRE"/>
      <sheetName val="final CV"/>
      <sheetName val="M&amp;H Vehicle "/>
      <sheetName val="© Copyright &amp; Disclaimer"/>
      <sheetName val="Coverage Report MSLM 22.9 "/>
      <sheetName val="Coverage Report MSLP 22.9 "/>
      <sheetName val="Coverage Report 29.9"/>
      <sheetName val="vlookup gt entry"/>
      <sheetName val="gt entry"/>
      <sheetName val="ds stock status"/>
      <sheetName val="Mth"/>
      <sheetName val="Qtr"/>
      <sheetName val="Cal. Yr"/>
      <sheetName val="Variance by Mth"/>
      <sheetName val="Variance by Qtr"/>
      <sheetName val="Variance by CY"/>
      <sheetName val="© Copyright &amp; Disclaimer 2006"/>
      <sheetName val="CSM with CKD"/>
      <sheetName val="Surfac_x0005_"/>
      <sheetName val="Surfach"/>
      <sheetName val="SurfacB"/>
      <sheetName val="Surfac8"/>
      <sheetName val="SurfacÀ"/>
      <sheetName val="Surfac_x0008_"/>
      <sheetName val="Surfac_x0010_"/>
      <sheetName val="S-1 - 2"/>
      <sheetName val="S-3"/>
      <sheetName val="S- 4 - 9"/>
      <sheetName val="S- 10 - 16"/>
      <sheetName val="Formatted TB"/>
      <sheetName val="Client TB"/>
      <sheetName val="Deferred tax computation"/>
      <sheetName val="S-1,2"/>
      <sheetName val="S-4,5"/>
      <sheetName val="S-6,7"/>
      <sheetName val="S-8,9"/>
      <sheetName val="S-10,11,12"/>
      <sheetName val="s-13,14"/>
      <sheetName val="KPMG tax computation"/>
      <sheetName val="Deff tax"/>
      <sheetName val="Walks"/>
      <sheetName val="Aging(31 Mar 07)"/>
      <sheetName val="DE Diamond"/>
      <sheetName val="CPSL"/>
      <sheetName val="BPMSL"/>
      <sheetName val="Trial Balance- Final"/>
      <sheetName val="SAD"/>
      <sheetName val="TB 06.04.11"/>
      <sheetName val="Tax computation "/>
      <sheetName val="Deferred tax computation "/>
      <sheetName val="SALIENT POINTS"/>
      <sheetName val="Cash Flow1"/>
      <sheetName val="Cash Flow-Final"/>
      <sheetName val="Sh"/>
      <sheetName val="FA-I.T. ACT"/>
      <sheetName val="FA Schedule Mar 08"/>
      <sheetName val="Fixed aset-final"/>
      <sheetName val="bd prov"/>
      <sheetName val="Prov- summary"/>
      <sheetName val="Pricing-accruals"/>
      <sheetName val="DVC"/>
      <sheetName val="Cash card accruals"/>
      <sheetName val="CWIP exp off"/>
      <sheetName val="Software-dep impact"/>
      <sheetName val="Revised CF"/>
      <sheetName val="Entires recorded "/>
      <sheetName val="40(A)I"/>
      <sheetName val="Status of CF Losses"/>
      <sheetName val="Deferred Tax Calculation"/>
      <sheetName val="Exprense Analysis"/>
      <sheetName val="#REF!"/>
      <sheetName val="Heat Cons"/>
      <sheetName val="Imp"/>
      <sheetName val="Indg"/>
      <sheetName val="Cost_ Sheet Coal"/>
      <sheetName val="Cost sheet CokeFines-Imp"/>
      <sheetName val="Cost-Sheet-ImpCoke"/>
      <sheetName val="July.01"/>
      <sheetName val="Aug.01"/>
      <sheetName val="Sept.01"/>
      <sheetName val="Oct'01"/>
      <sheetName val="Nov'01"/>
      <sheetName val="Dec'01"/>
      <sheetName val="Jan'02"/>
      <sheetName val="Feb'02"/>
      <sheetName val="March'02"/>
      <sheetName val="April'02"/>
      <sheetName val="May'02"/>
      <sheetName val="June'02"/>
      <sheetName val="July'02"/>
      <sheetName val="Quality July'02"/>
      <sheetName val="slip Aug."/>
      <sheetName val="Interest on Bank Borrowings"/>
      <sheetName val="Hire Purchase &amp; Interest"/>
      <sheetName val="Orix 1.1"/>
      <sheetName val="Orix 1.2"/>
      <sheetName val="Orix2"/>
      <sheetName val="Orix3"/>
      <sheetName val="Orix 4"/>
      <sheetName val="Orix 5"/>
      <sheetName val="Orix 6"/>
      <sheetName val="Orix 7"/>
      <sheetName val="Orix 8"/>
      <sheetName val="Orix 9"/>
      <sheetName val="Orix 10"/>
      <sheetName val="Orix 11"/>
      <sheetName val="Orix 12"/>
      <sheetName val="ICICI(1)"/>
      <sheetName val="ICICI (3)"/>
      <sheetName val="ICICI (4)"/>
      <sheetName val="ICICI (5)"/>
      <sheetName val="ICICI (6)"/>
      <sheetName val="ICICI (7)"/>
      <sheetName val="ICICI (10)"/>
      <sheetName val="ICICI (11)"/>
      <sheetName val="ICICI(12)"/>
      <sheetName val="ICICI(13)"/>
      <sheetName val="ICICI(14)"/>
      <sheetName val="ICICI(15)"/>
      <sheetName val="HDFC 1"/>
      <sheetName val="HDFC (2)"/>
      <sheetName val="Kotak(1)"/>
      <sheetName val="Kotak(2)"/>
      <sheetName val="Kotak(3)"/>
      <sheetName val="working for bc fcs"/>
      <sheetName val="tallied with TB"/>
      <sheetName val="as 11 working"/>
      <sheetName val="Merged"/>
      <sheetName val="SecurityNote"/>
      <sheetName val="Reclass"/>
      <sheetName val="CashFlow (2)"/>
      <sheetName val="Sch-  5"/>
      <sheetName val="Investments"/>
      <sheetName val="OracleTB (Rs Crs)"/>
      <sheetName val="RatioAnalysis(Standalone)"/>
      <sheetName val="Ratioworking(Standalone)"/>
      <sheetName val="PrevYearReclass"/>
      <sheetName val="April 06 Interest"/>
      <sheetName val="May06 Interest"/>
      <sheetName val="June06 Int"/>
      <sheetName val="Int on FDs"/>
      <sheetName val="Local FD Prov"/>
      <sheetName val="Annexure C-II"/>
      <sheetName val="Annexure c"/>
      <sheetName val="future lease "/>
      <sheetName val="computaion (2)"/>
      <sheetName val="Accounting Policies Final (2)"/>
      <sheetName val="Balancesheet var _II Q"/>
      <sheetName val="Balancesheet var"/>
      <sheetName val="GROUP 31.03.2011"/>
      <sheetName val="K.G.Service TAx"/>
      <sheetName val="P&amp;L variance -II"/>
      <sheetName val="P&amp;L variance Nine Month"/>
      <sheetName val="utilisation of fund"/>
      <sheetName val="Publish Result (P&amp;L)"/>
      <sheetName val="Publish F R BS"/>
      <sheetName val="Interest on FD"/>
      <sheetName val="salary charge off"/>
      <sheetName val="Related Party "/>
      <sheetName val="Related Party Working"/>
      <sheetName val="TB 31.3.2011"/>
      <sheetName val="Prior Period Adjuestment"/>
      <sheetName val="DEPRECIATION AS PER it act"/>
      <sheetName val="Future Lease working"/>
      <sheetName val="TRIALBALANCE (4)"/>
      <sheetName val="TRIALBALANCE (3)"/>
      <sheetName val="TRIALBALANCE (2)"/>
      <sheetName val="TB_DET"/>
      <sheetName val="CAP"/>
      <sheetName val="Sheet27"/>
      <sheetName val="TRIALBALANCE"/>
      <sheetName val="cover note"/>
      <sheetName val="P_L"/>
      <sheetName val="Sch BS"/>
      <sheetName val="FA "/>
      <sheetName val="Sch P_L"/>
      <sheetName val="Sheet28"/>
      <sheetName val="Exp"/>
      <sheetName val="Pur"/>
      <sheetName val="SDRS"/>
      <sheetName val="CRS"/>
      <sheetName val="L_A"/>
      <sheetName val="Inc"/>
      <sheetName val="OCA"/>
      <sheetName val="Cash"/>
      <sheetName val="MNGRP"/>
      <sheetName val="rev"/>
      <sheetName val="Sheet29"/>
      <sheetName val="Int on WC Oct to Mar"/>
      <sheetName val="CURRENT MONTH"/>
      <sheetName val="Comp-code-master"/>
      <sheetName val="PBCLIST"/>
      <sheetName val="Accounts payable "/>
      <sheetName val="SWCREPORT"/>
      <sheetName val="ARDetails"/>
      <sheetName val="ARSummary"/>
      <sheetName val="100152"/>
      <sheetName val="100143"/>
      <sheetName val="100142"/>
      <sheetName val="100152 (2)"/>
      <sheetName val="100143 (2)"/>
      <sheetName val="100142 (2)"/>
      <sheetName val="trend summary (OLD)"/>
      <sheetName val="trend summary"/>
      <sheetName val="mar13prov"/>
      <sheetName val="mar13 actuals"/>
      <sheetName val="mar12actual warranty spent"/>
      <sheetName val="Billing Summary"/>
      <sheetName val="OPE"/>
      <sheetName val="Attendance Sheet"/>
      <sheetName val="Rmx sale"/>
      <sheetName val="Retirement Jan 07 - March 07"/>
      <sheetName val="RET_IGAAP_DEC 07"/>
      <sheetName val="RET_IGAAP_DEC 07 (2)"/>
      <sheetName val="SALES JAN to MARCH 08"/>
      <sheetName val="RETIREMENT B.A_MAR 08_INCL RMX"/>
      <sheetName val="Spin off"/>
      <sheetName val="Kwh and O2 bal"/>
      <sheetName val="summ_10022002"/>
      <sheetName val="variable cost-details"/>
      <sheetName val="Fixed Overheads"/>
      <sheetName val="Direct Cost"/>
      <sheetName val="Production-capacity"/>
      <sheetName val="Sales-calculations"/>
      <sheetName val="variable cost-details (temp)"/>
      <sheetName val="vc-scnerios"/>
      <sheetName val="vc-transferatvc"/>
      <sheetName val="Key-Inputs"/>
      <sheetName val="P &amp; L Power"/>
      <sheetName val="BS-CPP"/>
      <sheetName val="Fixed Assets-CPP"/>
      <sheetName val="Data Entry"/>
      <sheetName val="Overhead"/>
      <sheetName val="Notes to Mgmt"/>
      <sheetName val="RPA"/>
      <sheetName val="ESOP"/>
      <sheetName val=" Exp (Unit)"/>
      <sheetName val="Sebi-MD (1)"/>
      <sheetName val="Sebi (G+N)"/>
      <sheetName val="Sebi-MD"/>
      <sheetName val="Other Exp"/>
      <sheetName val="Sebi (G)"/>
      <sheetName val="Sebi (N)"/>
      <sheetName val="PJM"/>
      <sheetName val="Regrouping"/>
      <sheetName val="Asset&amp;Liab"/>
      <sheetName val="Profit-Summary"/>
      <sheetName val="GGG"/>
      <sheetName val="Sch-F"/>
      <sheetName val="I.Unit"/>
      <sheetName val="Gaj"/>
      <sheetName val="Consl"/>
      <sheetName val="Amb"/>
      <sheetName val="Amb-Mumbai"/>
      <sheetName val="Amb-Site"/>
      <sheetName val="Amb-Ahd"/>
      <sheetName val="Amb-Cal"/>
      <sheetName val="Amb-Tut"/>
      <sheetName val="Amb-Mlr"/>
      <sheetName val="Amb-Cohin"/>
      <sheetName val="Amb-Delhi"/>
      <sheetName val="Gaj-Site"/>
      <sheetName val="Gaj-HO"/>
      <sheetName val="Gaj-Ahd"/>
      <sheetName val="Bct"/>
      <sheetName val="Panvel"/>
      <sheetName val="Bct-Mdk"/>
      <sheetName val="Surat"/>
      <sheetName val="Sch-E-Him"/>
      <sheetName val="BS-Him"/>
      <sheetName val="Him"/>
      <sheetName val="Him-Ropar"/>
      <sheetName val="Him-Darla"/>
      <sheetName val="Him-Bht"/>
      <sheetName val="Him-Delhi"/>
      <sheetName val="Sch-E MCW"/>
      <sheetName val="BS-Maratha"/>
      <sheetName val="Proj"/>
      <sheetName val="Mar-Site"/>
      <sheetName val="Mar-Rso"/>
      <sheetName val="C.Flow (Print)"/>
      <sheetName val="Cash Flow - Q"/>
      <sheetName val="Cash Flow - Y"/>
      <sheetName val="MD"/>
      <sheetName val="217"/>
      <sheetName val="Eps - Note"/>
      <sheetName val="Profile"/>
      <sheetName val="Corp Exp"/>
      <sheetName val="W.Cap Int"/>
      <sheetName val="Consolidation"/>
      <sheetName val="Amb_A'nagar"/>
      <sheetName val="Gaj_A'nagar"/>
      <sheetName val="Gaj_lineII"/>
      <sheetName val="Gaj_CPP"/>
      <sheetName val="BCT_Muld"/>
      <sheetName val="BCT_MuldII"/>
      <sheetName val="Suli"/>
      <sheetName val="Ropar"/>
      <sheetName val="Ropar_CPP"/>
      <sheetName val="Bathinda"/>
      <sheetName val="MCW"/>
      <sheetName val="MCW_CPP"/>
      <sheetName val="rabriyawas"/>
      <sheetName val="Dadri"/>
      <sheetName val="Amb_Ahmd."/>
      <sheetName val="Gaj_Ahmd."/>
      <sheetName val="Delhi"/>
      <sheetName val="D.fund_reco"/>
      <sheetName val="GrossNet_Block"/>
      <sheetName val="dep.comparison"/>
      <sheetName val="Majoradd_del"/>
      <sheetName val="movement"/>
      <sheetName val="80_IA"/>
      <sheetName val="BCT Muld"/>
      <sheetName val="BCT Muld II"/>
      <sheetName val="Segregation"/>
      <sheetName val="Trfd Out 2009"/>
      <sheetName val="Adjustment-Apr-July-08"/>
      <sheetName val="Trft In-out Apr to July-08"/>
      <sheetName val="Addition Apr to July-08"/>
      <sheetName val="Reco (2)"/>
      <sheetName val="GL Code Wise Addition "/>
      <sheetName val="Addition Aug-March-09"/>
      <sheetName val="Total Addition"/>
      <sheetName val="Trf In-Out Aug-March-09"/>
      <sheetName val="Total Trf In"/>
      <sheetName val="Adjsmt Aug-Mar 09"/>
      <sheetName val="Adjustment-Mar 09"/>
      <sheetName val="Addition Mar-09"/>
      <sheetName val="Sap Sch"/>
      <sheetName val="SCHE-E feb(2)"/>
      <sheetName val="Total Addition (2)"/>
      <sheetName val="No of Personnel"/>
      <sheetName val="Group-Associates-TP"/>
      <sheetName val="Sales volumes"/>
      <sheetName val="Factor"/>
      <sheetName val="Title"/>
      <sheetName val="CIS"/>
      <sheetName val="CR"/>
      <sheetName val="Cas1to3"/>
      <sheetName val="Cas4"/>
      <sheetName val="Cas5"/>
      <sheetName val="Det"/>
      <sheetName val="NOA"/>
      <sheetName val="B1a"/>
      <sheetName val="B1b"/>
      <sheetName val="B2a"/>
      <sheetName val="B2b"/>
      <sheetName val="D2a"/>
      <sheetName val="D2b"/>
      <sheetName val="E2"/>
      <sheetName val="E3"/>
      <sheetName val="E4"/>
      <sheetName val="E5"/>
      <sheetName val="E6"/>
      <sheetName val="G3"/>
      <sheetName val="H1a"/>
      <sheetName val="H1b"/>
      <sheetName val="H2a"/>
      <sheetName val="H2b"/>
      <sheetName val="H3"/>
      <sheetName val="H4"/>
      <sheetName val="I1"/>
      <sheetName val="I2"/>
      <sheetName val="I3"/>
      <sheetName val="I4"/>
      <sheetName val="I5"/>
      <sheetName val="I6"/>
      <sheetName val="K4K5"/>
      <sheetName val="K6a"/>
      <sheetName val="K6b"/>
      <sheetName val="L1L2L3"/>
      <sheetName val="M1"/>
      <sheetName val="M2"/>
      <sheetName val="M3"/>
      <sheetName val="M4"/>
      <sheetName val="O2"/>
      <sheetName val="Q2"/>
      <sheetName val="Rec"/>
      <sheetName val="CEM_cc1"/>
      <sheetName val="CEM_cc2"/>
      <sheetName val="CEM_cc3"/>
      <sheetName val="CEM_cc4"/>
      <sheetName val="CEM_cc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GMR"/>
      <sheetName val="P_Prt"/>
      <sheetName val="P_Par"/>
      <sheetName val="Def"/>
      <sheetName val="P_CUR"/>
      <sheetName val="Periodes"/>
      <sheetName val="P_ID"/>
      <sheetName val="CFT Bal"/>
      <sheetName val="CFT Inc"/>
      <sheetName val="CFT A1"/>
      <sheetName val="CFT A2"/>
      <sheetName val="CFT A3"/>
      <sheetName val="CFT B1a"/>
      <sheetName val="CFT B1b"/>
      <sheetName val="CFT B1c"/>
      <sheetName val="CFT E3"/>
      <sheetName val="CFT E4"/>
      <sheetName val="CFT E5"/>
      <sheetName val="CFT E6"/>
      <sheetName val="CFT I1a"/>
      <sheetName val="CFT I1b"/>
      <sheetName val="CFT I1c"/>
      <sheetName val="CFT I2"/>
      <sheetName val="CFT I3"/>
      <sheetName val="CFT I4"/>
      <sheetName val="CFT O2a"/>
      <sheetName val="CFT O2b"/>
      <sheetName val="CFT O2c"/>
      <sheetName val="CFT P1a"/>
      <sheetName val="CFT P1b"/>
      <sheetName val="CFT P2a"/>
      <sheetName val="CFT CrLn"/>
      <sheetName val="CFT Intra_Test"/>
      <sheetName val="CFT Inter_Test"/>
      <sheetName val="CFT FRP_Test"/>
      <sheetName val="CFT P_Country"/>
      <sheetName val="CFT P_InstrumentType"/>
      <sheetName val="CFT P_Counterparty"/>
      <sheetName val="CFT P_Format"/>
      <sheetName val="pENDING"/>
      <sheetName val="BS(P Sh)"/>
      <sheetName val="p&amp;l(P Sh)"/>
      <sheetName val="Income st -GACL"/>
      <sheetName val="Elec &amp; depn"/>
      <sheetName val="Inventory working"/>
      <sheetName val="AKS"/>
      <sheetName val="Data reqd"/>
      <sheetName val="Chagne in inventory"/>
      <sheetName val="Cash Milnet"/>
      <sheetName val="Amb-B.S."/>
      <sheetName val="GACL MATRIX"/>
      <sheetName val="P&amp;L-Consl"/>
      <sheetName val="CC3"/>
      <sheetName val="Shipping stn"/>
      <sheetName val="GACL consl-15A"/>
      <sheetName val="P&amp;L-CACL"/>
      <sheetName val="CACL-TB"/>
      <sheetName val="Indo-P&amp;L"/>
      <sheetName val="Indo-TB"/>
      <sheetName val="MCW-15A"/>
      <sheetName val="Mcw-P&amp;L"/>
      <sheetName val="Mcw-Site-60-P&amp;L"/>
      <sheetName val="Mcw-Site-60-TB"/>
      <sheetName val="Mcw-Rso-61-P&amp;L"/>
      <sheetName val="Mcw-Rso-61-TB"/>
      <sheetName val="Rab-TB-Dadri"/>
      <sheetName val="Rab-Bht-15A"/>
      <sheetName val="Rab-P&amp;L-Bht-50"/>
      <sheetName val="Rab-TB-Bht-50"/>
      <sheetName val="Rab-Site-15A"/>
      <sheetName val="Rab-Site-71-P&amp;L"/>
      <sheetName val="Rab-Site-71-TB"/>
      <sheetName val="North-P&amp;L-Utt"/>
      <sheetName val="North-TB-Utt"/>
      <sheetName val="North -Rop-15A"/>
      <sheetName val="North-P&amp;L-Rop-40"/>
      <sheetName val="North-TB-Rop-40"/>
      <sheetName val="North-Darla-15A"/>
      <sheetName val="North-P&amp;L-Darla-30"/>
      <sheetName val="North-TB-Darla"/>
      <sheetName val="Amb-15a"/>
      <sheetName val="Amb Ng P&amp;L"/>
      <sheetName val="Amb site-15A"/>
      <sheetName val="Amb-site-11-P&amp;L"/>
      <sheetName val="Amb-Site-TB"/>
      <sheetName val="Amb-Mum-15-P&amp;L"/>
      <sheetName val="Amb-Mum-15-TB"/>
      <sheetName val="Amb-Delhi-12-P&amp;L"/>
      <sheetName val="Amb-Delhi-12-TB"/>
      <sheetName val="Amb-Ahd-13-P&amp;L"/>
      <sheetName val="Amb-Ahd-13-TB"/>
      <sheetName val="Amb-Corp-16-P&amp;L"/>
      <sheetName val="Amb-Corp-16-TB"/>
      <sheetName val="Amb-Cal-17-P&amp;L"/>
      <sheetName val="Amb-Cal-17-TB"/>
      <sheetName val="Gaj Site-21-P&amp;L"/>
      <sheetName val="Gaj-Site-21-TB"/>
      <sheetName val="Gaj-Ahd-28-P&amp;L"/>
      <sheetName val="Gaj-Ahd-28-TB"/>
      <sheetName val="Gaj-Surat Grind-TB"/>
      <sheetName val="Gaj-Mum-25-P&amp;L"/>
      <sheetName val="Gaj-Mum-25-TB"/>
      <sheetName val="Gaj-TPP-TB"/>
      <sheetName val="BCT-Mul-22-P&amp;L"/>
      <sheetName val="BCT-Mul-22-TB"/>
      <sheetName val="BCT-Pan-24-P&amp;L"/>
      <sheetName val="BCT-Pan-24-TB"/>
      <sheetName val="BCT-Srt-23-P&amp;L"/>
      <sheetName val="BCT-Srt-23-TB"/>
      <sheetName val="ERP_CC"/>
      <sheetName val="HARP_CC"/>
      <sheetName val=" BS"/>
      <sheetName val="schedules (2)"/>
      <sheetName val="FA Schedule (2)"/>
      <sheetName val="FA Schedule (3)"/>
      <sheetName val="Investment schedule"/>
      <sheetName val="schedules (3)"/>
      <sheetName val="schedules (4)"/>
      <sheetName val="schedules (5)"/>
      <sheetName val="Excise"/>
      <sheetName val="Share capital Analysis"/>
      <sheetName val="loans &amp;advances"/>
      <sheetName val="Payroll wkgs"/>
      <sheetName val="Factory and marketing"/>
      <sheetName val="4900 - Apr 10 - Mar 11"/>
      <sheetName val="SAP post conversion"/>
      <sheetName val="Scala for conversion"/>
      <sheetName val="Scala with Stat Adjustments"/>
      <sheetName val="NZ Balance Header"/>
      <sheetName val="MAPPING"/>
      <sheetName val="P+L_BS"/>
      <sheetName val="Cost Centre"/>
      <sheetName val="Accrual journal"/>
      <sheetName val="Made Cost WS"/>
      <sheetName val="Made Cost"/>
      <sheetName val="AGI"/>
      <sheetName val="Cost Set"/>
      <sheetName val="Comp Cost"/>
      <sheetName val="Aust Current Outlook 03 (AUD)"/>
      <sheetName val="NZ Current Outlook (NZD)"/>
      <sheetName val="Upload-Nov accrual unclear"/>
      <sheetName val="Upload-Nov clear"/>
      <sheetName val="NovOS wkg"/>
      <sheetName val="Sales_Nov"/>
      <sheetName val="Dev_Nov"/>
      <sheetName val="NovOS original"/>
      <sheetName val="Packaging"/>
      <sheetName val="Products Subject to TP"/>
      <sheetName val="3rd Party AI's"/>
      <sheetName val="2002 TP"/>
      <sheetName val="Freight &amp; Ins"/>
      <sheetName val="Missing Products"/>
      <sheetName val="Stds 2003 Aust"/>
      <sheetName val="New Zealand"/>
      <sheetName val="Prds subject to TP"/>
      <sheetName val="Stds 2003 NZ"/>
      <sheetName val="Pivot Table"/>
      <sheetName val="Active Cost Data"/>
      <sheetName val="Cost by Item"/>
      <sheetName val="Cost Set Info"/>
      <sheetName val="Product Type"/>
      <sheetName val="Cost Data"/>
      <sheetName val="APAC-SalesBR-Sep-02-141002"/>
      <sheetName val="G50 per lt.kg"/>
      <sheetName val="APAC-YTDSalesBR-Sep-02-141002"/>
      <sheetName val="Journal-other"/>
      <sheetName val="Journal-Relocat"/>
      <sheetName val="Journal-entert"/>
      <sheetName val="Journal- MV"/>
      <sheetName val="FBt by CC"/>
      <sheetName val="FBT Return Worksheet 03-04"/>
      <sheetName val="22011032"/>
      <sheetName val="febos"/>
      <sheetName val="MAYOS"/>
      <sheetName val="JulOS"/>
      <sheetName val="AugOS"/>
      <sheetName val="Sep OS"/>
      <sheetName val="Oct OS"/>
      <sheetName val="Oct coded"/>
      <sheetName val="Nov05 OS"/>
      <sheetName val="Nov05 coded"/>
      <sheetName val="Dec OS"/>
      <sheetName val="Dec coded"/>
      <sheetName val="Dec"/>
      <sheetName val="Jan"/>
      <sheetName val="Borrowings"/>
      <sheetName val="Assets(ie Seeds Loan and Cash)"/>
      <sheetName val="Sept OS"/>
      <sheetName val="dev"/>
      <sheetName val="Sept OS original"/>
      <sheetName val="HeaderDetails"/>
      <sheetName val="wksInventoryData"/>
      <sheetName val="wksSalesData"/>
      <sheetName val="wksBoughtCostData"/>
      <sheetName val="wksMadeCostData"/>
      <sheetName val="wksComponentCostData"/>
      <sheetName val="dlgEditComponent"/>
      <sheetName val="dlgMade"/>
      <sheetName val="dlgEditMade"/>
      <sheetName val="dlgEditBought"/>
      <sheetName val="dlgEditInventory"/>
      <sheetName val="dlgEditSales"/>
      <sheetName val="dlgInventory"/>
      <sheetName val="dlgSales"/>
      <sheetName val="dlgHeader"/>
      <sheetName val="PDEP Inventory INPUT"/>
      <sheetName val="PDEP Sales INPUT"/>
      <sheetName val="PDEP Bought INPUT"/>
      <sheetName val="PDEP Component INPUT"/>
      <sheetName val="PDEP Made INPUT"/>
      <sheetName val="Menu Control"/>
      <sheetName val="Dialog Control"/>
      <sheetName val="Validation"/>
      <sheetName val="Displaylist"/>
      <sheetName val="dlgDisplayLists"/>
      <sheetName val="dlgBought"/>
      <sheetName val="dlgOutput"/>
      <sheetName val="FixSheetSub"/>
      <sheetName val="CloseSub"/>
      <sheetName val="Australia"/>
      <sheetName val="Check NZ Products"/>
      <sheetName val="Aust Data"/>
      <sheetName val="NZ Data"/>
      <sheetName val="Stds"/>
      <sheetName val="Upload-Dec accrual unclear"/>
      <sheetName val="Upload-Dec clear"/>
      <sheetName val="Dec NET OS"/>
      <sheetName val="Dec OSPay original"/>
      <sheetName val="Purchased Cost"/>
      <sheetName val="Pkg &amp; FI's"/>
      <sheetName val="Horizon Summary"/>
      <sheetName val="Pivot Table FI"/>
      <sheetName val="Horizon Cost Saves FI"/>
      <sheetName val="Pivot Table PKG"/>
      <sheetName val="Horizon Cost Saves Pkg"/>
      <sheetName val="ICM"/>
      <sheetName val="1111100250"/>
      <sheetName val="1111100251"/>
      <sheetName val="1111100300"/>
      <sheetName val="1121100087"/>
      <sheetName val="1121200087"/>
      <sheetName val="1121300087"/>
      <sheetName val="2211100087"/>
      <sheetName val="2211110087"/>
      <sheetName val="2211120000"/>
      <sheetName val="2211300087"/>
      <sheetName val="Price Lists"/>
      <sheetName val="Price Summary"/>
      <sheetName val="AU+NZ 2003"/>
      <sheetName val="AU+NZ 2004"/>
      <sheetName val="Trade Direct"/>
      <sheetName val="Sales Volume"/>
      <sheetName val="Range Management"/>
      <sheetName val="KPI"/>
      <sheetName val="Hot Issue"/>
      <sheetName val="인사현황(부서)"/>
      <sheetName val="ISUpload"/>
      <sheetName val="IS01"/>
      <sheetName val="IS02"/>
      <sheetName val="IS03"/>
      <sheetName val="IS04"/>
      <sheetName val="IS06"/>
      <sheetName val="IS07"/>
      <sheetName val="IS08"/>
      <sheetName val="IS10"/>
      <sheetName val="IS11"/>
      <sheetName val="IS13"/>
      <sheetName val="IS13 (2)"/>
      <sheetName val="BU Tie Out"/>
      <sheetName val="Inv 2000 LC"/>
      <sheetName val="Inv 2000 $"/>
      <sheetName val="Inv 2001 LC"/>
      <sheetName val="Inv 2001 $"/>
      <sheetName val="Rec 2000 LC"/>
      <sheetName val="Rec 2000 $"/>
      <sheetName val="Rec 2001 LC"/>
      <sheetName val="Rec 2001 $"/>
      <sheetName val="Pay 2000 LC"/>
      <sheetName val="Pay 2000 $"/>
      <sheetName val="Pay 2001 LC"/>
      <sheetName val="Pay 2001 $"/>
      <sheetName val="Exch"/>
      <sheetName val="Sales plan (02-03)"/>
      <sheetName val="Sales plan 02 (Box)"/>
      <sheetName val="Consulting Recon"/>
      <sheetName val="408001"/>
      <sheetName val="437005"/>
      <sheetName val="VB_1 (2)"/>
      <sheetName val="VB Lead"/>
      <sheetName val="VB 1 - Payout Reco"/>
      <sheetName val="VB 2 - GL - Pay Register Reco "/>
      <sheetName val="VB 3 - Rationalisation Pte"/>
      <sheetName val="VB 4  Payment Reco"/>
      <sheetName val="VB 5 - Charged to limited"/>
      <sheetName val="VB _6 - Provision for Increment"/>
      <sheetName val="VB 7- Rationalisation Limited"/>
      <sheetName val="B1 - FIXED ASSETS"/>
      <sheetName val="B2 - DEBTORS"/>
      <sheetName val="B3 - LOANS &amp; ADVANCES"/>
      <sheetName val="B4 - CURRENT LIABILITIES"/>
      <sheetName val="B5 - Inventory"/>
      <sheetName val="P1 - SALES-OAR"/>
      <sheetName val="P2 - DEP. REAS."/>
      <sheetName val="P3 - RM CONSM."/>
      <sheetName val="P4 - PAYROLL"/>
      <sheetName val="P5 - OPERATING EXP"/>
      <sheetName val="P6 - FINANCE COST"/>
      <sheetName val="VB 1.9 Exgratia  "/>
      <sheetName val="March 2009 "/>
      <sheetName val="receviables"/>
      <sheetName val="MasterSummaryPlus"/>
      <sheetName val="AudLtrExIII"/>
      <sheetName val="Discl NPPC"/>
      <sheetName val="EOYDisc"/>
      <sheetName val="Final 2004 Expense"/>
      <sheetName val="inactive"/>
      <sheetName val="Age 60"/>
      <sheetName val="Grid"/>
      <sheetName val="Inputs - Exp"/>
      <sheetName val="Expense Calc's"/>
      <sheetName val="EoY Disclosure"/>
      <sheetName val="US GAAP Results"/>
      <sheetName val="J GAAP Results"/>
      <sheetName val="Econ Assum's"/>
      <sheetName val="PSC's"/>
      <sheetName val="Trans AO"/>
      <sheetName val="control document summary"/>
      <sheetName val="FA Summary"/>
      <sheetName val="NZ"/>
      <sheetName val="10220000"/>
      <sheetName val="10224000"/>
      <sheetName val="10230000"/>
      <sheetName val="DTAL"/>
      <sheetName val="21211000"/>
      <sheetName val="11024000"/>
      <sheetName val="11311097"/>
      <sheetName val="11311167"/>
      <sheetName val="AR Summary"/>
      <sheetName val="11113008"/>
      <sheetName val="11311162"/>
      <sheetName val="11311113"/>
      <sheetName val="11311219"/>
      <sheetName val="11311050"/>
      <sheetName val="11311107"/>
      <sheetName val="GST"/>
      <sheetName val="Interco AR"/>
      <sheetName val="11111011"/>
      <sheetName val="11211004"/>
      <sheetName val="11311058"/>
      <sheetName val="ICM Receivables"/>
      <sheetName val="11316201"/>
      <sheetName val="PPWsheet"/>
      <sheetName val="11412004"/>
      <sheetName val="11435088"/>
      <sheetName val="Petty Cash"/>
      <sheetName val="21111014"/>
      <sheetName val="21514016"/>
      <sheetName val="11435244"/>
      <sheetName val="11435089"/>
      <sheetName val="11435245"/>
      <sheetName val="21514017"/>
      <sheetName val="21517003"/>
      <sheetName val="21575029"/>
      <sheetName val="AP Summary"/>
      <sheetName val="22311002"/>
      <sheetName val="22011031"/>
      <sheetName val="22011040"/>
      <sheetName val="22011041"/>
      <sheetName val="T Clearing"/>
      <sheetName val="Interco AP"/>
      <sheetName val="ICM Payables"/>
      <sheetName val="22311000"/>
      <sheetName val="22614001"/>
      <sheetName val="22617000"/>
      <sheetName val="22402000"/>
      <sheetName val="22402116"/>
      <sheetName val="22408004"/>
      <sheetName val="22408009"/>
      <sheetName val="22408014"/>
      <sheetName val="22408016"/>
      <sheetName val="22411001"/>
      <sheetName val="22411092"/>
      <sheetName val="22413012"/>
      <sheetName val="22411015"/>
      <sheetName val="22413206"/>
      <sheetName val="22418000"/>
      <sheetName val="ProfAccrual"/>
      <sheetName val="22426501"/>
      <sheetName val="FBTAccrual"/>
      <sheetName val="Fin Sum"/>
      <sheetName val="Floor&amp;Ceiling Finishes"/>
      <sheetName val="Wall Finishes"/>
      <sheetName val="Wall"/>
      <sheetName val="Other Items"/>
      <sheetName val="Doors"/>
      <sheetName val="PBT as benchmark"/>
      <sheetName val="Benchmark % applied"/>
      <sheetName val="Rs. Crores"/>
      <sheetName val="MCN connectivity details"/>
      <sheetName val="MCN constructruction details"/>
      <sheetName val="Data not available"/>
      <sheetName val="MCN Manpower details"/>
      <sheetName val="MCN IT details"/>
      <sheetName val="Miscellenous "/>
      <sheetName val="Annexure 1"/>
      <sheetName val="Annexure 6"/>
      <sheetName val="Annexure 7"/>
      <sheetName val="Annexure 8"/>
      <sheetName val="Annexure 9"/>
      <sheetName val="Annexure 10"/>
      <sheetName val="Annexure 11"/>
      <sheetName val="Annexure 12"/>
      <sheetName val="Annexure 13"/>
      <sheetName val="MCN Addresses"/>
      <sheetName val="OFC_INTERCITY "/>
      <sheetName val="OFC_INTRACITY "/>
      <sheetName val="RCVL -Cover"/>
      <sheetName val="RCVL -BS"/>
      <sheetName val="RCVL - PL"/>
      <sheetName val="RCVL -Sch"/>
      <sheetName val="SALARY-UPLOAD"/>
      <sheetName val="SALARY-DETAILS"/>
      <sheetName val="ALL-IBANK-BRS"/>
      <sheetName val="FTHL Q2 02 BAL SHT"/>
      <sheetName val="FTHL Q2 02 P&amp;L"/>
      <sheetName val="FTHL Q1 02 CASHFLOW"/>
      <sheetName val="FTHL Q2 02 FS Wrksht"/>
      <sheetName val="Reclass Entries"/>
      <sheetName val="Billing Schedule details"/>
      <sheetName val="Additional Eq."/>
      <sheetName val="Test Eq."/>
      <sheetName val="Super_Critical "/>
      <sheetName val="Index (MF)"/>
      <sheetName val="Depr Rate"/>
      <sheetName val="Main FAR"/>
      <sheetName val="1, CC 3.54"/>
      <sheetName val="4, CC 4.28"/>
      <sheetName val="2, WBS "/>
      <sheetName val="5, R World 1"/>
      <sheetName val="6, R World 2"/>
      <sheetName val="3, IDC,Flag"/>
      <sheetName val="Old-Feb19"/>
      <sheetName val="Cash Balance"/>
      <sheetName val="Intro"/>
      <sheetName val="ToDo"/>
      <sheetName val="Cover-ISshort"/>
      <sheetName val="Old-growth-v-Core"/>
      <sheetName val="Cover-Short"/>
      <sheetName val="Old-Feb5"/>
      <sheetName val="Statements"/>
      <sheetName val="StateBase"/>
      <sheetName val="Channels"/>
      <sheetName val="IP"/>
      <sheetName val="VoIP"/>
      <sheetName val="MSE"/>
      <sheetName val="AssumeCore"/>
      <sheetName val="Assumeflex"/>
      <sheetName val="Assume2"/>
      <sheetName val="Assume"/>
      <sheetName val="Old-Feb10"/>
      <sheetName val="Old-assume"/>
      <sheetName val="BS Comp"/>
      <sheetName val="OVERVIEW FOR MARK"/>
      <sheetName val="BS Mapping"/>
      <sheetName val="Summary of Assumptions"/>
      <sheetName val="Statistics"/>
      <sheetName val="New Products"/>
      <sheetName val="Development Actions"/>
      <sheetName val="Balance Sheet Category Mapping"/>
      <sheetName val="Engineering"/>
      <sheetName val="Execution"/>
      <sheetName val="Price List"/>
      <sheetName val="Master Price List"/>
      <sheetName val="Configurations2"/>
      <sheetName val="Config-unbundle"/>
      <sheetName val="MUTIL&amp;BUILD-SECURE"/>
      <sheetName val="MUTIL&amp;BUILD-ELEC"/>
      <sheetName val="MUTIL&amp;BUILDCIV-BUILD"/>
      <sheetName val="MUTIL&amp;BUILD-HVAC"/>
      <sheetName val="MELECTRONICS"/>
      <sheetName val="MRACKS"/>
      <sheetName val="MKNOWHOW"/>
      <sheetName val="MMFA"/>
      <sheetName val="Ex summary"/>
      <sheetName val="Level 0"/>
      <sheetName val="Level2-PoP"/>
      <sheetName val="Level2-B'lore,Mum(2)"/>
      <sheetName val="Level3-Mumbai 11111111111111111"/>
      <sheetName val="Level 3 PoP22222222222222222222"/>
      <sheetName val="backup3333333333333333333333333"/>
      <sheetName val="Level 3-B'lore44444444444444444"/>
      <sheetName val="Assmpns555555555555555555555555"/>
      <sheetName val="IDC computation6666666666666666"/>
      <sheetName val="Employee costs77777777777777777"/>
      <sheetName val="Prelim and preops88888888888888"/>
      <sheetName val="Macros"/>
      <sheetName val="IT Deprn WS"/>
      <sheetName val="P&amp;L Account"/>
      <sheetName val="Sch to BS"/>
      <sheetName val="ASt"/>
      <sheetName val="Sch to P&amp;L"/>
      <sheetName val="P&amp;L groupings"/>
      <sheetName val="OSL"/>
      <sheetName val="ScrExp"/>
      <sheetName val="DSch-17"/>
      <sheetName val="CBS"/>
      <sheetName val="Express BP"/>
      <sheetName val="Sheet Index"/>
      <sheetName val="ENGG"/>
      <sheetName val="420604"/>
      <sheetName val="410112"/>
      <sheetName val="420305"/>
      <sheetName val="420306"/>
      <sheetName val="420322"/>
      <sheetName val="410329"/>
      <sheetName val="410311"/>
      <sheetName val="410302"/>
      <sheetName val="410320"/>
      <sheetName val="410319"/>
      <sheetName val="FA Sch New Sch 3"/>
      <sheetName val="SCHFA4"/>
      <sheetName val="Dep- As per Compay(New Format)"/>
      <sheetName val="AuditReportInformation"/>
      <sheetName val="3CB"/>
      <sheetName val="AnnexureI"/>
      <sheetName val="AnnexureII"/>
      <sheetName val="Sch_7(a)7(b)"/>
      <sheetName val="Sch_8"/>
      <sheetName val="Sch_9(a)9(b)"/>
      <sheetName val="Sch_10"/>
      <sheetName val="Sch_11(c)11(d)"/>
      <sheetName val="Sch_12(b)"/>
      <sheetName val="Sch_12A"/>
      <sheetName val="Sch_13"/>
      <sheetName val="Sch_14"/>
      <sheetName val="Sch_14_Additions"/>
      <sheetName val="Sch_14_Deletions"/>
      <sheetName val="Sch_15(a)"/>
      <sheetName val="Sch_15(b)"/>
      <sheetName val="Sch_16(a)"/>
      <sheetName val="Sch_16(b)"/>
      <sheetName val="Sch_17(g)"/>
      <sheetName val="Sch_17(h)(b)"/>
      <sheetName val="Sch_17(k)"/>
      <sheetName val="Sch_17(l)"/>
      <sheetName val="Sch_17A"/>
      <sheetName val="Sch_18"/>
      <sheetName val="Sch_19"/>
      <sheetName val="Sch_20"/>
      <sheetName val="Sch_21(A)(a)"/>
      <sheetName val="Sch_21(A)(b)"/>
      <sheetName val="Sch_21(B)(a)"/>
      <sheetName val="Sch_21(B)(b)"/>
      <sheetName val="Sch_22(a)_1"/>
      <sheetName val="Sch_22(a)_2"/>
      <sheetName val="Sch_22(b)"/>
      <sheetName val="Sch_23"/>
      <sheetName val="Sch_24(a)"/>
      <sheetName val="Sch_24(b)"/>
      <sheetName val="Sch_25(a)"/>
      <sheetName val="Sch_26"/>
      <sheetName val="Sch_27b(i)"/>
      <sheetName val="Sch_27b(ii)"/>
      <sheetName val="Sch_27b(iii)"/>
      <sheetName val="Sch_27b(iv)"/>
      <sheetName val="Sch_28(a)"/>
      <sheetName val="Sch_28(b)(A)"/>
      <sheetName val="Sch_28(b)(B)(1)"/>
      <sheetName val="Sch_28(b)(B)(2)"/>
      <sheetName val="Sch_29"/>
      <sheetName val="Sch_32"/>
      <sheetName val="MARKEDNA"/>
      <sheetName val="MultpleMappingSheet"/>
      <sheetName val="CEO"/>
      <sheetName val="Low Price Orders"/>
      <sheetName val="Volume Trend"/>
      <sheetName val="DR-SUM"/>
      <sheetName val="Debtors &gt; 90 Days"/>
      <sheetName val="Credit Note &gt; 30 days"/>
      <sheetName val="FG-WIP &gt; 90 dAYS"/>
      <sheetName val="Finance Report"/>
      <sheetName val="P&amp;L Analysis"/>
      <sheetName val="P&amp;L Projections"/>
      <sheetName val="C-Forms Liabilities"/>
      <sheetName val="C-Forms"/>
      <sheetName val="Pending BG&amp; Open Forex"/>
      <sheetName val="ARE 3"/>
      <sheetName val="Pending d3"/>
      <sheetName val="Materials "/>
      <sheetName val="cfl"/>
      <sheetName val="1000TB (2006)"/>
      <sheetName val="TBSAP7th"/>
      <sheetName val="1000TB"/>
      <sheetName val="CAPSUL GROUP"/>
      <sheetName val="CAPS Bs P&amp;L"/>
      <sheetName val="CAPSUL SCH"/>
      <sheetName val="CapsAssetSch"/>
      <sheetName val="Inv. Sch. Caps "/>
      <sheetName val="2000TB"/>
      <sheetName val="3000TB"/>
      <sheetName val="COMB GROUP "/>
      <sheetName val="COMB Bs P&amp;L"/>
      <sheetName val="COMB SCH "/>
      <sheetName val="CASHFLOW-WORK"/>
      <sheetName val="Comb Asset Sch"/>
      <sheetName val="Comb. Inv."/>
      <sheetName val="Comb Asset Sch (R)"/>
      <sheetName val="Inv. Schedule Cons."/>
      <sheetName val="seg5-6"/>
      <sheetName val="seg4-5"/>
      <sheetName val="Lookahead"/>
      <sheetName val="Detail-Worksheet"/>
      <sheetName val="Break-up"/>
      <sheetName val="Casings"/>
      <sheetName val="Other Costs"/>
      <sheetName val="Notes &amp; Instructions"/>
      <sheetName val="Days vs Depth"/>
      <sheetName val="Time breakdown"/>
      <sheetName val="Additional events risk"/>
      <sheetName val="P.50 Budget"/>
      <sheetName val="P.10 Budget"/>
      <sheetName val="P.90 Budget"/>
      <sheetName val="ATT 2 Wellhead"/>
      <sheetName val="Casing"/>
      <sheetName val="ATT 4 Casing Access"/>
      <sheetName val="ATT 5 Liners"/>
      <sheetName val="ATT 6 Cement"/>
      <sheetName val="ATT 7A Anadrill"/>
      <sheetName val="wellhead"/>
      <sheetName val="ATT Waste Mnmgt"/>
      <sheetName val="ATT 8 Tubular running"/>
      <sheetName val="ATT Coring"/>
      <sheetName val="P_L Ac"/>
      <sheetName val="Rig Mob"/>
      <sheetName val="36&quot;"/>
      <sheetName val="Agency BS Expl-17A"/>
      <sheetName val="Agency BS Expl-17B"/>
      <sheetName val="Agency PL variance-17A"/>
      <sheetName val="Agency PL"/>
      <sheetName val="KPI-july 2001"/>
      <sheetName val="Agency PL variance-17B"/>
      <sheetName val="Agency-Cash Flow"/>
      <sheetName val="Group BS"/>
      <sheetName val="Group PL"/>
      <sheetName val="Budget-2001 to 2005"/>
      <sheetName val="Estimate 2001"/>
      <sheetName val="Actual-2000"/>
      <sheetName val="Sheet1 _2_"/>
      <sheetName val="Deffered Tax"/>
      <sheetName val="RANGE"/>
      <sheetName val="agrolist"/>
      <sheetName val="kiranlist"/>
      <sheetName val="EMPMAST"/>
      <sheetName val="EMPSTA"/>
      <sheetName val="2529"/>
      <sheetName val="5321"/>
      <sheetName val="5322"/>
      <sheetName val="5323"/>
      <sheetName val="5325"/>
      <sheetName val="5327"/>
      <sheetName val="5329"/>
      <sheetName val="Schedule 1 ,2 &amp; 3"/>
      <sheetName val="Schedule 5"/>
      <sheetName val="Schedule 6 "/>
      <sheetName val="Schedule 7"/>
      <sheetName val="Schedule 8"/>
      <sheetName val="Schedule 8 &amp; 9"/>
      <sheetName val="Schedule 10 &amp; 11 "/>
      <sheetName val="P&amp;L- Grouping"/>
      <sheetName val="BS-Grouping"/>
      <sheetName val="TB310309"/>
      <sheetName val="Trial Bal."/>
      <sheetName val="CF Tax Workings"/>
      <sheetName val="Workings for Cash Flow"/>
      <sheetName val="CREDITOR"/>
      <sheetName val="CARO Workings"/>
      <sheetName val="Tax Reco"/>
      <sheetName val="ITDEPAY0809"/>
      <sheetName val="Depn workings"/>
      <sheetName val="Workingsfor cash paid"/>
      <sheetName val="Effective Capital"/>
      <sheetName val="FBT DCCL"/>
      <sheetName val="Formats"/>
      <sheetName val="02-03"/>
      <sheetName val="03-04"/>
      <sheetName val="Dump from SAP"/>
      <sheetName val="PL SCH"/>
      <sheetName val="Disallowance us 14A"/>
      <sheetName val="Depreciation as per IT"/>
      <sheetName val="Mutual fund movement"/>
      <sheetName val="CARO Clause 4(iii)"/>
      <sheetName val="CARO Clause 4(X)"/>
      <sheetName val="CARO Clause 4(XVII)"/>
      <sheetName val="Back up Cash flow"/>
      <sheetName val="ASPERLEDGER"/>
      <sheetName val="P20"/>
      <sheetName val="QCD"/>
      <sheetName val="CPD"/>
      <sheetName val="FINDING"/>
      <sheetName val="INVOICE"/>
      <sheetName val="VAC"/>
      <sheetName val="INVOICE1"/>
      <sheetName val="ASSAY"/>
      <sheetName val="Packing List"/>
      <sheetName val="DECLARATION"/>
      <sheetName val="Annexure-A"/>
      <sheetName val="Sr#List"/>
      <sheetName val="FTG"/>
      <sheetName val="LABEL"/>
      <sheetName val="LABEL-NDI"/>
      <sheetName val="RE_82"/>
      <sheetName val="RE-82"/>
      <sheetName val="Freight (2)"/>
      <sheetName val="710014260"/>
      <sheetName val="DECLARATION-1"/>
      <sheetName val="TB - HO"/>
      <sheetName val="TB EOU 2"/>
      <sheetName val="TB EOU 1"/>
      <sheetName val="TB EOU 3"/>
      <sheetName val="Manual JV "/>
      <sheetName val="Sch - 5"/>
      <sheetName val="AS17 -BS"/>
      <sheetName val="AS17 -GS"/>
      <sheetName val="BC Int &amp; other charges "/>
      <sheetName val="AS 18"/>
      <sheetName val="import CIF"/>
      <sheetName val="COI"/>
      <sheetName val="IT Depn EOU"/>
      <sheetName val="PF_ESIC"/>
      <sheetName val="Qty Sum"/>
      <sheetName val="Shareholding"/>
      <sheetName val="TB Surat "/>
      <sheetName val="Manual Entries "/>
      <sheetName val="Params"/>
      <sheetName val="Credit TB"/>
      <sheetName val="Debit TB"/>
      <sheetName val="Capital"/>
      <sheetName val="Qty Summ"/>
      <sheetName val="Qty Details"/>
      <sheetName val="FA  Details"/>
      <sheetName val="JC-TB-13-05-2008"/>
      <sheetName val="56 F"/>
      <sheetName val="TB 5120"/>
      <sheetName val="5210 &amp; 5220"/>
      <sheetName val="Out of book entry"/>
      <sheetName val="DRUS Dr o.s Mar-10"/>
      <sheetName val="Drus Crs o.s Mar-10"/>
      <sheetName val="DRUS- FC."/>
      <sheetName val="DRUS BC Mar-10"/>
      <sheetName val="FD Register-Mar10"/>
      <sheetName val="3CD Annx"/>
      <sheetName val="43B"/>
      <sheetName val="Non - Compl"/>
      <sheetName val="Defered Tax -sez"/>
      <sheetName val="IT Block (SEZ)"/>
      <sheetName val="Profit Sharing"/>
      <sheetName val="DTL-HO"/>
      <sheetName val="IT Block"/>
      <sheetName val="AS 17"/>
      <sheetName val="PF_43B"/>
      <sheetName val="Deferred"/>
      <sheetName val="ECB"/>
      <sheetName val="B&amp;S, P&amp;L"/>
      <sheetName val="SCH-1 to 16"/>
      <sheetName val="SCH-5"/>
      <sheetName val="Quantitative Details"/>
      <sheetName val="DTA-DTL"/>
      <sheetName val="Brought forward loss"/>
      <sheetName val="TDS Disallowed"/>
      <sheetName val="Prior Period"/>
      <sheetName val="Minutes"/>
      <sheetName val="Agreements"/>
      <sheetName val="Sanction Letter"/>
      <sheetName val="Charges"/>
      <sheetName val="Stock and Finance cost"/>
      <sheetName val="FInished Stock Sum."/>
      <sheetName val="Sales Quantity "/>
      <sheetName val="Sales Trading"/>
      <sheetName val="FBT ANNX"/>
      <sheetName val="PF - ESIC"/>
      <sheetName val="40(A)(2)(b)"/>
      <sheetName val="BS_PL"/>
      <sheetName val="Stock Summ"/>
      <sheetName val="IT Depn UI"/>
      <sheetName val="IT Depn UII"/>
      <sheetName val="FWC"/>
      <sheetName val="Op Tran"/>
      <sheetName val="Op Tran (2)"/>
      <sheetName val="TB_SEZ"/>
      <sheetName val="TB_HO"/>
      <sheetName val="Month Wise Summary"/>
      <sheetName val="Total Sammury"/>
      <sheetName val="Exp-month"/>
      <sheetName val="Min"/>
      <sheetName val="0002 "/>
      <sheetName val="0005"/>
      <sheetName val="0010"/>
      <sheetName val="PDSL"/>
      <sheetName val="0022"/>
      <sheetName val="MB52"/>
      <sheetName val="SAM.&amp; TR"/>
      <sheetName val="COMM."/>
      <sheetName val="9CrudeProp"/>
      <sheetName val="Selprices1"/>
      <sheetName val="SOLUT008"/>
      <sheetName val="BS-ARP"/>
      <sheetName val=" -P&amp;L -ARP"/>
      <sheetName val="P&amp;L-ARP"/>
      <sheetName val="Deprn -reasonability"/>
      <sheetName val="Sub-Schedules"/>
      <sheetName val="TB Dec 2003"/>
      <sheetName val="TB Dec 2002"/>
      <sheetName val="Basic Details"/>
      <sheetName val="PL Groupings"/>
      <sheetName val="PL variance"/>
      <sheetName val="BS variance"/>
      <sheetName val="FA Additions"/>
      <sheetName val="FA Deletions"/>
      <sheetName val="Interunit transfers"/>
      <sheetName val="FA Dep logic"/>
      <sheetName val="Capital advance"/>
      <sheetName val="Prepayments"/>
      <sheetName val="Loans and advances"/>
      <sheetName val="ED on closing stock"/>
      <sheetName val="Qty recon"/>
      <sheetName val="Overhead Rate"/>
      <sheetName val="Overhead loading "/>
      <sheetName val="Excise duty recon"/>
      <sheetName val="Cost of sales"/>
      <sheetName val="COGS Analysis"/>
      <sheetName val="Payroll variance"/>
      <sheetName val="Casual Labour Variance"/>
      <sheetName val="Freight Logic Test"/>
      <sheetName val="Excise duty balance"/>
      <sheetName val="Sales tax return"/>
      <sheetName val="VAT"/>
      <sheetName val="Tieup unit"/>
      <sheetName val="SPPR"/>
      <sheetName val="Accrual for schemes"/>
      <sheetName val="RECO (3)"/>
      <sheetName val="comparsion"/>
      <sheetName val="EXP TRIAL FACT"/>
      <sheetName val="final fact trial"/>
      <sheetName val="BS Schdl-4 to 10"/>
      <sheetName val="PL Schdl- 11 to 15"/>
      <sheetName val="PENDING JV's"/>
      <sheetName val="trial (2)"/>
      <sheetName val="Assumptions (08-09)"/>
      <sheetName val="Plant Operating Plan"/>
      <sheetName val="Expenditure Summary"/>
      <sheetName val="Index Reference"/>
      <sheetName val="Communication"/>
      <sheetName val="Internet &amp; Services"/>
      <sheetName val="R &amp; M Furniture"/>
      <sheetName val="H.Keeping"/>
      <sheetName val="Mag &amp; Subs"/>
      <sheetName val="Postage &amp; Shipping"/>
      <sheetName val="Print &amp; Stationery"/>
      <sheetName val="Financial Services"/>
      <sheetName val="Training"/>
      <sheetName val="Recruitment"/>
      <sheetName val="Pantry Exp"/>
      <sheetName val="Audit"/>
      <sheetName val="Permits &amp; Licences"/>
      <sheetName val="Pooja Exp"/>
      <sheetName val="Cash Purchase"/>
      <sheetName val="Taxi Hire Charges"/>
      <sheetName val="LAB"/>
      <sheetName val="Consumables"/>
      <sheetName val="Stores &amp; Spares"/>
      <sheetName val="Equipment Hire"/>
      <sheetName val="R &amp; M Equipment"/>
      <sheetName val="Fuel&amp; Maint for qup &amp; Vehicles"/>
      <sheetName val="Waste Removal"/>
      <sheetName val="R &amp; M Buildg"/>
      <sheetName val="R &amp; M Roads"/>
      <sheetName val="R &amp; M Plant"/>
      <sheetName val="Services Eng"/>
      <sheetName val="Services Skilled"/>
      <sheetName val="Entertainment"/>
      <sheetName val="O&amp;M Contract(07-08)"/>
      <sheetName val="S I Exp"/>
      <sheetName val="Capital Budget."/>
      <sheetName val="Contingency"/>
      <sheetName val="Guest House"/>
      <sheetName val="57"/>
      <sheetName val="B&amp;S"/>
      <sheetName val="GE charges"/>
      <sheetName val="Income from Subsidiaries-Group "/>
      <sheetName val="Sch C-G"/>
      <sheetName val="BSA"/>
      <sheetName val="Sch H - Notes"/>
      <sheetName val="Data_Large"/>
      <sheetName val="WIP Notes"/>
      <sheetName val="KPI Reporting"/>
      <sheetName val="Master Alert"/>
      <sheetName val="Large"/>
      <sheetName val="Small"/>
      <sheetName val="Bots"/>
      <sheetName val="WIP CF"/>
      <sheetName val="Data_Small"/>
      <sheetName val="WIP CF Small"/>
      <sheetName val="i-c accruals"/>
      <sheetName val="PSD"/>
      <sheetName val="PSD INVOICES"/>
      <sheetName val="PSD CREDIT NOTES"/>
      <sheetName val="mkd 10"/>
      <sheetName val="mkd 11"/>
      <sheetName val="JNL Pivot"/>
      <sheetName val="JNL TEMLATE"/>
      <sheetName val="JNL TEMLATE BOTS"/>
      <sheetName val="WIP Calc"/>
      <sheetName val="Large HC"/>
      <sheetName val="Small HC"/>
      <sheetName val="Dec09 v Feb10"/>
      <sheetName val="list to artc"/>
      <sheetName val="Validation Tables"/>
      <sheetName val="Market Regions - 2010 Snapshot"/>
      <sheetName val="Market Regions - Summary"/>
      <sheetName val="Market Regions - Jul Month End"/>
      <sheetName val="Market Regions - Details"/>
      <sheetName val="DATABASE MU4"/>
      <sheetName val="RawData"/>
      <sheetName val="New Tables"/>
      <sheetName val="Old Tables"/>
      <sheetName val="cash workings final (2)"/>
      <sheetName val="cash workings final"/>
      <sheetName val="depcal2006-07"/>
      <sheetName val="Ann to Form 3CD"/>
      <sheetName val="ANN-I-list of books"/>
      <sheetName val="ANN-II-145A "/>
      <sheetName val="ANN-II-Depn under IT"/>
      <sheetName val="ANN-II-Depn under IT(final)"/>
      <sheetName val="ANN-IIA-additions to assets"/>
      <sheetName val="ANN-IV Section 35 D"/>
      <sheetName val="ANN-III-ESI"/>
      <sheetName val="ANN-IV-40 A 2 b"/>
      <sheetName val="ANN-V-43 B"/>
      <sheetName val="ANN-VII-43 B PF,ESI"/>
      <sheetName val="Ann VI Modvat"/>
      <sheetName val="ANN-VII-bf loss"/>
      <sheetName val="ANN-XI-TDS delay (full)"/>
      <sheetName val="Appendix VIII"/>
      <sheetName val="ANN-X-Ac ratios"/>
      <sheetName val="FBT details"/>
      <sheetName val="ADV TDS details"/>
      <sheetName val="Growth"/>
      <sheetName val="Target Test"/>
      <sheetName val="RANSP - Service"/>
      <sheetName val="RANSP - Gift Articles"/>
      <sheetName val="LANSP - Schemes"/>
      <sheetName val="DIS Corporate"/>
      <sheetName val="10006"/>
      <sheetName val="10005"/>
      <sheetName val="15470"/>
      <sheetName val="15410"/>
      <sheetName val="15400"/>
      <sheetName val="15420"/>
      <sheetName val="15490"/>
      <sheetName val="15725"/>
      <sheetName val="15500"/>
      <sheetName val="15501"/>
      <sheetName val="15730"/>
      <sheetName val="19100"/>
      <sheetName val="22000 &amp; 22003"/>
      <sheetName val="22030"/>
      <sheetName val="23000"/>
      <sheetName val="23404"/>
      <sheetName val="23054"/>
      <sheetName val="23510"/>
      <sheetName val="23512"/>
      <sheetName val="23511"/>
      <sheetName val="23860"/>
      <sheetName val="24308"/>
      <sheetName val="24267"/>
      <sheetName val="24800"/>
      <sheetName val="24810"/>
      <sheetName val="24820"/>
      <sheetName val="24990"/>
      <sheetName val="Journal 1"/>
      <sheetName val="15723 Oct "/>
      <sheetName val="Ad ageing tempOct05"/>
      <sheetName val="remittance"/>
      <sheetName val="15723 Sep"/>
      <sheetName val="Sept excess accrual"/>
      <sheetName val="Calculation"/>
      <sheetName val="Ann.II"/>
      <sheetName val="vendor listing (2)"/>
      <sheetName val="Clause-21"/>
      <sheetName val="IDF (APCC)"/>
      <sheetName val="IDF Internal Orders (APCC)"/>
      <sheetName val="APCC"/>
      <sheetName val="GIT (APCC)"/>
      <sheetName val="SBI (APCC)"/>
      <sheetName val="GIT SBI (APCC)"/>
      <sheetName val="IDF Anomalies (APCC)"/>
      <sheetName val="Recon Data (APCC)"/>
      <sheetName val="Reference"/>
      <sheetName val="ASR Details"/>
      <sheetName val="CN"/>
      <sheetName val="Bad debt summary"/>
      <sheetName val="Summary (Actual)"/>
      <sheetName val="Aging Analysis"/>
      <sheetName val="Calc USD"/>
      <sheetName val="Hyperion(1)"/>
      <sheetName val="Calc LC$"/>
      <sheetName val="Hyperion"/>
      <sheetName val="India Adjustment"/>
      <sheetName val="LC"/>
      <sheetName val="bs-sch"/>
      <sheetName val="pl-sch"/>
      <sheetName val="stock-sub"/>
      <sheetName val="fa-own"/>
      <sheetName val="bs-sub"/>
      <sheetName val="IT Depre - HAL"/>
      <sheetName val="Sheet2 (2)"/>
      <sheetName val="Depre"/>
      <sheetName val="Eval Historical Trend"/>
      <sheetName val="FYR"/>
      <sheetName val="Eval Ageing"/>
      <sheetName val="Evals Units"/>
      <sheetName val="ALL"/>
      <sheetName val="Units REL"/>
      <sheetName val="All-REL"/>
      <sheetName val="All-HSMB"/>
      <sheetName val="Units HSMB"/>
      <sheetName val="MY "/>
      <sheetName val="TH"/>
      <sheetName val="TW"/>
      <sheetName val="IND"/>
      <sheetName val="SADMG"/>
      <sheetName val="TWPAD"/>
      <sheetName val="TH PAD"/>
      <sheetName val="MY &amp; SG PAD"/>
      <sheetName val="MY &amp; SG BSDR"/>
      <sheetName val="MY &amp; SG GCP"/>
      <sheetName val="EBC &amp; Others"/>
      <sheetName val="Stages"/>
      <sheetName val="Bs-grp (2)"/>
      <sheetName val="bs-sch2"/>
      <sheetName val="212"/>
      <sheetName val="FAREGS"/>
      <sheetName val="own-assets-corp"/>
      <sheetName val="own-assets-dep"/>
      <sheetName val="LTA"/>
      <sheetName val="II"/>
      <sheetName val="II A"/>
      <sheetName val="III"/>
      <sheetName val="IV"/>
      <sheetName val="V"/>
      <sheetName val="VI"/>
      <sheetName val="VII"/>
      <sheetName val="VIII"/>
      <sheetName val="Lookups"/>
      <sheetName val="P&amp;L- Paste"/>
      <sheetName val="Net Income - Paste"/>
      <sheetName val="LTC-Blore"/>
      <sheetName val="Bonus-Blore"/>
      <sheetName val="Lunch Exps-Blore"/>
      <sheetName val="Staff Welfare -Blore"/>
      <sheetName val="Medical Exps-Blore"/>
      <sheetName val="Salary and Wages"/>
      <sheetName val="Reasonability"/>
      <sheetName val="Gratuity and Leave Encashment"/>
      <sheetName val="Authentication"/>
      <sheetName val="CREXPORT1"/>
      <sheetName val="SAR"/>
      <sheetName val="Appointment"/>
      <sheetName val="SAL"/>
      <sheetName val="ESI-Blore"/>
      <sheetName val="BLR"/>
      <sheetName val="KOL"/>
      <sheetName val="Hyd bc"/>
      <sheetName val="EOU"/>
      <sheetName val="Baroda"/>
      <sheetName val="Savli"/>
      <sheetName val="SAR-Retirement Benefits"/>
      <sheetName val="Retirement Benefits"/>
      <sheetName val="SAR-Payroll"/>
      <sheetName val="GRP"/>
      <sheetName val="Working-FA"/>
      <sheetName val="App II Mar 05"/>
      <sheetName val="Working App II Mar 05"/>
      <sheetName val="App II Mar 06"/>
      <sheetName val="Working FA-250"/>
      <sheetName val="Working -301"/>
      <sheetName val="CRITERIA2"/>
      <sheetName val="Aust"/>
      <sheetName val="ICBILL"/>
      <sheetName val="Aust_aging (2)"/>
      <sheetName val="Australia (SK)"/>
      <sheetName val="Aust-NZ"/>
      <sheetName val="SGP-Australia"/>
      <sheetName val="Aust-HK"/>
      <sheetName val="Aust-India"/>
      <sheetName val="SRN"/>
      <sheetName val="TNT"/>
      <sheetName val="Unisys"/>
      <sheetName val="P &amp; L (2)"/>
      <sheetName val="draft"/>
      <sheetName val="IT Cal"/>
      <sheetName val="Annex-7"/>
      <sheetName val="B S"/>
      <sheetName val="P &amp; L (3)"/>
      <sheetName val="BS Abs"/>
      <sheetName val="SCH 2"/>
      <sheetName val="SCH 6(ii)"/>
      <sheetName val="SCH 7 (iii)"/>
      <sheetName val="SCH 7 (v)"/>
      <sheetName val="SCH 7 (vi)"/>
      <sheetName val="SCH 7 (vii)"/>
      <sheetName val="SCH 7 (iv)"/>
      <sheetName val="SCH 8 (A)(i)"/>
      <sheetName val="SCH 8 (A)(ii)"/>
      <sheetName val="SCH 8(A) (iii)"/>
      <sheetName val="SCH 8 (A)(iv)"/>
      <sheetName val="SCH 8 (A)(v)"/>
      <sheetName val="SCH 8 A(vi)"/>
      <sheetName val="SCH 12"/>
      <sheetName val="FA DET"/>
      <sheetName val="Asset Sale"/>
      <sheetName val="Asset W Off"/>
      <sheetName val="Dep Cal"/>
      <sheetName val="Existing Asset"/>
      <sheetName val="Existing Asset-1"/>
      <sheetName val="Adv Tax"/>
      <sheetName val="Leave"/>
      <sheetName val="Gratuity"/>
      <sheetName val="Comp Annex-1"/>
      <sheetName val="Comp Annex-2"/>
      <sheetName val="Capital Gains Workings"/>
      <sheetName val="Form 3CD"/>
      <sheetName val="TA Annex I"/>
      <sheetName val="TA Annex II"/>
      <sheetName val="TDS Receivable"/>
      <sheetName val="Annex-1"/>
      <sheetName val="Annex 1A"/>
      <sheetName val="Annex 2"/>
      <sheetName val="Annex 2A"/>
      <sheetName val="Annex-3"/>
      <sheetName val="Annex-3A"/>
      <sheetName val="Annex-4"/>
      <sheetName val="Annex-5"/>
      <sheetName val="Annex 4A"/>
      <sheetName val="Annex-5A"/>
      <sheetName val="Annex 4B"/>
      <sheetName val="Annex-6"/>
      <sheetName val="Annex-8A"/>
      <sheetName val="Annex-8B"/>
      <sheetName val="Annex-8C"/>
      <sheetName val="Annex-8D"/>
      <sheetName val="Annex-8E"/>
      <sheetName val="Annex-9"/>
      <sheetName val="Annex-10"/>
      <sheetName val="Carried Losses"/>
      <sheetName val="FA IT"/>
      <sheetName val="IT additions"/>
      <sheetName val="Computation (2)"/>
      <sheetName val="MAT (2)"/>
      <sheetName val="Pay Details"/>
      <sheetName val="269 SS Annexure"/>
      <sheetName val="269T Annexure"/>
      <sheetName val="Entertainment tax"/>
      <sheetName val="DP &amp;MSO"/>
      <sheetName val="PSR"/>
      <sheetName val="Ad&amp; PT"/>
      <sheetName val="sch III, IV"/>
      <sheetName val="HBI,HRC&amp;CORP SUMM"/>
      <sheetName val="corp"/>
      <sheetName val="HBI NCD"/>
      <sheetName val="HBI RTL"/>
      <sheetName val="HBI WC"/>
      <sheetName val="HRC - NCD, RTL, WCDL"/>
      <sheetName val="ncd14%"/>
      <sheetName val="HBI &amp; HRC - FCL"/>
      <sheetName val="HBI &amp; HRC - FCL (2)"/>
      <sheetName val="HBI WC (2)"/>
      <sheetName val="Consolidate  Note 7- 16 Rev acc"/>
      <sheetName val="CONSOLIDATION QUERIES"/>
      <sheetName val="Consolidated note 2-6 acc"/>
      <sheetName val="Consolidated note 2-6"/>
      <sheetName val="Consolidate  Note 7- 16 Revised"/>
      <sheetName val="Finance Lease Note 13"/>
      <sheetName val="Expenditure in Foreign Currency"/>
      <sheetName val="FC- other"/>
      <sheetName val="FC- EXC diff"/>
      <sheetName val="Exchange diff on forward"/>
      <sheetName val="BASLECHGS- SEBI"/>
      <sheetName val="cl stock"/>
      <sheetName val="war"/>
      <sheetName val="expless6months"/>
      <sheetName val="expmore6months"/>
      <sheetName val="diffbetphy&amp;stock"/>
      <sheetName val="SynLE"/>
      <sheetName val="DataValidation"/>
      <sheetName val="dlgCollectionSelection"/>
      <sheetName val="YTD Reference"/>
      <sheetName val="Year To Do Calculation"/>
      <sheetName val="dlgOutputType"/>
      <sheetName val="dlgExchangeRateCalculator"/>
      <sheetName val="MenuandButtonControl"/>
      <sheetName val="DisplayLists"/>
      <sheetName val="OutputModule"/>
      <sheetName val="AutoCorrections"/>
      <sheetName val="DialogControl"/>
      <sheetName val="YearToDo"/>
      <sheetName val="AdminTasks"/>
      <sheetName val="LEAKY EXPIRY PROV-mar2005 "/>
      <sheetName val="leakages"/>
      <sheetName val="expired"/>
      <sheetName val="diff bet phy &amp; stock"/>
      <sheetName val="Tally Data"/>
      <sheetName val="Tally_Exl_Ctrl"/>
      <sheetName val="FA_SCH"/>
      <sheetName val="INDIAN ACCOUNTS GROUPED"/>
      <sheetName val="DETAILED TB"/>
      <sheetName val="MONTHLY TB"/>
      <sheetName val="DEP CALC"/>
      <sheetName val="OTHER LIABILITIES"/>
      <sheetName val="EMD_Breakup"/>
      <sheetName val="ADVANCES_BREAKUP"/>
      <sheetName val="SALES_31.12.2001"/>
      <sheetName val="Closing Stock"/>
      <sheetName val="RAW.MAT_31.12.2001"/>
      <sheetName val="TALLY GROUPED"/>
      <sheetName val="TALLY TB"/>
      <sheetName val="Salary Advance"/>
      <sheetName val="OL"/>
      <sheetName val="BAWISEBS (2)"/>
      <sheetName val="BAWISEBS"/>
      <sheetName val="INV_BACK"/>
      <sheetName val="BSBACK"/>
      <sheetName val="liab"/>
      <sheetName val="NWC_04"/>
      <sheetName val="NWC_MAY04"/>
      <sheetName val="NWC (3)"/>
      <sheetName val="NWC"/>
      <sheetName val="NWC_BUD04"/>
      <sheetName val="NWC03"/>
      <sheetName val="NWC02"/>
      <sheetName val="Rate_working"/>
      <sheetName val="gl_acc_"/>
      <sheetName val="pk-pur-bags (2)"/>
      <sheetName val="pk-pur-bags"/>
      <sheetName val="Actual issues"/>
      <sheetName val="gl_acc_ (2)"/>
      <sheetName val="PACK1"/>
      <sheetName val="pack-purchase-total (2)"/>
      <sheetName val="cloth bag"/>
      <sheetName val="MB5L"/>
      <sheetName val="pack-purchase-total"/>
      <sheetName val="PPV"/>
      <sheetName val="sum_pac_acc"/>
      <sheetName val="printing_stich"/>
      <sheetName val="pack-purchase"/>
      <sheetName val="DURGESH"/>
      <sheetName val="3001100463"/>
      <sheetName val="INV _VARIANCE"/>
      <sheetName val="3001100463 (2)"/>
      <sheetName val="download"/>
      <sheetName val="durgesh1"/>
      <sheetName val="detailed"/>
      <sheetName val="schedule1,3-10"/>
      <sheetName val="schedule -5"/>
      <sheetName val="balsheetmar03"/>
      <sheetName val="ExpsApr02Mar03"/>
      <sheetName val="Grouping Sch"/>
      <sheetName val="working for ratios"/>
      <sheetName val="SUM-WDV"/>
      <sheetName val="SUM-SLM-OLD"/>
      <sheetName val="list of No.life"/>
      <sheetName val="OLDSLM-NEWSLM"/>
      <sheetName val="PWC"/>
      <sheetName val="BKC"/>
      <sheetName val="Comp Soft"/>
      <sheetName val="Bldg"/>
      <sheetName val="VM"/>
      <sheetName val="P &amp; M"/>
      <sheetName val="HVAC"/>
      <sheetName val="Elec"/>
      <sheetName val="LabE"/>
      <sheetName val="OffA"/>
      <sheetName val="Aircon"/>
      <sheetName val="Vech"/>
      <sheetName val="Ins Cover"/>
      <sheetName val="Room List"/>
      <sheetName val="CCSUM"/>
      <sheetName val="Abbreviations"/>
      <sheetName val="F1_VALUATION"/>
      <sheetName val="INV_PROV"/>
      <sheetName val="STOCK_TOBEINVOICED"/>
      <sheetName val="MATERIALLEVEL"/>
      <sheetName val="production-total"/>
      <sheetName val="STDCOST_300605"/>
      <sheetName val="CHEMICALRATE_FINAL"/>
      <sheetName val="CHEMICAL_RATE"/>
      <sheetName val="purchases_F1"/>
      <sheetName val="OPSTOCK010105"/>
      <sheetName val="CD"/>
      <sheetName val="PRODUCTION_SUBCONTRACTING"/>
      <sheetName val="COGS_300605_OLD"/>
      <sheetName val="OPRNRATE"/>
      <sheetName val="COGP"/>
      <sheetName val="RAW1"/>
      <sheetName val="CLEAN1"/>
      <sheetName val="TREAT1"/>
      <sheetName val="YPL_RATE1"/>
      <sheetName val="YPL_FLS"/>
      <sheetName val="YPL_RATE"/>
      <sheetName val="PACK1 (2)"/>
      <sheetName val="KOBIOL"/>
      <sheetName val="THIRAM"/>
      <sheetName val="other chem"/>
      <sheetName val="YPL_PROCESSING"/>
      <sheetName val="ACTIVITYRATES_JUNE2005"/>
      <sheetName val="MB5L (2)"/>
      <sheetName val="material_group"/>
      <sheetName val="STDCOST_CLEAN"/>
      <sheetName val="CHEM"/>
      <sheetName val="SRY"/>
      <sheetName val="F1_OPSTOCK"/>
      <sheetName val="MASTERDATA"/>
      <sheetName val="OP STOCK"/>
      <sheetName val="INVENTORY GROUPING"/>
      <sheetName val="Journal Entry Reserve Ledger R_"/>
      <sheetName val="FA (2)"/>
      <sheetName val="Working-MAR05 "/>
      <sheetName val="cash flow-MAR05"/>
      <sheetName val="cash flow final"/>
      <sheetName val="CC_Exp_Mar'04"/>
      <sheetName val="Amount due to the supplier"/>
      <sheetName val="TB_Mar04"/>
      <sheetName val="BS1-3"/>
      <sheetName val="FA_X"/>
      <sheetName val="BS5-6"/>
      <sheetName val="FA Final"/>
      <sheetName val="BS-4"/>
      <sheetName val="BS5-7"/>
      <sheetName val="BS8-11"/>
      <sheetName val="PL12-14"/>
      <sheetName val="PL15-17"/>
      <sheetName val="TB Mar05"/>
      <sheetName val="OPExp"/>
      <sheetName val="Exc&amp;Int"/>
      <sheetName val="Expmar03"/>
      <sheetName val="CCEXP"/>
      <sheetName val="SchTax"/>
      <sheetName val="PARA"/>
      <sheetName val="CExpMar04"/>
      <sheetName val="INDIA SALES MAR'04"/>
      <sheetName val="Annexure 3"/>
      <sheetName val="Annexure 4"/>
      <sheetName val="Annexure 5 Pend"/>
      <sheetName val="Annexure P 8"/>
      <sheetName val="AnnexureP 9"/>
      <sheetName val="Annexure  P10"/>
      <sheetName val="Annexure P 11"/>
      <sheetName val="Annexure 14"/>
      <sheetName val="Annexure 15"/>
      <sheetName val="Annexure 16"/>
      <sheetName val="Annexure NA 17"/>
      <sheetName val="Annexure  NA18"/>
      <sheetName val="Annexure 19"/>
      <sheetName val="Annexure 20"/>
      <sheetName val="Leave encashmentt"/>
      <sheetName val="Annexure 9(to delete)"/>
      <sheetName val="Additions 2003-04"/>
      <sheetName val="Schedule IAS"/>
      <sheetName val="Schedule Stat"/>
      <sheetName val="Additions 2004"/>
      <sheetName val="Additions 2003"/>
      <sheetName val="P&amp;M-2001"/>
      <sheetName val="P&amp;M-2002"/>
      <sheetName val="Factory &amp; Nonfactory"/>
      <sheetName val="Furniture &amp; Fixtures-2001"/>
      <sheetName val="Furniture &amp; Fixtures-2002"/>
      <sheetName val="Office Equipments-2001"/>
      <sheetName val="Office Equipments-2002"/>
      <sheetName val="SAP Financials-Apr-08 to Mar 09"/>
      <sheetName val="Depn to FA"/>
      <sheetName val="Defered tax"/>
      <sheetName val="Apr 08 to Dec 08"/>
      <sheetName val="Jan - Mar 09"/>
      <sheetName val="OOB Adjustment"/>
      <sheetName val="Off Equ Dep"/>
      <sheetName val="P &amp; M Depre"/>
      <sheetName val="DB Loan"/>
      <sheetName val="Retain Ear Reco"/>
      <sheetName val="OOB Adjustment_Indranil"/>
      <sheetName val="Directors Report"/>
      <sheetName val="OOB Adjustment_PH Comments"/>
      <sheetName val="Computer"/>
      <sheetName val="tax closing entry"/>
      <sheetName val="P&amp;L_31.12.2009_HB1_2_29.01. (2)"/>
      <sheetName val="P&amp;L_31.12.2009_HB1_2_29.01.2010"/>
      <sheetName val="Addtions (2)"/>
      <sheetName val="Defered tax (2)"/>
      <sheetName val="Cash flow - Client"/>
      <sheetName val="SAP TB Apr-09 to Dec 09"/>
      <sheetName val="Schedule 3 - 6"/>
      <sheetName val="Schedule 9 - 12"/>
      <sheetName val="Schedule 13 - 14"/>
      <sheetName val="Schedule 15 - 18"/>
      <sheetName val="Addition_21.01.10"/>
      <sheetName val="Addtions"/>
      <sheetName val="Depri_Apr09_Dec09"/>
      <sheetName val="Depri"/>
      <sheetName val="Depri BS_Apr 09_Dec 09"/>
      <sheetName val="Asset Writeoff"/>
      <sheetName val="P &amp; L_Apr 09_Dec 09_Dump_26.01."/>
      <sheetName val="Policies"/>
      <sheetName val="Consol Notes"/>
      <sheetName val="IC Incomes"/>
      <sheetName val="Capital Commitments"/>
      <sheetName val="BG 31102009"/>
      <sheetName val="PF Payment"/>
      <sheetName val="ESIC"/>
      <sheetName val="Operating Lease"/>
      <sheetName val="Debrors"/>
      <sheetName val="Managerial Remu"/>
      <sheetName val="MSMED"/>
      <sheetName val="IC Exp"/>
      <sheetName val="IC Exp_1"/>
      <sheetName val="FC Income_3rd Party"/>
      <sheetName val="Expenditure 3rd Party"/>
      <sheetName val="IC_AR_31.12.09"/>
      <sheetName val="IC_AP_31.12.09"/>
      <sheetName val="Operating Lease (2)"/>
      <sheetName val="3rd_AR_31.12.09"/>
      <sheetName val="3rd_AP_31.12.09"/>
      <sheetName val="AR_31.03.09"/>
      <sheetName val="AP_31.03.09"/>
      <sheetName val="IC Income_31.03.09"/>
      <sheetName val="IC_Exp_31.03.09"/>
      <sheetName val="Segment (2)"/>
      <sheetName val="ZKU_PC_2004S_ERGUEBERSICHT 1 "/>
      <sheetName val="Asset Add_Apr09_Dec09"/>
      <sheetName val="Asset Segment_Dec 09 (2)"/>
      <sheetName val="Asset Segment_Dec 09"/>
      <sheetName val="TUV_KPMG Format"/>
      <sheetName val="Group books"/>
      <sheetName val="Stat books"/>
      <sheetName val="IT computation"/>
      <sheetName val="IT dep."/>
      <sheetName val="P&amp;L_9 Months"/>
      <sheetName val="Dep. IT"/>
      <sheetName val="IFRS P&amp;L_2009"/>
      <sheetName val="Sheet(2)"/>
      <sheetName val="itcomp"/>
      <sheetName val="itdep"/>
      <sheetName val="ANNX1"/>
      <sheetName val="ANNX2"/>
      <sheetName val="ANNX3 "/>
      <sheetName val="ANNX4 "/>
      <sheetName val="ANNX5"/>
      <sheetName val="ANNX6 "/>
      <sheetName val="ANNX7"/>
      <sheetName val="ANNX8"/>
      <sheetName val="ANNX9"/>
      <sheetName val="10ccac"/>
      <sheetName val="TB9798"/>
      <sheetName val="1tdep"/>
      <sheetName val="ann1"/>
      <sheetName val="ann2"/>
      <sheetName val="ann3"/>
      <sheetName val="ann4"/>
      <sheetName val="ann5"/>
      <sheetName val="ann6"/>
      <sheetName val="ann7"/>
      <sheetName val="ann8"/>
      <sheetName val="mltc"/>
      <sheetName val="Plan"/>
      <sheetName val="Marh__Prfl_01"/>
      <sheetName val="summ-all lenders"/>
      <sheetName val="summ-ifci"/>
      <sheetName val="Sensitivity "/>
      <sheetName val="Terminal"/>
      <sheetName val="Product Slate"/>
      <sheetName val="Rev Working"/>
      <sheetName val="tax_caln"/>
      <sheetName val="Tier -ii"/>
      <sheetName val="npv"/>
      <sheetName val="Loan Master "/>
      <sheetName val="op.bal."/>
      <sheetName val="summ-icici"/>
      <sheetName val="summ-Banks&amp;Ofcd"/>
      <sheetName val="summ-idbi"/>
      <sheetName val="summ-LIC"/>
      <sheetName val="summ-GIC"/>
      <sheetName val="summ-ECBs&amp;l&amp;t"/>
      <sheetName val="ECBs &amp;l&amp;t"/>
      <sheetName val="banks &amp; ofcds"/>
      <sheetName val="gic"/>
      <sheetName val="lic"/>
      <sheetName val="idbi"/>
      <sheetName val="icici"/>
      <sheetName val="Debtason Mar02"/>
      <sheetName val="IDC_Caln"/>
      <sheetName val="Sens_IDC"/>
      <sheetName val="RPL - Charges"/>
      <sheetName val="Agrmt_EOL-ESL"/>
      <sheetName val="Revs Proj_Mof"/>
      <sheetName val="Indian Steel"/>
      <sheetName val="Ruchi"/>
      <sheetName val="NSAIL"/>
      <sheetName val="Jindal Tubular"/>
      <sheetName val="Jindal Saw"/>
      <sheetName val="Toranagallu"/>
      <sheetName val="Parameter Sheet"/>
      <sheetName val="Ls_AgXLB_WorkbookFile"/>
      <sheetName val="Trail Balance"/>
      <sheetName val="Ls_XLB_WorkbookFile"/>
      <sheetName val="Tally(old)"/>
      <sheetName val="Bal. Sh."/>
      <sheetName val="Bal_Schs"/>
      <sheetName val="F.A. Sch."/>
      <sheetName val="P&amp;L_Sch"/>
      <sheetName val="TBIND02"/>
      <sheetName val="B.S.Abstract"/>
      <sheetName val="Trio_TB"/>
      <sheetName val="Sch 3,4"/>
      <sheetName val="Sch 5,6"/>
      <sheetName val="7,depreciation"/>
      <sheetName val="Note 8 "/>
      <sheetName val="(Note 8) 03.09.06"/>
      <sheetName val="(FA 8)21.05.07"/>
      <sheetName val="13.08.07"/>
      <sheetName val="Sch 9 to 13"/>
      <sheetName val="Other liab"/>
      <sheetName val="Sch 14,15"/>
      <sheetName val="Grouping (exp.)"/>
      <sheetName val="Sch 16 to 21"/>
      <sheetName val="Entry to be passed"/>
      <sheetName val="Consumption"/>
      <sheetName val="Trio_TB_1000"/>
      <sheetName val="Note 20,21,22"/>
      <sheetName val="Prov. for tax"/>
      <sheetName val="Deferred Tax- hiren"/>
      <sheetName val="Dep as per IT"/>
      <sheetName val="Bal.Sheet Abstract"/>
      <sheetName val="Schedule30"/>
      <sheetName val="Foreign Trav"/>
      <sheetName val="Crs_Schedule_1000"/>
      <sheetName val="P&amp;L_working"/>
      <sheetName val="Crs-Ageing"/>
      <sheetName val="Outstanding Liab"/>
      <sheetName val="Excise Refund"/>
      <sheetName val="Sales Tax Refund"/>
      <sheetName val="P &amp; L KAPL"/>
      <sheetName val="P &amp; L SCJPPL"/>
      <sheetName val="JVM"/>
      <sheetName val="Key Figures Pacing"/>
      <sheetName val="AR, INV and AP"/>
      <sheetName val="AR Days"/>
      <sheetName val="P&amp;L Worksheet"/>
      <sheetName val="KPI's worksheet"/>
      <sheetName val="SCJPPL"/>
      <sheetName val="Chart For Commentary"/>
      <sheetName val="B Sheet Worksheet"/>
      <sheetName val="Module4"/>
      <sheetName val="TB0602 final (2)"/>
      <sheetName val="TB0602 final"/>
      <sheetName val="Preface"/>
      <sheetName val="Auditor's Report"/>
      <sheetName val="Trial Bal"/>
      <sheetName val="dump"/>
      <sheetName val="6-7-8-9"/>
      <sheetName val="10-11-12"/>
      <sheetName val="13-14-15"/>
      <sheetName val="16-17-18"/>
      <sheetName val="19-20"/>
      <sheetName val="25-26-27-28"/>
      <sheetName val="PL Grouping account wise"/>
      <sheetName val="Consumption-GROUP"/>
      <sheetName val="STOCKS - Group"/>
      <sheetName val="Current Assets,Loans - Group"/>
      <sheetName val="current liabilities - Group"/>
      <sheetName val="CWIP - Group"/>
      <sheetName val="debtors- Group"/>
      <sheetName val="loans- Group"/>
      <sheetName val="share capital - Group"/>
      <sheetName val="Reserves&amp; Surplus-Group"/>
      <sheetName val="misc. exp - Group"/>
      <sheetName val="PL lead Sch"/>
      <sheetName val="Current Liab_Lead"/>
      <sheetName val="Debtors_Lead"/>
      <sheetName val="Current Assets_Lead"/>
      <sheetName val="CashBank- Group"/>
      <sheetName val="Clearing"/>
      <sheetName val="CashBank_Lead Sch"/>
      <sheetName val="Share Capital_Lead"/>
      <sheetName val="Stocks_Lead"/>
      <sheetName val="Members of NHI"/>
      <sheetName val="Adj Entries"/>
      <sheetName val="sch-3-4"/>
      <sheetName val="SCH-1-2"/>
      <sheetName val="SCH-6-7"/>
      <sheetName val="SCH-8-12"/>
      <sheetName val="SCH-13-15"/>
      <sheetName val="RPIPL09"/>
      <sheetName val="RPIBS"/>
      <sheetName val="BTS Summary"/>
      <sheetName val="MSC HW-SW"/>
      <sheetName val="NSS"/>
      <sheetName val="CT ExecSummary"/>
      <sheetName val="OSS_OLD"/>
      <sheetName val="TechSupp"/>
      <sheetName val="MaintOptFeat"/>
      <sheetName val="FlexiHopper Configurations"/>
      <sheetName val="FlexiHopper 32x2 Config"/>
      <sheetName val="BSC3i_Config"/>
      <sheetName val="BSS SW"/>
      <sheetName val="Matching"/>
      <sheetName val="BSS"/>
      <sheetName val="OSS"/>
      <sheetName val="TI"/>
      <sheetName val="Services Summary"/>
      <sheetName val="NSS SW"/>
      <sheetName val="Total Case SPMS 05-08-30"/>
      <sheetName val="SPMS Calculation 05-08-30"/>
      <sheetName val="SPMS Risk 3 years 05-08-30"/>
      <sheetName val="SPMS Risk 5 years 05-08-30"/>
      <sheetName val="Total Case original"/>
      <sheetName val="BMF Parameters"/>
      <sheetName val="BMF Option a"/>
      <sheetName val="BMF EVA opt a"/>
      <sheetName val="BMF EVA opt a voucher"/>
      <sheetName val="BMF Option b"/>
      <sheetName val="BMF EVA opt b"/>
      <sheetName val="BMF Assets"/>
      <sheetName val="BMF Risks (€)"/>
      <sheetName val="VAS opt a"/>
      <sheetName val="VAS Walk Away 4h+24h"/>
      <sheetName val="ROLLOUT"/>
      <sheetName val="BSC2i ETSI"/>
      <sheetName val="BSC2i ANSI"/>
      <sheetName val="BSC3i (0 PCU)"/>
      <sheetName val="BSC3i (1 PCU)"/>
      <sheetName val="BSC3i (2 PCU)"/>
      <sheetName val="TCSM2"/>
      <sheetName val="OPTIONAL FEATURES, ETSI"/>
      <sheetName val="OPTIONAL FEATURES, ANSI"/>
      <sheetName val="BSS RELEASE FEE"/>
      <sheetName val="DOC"/>
      <sheetName val="BSC_UPGRADES"/>
      <sheetName val="DIMENSION (BSC2i)"/>
      <sheetName val="DIMENSION (BSC3i)"/>
      <sheetName val="SPARE"/>
      <sheetName val="GLP-DISCOUNT"/>
      <sheetName val="CURRENCY"/>
      <sheetName val="REVISION"/>
      <sheetName val="GLP 2003"/>
      <sheetName val="Macro1"/>
      <sheetName val="Macro2"/>
      <sheetName val="Macro3"/>
      <sheetName val="MESO Packages"/>
      <sheetName val="OPTIONAL FEATURES"/>
      <sheetName val="BSC3i"/>
      <sheetName val="TCSM2 FR"/>
      <sheetName val="U 900"/>
      <sheetName val="US 900 FE"/>
      <sheetName val="U 1800"/>
      <sheetName val="US 1800 FE"/>
      <sheetName val="MS 900"/>
      <sheetName val="MS 1800"/>
      <sheetName val="CS10 900"/>
      <sheetName val="CS10 1800"/>
      <sheetName val="DN2"/>
      <sheetName val="MetroHub"/>
      <sheetName val="Antenna"/>
      <sheetName val="FlexiHopper"/>
      <sheetName val="Ant"/>
      <sheetName val="Feeder"/>
      <sheetName val="proposed sales packages"/>
      <sheetName val="Site Types"/>
      <sheetName val="Services Data"/>
      <sheetName val="2K9-TB MAY TO DATE (DRAFT)"/>
      <sheetName val="ACTUAL VS BUDGET-abridged"/>
      <sheetName val="ACTUAL VS BUDGET-(ver1)"/>
      <sheetName val="BUDGET 2K8-2K10"/>
      <sheetName val="Presentation"/>
      <sheetName val="P&amp;L-Abridged"/>
      <sheetName val="sched 6- depr. PB-O"/>
      <sheetName val="SCHED 7 - BE"/>
      <sheetName val="SCHED 8 - Other Inc"/>
      <sheetName val="SALARIES &amp; BEN.- ADMIN SCHED 1"/>
      <sheetName val="SALARIES &amp; BEN.- TECH SCHED 3"/>
      <sheetName val="EB-SSS-SCHED2"/>
      <sheetName val="Utilities, Rent, Ins. -Sched 4"/>
      <sheetName val="SCHED.5-Prof,contr fees"/>
      <sheetName val="MISC. SCHED 3"/>
      <sheetName val="NOTES-changes from DCG conso"/>
      <sheetName val="3.09 P&amp;L-YTD"/>
      <sheetName val="Other possible ref shts"/>
      <sheetName val="P&amp;L-Orig Format"/>
      <sheetName val="BHI BS 2008"/>
      <sheetName val="tom-WTB-BHI"/>
      <sheetName val="tom-Bal.Sht-Orig Format"/>
      <sheetName val="tom-Cash Flows"/>
      <sheetName val="tom-Bal.Sht-Abridged"/>
      <sheetName val="Procedures"/>
      <sheetName val="Submission"/>
      <sheetName val="Link"/>
      <sheetName val="Monitoring"/>
      <sheetName val="Beg Bal"/>
      <sheetName val="Companies"/>
      <sheetName val="CP - 1st"/>
      <sheetName val="CP - 2nd"/>
      <sheetName val="CP - 3rd"/>
      <sheetName val="CP - 4th"/>
      <sheetName val="Movement n SHE"/>
      <sheetName val="AJE Prior"/>
      <sheetName val="AJE 1st qtr"/>
      <sheetName val="AJE 2nd qtr"/>
      <sheetName val="AJE 3rd qtr"/>
      <sheetName val="AJE 4th qtr"/>
      <sheetName val="Summary AJE"/>
      <sheetName val="LTD"/>
      <sheetName val="CCBPI LTD"/>
      <sheetName val="Invst"/>
      <sheetName val="CTA"/>
      <sheetName val="Intercompany"/>
      <sheetName val="CTA 2"/>
      <sheetName val="Other Assets"/>
      <sheetName val="NC Liabilities"/>
      <sheetName val="Min Intrst"/>
      <sheetName val="Other (Inc) Exp"/>
      <sheetName val="FILC"/>
      <sheetName val="PL_BS_CF"/>
      <sheetName val="INTER_CO"/>
      <sheetName val="FIX_ASSET"/>
      <sheetName val="star ropoas"/>
      <sheetName val="Info"/>
      <sheetName val="fx rates"/>
      <sheetName val="A1"/>
      <sheetName val="A2"/>
      <sheetName val="B1"/>
      <sheetName val="B2"/>
      <sheetName val="B3"/>
      <sheetName val="C2"/>
      <sheetName val="C3"/>
      <sheetName val="D3"/>
      <sheetName val="Aging"/>
      <sheetName val="Pre-op"/>
      <sheetName val="STL"/>
      <sheetName val="Min Int"/>
      <sheetName val="SE"/>
      <sheetName val="Taxes"/>
      <sheetName val="Small TRX steps"/>
      <sheetName val="BSC3i  S12"/>
      <sheetName val="TCSM3i  S12"/>
      <sheetName val="Operating SW Silver"/>
      <sheetName val="Operating SW Gold"/>
      <sheetName val="BSC Application SW, ETSI"/>
      <sheetName val="BSC Application SW, ANSI"/>
      <sheetName val="Short Term Application SW"/>
      <sheetName val="Maintenance BSS Appl SW, ETSI "/>
      <sheetName val="Maintenance BSS Appl SW, ANSI"/>
      <sheetName val="Silver Maintenance, ETSI"/>
      <sheetName val="Silver Maintenance, ANSI"/>
      <sheetName val="SW Packages"/>
      <sheetName val="2006 STT Proj per SKU @12 (fin)"/>
      <sheetName val="P&amp;L Consolidated"/>
      <sheetName val="SELL- IN Vol -2006base"/>
      <sheetName val="PROD MONI"/>
      <sheetName val="12-12"/>
      <sheetName val="Treasury Costs"/>
      <sheetName val="TC"/>
      <sheetName val="VouchingW10"/>
      <sheetName val="Title_page"/>
      <sheetName val="BL-Summary"/>
      <sheetName val="PnL-summary"/>
      <sheetName val="PnL"/>
      <sheetName val="Proposed_accounts"/>
      <sheetName val="JV_register"/>
      <sheetName val="Realized_unrealized of IFC loan"/>
      <sheetName val="Long Term Loan Accrual"/>
      <sheetName val="Sell&amp;Buy"/>
      <sheetName val="Wtax on loan payment"/>
      <sheetName val="Fund transfers"/>
      <sheetName val="SPI rental income"/>
      <sheetName val="Monthly Proforma entries"/>
      <sheetName val="Compensation"/>
      <sheetName val="FBT Payable"/>
      <sheetName val="Feb"/>
      <sheetName val="Mar"/>
      <sheetName val="Apr"/>
      <sheetName val="May"/>
      <sheetName val="Jun"/>
      <sheetName val="Jul"/>
      <sheetName val="Aug"/>
      <sheetName val="consolidated (2)"/>
      <sheetName val="COBOU"/>
      <sheetName val="Query"/>
      <sheetName val="PM, TE &amp; SAD"/>
      <sheetName val="Significant Accts"/>
      <sheetName val="RE Recon"/>
      <sheetName val="TB - 12.31.05"/>
      <sheetName val="C-11"/>
      <sheetName val="C-20"/>
      <sheetName val="C-21"/>
      <sheetName val="K-Roll"/>
      <sheetName val="J-10"/>
      <sheetName val="I-10"/>
      <sheetName val="PAVL"/>
      <sheetName val="Oct"/>
      <sheetName val="Cancel Nov"/>
      <sheetName val="Schedule A Old"/>
      <sheetName val="Summary of Claim"/>
      <sheetName val="MSC"/>
      <sheetName val="MPAGC"/>
      <sheetName val="CORP. 150"/>
      <sheetName val="Reviewer"/>
      <sheetName val="16210"/>
      <sheetName val="16310"/>
      <sheetName val="16410"/>
      <sheetName val="16450"/>
      <sheetName val="16511"/>
      <sheetName val="16512"/>
      <sheetName val="16512901"/>
      <sheetName val="16512902"/>
      <sheetName val="16512904"/>
      <sheetName val="16512907"/>
      <sheetName val="16516-xxx"/>
      <sheetName val="16517"/>
      <sheetName val="16520"/>
      <sheetName val="16610"/>
      <sheetName val="16680"/>
      <sheetName val="16700"/>
      <sheetName val="16740"/>
      <sheetName val="HW_UPGRADES"/>
      <sheetName val="DIMENSION"/>
      <sheetName val="GLP 2001"/>
      <sheetName val="Ex. A"/>
      <sheetName val="Ex. B"/>
      <sheetName val="Ex. C"/>
      <sheetName val="Ex. D"/>
      <sheetName val="Raje Translation"/>
      <sheetName val="YE-AJE"/>
      <sheetName val="prepaid"/>
      <sheetName val="ADDITION-ASSETS"/>
      <sheetName val="OBSOLETE BOOKS"/>
      <sheetName val="RETIRED ASSETS"/>
      <sheetName val="NN01.000"/>
      <sheetName val="E-10"/>
      <sheetName val="E-11"/>
      <sheetName val="E-12"/>
      <sheetName val="O-020.00"/>
      <sheetName val="G03.000"/>
      <sheetName val="R-010.00"/>
      <sheetName val="Memo on Actuary's Competency"/>
      <sheetName val="Salary Rates"/>
      <sheetName val="Test of Salary Increases "/>
      <sheetName val="Test of Discount Rates "/>
      <sheetName val="Test of Interest Cost "/>
      <sheetName val="# of Employees Covered - ok"/>
      <sheetName val="Test of Personnel Profile "/>
      <sheetName val="Remaining Service Lives "/>
      <sheetName val="Test of Ret on Investment"/>
      <sheetName val="Recomputation of Movements "/>
      <sheetName val="Test of Discount Rates Group"/>
      <sheetName val="K02.001"/>
      <sheetName val="K02.002"/>
      <sheetName val="M01.001"/>
      <sheetName val="M01.002"/>
      <sheetName val="Contract Provisions"/>
      <sheetName val="PV of Future Cash Flows"/>
      <sheetName val="MART1 Rates"/>
      <sheetName val="ER01.000"/>
      <sheetName val="assets (2)"/>
      <sheetName val="KA Summary"/>
      <sheetName val="K010.000 Land Improv."/>
      <sheetName val="K020.000 Bldg."/>
      <sheetName val="K030.000 Bldg. Improv."/>
      <sheetName val="K040.000 Communication"/>
      <sheetName val="K050.000 Pier and Wharf"/>
      <sheetName val="K060.000 Transpo"/>
      <sheetName val="K070.000 OFFE"/>
      <sheetName val="K080.000 PME"/>
      <sheetName val="K090.000 PPE-DCM"/>
      <sheetName val="EE01.000"/>
      <sheetName val="EE01.001"/>
      <sheetName val="EE01.002"/>
      <sheetName val="EE01.003"/>
      <sheetName val="EE01.004"/>
      <sheetName val="TBDEC200"/>
      <sheetName val="YTD"/>
      <sheetName val="COTABATO"/>
      <sheetName val="DIGOS"/>
      <sheetName val="GENSAN"/>
      <sheetName val="MATI"/>
      <sheetName val="TBDEC09"/>
      <sheetName val="C-PBC"/>
      <sheetName val="E-PBC 1"/>
      <sheetName val="E-PBC 2"/>
      <sheetName val="F-PBC"/>
      <sheetName val="G-J PBC"/>
      <sheetName val="I-PBC"/>
      <sheetName val="K-PBC 1"/>
      <sheetName val="K-PBC 2"/>
      <sheetName val="N-PBC"/>
      <sheetName val="U40-PBC 1"/>
      <sheetName val="U40-PBC 2"/>
      <sheetName val="IS-PBC"/>
      <sheetName val="BS-PBC"/>
      <sheetName val="C60"/>
      <sheetName val="E10"/>
      <sheetName val="E40"/>
      <sheetName val="G10"/>
      <sheetName val="K10"/>
      <sheetName val="K20"/>
      <sheetName val="N10"/>
      <sheetName val="N10.1"/>
      <sheetName val="N20"/>
      <sheetName val="N30"/>
      <sheetName val="U3.1"/>
      <sheetName val="U3.2-1"/>
      <sheetName val="U3.2-2"/>
      <sheetName val="U3.2-3"/>
      <sheetName val="U3.2-4"/>
      <sheetName val="U3.2-5"/>
      <sheetName val="U3.2-6"/>
      <sheetName val="U3.3"/>
      <sheetName val="U3.4"/>
      <sheetName val="U3.5"/>
      <sheetName val="U3.6"/>
      <sheetName val="U4.1"/>
      <sheetName val="PROPOSED CAJE"/>
      <sheetName val="PROPOSED CAJE (2)"/>
      <sheetName val="VA02.001-Copra"/>
      <sheetName val="VA02.002-CNO"/>
      <sheetName val="VA02.003-Pellet"/>
      <sheetName val="VA02.004-RBO"/>
      <sheetName val="VA02.005-EO"/>
      <sheetName val="VA02.006-AO"/>
      <sheetName val="VA02.007-Palm Olein"/>
      <sheetName val="RBO Production"/>
      <sheetName val="Degummed"/>
      <sheetName val="EO Production"/>
      <sheetName val="Copra Crushed"/>
      <sheetName val="AO Production"/>
      <sheetName val="2007 TB - HO and Plant"/>
      <sheetName val="2007 TB - Buying Stations"/>
      <sheetName val="Additional Comments on Tax Comp"/>
      <sheetName val="Statement of RE"/>
      <sheetName val="TBDEC2009"/>
      <sheetName val="BuyingStationsTB"/>
      <sheetName val="CAJE"/>
      <sheetName val="PAJE"/>
      <sheetName val="SHE"/>
      <sheetName val="CFS-support"/>
      <sheetName val="Equity in 14 Holdings"/>
      <sheetName val="Inv in 14 Holdings"/>
      <sheetName val="Combined Financial Information"/>
      <sheetName val="FS vs ITR"/>
      <sheetName val="TB-HO&amp;Plant"/>
      <sheetName val="TB-Buying Station"/>
      <sheetName val="I01"/>
      <sheetName val="I02"/>
      <sheetName val="J01"/>
      <sheetName val="J02"/>
      <sheetName val="J03"/>
      <sheetName val="M01"/>
      <sheetName val="UC"/>
      <sheetName val="VA01"/>
      <sheetName val="VA02"/>
      <sheetName val="VA03"/>
      <sheetName val="VA04"/>
      <sheetName val="VC"/>
      <sheetName val="DIT"/>
      <sheetName val="Tax Comp"/>
      <sheetName val="Stat Recon"/>
      <sheetName val="COGS - FS'09"/>
      <sheetName val="COGS - FS'07"/>
      <sheetName val="New Expense Classification"/>
      <sheetName val="Personnel Costs - FS"/>
      <sheetName val="sensitivity analysis"/>
      <sheetName val="PFRS 7 and PAS 1 "/>
      <sheetName val="Summary of Investments"/>
      <sheetName val="Note 11 - PPE'08"/>
      <sheetName val="Note 22 - Retirement Cost"/>
      <sheetName val="Note 26 Purchase Commitments"/>
      <sheetName val="Note 26 (a) - Loc Sales Commit"/>
      <sheetName val="Note 26 (b) Export Sales Commit"/>
      <sheetName val="Note 26 (c) Philagro assets"/>
      <sheetName val="Note 28 Maturity Profile of PN"/>
      <sheetName val="I-Purchases"/>
      <sheetName val="I-Sales"/>
      <sheetName val="key mgt. cost"/>
      <sheetName val="HO&amp;Plant TB"/>
      <sheetName val="BS TB"/>
      <sheetName val="FS vs. ITR"/>
      <sheetName val="Summary of Restatements"/>
      <sheetName val="Qual on 14HC's PAS 39 Non-adopt"/>
      <sheetName val="Summ'd Effects of Restatements"/>
      <sheetName val="14 Holdings' Own Inv"/>
      <sheetName val="FV of 14 HC's SMC shares"/>
      <sheetName val="Derivn of 2005 CTA rollforward"/>
      <sheetName val="Addl 2005 Eqty in 14HC b4 elims"/>
      <sheetName val="2007 RF-Investments"/>
      <sheetName val="2006 - Inv in 14HC Elims"/>
      <sheetName val="2005 - Inv in 14HC Elims"/>
      <sheetName val="2006 BS-Elims"/>
      <sheetName val="2006 IS-Elims"/>
      <sheetName val="2006 Investment Elims"/>
      <sheetName val="2006 BS-Elims 14 HC accts"/>
      <sheetName val="2005 BS-Elims 14 HC accts"/>
      <sheetName val="Share in P144M and P31M"/>
      <sheetName val="2006 IS-Elims 14 HC accts"/>
      <sheetName val="2005 IS-Elims 14 HC accts"/>
      <sheetName val="D.10"/>
      <sheetName val="D.10a"/>
      <sheetName val="D.20"/>
      <sheetName val="D.20a 14HC AFS"/>
      <sheetName val="I-20"/>
      <sheetName val="J.10"/>
      <sheetName val="J-20"/>
      <sheetName val="M-10"/>
      <sheetName val="M-20"/>
      <sheetName val="M-30"/>
      <sheetName val="U-20"/>
      <sheetName val="U-30.1"/>
      <sheetName val="U-30.2"/>
      <sheetName val="U-40"/>
      <sheetName val="Rent Expense"/>
      <sheetName val="Related Party Trans 2007"/>
      <sheetName val="K-RF Breakdown"/>
      <sheetName val="K-RF Conso"/>
      <sheetName val="ST Notes Interest Rates"/>
      <sheetName val="Personnel Costs"/>
      <sheetName val="2007 PAS 19 components"/>
      <sheetName val="PAS 19 supplements"/>
      <sheetName val="Income Taxes"/>
      <sheetName val="NOLCO movement - overall"/>
      <sheetName val="MCIT Movement - overall"/>
      <sheetName val="Commitments"/>
      <sheetName val="Forex-test (2)"/>
      <sheetName val="F8 (2)"/>
      <sheetName val="U-3.2 (2)"/>
      <sheetName val="GRG"/>
      <sheetName val="FG"/>
      <sheetName val="PM"/>
      <sheetName val="A4.1"/>
      <sheetName val="A4.2"/>
      <sheetName val="A4.3"/>
      <sheetName val="A4.4"/>
      <sheetName val="analytics"/>
      <sheetName val="CC CRAM"/>
      <sheetName val="E-1"/>
      <sheetName val="G.1"/>
      <sheetName val="J.1"/>
      <sheetName val="K.1"/>
      <sheetName val="K.2"/>
      <sheetName val="RF.VAT"/>
      <sheetName val="I.Memo"/>
      <sheetName val="Pending "/>
      <sheetName val="tax recon-2006"/>
      <sheetName val="tax sheet-2005"/>
      <sheetName val="U30.14"/>
      <sheetName val="TB1_orig"/>
      <sheetName val="Summary "/>
      <sheetName val="% of Ownership"/>
      <sheetName val="A- CagOil"/>
      <sheetName val="B- Ilicoco"/>
      <sheetName val="CAJE "/>
      <sheetName val="CFS - support"/>
      <sheetName val="CFS - recap"/>
      <sheetName val="UA-10.1"/>
      <sheetName val="UA.10.2"/>
      <sheetName val="VA-10"/>
      <sheetName val="VA-20"/>
      <sheetName val="COGS - FS"/>
      <sheetName val="VA-30"/>
      <sheetName val="VA-40"/>
      <sheetName val="VB"/>
      <sheetName val="FX ANALYSIS 2008 (SGV REQT)"/>
      <sheetName val="J-30"/>
      <sheetName val="COGS - FS'08"/>
      <sheetName val="Note 11 - PPE"/>
      <sheetName val="Note 22 - Retirement Costs"/>
      <sheetName val="Note 26 (b) - Ex Sales Commit"/>
      <sheetName val="Note 26 (c) - Philagro Assets"/>
      <sheetName val="Note 28 - maturity profile"/>
      <sheetName val="Ka"/>
      <sheetName val="Kb"/>
      <sheetName val="K-10 Land Impro"/>
      <sheetName val="K-10.1"/>
      <sheetName val="K-10.2"/>
      <sheetName val="K-20 Building"/>
      <sheetName val="K20-1"/>
      <sheetName val="K20-2"/>
      <sheetName val="K-30 Buildimg Imrov"/>
      <sheetName val="K-30.1"/>
      <sheetName val="K-40 Communication"/>
      <sheetName val="K-40.1"/>
      <sheetName val="K-41 Communication BS"/>
      <sheetName val="K-50 Pier and Wharf "/>
      <sheetName val="K-50.1"/>
      <sheetName val="K-60 Trans"/>
      <sheetName val="K-60.1 Trans BS"/>
      <sheetName val="K-60.2"/>
      <sheetName val="K-60.3"/>
      <sheetName val="K-61"/>
      <sheetName val="K-70 OFFE"/>
      <sheetName val="K-70.1"/>
      <sheetName val="K-70.2.1"/>
      <sheetName val="K-70.2.2"/>
      <sheetName val="K70.3"/>
      <sheetName val="K-71"/>
      <sheetName val="K-80 PME"/>
      <sheetName val="K-90"/>
      <sheetName val="K-91"/>
      <sheetName val="K-100"/>
      <sheetName val="K-100.1"/>
      <sheetName val="K-100.2"/>
      <sheetName val="K-110"/>
      <sheetName val="K-120"/>
      <sheetName val="K-10"/>
      <sheetName val="K-20"/>
      <sheetName val="K-30"/>
      <sheetName val="K-40"/>
      <sheetName val="K-41"/>
      <sheetName val="K-50"/>
      <sheetName val="K-60"/>
      <sheetName val="K-60.1"/>
      <sheetName val="K-70"/>
      <sheetName val="K-80"/>
      <sheetName val="oficers"/>
      <sheetName val="HOrank"/>
      <sheetName val="BY BASE"/>
      <sheetName val="ARIMBAY"/>
      <sheetName val="CAGOIL"/>
      <sheetName val="GRANEX"/>
      <sheetName val="solcom"/>
      <sheetName val="stations"/>
      <sheetName val="DAVAO"/>
      <sheetName val="vessles"/>
      <sheetName val="spmc"/>
      <sheetName val="benefits"/>
      <sheetName val="HO (2)"/>
      <sheetName val="Sheet1 (3)"/>
      <sheetName val="gmc"/>
      <sheetName val="cag"/>
      <sheetName val="GRT"/>
      <sheetName val="PART A"/>
      <sheetName val="Ann II"/>
      <sheetName val="AnnexureIII"/>
      <sheetName val="Ann I"/>
      <sheetName val="for challans"/>
      <sheetName val="Points"/>
      <sheetName val="Current tax"/>
      <sheetName val="CF Working"/>
      <sheetName val="IND AS BS YoY"/>
      <sheetName val="IND AS PL YoY"/>
      <sheetName val="Note -1"/>
      <sheetName val="Note - 2-4"/>
      <sheetName val="Note 5-8"/>
      <sheetName val="Note 9"/>
      <sheetName val="Note 10"/>
      <sheetName val="Note 11-17"/>
      <sheetName val="N - Sch PL 1"/>
      <sheetName val="Note 5 (2)"/>
      <sheetName val="Note 15"/>
      <sheetName val="Share Capital Note_GoodCo"/>
      <sheetName val="Note 22"/>
      <sheetName val="Ind AS Opening Balance Shee (2)"/>
      <sheetName val="RPT June 16"/>
      <sheetName val="WORKING 1 "/>
      <sheetName val="WORKING 2 (2)"/>
      <sheetName val="Working 3 (2)"/>
      <sheetName val="Working 4 "/>
      <sheetName val="Loan Os"/>
      <sheetName val="RepaySch"/>
      <sheetName val="InterestWork"/>
      <sheetName val="PL Sch 8-24"/>
      <sheetName val="Ind AS Opening Balance Sheet"/>
      <sheetName val="W-1"/>
      <sheetName val="W-2"/>
      <sheetName val="W-3"/>
      <sheetName val="W-4"/>
      <sheetName val="W-5"/>
      <sheetName val="W-6"/>
      <sheetName val="N-7"/>
      <sheetName val="W-8"/>
      <sheetName val="W-9"/>
      <sheetName val="W-10"/>
      <sheetName val="W-11"/>
      <sheetName val="W-12"/>
      <sheetName val="W-13"/>
      <sheetName val="W-14"/>
      <sheetName val="W-15"/>
      <sheetName val="W-16"/>
      <sheetName val="W-17"/>
      <sheetName val="Note 6"/>
      <sheetName val="Note 7"/>
      <sheetName val="W-PL"/>
      <sheetName val="Adj Entries Mar 16"/>
      <sheetName val="Adj Entries Mar 15"/>
      <sheetName val="Adj Entries Mar 14"/>
      <sheetName val="Adj Entries Mar 13"/>
      <sheetName val="WORKING 1"/>
      <sheetName val="Working 2"/>
      <sheetName val="Working 3"/>
      <sheetName val="Opening BS"/>
      <sheetName val="Working 4"/>
      <sheetName val="Working 5"/>
      <sheetName val="TRIAL jUNE 16"/>
      <sheetName val="working for 2016"/>
      <sheetName val="office expenses"/>
      <sheetName val="provision june 16"/>
      <sheetName val="Material "/>
      <sheetName val="NDC"/>
      <sheetName val="Capitalization"/>
      <sheetName val="Other Equity"/>
      <sheetName val="ActPolicy"/>
      <sheetName val="Note -4"/>
      <sheetName val="Note - 5-6"/>
      <sheetName val="Note 7-10"/>
      <sheetName val="Note 11"/>
      <sheetName val="Note 12-17"/>
      <sheetName val="PL Note 18-24"/>
      <sheetName val="ON - 25-37"/>
      <sheetName val="ON 33 rpt"/>
      <sheetName val="Capitalisation"/>
      <sheetName val="Adj ent-2"/>
      <sheetName val="IND AS BS"/>
      <sheetName val="IND AS PL"/>
      <sheetName val="SOCE"/>
      <sheetName val="CF W"/>
      <sheetName val="N.1-3"/>
      <sheetName val="N- 4-5"/>
      <sheetName val="N- 6"/>
      <sheetName val="N- 7-10"/>
      <sheetName val="N- 11"/>
      <sheetName val="N-13-15"/>
      <sheetName val="N-16"/>
      <sheetName val="N-PL16-23"/>
      <sheetName val="N-24-36"/>
      <sheetName val="N-37"/>
      <sheetName val="RPB"/>
      <sheetName val="N-38-41"/>
      <sheetName val="Monthly disc"/>
      <sheetName val="Liab (2)"/>
      <sheetName val="Entries premium"/>
      <sheetName val="C tax"/>
      <sheetName val="Amort Tax &amp; D I"/>
      <sheetName val="Inv Model (2)"/>
      <sheetName val="Dep Per Books"/>
      <sheetName val="RS"/>
      <sheetName val="TB 30.09.2016"/>
      <sheetName val="Monthly disc final"/>
      <sheetName val="Asset (2)"/>
      <sheetName val="w-18"/>
      <sheetName val="w-7"/>
      <sheetName val="w-19"/>
      <sheetName val="w-20"/>
      <sheetName val="Reco."/>
      <sheetName val="CL-GRP"/>
      <sheetName val="CA-GRP"/>
      <sheetName val="P &amp; L Ac"/>
      <sheetName val="Sch  A B C "/>
      <sheetName val=" Sch G"/>
      <sheetName val="Sch "/>
      <sheetName val="Curr Assets"/>
      <sheetName val="Cur Liab"/>
      <sheetName val="Sch of Exp"/>
      <sheetName val="EQ"/>
      <sheetName val="N- 2"/>
      <sheetName val="N-3 -6"/>
      <sheetName val="N-8"/>
      <sheetName val="N-9-11"/>
      <sheetName val="PLS"/>
      <sheetName val="Ind AS OBS"/>
      <sheetName val="W- 1"/>
      <sheetName val="WN- PL"/>
      <sheetName val="W P&amp;LSCH "/>
      <sheetName val="TB 30.6.2016"/>
      <sheetName val="WPL"/>
      <sheetName val="WPLSCH"/>
      <sheetName val="MF"/>
      <sheetName val="Monthly disc (2)"/>
      <sheetName val="Asset"/>
      <sheetName val="N- 7-9"/>
      <sheetName val="N- 10"/>
      <sheetName val="N-12-13"/>
      <sheetName val="N-14-15"/>
      <sheetName val="N-PL15-22"/>
      <sheetName val="N-23-34"/>
      <sheetName val="N-35"/>
      <sheetName val="N-36"/>
      <sheetName val="DSCR"/>
      <sheetName val="DER"/>
      <sheetName val="Accounting Confirmation"/>
      <sheetName val="Acting Conf-Ann"/>
      <sheetName val="NCF Work"/>
      <sheetName val="NCF"/>
      <sheetName val="N.BS"/>
      <sheetName val="N.P&amp;L"/>
      <sheetName val="Accting Policies"/>
      <sheetName val="Accting Policies1"/>
      <sheetName val="FA-M3"/>
      <sheetName val="FA-M9"/>
      <sheetName val="Note 31 RPT "/>
      <sheetName val="Note 31 RPB"/>
      <sheetName val="Note 32-33"/>
      <sheetName val="Note 34-39"/>
      <sheetName val="Exch Loss"/>
      <sheetName val="Commitment"/>
      <sheetName val="Wht Avg Share"/>
      <sheetName val="N.Grp"/>
      <sheetName val="1st Disbursement"/>
      <sheetName val="2nd Disbursement"/>
      <sheetName val="Note 1-3"/>
      <sheetName val="N-2-3-5"/>
      <sheetName val="N-4"/>
      <sheetName val="N-6-7-8"/>
      <sheetName val="N-9-11-12"/>
      <sheetName val="N-12-15"/>
      <sheetName val="June16"/>
      <sheetName val="TC W"/>
      <sheetName val="N-CF"/>
      <sheetName val="EPC"/>
      <sheetName val="RPTJUne16"/>
      <sheetName val="P&amp;L-O"/>
      <sheetName val="N-SCH-O"/>
      <sheetName val="P &amp; L Sch-O"/>
      <sheetName val="March 14"/>
      <sheetName val="Sept. 2014"/>
      <sheetName val="June 2014"/>
      <sheetName val="Dec.14"/>
      <sheetName val="30.9.2015"/>
      <sheetName val="30.6.2015"/>
      <sheetName val="31.3.2015"/>
      <sheetName val="TB 31.12.2015"/>
      <sheetName val="31.3.2016"/>
      <sheetName val="N-BS -O"/>
      <sheetName val="BK Pre-op"/>
      <sheetName val="Consol "/>
      <sheetName val="MMK"/>
      <sheetName val="ATRFL"/>
      <sheetName val="ATRPL"/>
      <sheetName val="NKT"/>
      <sheetName val="TGTRPL"/>
      <sheetName val="IRBSD"/>
      <sheetName val="IRBFL"/>
      <sheetName val="Mipl"/>
      <sheetName val="idaa"/>
      <sheetName val="TBB4"/>
      <sheetName val="MVR"/>
      <sheetName val="IRBTA"/>
      <sheetName val="IRBJD"/>
      <sheetName val="IRBPA"/>
      <sheetName val="IRBK"/>
      <sheetName val="IRBAV"/>
      <sheetName val="IRBTC"/>
      <sheetName val="Working for Maint. Cost exclude"/>
      <sheetName val="Revised Amortisation"/>
      <sheetName val="InvIT"/>
      <sheetName val="SPV entries"/>
      <sheetName val="RTGS details"/>
      <sheetName val="IRBIDL"/>
      <sheetName val="Dep Co .IT"/>
      <sheetName val="GIFT"/>
      <sheetName val="chart as per norms"/>
      <sheetName val="Officer"/>
      <sheetName val="staff &amp; DP"/>
      <sheetName val="Prelim-wrk-detail"/>
      <sheetName val="S44 Depriciation"/>
      <sheetName val="S45 Refurbishment Charges"/>
      <sheetName val="Compatibility Report"/>
      <sheetName val="AS-9 Schedule"/>
      <sheetName val="Schedule Qty"/>
      <sheetName val="BOQ Distribution"/>
      <sheetName val="Bill No__1"/>
      <sheetName val="Bill No__2"/>
      <sheetName val="Bill No__3"/>
      <sheetName val="Bill No__4"/>
      <sheetName val="Bill No__5"/>
      <sheetName val="Bill No__6"/>
      <sheetName val="Bill No__7"/>
      <sheetName val="Bill No__8"/>
      <sheetName val="Bill No__9"/>
      <sheetName val="Bill No__10"/>
      <sheetName val="Bill No__11"/>
      <sheetName val="Bill No__12"/>
      <sheetName val="Bill No__13"/>
      <sheetName val="DPR Apr'09"/>
      <sheetName val="tracking"/>
      <sheetName val="tracking (2)"/>
      <sheetName val="Alphabetical List (HO)"/>
      <sheetName val="Floorwise List "/>
      <sheetName val="Mobile &amp; Residence No."/>
      <sheetName val="Fax Nos (HO)"/>
      <sheetName val="Site Details"/>
      <sheetName val="Office Details"/>
      <sheetName val="Site-PM-contact no's"/>
      <sheetName val="HREL"/>
      <sheetName val="LAVASA-MUMBAI"/>
      <sheetName val="HCC Information System"/>
      <sheetName val="Tivoli"/>
      <sheetName val="IIIA WATER SUPPLY PROJECT"/>
      <sheetName val="Allahbad Bypass "/>
      <sheetName val="Assam Road Project"/>
      <sheetName val="Badarpur"/>
      <sheetName val="Bandra-Worli"/>
      <sheetName val="Chamera"/>
      <sheetName val="Chennai By Pass Mobile"/>
      <sheetName val="Chennai Bypass "/>
      <sheetName val="Chutak"/>
      <sheetName val="DELHI METRO"/>
      <sheetName val="DHAULIGANGA"/>
      <sheetName val="GOSHIKHURD"/>
      <sheetName val="GSHP-2"/>
      <sheetName val="KISHANGANGA"/>
      <sheetName val="KOODANKULAM"/>
      <sheetName val="KHARAGPUR "/>
      <sheetName val="KAANB - JUBAIL(SAUDI)"/>
      <sheetName val="Lavasa Site Mobiles"/>
      <sheetName val="LAVASA IPPBX"/>
      <sheetName val="LMNHP- 1 &amp; 2"/>
      <sheetName val="LMNHP- 3 &amp; 4"/>
      <sheetName val="Loharinag Pala"/>
      <sheetName val="Mughal Road "/>
      <sheetName val="Middle Vaitarna-Mobile"/>
      <sheetName val="Teesta"/>
      <sheetName val="TALA C1"/>
      <sheetName val="NAINI"/>
      <sheetName val="Paradip"/>
      <sheetName val="Punatsangchhu"/>
      <sheetName val="PURULIA JV"/>
      <sheetName val="Polavaram"/>
      <sheetName val="RJ-7"/>
      <sheetName val="RAPP 5 &amp; 6"/>
      <sheetName val="SBC "/>
      <sheetName val="Tara "/>
      <sheetName val=" URI - WLL &amp; EPBX"/>
      <sheetName val="URI-OFFICERS MOBILE "/>
      <sheetName val="Visakhapatnam"/>
      <sheetName val="ORG"/>
      <sheetName val="Box-qtys "/>
      <sheetName val="TimeCycle"/>
      <sheetName val="BOX-NCW"/>
      <sheetName val="BOX-ECW"/>
      <sheetName val="BOX-PANSKURA"/>
      <sheetName val="UNP-QTY-CYCLE"/>
      <sheetName val="UNP-NCW "/>
      <sheetName val="UNP-ECW"/>
      <sheetName val="UNPSHUT"/>
      <sheetName val="SLABMNBDATA"/>
      <sheetName val="SLABMNB-ECW"/>
      <sheetName val="PSCMNBDATA"/>
      <sheetName val="PSCMNB-NCW"/>
      <sheetName val="PSC-MNB-ECW"/>
      <sheetName val="4-BOX-MNBDATA"/>
      <sheetName val="4-BOX-MNB"/>
      <sheetName val="3-BOXMNBDATA"/>
      <sheetName val="3-BOXMNB102-NCW"/>
      <sheetName val="BOXMNBDATA102-ECW"/>
      <sheetName val="BOXMNB102-ECW"/>
      <sheetName val="3-BOXMNB75"/>
      <sheetName val="MNBSHUT"/>
      <sheetName val="PIPE"/>
      <sheetName val="TIMECYCLE-PIPE"/>
      <sheetName val="PIPE-DETAIL"/>
      <sheetName val="CULVERT"/>
      <sheetName val="BRIDGE"/>
      <sheetName val="Bridge-Data"/>
      <sheetName val="strplnf"/>
      <sheetName val="MSE ITEMS"/>
      <sheetName val="HP-QTY"/>
      <sheetName val="Cul_detail"/>
      <sheetName val="HP"/>
      <sheetName val="HP Sts"/>
      <sheetName val="Slab"/>
      <sheetName val="Sl Sts"/>
      <sheetName val="M-F-03"/>
      <sheetName val="M-C"/>
      <sheetName val="M-J-03"/>
      <sheetName val="Proj ManStr"/>
      <sheetName val="Proj Mancost"/>
      <sheetName val="Abs Proj ManSt"/>
      <sheetName val="norms"/>
      <sheetName val="MJB-1"/>
      <sheetName val="MJB-2"/>
      <sheetName val="MJB-3"/>
      <sheetName val="UNP-2"/>
      <sheetName val="UNP-4"/>
      <sheetName val="OVP"/>
      <sheetName val="VDT-1"/>
      <sheetName val="VDT-2"/>
      <sheetName val="VDT-3"/>
      <sheetName val="sheath"/>
      <sheetName val="cables"/>
      <sheetName val="fpcc set 1"/>
      <sheetName val="fpcc set 2"/>
      <sheetName val="danamic set 1 "/>
      <sheetName val="danamic set 2"/>
      <sheetName val="sheathing"/>
      <sheetName val="DPR"/>
      <sheetName val="BOQ Supporting sheet -for SAP"/>
      <sheetName val="Pare_Documents"/>
      <sheetName val="Structures"/>
      <sheetName val="Detail CD"/>
      <sheetName val="Cofferdams"/>
      <sheetName val="Pare_TC"/>
      <sheetName val="Equip areawise_Client"/>
      <sheetName val="Equip mthwise_Client"/>
      <sheetName val="Equip areawise_Int"/>
      <sheetName val="Equip mthwise_Int"/>
      <sheetName val="HCC F 01 09 56 Cap"/>
      <sheetName val="Dumpers + T mixers"/>
      <sheetName val="SuperSwinger"/>
      <sheetName val="Gantry"/>
      <sheetName val="Mix"/>
      <sheetName val="BOQ (Filled)"/>
      <sheetName val="Month crushing"/>
      <sheetName val="BOQ Supporting Sheet"/>
      <sheetName val="Pare_Dam Excn"/>
      <sheetName val="WC_Dam lift"/>
      <sheetName val="Pare_Con Area"/>
      <sheetName val="Pare_Con Lift Qty_R1"/>
      <sheetName val="Pare_Cons Grt"/>
      <sheetName val="Pare_TC (2)"/>
      <sheetName val="S11AEQPnorm"/>
      <sheetName val="S11BEQPnorm"/>
      <sheetName val="Form1 "/>
      <sheetName val="Form 4-rev-1"/>
      <sheetName val="Form 5-rev-1"/>
      <sheetName val="S3workplan"/>
      <sheetName val="S4cycle"/>
      <sheetName val="S5 escl-1"/>
      <sheetName val="S5 escl-2"/>
      <sheetName val="EQUIP NORMS Standard"/>
      <sheetName val="NORMs-1"/>
      <sheetName val="Equipments-details"/>
      <sheetName val="S16Elec."/>
      <sheetName val="S23Mancost"/>
      <sheetName val="S25EQPoutrep"/>
      <sheetName val="S27EQP-lease"/>
      <sheetName val="S31 PRE-EXP"/>
      <sheetName val="S41-MatProcurement"/>
      <sheetName val="S42HSE "/>
      <sheetName val="Season1 program"/>
      <sheetName val="MaterialPrice"/>
      <sheetName val="S5Esc"/>
      <sheetName val="S7Matqty-group"/>
      <sheetName val="S12-Subtotals"/>
      <sheetName val="load&amp;DG"/>
      <sheetName val="S18Eqplan"/>
      <sheetName val="S20MSEitems"/>
      <sheetName val="S23Mannos."/>
      <sheetName val="Officer Budget Form"/>
      <sheetName val="S29PrelimItem"/>
      <sheetName val="S31Preitem"/>
      <sheetName val="S33prelexdet"/>
      <sheetName val="S39Liability"/>
      <sheetName val="prel. working"/>
      <sheetName val="dept recov."/>
      <sheetName val="HO EXPS"/>
      <sheetName val="Work Plan C-4"/>
      <sheetName val="S4cycle IV"/>
      <sheetName val="S4cycle V"/>
      <sheetName val="S4cycle VI"/>
      <sheetName val="S4cycle Lin"/>
      <sheetName val=" linked data"/>
      <sheetName val="S5escl"/>
      <sheetName val="Mat Norms"/>
      <sheetName val="CPPL"/>
      <sheetName val="matreqp5"/>
      <sheetName val="Eqp Mnth(main)"/>
      <sheetName val="Equp.wo"/>
      <sheetName val="Crushing Plant"/>
      <sheetName val="cal con pu"/>
      <sheetName val="MSE-DATA"/>
      <sheetName val="S2groupc"/>
      <sheetName val="Esc 12"/>
      <sheetName val="MEMORANDUM"/>
      <sheetName val="Certificate"/>
      <sheetName val="Esc 11"/>
      <sheetName val="Esc 10"/>
      <sheetName val="esc 9"/>
      <sheetName val="esc 8"/>
      <sheetName val="esc 7"/>
      <sheetName val="ESC 6"/>
      <sheetName val="ESC 5"/>
      <sheetName val="ESC.4"/>
      <sheetName val="ESC.3"/>
      <sheetName val="Sheet4 "/>
      <sheetName val="PRELIM"/>
      <sheetName val="EQPTS LIST"/>
      <sheetName val="RESOURCE"/>
      <sheetName val="LEAD&amp;EFF."/>
      <sheetName val="JAN25"/>
      <sheetName val="Pare-Progress"/>
      <sheetName val="Work Plan Backup"/>
      <sheetName val="Fincl. Graph"/>
      <sheetName val="Crushing Plant Backup"/>
      <sheetName val="Eqplan"/>
      <sheetName val="D2&amp;3-PRELIMINARY-ITEMWISE"/>
      <sheetName val="D4&amp;5-PRILIMINARY-EXP"/>
      <sheetName val="REVENUE"/>
      <sheetName val="Exp-details"/>
      <sheetName val="BOQ "/>
      <sheetName val="BOQ lot IV A"/>
      <sheetName val="BOQ  lot IV B"/>
      <sheetName val="AD"/>
      <sheetName val=" (Annexure 1)All Faces "/>
      <sheetName val="All RA's LOT A"/>
      <sheetName val="Escalation Indices RA 6"/>
      <sheetName val="(Annexure 2)"/>
      <sheetName val=" (Annexure 1)"/>
      <sheetName val="Dewatering 1.1"/>
      <sheetName val="UG Exv 3.1"/>
      <sheetName val="Line Drilling 3.2"/>
      <sheetName val="Extra for Haul. Excav. Mat. 3.4"/>
      <sheetName val="Rock bolts 25mm Upto 5m 4.1.1"/>
      <sheetName val="Rock bolts 25mm more 5m 4.1.2"/>
      <sheetName val="Rock bolt 32 more than 5m 4.2.2"/>
      <sheetName val="Wiremesh 4.7.2"/>
      <sheetName val="Drilling for Pregrouting 4.12"/>
      <sheetName val="Grout Operation 4.12.1"/>
      <sheetName val="Cement for Pregrouting 4.12.2"/>
      <sheetName val="Drilling for forepoling 4. 13"/>
      <sheetName val="Grout Operation 4.13.1"/>
      <sheetName val="Cement for forepoling 4.13.2"/>
      <sheetName val="40-50 mm SFRS 5.1"/>
      <sheetName val="75mm Shotcrete 5.2"/>
      <sheetName val="Admixture"/>
      <sheetName val="Drilling of PreDrain holes 7.1"/>
      <sheetName val="Drilling of instrumentation"/>
      <sheetName val="Instrumentation Load cell"/>
      <sheetName val="Instrumentation MPBX"/>
      <sheetName val="Instrumentation Convergence bol"/>
      <sheetName val="DEFORMED REINFORCEMENT 11.1"/>
      <sheetName val="Pir Panjal VB CTC"/>
      <sheetName val="S0 Keydates"/>
      <sheetName val="S4 CycleTime"/>
      <sheetName val="Depri &amp; Refu"/>
      <sheetName val="Depri &amp; Refu link"/>
      <sheetName val="Working-sheet"/>
      <sheetName val="VB Combined"/>
      <sheetName val="Work Programm"/>
      <sheetName val="Cut nd Cover Qty"/>
      <sheetName val="MIS (VI)"/>
      <sheetName val="MIS (I) Liab"/>
      <sheetName val="Pir Panjal VA CTC"/>
      <sheetName val="Approach"/>
      <sheetName val="S0-KEYDATES"/>
      <sheetName val="S4CycleTime"/>
      <sheetName val="Pir VA (2)"/>
      <sheetName val="VA Combined (R1 17-02)"/>
      <sheetName val="Qty Cal"/>
      <sheetName val="VA"/>
      <sheetName val="Mining BOQ Amount"/>
      <sheetName val="Linning BOQ AMOUNT "/>
      <sheetName val="trial balance(SAP)"/>
      <sheetName val="MIS MODULE 1"/>
      <sheetName val="MOD-II"/>
      <sheetName val="MIS MODULE III"/>
      <sheetName val="MIS MODULE IV"/>
      <sheetName val="CUML_PROFITABILITY"/>
      <sheetName val="MIS MODULE V"/>
      <sheetName val="MIS MODULE VI"/>
      <sheetName val="MIS MODULE VII"/>
      <sheetName val="MIS MODULE VIII"/>
      <sheetName val="MIS MODULE IX"/>
      <sheetName val="MIS MODULE X"/>
      <sheetName val="MISMODULE11"/>
      <sheetName val="preliminary charging"/>
      <sheetName val="Anal.Profit"/>
      <sheetName val="Catalog Summ"/>
      <sheetName val="Equipment - Details"/>
      <sheetName val="As Per Acc"/>
      <sheetName val="Form 7-new"/>
      <sheetName val="LIABILITY"/>
      <sheetName val="INDENT-COLLECTION"/>
      <sheetName val="FUND INDENT"/>
      <sheetName val="Form 5-New"/>
      <sheetName val="Pir Panjal Combined CTC"/>
      <sheetName val="Quantity Calculation - BOQ"/>
      <sheetName val="upto-mar-11"/>
      <sheetName val="MIS MOD-II"/>
      <sheetName val="BASIC RATES"/>
      <sheetName val="PPVA"/>
      <sheetName val="PPVB"/>
      <sheetName val="Budget Note"/>
      <sheetName val="S16Elec (KWh)"/>
      <sheetName val="CSR expenses"/>
      <sheetName val="Agg. cal"/>
      <sheetName val="S4timecycle "/>
      <sheetName val="S5escalation "/>
      <sheetName val="S18EQPplan "/>
      <sheetName val="USB CTC"/>
      <sheetName val="Pare CTC"/>
      <sheetName val="All Transfer Records"/>
      <sheetName val="Transfer Recs Covered"/>
      <sheetName val="CTC"/>
      <sheetName val="S25Eqptoutside"/>
      <sheetName val="Refurbishment"/>
      <sheetName val="Sheet1 (4)"/>
      <sheetName val="MARCH"/>
      <sheetName val="Sitewise GR(APR-MAY07)"/>
      <sheetName val="Sitewise GR(June07)"/>
      <sheetName val="HO &amp; Works"/>
      <sheetName val="Quarterwise 6+3"/>
      <sheetName val="Quarterwise"/>
      <sheetName val="Share Div 6 +3"/>
      <sheetName val="Share Div"/>
      <sheetName val="S Receipts 6+3"/>
      <sheetName val="S Receipts"/>
      <sheetName val="S Receipt HO"/>
      <sheetName val="570001"/>
      <sheetName val="570021"/>
      <sheetName val="Exch diff 6+3"/>
      <sheetName val="Exch-diff New"/>
      <sheetName val="GRI Background"/>
      <sheetName val="Financial Implications- CC"/>
      <sheetName val="Financial Assistance from Govt."/>
      <sheetName val="Human Rights Screening"/>
      <sheetName val="Incidents of Discrimination"/>
      <sheetName val="Risks to Collective Bargaining"/>
      <sheetName val="Public Policy and Lobbying"/>
      <sheetName val="Duty Drawback Material"/>
      <sheetName val="equipment norms Backup"/>
      <sheetName val="dUTY dRAWBACK pol"/>
      <sheetName val="Birthday (2)"/>
      <sheetName val="Marriage (2)"/>
      <sheetName val="Plant maint"/>
      <sheetName val="Alimak"/>
      <sheetName val="S22 PRW"/>
      <sheetName val="Bac-Sum"/>
      <sheetName val="Summary of amend"/>
      <sheetName val="S3 Road Works"/>
      <sheetName val="Road Work quantity"/>
      <sheetName val="Emb in NCOD"/>
      <sheetName val="Emb in Bypass"/>
      <sheetName val="Bypass Ground improvement"/>
      <sheetName val="GEOGRID"/>
      <sheetName val="Kerb Casting"/>
      <sheetName val="Chainages"/>
      <sheetName val="Ch. 191+700 Km to 194+510 Km"/>
      <sheetName val="Ch. 195+888 Km to 202+500 Km "/>
      <sheetName val="D.Wall Rate"/>
      <sheetName val="Sheetpile-HCC&amp; RH (Tender) "/>
      <sheetName val="Sheetpile-HCC&amp; RH (Market)"/>
      <sheetName val="Comparative Statement (Tender)"/>
      <sheetName val="Comparative Statement (market)"/>
      <sheetName val="Manpower detail"/>
      <sheetName val="Measurement"/>
      <sheetName val="DWall BOQ (Monthwise)"/>
      <sheetName val="SP BOQ (Market)"/>
      <sheetName val="ESCALATION for DW"/>
      <sheetName val="106CSSHP"/>
      <sheetName val="Canteen Building (107)"/>
      <sheetName val="103 Admin"/>
      <sheetName val="Road"/>
      <sheetName val="Training Center"/>
      <sheetName val="bill abstract"/>
      <sheetName val="Admin Reinforcement"/>
      <sheetName val="Training Cent Reinforcement"/>
      <sheetName val="steel New"/>
      <sheetName val="new sheet"/>
      <sheetName val="WAre House"/>
      <sheetName val="Sub Abstract"/>
      <sheetName val="S3workplanqty R"/>
      <sheetName val="S3workplanamt R"/>
      <sheetName val="S3workplanqty E"/>
      <sheetName val="S3workplanamt E"/>
      <sheetName val="Refurbishment Outside"/>
      <sheetName val="S44 Depreciation"/>
      <sheetName val="S45 Refurbishment"/>
      <sheetName val=" BOQ - comparison"/>
      <sheetName val="Edited at H O"/>
      <sheetName val="Tunnel &amp; SS (2)"/>
      <sheetName val="Resources"/>
      <sheetName val="Dispute No.8"/>
      <sheetName val="Dispute No.7"/>
      <sheetName val="Award"/>
      <sheetName val="Abstract D1"/>
      <sheetName val="14-15-16"/>
      <sheetName val="Amortisation "/>
      <sheetName val="Amortisation March 12"/>
      <sheetName val="2010-11"/>
      <sheetName val="2009-10"/>
      <sheetName val="Dep March 13"/>
      <sheetName val="Dep Co.Act March 11"/>
      <sheetName val="Dec 10 Dep Co Act"/>
      <sheetName val="Dep Co. Act"/>
      <sheetName val="additional toll"/>
      <sheetName val="1st toll  equipment"/>
      <sheetName val="amortisation Sep 10"/>
      <sheetName val="amortisation Dec 10"/>
      <sheetName val="amortisaion march 11"/>
      <sheetName val="Dep IT March 15"/>
      <sheetName val="99-2000"/>
      <sheetName val="Curr Assets (2)"/>
      <sheetName val="N-BS"/>
      <sheetName val="N-PL"/>
      <sheetName val="N-Notes"/>
      <sheetName val="trial march 2016"/>
      <sheetName val="N-BS Sch"/>
      <sheetName val="N FA"/>
      <sheetName val="N-PL Sch"/>
      <sheetName val="N- Contd"/>
      <sheetName val="June 2013"/>
      <sheetName val="March 2013"/>
      <sheetName val="N- Contd (2)"/>
      <sheetName val="sept 2015"/>
      <sheetName val="trial jun 2015"/>
      <sheetName val="irbfl june 2012"/>
      <sheetName val="IRBFL 11-12"/>
      <sheetName val="JV JUNE 2007 "/>
      <sheetName val="Liab Sch"/>
      <sheetName val="Dep Sch D 10-11"/>
      <sheetName val="Sch - CA"/>
      <sheetName val="Sch - CL"/>
      <sheetName val="Variance p&amp;L"/>
      <sheetName val="press release "/>
      <sheetName val="IRBFL 10-11"/>
      <sheetName val="IRBFL Trial Balance 21.04.2010"/>
      <sheetName val="Tax compu."/>
      <sheetName val="D.T.A 11-12"/>
      <sheetName val=" JV07-08"/>
      <sheetName val="bsheet groupings ( liab)"/>
      <sheetName val="bsheet grouping(assets)"/>
      <sheetName val="TB13"/>
      <sheetName val="TB14-4"/>
      <sheetName val="TB26-4"/>
      <sheetName val="TBMAR08"/>
      <sheetName val="P&amp;L grouping"/>
      <sheetName val="March 09"/>
      <sheetName val="JV JUNE to AUG 2007  "/>
      <sheetName val="JV OCT.2007"/>
      <sheetName val="JV AUG 2007"/>
      <sheetName val="Reporting Table"/>
      <sheetName val="JVJULY AUG 07"/>
      <sheetName val="JV AUG 07"/>
      <sheetName val="Journal"/>
      <sheetName val="P&amp;L W"/>
      <sheetName val="REM."/>
      <sheetName val="latest tb 21.04.2010"/>
      <sheetName val="D.T.A 11-12 new June 2012"/>
      <sheetName val="irbfl sept. 2012"/>
      <sheetName val="D.T.A 12-13 March 2013"/>
      <sheetName val="irbfl dec.2012"/>
      <sheetName val="D.T.A 11-12 (2)"/>
      <sheetName val="sept. 2013"/>
      <sheetName val="dec. 2013"/>
      <sheetName val="RPT dec. 2013"/>
      <sheetName val="trial March 15"/>
      <sheetName val="irbfl march 2014"/>
      <sheetName val="IRBFL RPT sept. 2014"/>
      <sheetName val="irbfl trial June 2014"/>
      <sheetName val="trial sept 2014"/>
      <sheetName val="trial dec 2014"/>
      <sheetName val="IRBFL RPT April to Sept. 2014 "/>
      <sheetName val="RPT FOR June 2015"/>
      <sheetName val="RPT for Dec.15"/>
      <sheetName val="Dec.2015"/>
      <sheetName val="RPT march 2016"/>
      <sheetName val="Prem TCR Amortisation"/>
      <sheetName val="premium &amp; TCR amortisation"/>
      <sheetName val="Toll Equipment Amortisation"/>
      <sheetName val="Pmm without int (2)"/>
      <sheetName val="Pmm without int"/>
      <sheetName val="income as per tally"/>
      <sheetName val="annIII"/>
      <sheetName val="annII"/>
      <sheetName val="annI"/>
      <sheetName val="khaniwade"/>
      <sheetName val="charoti"/>
      <sheetName val="boriach"/>
      <sheetName val="bhagwada"/>
      <sheetName val="Boriach 1"/>
      <sheetName val="khaniwade 1"/>
      <sheetName val="bhagwada 1"/>
      <sheetName val="Charoti 1"/>
      <sheetName val="Ahmedabad"/>
      <sheetName val="Ring road"/>
      <sheetName val="Nadiad"/>
      <sheetName val="Anand"/>
      <sheetName val="vadodara"/>
      <sheetName val="Ann I I"/>
      <sheetName val="Ann 2 (3)"/>
      <sheetName val="Ann III"/>
      <sheetName val="Ann I I (2)"/>
      <sheetName val="Ann II (2)"/>
      <sheetName val="Ann 2 (2)"/>
      <sheetName val="C.Tax"/>
      <sheetName val="Dir Rem Sec.349"/>
      <sheetName val="14 A Disallowance"/>
      <sheetName val="NCF wrk"/>
      <sheetName val="N.PL"/>
      <sheetName val="Note 1-5"/>
      <sheetName val="Note 6-21 BS"/>
      <sheetName val="Note 14-15 Inv"/>
      <sheetName val="Note 22 - 27 PL"/>
      <sheetName val="Note 28"/>
      <sheetName val="Note 29-35"/>
      <sheetName val="Note 36"/>
      <sheetName val="RPT Mar 13"/>
      <sheetName val="RPB Mar 13"/>
      <sheetName val="RPT SRB Form Dec 12"/>
      <sheetName val="Note 37"/>
      <sheetName val="Goup N PL"/>
      <sheetName val="N Group BS"/>
      <sheetName val="C.TaxYrWiseLiab"/>
      <sheetName val="Plan 2016"/>
      <sheetName val="irbav tax"/>
      <sheetName val="NBS"/>
      <sheetName val="NPL"/>
      <sheetName val="cash flow  March 2015"/>
      <sheetName val="CFS Working"/>
      <sheetName val="CF March 2016"/>
      <sheetName val="trial march 16"/>
      <sheetName val="notes 1"/>
      <sheetName val="NBS SCh"/>
      <sheetName val="NPL SCH"/>
      <sheetName val="irbav cf march 2015"/>
      <sheetName val="cf working march 2015"/>
      <sheetName val="RPT for Sept 2015"/>
      <sheetName val="Dec 2013"/>
      <sheetName val="Revised Cash Flow working"/>
      <sheetName val="Tax depreciation"/>
      <sheetName val="NRPT"/>
      <sheetName val="TB June 12"/>
      <sheetName val="Detailed March 12"/>
      <sheetName val="RPT "/>
      <sheetName val="IRBAV RPT June 2014"/>
      <sheetName val="notes con"/>
      <sheetName val="notes cont"/>
      <sheetName val="June 12 detailed"/>
      <sheetName val="grouping "/>
      <sheetName val="TB Dec 12"/>
      <sheetName val="TB Sep 12"/>
      <sheetName val="TB Sep detailed"/>
      <sheetName val="detailed Dec12"/>
      <sheetName val="TB Sep 13"/>
      <sheetName val="TB March 13"/>
      <sheetName val="TB detailed March 13"/>
      <sheetName val="Detail-WIP"/>
      <sheetName val="Detailed Tb June 13"/>
      <sheetName val="Dec. 2012"/>
      <sheetName val="cwip dec 2012"/>
      <sheetName val="cwip dec 2013"/>
      <sheetName val="RPT dec 2013"/>
      <sheetName val="Sheet11"/>
      <sheetName val="Tax working"/>
      <sheetName val="sept 2014"/>
      <sheetName val="RPT December 2015"/>
      <sheetName val="IRBAV RPT Dec.15"/>
      <sheetName val="dc WIP"/>
      <sheetName val="AV dec 2015"/>
      <sheetName val="sep 2015"/>
      <sheetName val="June 2015"/>
      <sheetName val="wip june 15"/>
      <sheetName val="wip sept 2015"/>
      <sheetName val="wip march 15"/>
      <sheetName val="irbav march 2015"/>
      <sheetName val="trial march 14"/>
      <sheetName val="CWIP March 2014"/>
      <sheetName val="trial June 2014"/>
      <sheetName val="detail June 2014"/>
      <sheetName val="irbav dec 2014"/>
      <sheetName val="oct to dec wip"/>
      <sheetName val="Sheet13"/>
      <sheetName val="const cost NE 1"/>
      <sheetName val="Sheet12"/>
      <sheetName val="Amortisation as per tax"/>
      <sheetName val="Sheet15"/>
      <sheetName val="Sheet17"/>
      <sheetName val="Amortisation  NH 8"/>
      <sheetName val="NBS (2)"/>
      <sheetName val="NPL (2)"/>
      <sheetName val="notes 3"/>
      <sheetName val="RPT March 2016 (2)"/>
      <sheetName val="eps March 2016"/>
      <sheetName val="Premium deferment working "/>
      <sheetName val="CF workng March 2016"/>
      <sheetName val="Sheet14"/>
      <sheetName val="Sheet16"/>
      <sheetName val="Sheet18"/>
      <sheetName val=" "/>
      <sheetName val="DSR"/>
      <sheetName val="Debt ratio"/>
      <sheetName val="N-P&amp;L"/>
      <sheetName val="cash flow 2016"/>
      <sheetName val="N-Notes -1"/>
      <sheetName val="N-Notes -2"/>
      <sheetName val="P&amp; L"/>
      <sheetName val="Sch-PL"/>
      <sheetName val="JV's"/>
      <sheetName val="IRBSD TB-02.05.09"/>
      <sheetName val="Old IRBSD TB Mar,09"/>
      <sheetName val="IT Comp"/>
      <sheetName val="FBT Comp"/>
      <sheetName val="TB-FBT 02.05.09"/>
      <sheetName val="TB-FBT"/>
      <sheetName val="TB-RPT 02.05.09"/>
      <sheetName val="Old TB-RPT"/>
      <sheetName val="P&amp;L schedule "/>
      <sheetName val="IRBPA 03.04.2010"/>
      <sheetName val="fixed asset "/>
      <sheetName val="N-Notes -P&amp;L"/>
      <sheetName val="notes - 4"/>
      <sheetName val="cash flow working 10-11"/>
      <sheetName val="cash flow working 11-12"/>
      <sheetName val="trial balance march 2011"/>
      <sheetName val="IRBPA 31.03.2012"/>
      <sheetName val="IRBPA 30.06.2012"/>
      <sheetName val="cash flow working 12-13"/>
      <sheetName val="cash flow working MARCH 2013"/>
      <sheetName val="Related party September 2015"/>
      <sheetName val="irbpa dec 2015"/>
      <sheetName val="cash flow working MARCH 2015"/>
      <sheetName val="detailes sept.13"/>
      <sheetName val="IRBPA-Sept.2013"/>
      <sheetName val="IRBPA - sept. 2012"/>
      <sheetName val="IRBPA Dec. 2012"/>
      <sheetName val="IRBPA March 2013"/>
      <sheetName val="detailed march 13"/>
      <sheetName val="detailed June 2013"/>
      <sheetName val="detailed June 2012"/>
      <sheetName val="IRBPA RPT sept  2014"/>
      <sheetName val="IRBPA March 2014"/>
      <sheetName val="detaailed march 2014"/>
      <sheetName val="irbpa dec. 2013"/>
      <sheetName val="detailed trial 31.12.2013"/>
      <sheetName val="IRBPA June 2015"/>
      <sheetName val="IRBPA DETAILED june 2014"/>
      <sheetName val="detailed sept. 2014"/>
      <sheetName val="irbpa march 2015"/>
      <sheetName val="rpt quarter dec 2014"/>
      <sheetName val="irbpa jUNE 2014"/>
      <sheetName val="CF Wrkng"/>
      <sheetName val="Sh Cap"/>
      <sheetName val="Tb dec 15 detailed"/>
      <sheetName val="Note 1"/>
      <sheetName val="RPT Balances"/>
      <sheetName val="HY1 TB detailed"/>
      <sheetName val="Tb March 15"/>
      <sheetName val="TB March 15 detailed "/>
      <sheetName val="Detailed TB Mar14"/>
      <sheetName val="Detailed TB Sept.13"/>
      <sheetName val="TB-Sept.13"/>
      <sheetName val="Details FA"/>
      <sheetName val="Detail FA"/>
      <sheetName val="TB March.13"/>
      <sheetName val="computation March 13"/>
      <sheetName val="TB Sept.12"/>
      <sheetName val="TB March 14"/>
      <sheetName val="TB Dec 13"/>
      <sheetName val="TB Sep 15"/>
      <sheetName val="IRBTA June 15"/>
      <sheetName val="IRBTA detailed June 15"/>
      <sheetName val="TB Dec 15"/>
      <sheetName val="March 16"/>
      <sheetName val="working "/>
      <sheetName val="Tb detailed Sep 15"/>
      <sheetName val="March 16 detailed"/>
      <sheetName val="Sec Cov Ann"/>
      <sheetName val="PressRelease"/>
      <sheetName val="Current-Deferred Tax"/>
      <sheetName val="Ann-Current Tax"/>
      <sheetName val="CFS-Workings"/>
      <sheetName val="Note 5 - Investment"/>
      <sheetName val="Schedule-Assets"/>
      <sheetName val="Schedule-Equity"/>
      <sheetName val="Schedule-Liability"/>
      <sheetName val="Other Notes-1"/>
      <sheetName val="Other Notes-2"/>
      <sheetName val="Other-RPT"/>
      <sheetName val="Other RPT"/>
      <sheetName val="Other-RPB"/>
      <sheetName val="Other Note-3"/>
      <sheetName val="CSR"/>
      <sheetName val="SAP Customer Control"/>
      <sheetName val="BankAccounts"/>
      <sheetName val="Vendor Control"/>
      <sheetName val="FVTPL"/>
      <sheetName val="Mob Adv"/>
      <sheetName val="SAP TB1"/>
      <sheetName val="TB CONTROL"/>
      <sheetName val="SAP Customer TB"/>
      <sheetName val="SAP Vendor 300616"/>
      <sheetName val="Note 6-22"/>
      <sheetName val="SAP Vendor TB"/>
      <sheetName val="Note 14-155 Inv"/>
      <sheetName val="Note 23- 28 PL (2)"/>
      <sheetName val="IND AS PL working"/>
      <sheetName val="RECO-IndAS-IGAAP"/>
      <sheetName val="Ind As Note Assets"/>
      <sheetName val="Ind As Note Liabilities"/>
      <sheetName val="G.P. Provision - Jan05"/>
      <sheetName val="Summary -Jan05"/>
      <sheetName val="Provision - Dec04"/>
      <sheetName val="Parked Actual"/>
      <sheetName val="Parked Bhawna"/>
      <sheetName val="9中ｖｓ基本予算委託研・経費（業務管理BL）"/>
      <sheetName val="Code表"/>
      <sheetName val="☆81連結☆"/>
      <sheetName val="☆82連結☆"/>
      <sheetName val="HM_81ki"/>
      <sheetName val="HM_82ki"/>
      <sheetName val="ASH_82ki"/>
      <sheetName val="TH_82ki"/>
      <sheetName val="ASH_81ki"/>
      <sheetName val="TH_81ki"/>
      <sheetName val="タイ単独元ネタ"/>
      <sheetName val="HVN 04 BrD"/>
      <sheetName val="HVN_2005"/>
      <sheetName val="HVN_2006"/>
      <sheetName val="HVN_2007"/>
      <sheetName val="9MT_ASH_model"/>
      <sheetName val="9MT_ash_PL"/>
      <sheetName val="81Asean配賦"/>
      <sheetName val="81HMまとめ"/>
      <sheetName val="81HM"/>
      <sheetName val="船積台数"/>
      <sheetName val="コスト"/>
      <sheetName val="ﾓﾃﾞﾙ別収益"/>
      <sheetName val="まとめ表"/>
      <sheetName val="枠外・設備・技指料・CBU"/>
      <sheetName val="差異分析"/>
      <sheetName val="差異分析 (3)"/>
      <sheetName val="JM MORGAN -JAN"/>
      <sheetName val="Kotak Liquid-JANM"/>
      <sheetName val="PRUDENTIAL LIQUID-JAN"/>
      <sheetName val="DSP ML LIQUID-JAN"/>
      <sheetName val="Birla Liquid-jan"/>
      <sheetName val="Prudential Floater"/>
      <sheetName val="PP_TOTAL _ ALLIED % increase"/>
      <sheetName val="ALLIED_cash flow"/>
      <sheetName val="ALLIED_WC"/>
      <sheetName val="PP_TOTAL _ ALLIED"/>
      <sheetName val="AHC_PP_FINAL (HO)"/>
      <sheetName val="DGN _ P P"/>
      <sheetName val="RFCL _ PP"/>
      <sheetName val="Barr Laboratories"/>
      <sheetName val="King"/>
      <sheetName val="Pliva USD"/>
      <sheetName val="Pliva - HRK"/>
      <sheetName val="Mylan Labs"/>
      <sheetName val="Watson Pharma"/>
      <sheetName val="Consolidated Sheet"/>
      <sheetName val="Teva"/>
      <sheetName val="Creditors- March11"/>
      <sheetName val="Summary- Creditors"/>
      <sheetName val="Crditors listing- MArch 2011"/>
      <sheetName val="Creditors ageing- final"/>
      <sheetName val="Verification of subsequent"/>
      <sheetName val="Cr. Ageing"/>
      <sheetName val="Expense payable"/>
      <sheetName val="Expense payable "/>
      <sheetName val="Confirmation floated"/>
      <sheetName val="Security deposit-Land"/>
      <sheetName val="Security deposit - Works"/>
      <sheetName val="Sec deposit works- March"/>
      <sheetName val="Salary payable"/>
      <sheetName val="Salary payable- March"/>
      <sheetName val="Provision for Demob."/>
      <sheetName val="Adv. from customers"/>
      <sheetName val="Adv. from customers March"/>
      <sheetName val="Stale Cheque-291210"/>
      <sheetName val="Stale cheques"/>
      <sheetName val="gr ir clearing 28feb2011"/>
      <sheetName val="Service Tax details"/>
      <sheetName val="Provident Fund Payment- March"/>
      <sheetName val="Provident Fund Payment "/>
      <sheetName val="Professional tax "/>
      <sheetName val="CST Payable"/>
      <sheetName val="Work Contract Tax"/>
      <sheetName val="VAT Payment Details"/>
      <sheetName val="Payment Checking"/>
      <sheetName val="Creditors All"/>
      <sheetName val="Samples"/>
      <sheetName val="Professional tax  (2)"/>
      <sheetName val="Royality &amp; PLP"/>
      <sheetName val="CST Payable (2)"/>
      <sheetName val="VAT Payment Details (2)"/>
      <sheetName val="Vat Input Output details"/>
      <sheetName val="Schedules 10-11 WCT"/>
      <sheetName val="Service Tax details (2)"/>
      <sheetName val="TDS NR"/>
      <sheetName val="TDS Professional"/>
      <sheetName val="TDS Commision"/>
      <sheetName val="TDS Contractor"/>
      <sheetName val="TDS rent"/>
      <sheetName val="TDS Salary"/>
      <sheetName val="Provvion WT"/>
      <sheetName val="Wealth tax apayble"/>
      <sheetName val=" EXCISE  reco summary"/>
      <sheetName val=" EXCISE  OVERALL RECO"/>
      <sheetName val=" EXCISE RECO OCT FINAL"/>
      <sheetName val="reco -FINAL"/>
      <sheetName val="annex 1"/>
      <sheetName val="annex 3"/>
      <sheetName val="ANNEX 4"/>
      <sheetName val="Pyrl.Accrual"/>
      <sheetName val="LINK GAP"/>
      <sheetName val="Provision01.09.01"/>
      <sheetName val="P&amp;L 01.09.01"/>
      <sheetName val="MAT01.09.01"/>
      <sheetName val="PointNo.4"/>
      <sheetName val="PointNo.6"/>
      <sheetName val="ADI Journal Tab"/>
      <sheetName val="CM GTS DR4"/>
      <sheetName val="1999-2000"/>
      <sheetName val="1999-2002 "/>
      <sheetName val="Business Wise"/>
      <sheetName val="cut2 to cut4"/>
      <sheetName val="BUSINESS P&amp; L'S"/>
      <sheetName val="SUMMARYS"/>
      <sheetName val="Rev &amp; FTE O-L"/>
      <sheetName val="HCOP"/>
      <sheetName val="SUPPORT HC"/>
      <sheetName val="P&amp;L+BS-US$"/>
      <sheetName val="At a Glance"/>
      <sheetName val="Chart2"/>
      <sheetName val="Chart7"/>
      <sheetName val="Chart8"/>
      <sheetName val="Chart6"/>
      <sheetName val="Chart9"/>
      <sheetName val="BEP"/>
      <sheetName val="B-S"/>
      <sheetName val="Commn."/>
      <sheetName val="FAR rounded"/>
      <sheetName val=" BS-sch 1-4"/>
      <sheetName val="BS-sch 6 &amp; 7"/>
      <sheetName val="BS-sch 8 &amp; 9"/>
      <sheetName val="PL-sch 10, 11 &amp; 12"/>
      <sheetName val="PL-sch 13, 14 &amp; 15"/>
      <sheetName val="GP Margin"/>
      <sheetName val="Clause 12 (b)"/>
      <sheetName val="pl-excl"/>
      <sheetName val="pl-incl"/>
      <sheetName val="FA-Sum"/>
      <sheetName val="FA-Detail"/>
      <sheetName val="Pending-Accts"/>
      <sheetName val="Upload"/>
      <sheetName val="FA-PPE"/>
      <sheetName val="CRP Kasag &amp; Korting"/>
      <sheetName val="CRP COPMP."/>
      <sheetName val="Civil Details"/>
      <sheetName val="COP"/>
      <sheetName val="BifurIndP&amp;M"/>
      <sheetName val="BifurImpP&amp;M"/>
      <sheetName val="Utility Calculations"/>
      <sheetName val="Assum"/>
      <sheetName val="Conso"/>
      <sheetName val="Prod1"/>
      <sheetName val="D&amp;C"/>
      <sheetName val="Wages"/>
      <sheetName val="Stores"/>
      <sheetName val="Preop Expenses"/>
      <sheetName val="Admn"/>
      <sheetName val="useless"/>
      <sheetName val="PL grp"/>
      <sheetName val="XXXXXXX"/>
      <sheetName val="XXXXXX0"/>
      <sheetName val="XXXXXX1"/>
      <sheetName val="XXXXXX2"/>
      <sheetName val="XXXXXX3"/>
      <sheetName val="dividend inputs"/>
      <sheetName val="2005 Q4"/>
      <sheetName val="Book Income"/>
      <sheetName val="Bus Obj"/>
      <sheetName val="Model for Deferreds"/>
      <sheetName val="Purch Acct Adj"/>
      <sheetName val="Projected income"/>
      <sheetName val="Sum of Jurisdictions"/>
      <sheetName val="APO Q3"/>
      <sheetName val="LAO Q3"/>
      <sheetName val="Europe Q3"/>
      <sheetName val="NA Q3"/>
      <sheetName val="Stock Comp Amortization "/>
      <sheetName val="BV gross-up"/>
      <sheetName val="FAS 109"/>
      <sheetName val="JE"/>
      <sheetName val="P_F18 Dec prov"/>
      <sheetName val="P1_Dec TB"/>
      <sheetName val="P3_05 TR"/>
      <sheetName val="P2_SRED"/>
      <sheetName val="P5_Reserves"/>
      <sheetName val="P5.1_06 Def Rev"/>
      <sheetName val="Sales Performance"/>
      <sheetName val="General Sales Order List"/>
      <sheetName val="Geral"/>
      <sheetName val="Thiago"/>
      <sheetName val="Resumo"/>
      <sheetName val="2131"/>
      <sheetName val="BRAZIL - Comm"/>
      <sheetName val="MK"/>
      <sheetName val="Acum 2005"/>
      <sheetName val="Q1-2005"/>
      <sheetName val="Q2-2005"/>
      <sheetName val="EMEA A2P Roster"/>
      <sheetName val="BUS OBJ YTD OCT 2006"/>
      <sheetName val="(A) LIC REV BUS OBJ YTD OCT 06"/>
      <sheetName val="A01 CS&amp;S and PS Expenses"/>
      <sheetName val="(D) R&amp;D dept data tie ext r&amp;d"/>
      <sheetName val="(E) R&amp;D dept data"/>
      <sheetName val="Lic Rev Account Lookup Table"/>
      <sheetName val="R&amp;D Department Lookup Table"/>
      <sheetName val="Entity Lookup Table"/>
      <sheetName val="F64 LC P&amp;L"/>
      <sheetName val="(C) F18 LC P&amp;L"/>
      <sheetName val="F18 LC by Dept"/>
      <sheetName val="F18 Mgmt Dept"/>
      <sheetName val="(B) F11 LC P&amp;L"/>
      <sheetName val="F40 LC Depts"/>
      <sheetName val="GL Queries"/>
      <sheetName val="Div YTD"/>
      <sheetName val="(F) F18 LC by Dept"/>
      <sheetName val="(G) F40 LC Depts"/>
      <sheetName val="(H) F18 Mgmt Dept"/>
      <sheetName val="(I) Indirect Costs f Allocation"/>
      <sheetName val="(J) F11 P&amp;L by Dept"/>
      <sheetName val="R&amp;D dept data tie to ext r&amp;d"/>
      <sheetName val="R&amp;D dept data"/>
      <sheetName val="F18 LC P&amp;L"/>
      <sheetName val="F11 LC P&amp;L"/>
      <sheetName val="(E) F11 P&amp;L by Dept"/>
      <sheetName val="base+pb"/>
      <sheetName val="v8-budget + mapping"/>
      <sheetName val="forecast impact"/>
      <sheetName val="curr tb"/>
      <sheetName val="P&amp;L 31-03-04"/>
      <sheetName val="Schd 4"/>
      <sheetName val="Schd 5-11"/>
      <sheetName val="Schd 12-16"/>
      <sheetName val="GE charges "/>
      <sheetName val="Annexure "/>
      <sheetName val="Anne 2"/>
      <sheetName val="Dep - IT"/>
      <sheetName val="SDEBTORS"/>
      <sheetName val="SCreditors"/>
      <sheetName val="Annexure to Form 3CD"/>
      <sheetName val="Profit Loss"/>
      <sheetName val="T D S Deducted"/>
      <sheetName val="ACCOUNT RATIOS"/>
      <sheetName val=" Schedules"/>
      <sheetName val="Clause 14"/>
      <sheetName val="SCH G"/>
      <sheetName val="Revised Computation"/>
      <sheetName val="Networth"/>
      <sheetName val="BS Analysis"/>
      <sheetName val="Cash Flow as on 31st Jan"/>
      <sheetName val="fixed assets revised"/>
      <sheetName val="current assets"/>
      <sheetName val="current liabilities"/>
      <sheetName val="dIRECT EXP"/>
      <sheetName val="INDIRECTEXP"/>
      <sheetName val="Cash Flow as on 31st March"/>
      <sheetName val="Cash Flow Workings (2)"/>
      <sheetName val="Trust BS"/>
      <sheetName val="Trust PL AC"/>
      <sheetName val="Rectification entry"/>
      <sheetName val="CORP_FA"/>
      <sheetName val="BLR_FA"/>
      <sheetName val="bby_fa"/>
      <sheetName val="CALCUTTA_FA"/>
      <sheetName val="Bal Sh Analysis"/>
      <sheetName val="Project Ignite"/>
      <sheetName val="Recruiters"/>
      <sheetName val="Ali - Dec 8"/>
      <sheetName val="Kirit - Dec 8"/>
      <sheetName val="India - Startup"/>
      <sheetName val="India - Employees"/>
      <sheetName val="India - Jay Setup Costs"/>
      <sheetName val="Jay Post SJ Headcount"/>
      <sheetName val="Jay Headcount Detail"/>
      <sheetName val="Overhead Expenses"/>
      <sheetName val="Jay Twyford"/>
      <sheetName val="SP Sales Staff Budget"/>
      <sheetName val="SP Overview"/>
      <sheetName val="SP Costs"/>
      <sheetName val="SP All India Budget"/>
      <sheetName val="SP Kar"/>
      <sheetName val="SP West"/>
      <sheetName val="SP East"/>
      <sheetName val="SP Tamil Nadu"/>
      <sheetName val="SP North India"/>
      <sheetName val="SP Kerala"/>
      <sheetName val="SP AP"/>
      <sheetName val="Index1"/>
      <sheetName val="BS and PL"/>
      <sheetName val="BS Schedule IGAAP"/>
      <sheetName val="PL Schedule IGAAP"/>
      <sheetName val="BS Grouping IGAAP"/>
      <sheetName val="PL Grouping IGAAP"/>
      <sheetName val="Share Capital and EPS"/>
      <sheetName val="Sales variance"/>
      <sheetName val="Tie up units"/>
      <sheetName val="Qty recon (RM &amp; PM)"/>
      <sheetName val="Qty recon (FG)"/>
      <sheetName val="pcBookData"/>
      <sheetName val="pcQueryData"/>
      <sheetName val="_pcSlicerSheet"/>
      <sheetName val="_pcHiddenSheet1"/>
      <sheetName val="kpmg format"/>
      <sheetName val="PL sched"/>
      <sheetName val="bs scd"/>
      <sheetName val="P&amp;L_Grouping"/>
      <sheetName val="BS_Grouping"/>
      <sheetName val="_pcSlicerSheet1"/>
      <sheetName val="_pcHiddenSheet2"/>
      <sheetName val="FASSET"/>
      <sheetName val="R1 IZ_Zuari"/>
      <sheetName val="Intra Group C_C"/>
      <sheetName val="Input schedule"/>
      <sheetName val="Setup"/>
      <sheetName val="Hub Inputs"/>
      <sheetName val="Inida"/>
      <sheetName val="adjustments 09"/>
      <sheetName val="Adjustment 10"/>
      <sheetName val="BS grp"/>
      <sheetName val="CF workings 1"/>
      <sheetName val="Consumption workings"/>
      <sheetName val="CARO disclosure workings"/>
      <sheetName val="Employment of capital"/>
      <sheetName val="Country"/>
      <sheetName val="Long Term Borrowings"/>
      <sheetName val="Minorities"/>
      <sheetName val="FA LB"/>
      <sheetName val="Taxation"/>
      <sheetName val="DefaultSettings"/>
      <sheetName val="MOR JAN  03"/>
      <sheetName val="0"/>
      <sheetName val="BS_Notes"/>
      <sheetName val="Sh app"/>
      <sheetName val="Non Current_FA"/>
      <sheetName val="PL_Notes"/>
      <sheetName val="IT DEP SCH"/>
      <sheetName val="BS GROUPING"/>
      <sheetName val="PL GROUPING"/>
      <sheetName val="Trial Balance "/>
      <sheetName val="TB_V1"/>
      <sheetName val="TB_31122011"/>
      <sheetName val="non current Inv"/>
      <sheetName val="Current Inv1"/>
      <sheetName val="Other BS Notes"/>
      <sheetName val="Stammdaten"/>
      <sheetName val="Bilanz"/>
      <sheetName val="GuV"/>
      <sheetName val="Bewegungsbilanz"/>
      <sheetName val="Kennzahlen"/>
      <sheetName val="BeweBil2"/>
      <sheetName val="Bilanz-IDL"/>
      <sheetName val="GuV-IDL"/>
      <sheetName val="KennZ-Daten"/>
      <sheetName val="your region"/>
      <sheetName val="BASE COST"/>
      <sheetName val="P&amp;E Cost"/>
      <sheetName val="WGE P&amp;E"/>
      <sheetName val="GCO 2002 P &amp; E"/>
      <sheetName val="WGE Base Cost "/>
      <sheetName val="GSC 2002  Base Cost"/>
      <sheetName val="GCO 2002  Base Cost"/>
      <sheetName val="GSC 2002 P &amp; E"/>
      <sheetName val="Example of SII Plan by Regions"/>
      <sheetName val="Regions Actual SII"/>
      <sheetName val="QFD Key"/>
      <sheetName val="SEBI BS"/>
      <sheetName val="Op_Non Link"/>
      <sheetName val="Op_Non SEBI"/>
      <sheetName val="SEBI MM"/>
      <sheetName val="Op_Non Break"/>
      <sheetName val="SEBI Crores YTD"/>
      <sheetName val="SEBI Crores Stan-alone+TimNwRom"/>
      <sheetName val="SEBI Crores Stan-alone %"/>
      <sheetName val="SEBI Crores Stan-alone"/>
      <sheetName val="SEBI 08-09 Lakh"/>
      <sheetName val=" Cashflow"/>
      <sheetName val="Sch E"/>
      <sheetName val="Sch A to C"/>
      <sheetName val="Sch D FA"/>
      <sheetName val="Sch F to M"/>
      <sheetName val="Sch N to S"/>
      <sheetName val="TB Grouping"/>
      <sheetName val="Pivot FAssets"/>
      <sheetName val="Pivot Investments"/>
      <sheetName val="Pivot Cash and bank pivot"/>
      <sheetName val="Pivot Vendor"/>
      <sheetName val="BS-Schedule3"/>
      <sheetName val="Diluted_EPS"/>
      <sheetName val="Notes-BS"/>
      <sheetName val="Pivot-Other expenses"/>
      <sheetName val="BASE REAL"/>
      <sheetName val="KenZ-Daten"/>
      <sheetName val="EF-Daten"/>
      <sheetName val="Sales &amp; Marketing Dashboard"/>
      <sheetName val="Sales Exec by Stage"/>
      <sheetName val="Key Deals"/>
      <sheetName val="Closed Deals"/>
      <sheetName val="History Summary"/>
      <sheetName val="Oppty Data"/>
      <sheetName val="Oppty History Data"/>
      <sheetName val="Quota Forecast"/>
      <sheetName val="Forecast Sales Model"/>
      <sheetName val="Severity"/>
      <sheetName val="Region Input Position"/>
      <sheetName val="PCDW Position"/>
      <sheetName val="Position 3Q02"/>
      <sheetName val="Position2Q02"/>
      <sheetName val="Position3Q01"/>
      <sheetName val="Jul SRO"/>
      <sheetName val="I "/>
      <sheetName val="Salden"/>
      <sheetName val="Struktur"/>
      <sheetName val="IC-Salden"/>
      <sheetName val="Anlagenbew"/>
      <sheetName val="Ruckstbew"/>
      <sheetName val="Kapitalbew"/>
      <sheetName val="P 1"/>
      <sheetName val="F 1"/>
      <sheetName val="L 1"/>
      <sheetName val="A 1"/>
      <sheetName val="A 2"/>
      <sheetName val="A 1 Local"/>
      <sheetName val="A 2 Local"/>
      <sheetName val="R 1"/>
      <sheetName val="R 2"/>
      <sheetName val="PL Y"/>
      <sheetName val="BS Y"/>
      <sheetName val="CF Y"/>
      <sheetName val="Dateneingabe MIS"/>
      <sheetName val="Start"/>
      <sheetName val="BSY PLY"/>
      <sheetName val="EXPLOT AGUA PVC"/>
      <sheetName val="Temp"/>
      <sheetName val="SysMargin"/>
      <sheetName val="Len"/>
      <sheetName val="Parameter"/>
      <sheetName val="RevV1"/>
      <sheetName val="RevV2"/>
      <sheetName val="RevV3"/>
      <sheetName val="MarV1"/>
      <sheetName val="MarV2"/>
      <sheetName val="MarV3"/>
      <sheetName val="V1"/>
      <sheetName val="V2"/>
      <sheetName val="V3"/>
      <sheetName val="Margin1"/>
      <sheetName val="Margin2"/>
      <sheetName val="Margin3"/>
      <sheetName val="00Act"/>
      <sheetName val="01Act"/>
      <sheetName val="02ACT"/>
      <sheetName val="03Plan"/>
      <sheetName val="FebSRO-V5"/>
      <sheetName val="OctSRO@"/>
      <sheetName val="OctSRO2@"/>
      <sheetName val="OctSRO3@"/>
      <sheetName val="OctSRO4@"/>
      <sheetName val="AugSRO@"/>
      <sheetName val="02Act@"/>
      <sheetName val="03Act@"/>
      <sheetName val="03ACT"/>
      <sheetName val="NovSRO"/>
      <sheetName val="S2 w Pitts HQ"/>
      <sheetName val="SII3@"/>
      <sheetName val="SII3 no HQ no Pitts"/>
      <sheetName val="SII4@"/>
      <sheetName val="SII5@"/>
      <sheetName val="ADS 04 Target"/>
      <sheetName val="INQVAR PY"/>
      <sheetName val="Mapping table"/>
      <sheetName val="Pacific"/>
      <sheetName val="north south baroda"/>
      <sheetName val="12-19-00"/>
      <sheetName val="Comparisions"/>
      <sheetName val="July SRO "/>
      <sheetName val="Year 2003 Actuals"/>
      <sheetName val="Year 2002 Actuals"/>
      <sheetName val="Feb SRO"/>
      <sheetName val="DM 2003"/>
      <sheetName val="DM 2002"/>
      <sheetName val="DM Feb SRO"/>
      <sheetName val="India"/>
      <sheetName val="Noryl"/>
      <sheetName val="Sys Sum"/>
      <sheetName val="GM Credit"/>
      <sheetName val="GM Credit (2)"/>
      <sheetName val="OP Sum"/>
      <sheetName val="VCP"/>
      <sheetName val="Act v Est"/>
      <sheetName val="Contractors"/>
      <sheetName val="Indirect"/>
      <sheetName val="Action"/>
      <sheetName val="R&amp;O "/>
      <sheetName val="AvgTxpx"/>
      <sheetName val="SRO v OP"/>
      <sheetName val="SRO v 02"/>
      <sheetName val="R&amp;O"/>
      <sheetName val="AvgCostVerify"/>
      <sheetName val="WC (2)"/>
      <sheetName val="Cur"/>
      <sheetName val="Pri"/>
      <sheetName val="MonthCur"/>
      <sheetName val="MonthPri"/>
      <sheetName val="RevCur"/>
      <sheetName val="RevEst"/>
      <sheetName val="RevPri"/>
      <sheetName val="CostCur"/>
      <sheetName val="CostEst"/>
      <sheetName val="CostPri"/>
      <sheetName val="Manu"/>
      <sheetName val="C&amp;B Template"/>
      <sheetName val="1998"/>
      <sheetName val="Lists"/>
      <sheetName val="Beneficial Owners"/>
      <sheetName val="Subsidiary Companies"/>
      <sheetName val="Other Information"/>
      <sheetName val="Schedule 1 - Computation"/>
      <sheetName val="Schedule 2 - Capital Gains"/>
      <sheetName val="Schedule 2 - STCG"/>
      <sheetName val="Schedule  - LTCG"/>
      <sheetName val="Schedule 3 - Depreciation"/>
      <sheetName val="Schedule 4 - House Property"/>
      <sheetName val="Schedule 5 - Other Sources"/>
      <sheetName val="Schedule 9 - Deductions Sec. 10"/>
      <sheetName val="Schedule 10 - Deductions Ch VIA"/>
      <sheetName val="Schedule 11 - Rate Purpose"/>
      <sheetName val="Schedule 12 -Tax @ special rate"/>
      <sheetName val="Schedule 13 - Exempt Income"/>
      <sheetName val="Schedule 14 - Rebate"/>
      <sheetName val="Schedule 15 - tax Sec 115JB"/>
      <sheetName val="Schedule 16- Distributed Profit"/>
      <sheetName val="Schedule 17 - Value of FBT"/>
      <sheetName val="Schedule 18 - Bank Accounts"/>
      <sheetName val="Schedule 19 - Advance Tax"/>
      <sheetName val="Schedule 20 - Self Assmnt Tax"/>
      <sheetName val="Schedule 21 - Dividend Tax"/>
      <sheetName val="Schedule 22 - Advance FBT"/>
      <sheetName val="Schedule 23 - FBT Self Assmnt"/>
      <sheetName val="Schedule 24 - TDS"/>
      <sheetName val="Schedule 25 - TCS"/>
      <sheetName val="Principal Item -Trading"/>
      <sheetName val="Principal Item - Raw material"/>
      <sheetName val="Principal Item - Products"/>
      <sheetName val="Daily Report"/>
      <sheetName val="f.oil dec"/>
      <sheetName val="Ut 03-04"/>
      <sheetName val="powerdec"/>
      <sheetName val="water"/>
      <sheetName val="ravi"/>
      <sheetName val="downtime"/>
      <sheetName val="sakthi dec"/>
      <sheetName val="R&amp;M consolidated"/>
      <sheetName val="spares"/>
      <sheetName val="work orders"/>
      <sheetName val="PC'S"/>
      <sheetName val="nh3 comp"/>
      <sheetName val="Profit-%"/>
      <sheetName val="FP-M"/>
      <sheetName val="CF-M"/>
      <sheetName val="DIRECT LABOUR"/>
      <sheetName val="Raw Matl"/>
      <sheetName val="NPV &amp; IRR"/>
      <sheetName val="COSTSHEET"/>
      <sheetName val="pack.matl"/>
      <sheetName val="utilities"/>
      <sheetName val="consumption sheet"/>
      <sheetName val="Production &amp; Sales"/>
      <sheetName val="Monthly Cons"/>
      <sheetName val="TFR PRICE"/>
      <sheetName val="INT &amp; LEASE"/>
      <sheetName val="INTEREST CAL"/>
      <sheetName val="Salary Comp"/>
      <sheetName val="Wage Comp"/>
      <sheetName val="Est. Profits"/>
      <sheetName val="OVERHEAD WORKINGS"/>
      <sheetName val="Excise Est"/>
      <sheetName val="Repairs &amp; Maint"/>
      <sheetName val="Travelling Details"/>
      <sheetName val="Evc&amp;Cforms"/>
      <sheetName val="Cap Proj."/>
      <sheetName val="Slow Mov."/>
      <sheetName val="Sal. tax &amp; inc. tax"/>
      <sheetName val="Non-perf. assets"/>
      <sheetName val="wast &amp; eff"/>
      <sheetName val="Mat. prices"/>
      <sheetName val="EXPL.AGUA"/>
      <sheetName val="Cash flows breakup"/>
      <sheetName val="General "/>
      <sheetName val="Account balances"/>
      <sheetName val="IC-account balances"/>
      <sheetName val="Fixed assets transactions"/>
      <sheetName val="Capital transactions"/>
      <sheetName val="Provision transactions"/>
      <sheetName val="Inventories IC-stocks"/>
      <sheetName val="Financial Transaction"/>
      <sheetName val="Setup &amp; Nav"/>
      <sheetName val="SCP Conceptual Map"/>
      <sheetName val="SCP checklist"/>
      <sheetName val="SCP output Cover"/>
      <sheetName val="Market Overview"/>
      <sheetName val="EoD Macro &amp; Demographic"/>
      <sheetName val="EoD Bev Sector"/>
      <sheetName val="EoS Ind Chain Economics"/>
      <sheetName val="PVM00e"/>
      <sheetName val="IdvExp"/>
      <sheetName val="PVM_ACT"/>
      <sheetName val="PVM_EST"/>
      <sheetName val="Ext_ACT"/>
      <sheetName val="Ext_PY"/>
      <sheetName val="Int_ACT"/>
      <sheetName val="Int_EST"/>
      <sheetName val="Int_PY"/>
      <sheetName val="31.08.10 uniworld"/>
      <sheetName val="interest on secured loan"/>
      <sheetName val="Consol feed"/>
      <sheetName val="gldi template-SEP02"/>
      <sheetName val="gldi template-JUN"/>
      <sheetName val="HypMGMT-NaturalAcct"/>
      <sheetName val="India Mapping"/>
      <sheetName val="Consol feed (2)"/>
      <sheetName val="gldi template"/>
      <sheetName val="Details of Clause 14 (Addition)"/>
      <sheetName val="Details of clause 28"/>
      <sheetName val="Kontensalden"/>
      <sheetName val="IC-Unterkontensalden"/>
      <sheetName val="Anlagenbewegungen"/>
      <sheetName val="Kapitalbewegungen"/>
      <sheetName val="Rückstellungsbewegungen"/>
      <sheetName val="Finanzschuldenspiegel"/>
      <sheetName val="md's discussion page1"/>
      <sheetName val="md's discussion page2"/>
      <sheetName val="md's discussion page3"/>
      <sheetName val="Performance vs plan"/>
      <sheetName val="M2a"/>
      <sheetName val="M2 Americas"/>
      <sheetName val="M2A-R"/>
      <sheetName val="Latin M2A-A$"/>
      <sheetName val="M2A USA"/>
      <sheetName val="M2A USA LC"/>
      <sheetName val="M4 USA"/>
      <sheetName val="M4-Latin Am"/>
      <sheetName val="M4 Canada"/>
      <sheetName val="M2 Canada"/>
      <sheetName val="M8-R"/>
      <sheetName val="M11-R"/>
      <sheetName val="M14-R"/>
      <sheetName val="SalesPeriodic"/>
      <sheetName val="SP NA"/>
      <sheetName val="SP LA"/>
      <sheetName val="SP Eur"/>
      <sheetName val="WC_to_Sales"/>
      <sheetName val="WC_AP"/>
      <sheetName val="WC_NA"/>
      <sheetName val="WC_LA"/>
      <sheetName val="WC_Eur"/>
      <sheetName val="DP_to_Sales"/>
      <sheetName val="DP_AP"/>
      <sheetName val="DP_NA"/>
      <sheetName val="DP_LA"/>
      <sheetName val="DP_Eur"/>
      <sheetName val="Sales Ref"/>
      <sheetName val="Region%"/>
      <sheetName val="Reg_Exp%"/>
      <sheetName val="Per%"/>
      <sheetName val="Pro%"/>
      <sheetName val="Occ%"/>
      <sheetName val="Cost 93-112 CLD "/>
      <sheetName val="Cost 93-212 CLD CE"/>
      <sheetName val="Fixed and Variable"/>
      <sheetName val="Product Cost"/>
      <sheetName val="p.1 "/>
      <sheetName val="p.2 "/>
      <sheetName val="p.3 "/>
      <sheetName val="p.4 "/>
      <sheetName val="KPI CHARTS"/>
      <sheetName val="F4-USD"/>
      <sheetName val="Q1-Q2"/>
      <sheetName val="Q3-Q4"/>
      <sheetName val="F4-forecast detail"/>
      <sheetName val="S3-USD"/>
      <sheetName val="S4-USD"/>
      <sheetName val="FY04-Fcst S4"/>
      <sheetName val="Variance Analysis -USD"/>
      <sheetName val="Production Units"/>
      <sheetName val="HEADCOUNT "/>
      <sheetName val="nbud6104"/>
      <sheetName val="p. 1"/>
      <sheetName val="p. 2"/>
      <sheetName val="p. 3"/>
      <sheetName val="p. 4"/>
      <sheetName val="F4Condoms"/>
      <sheetName val="F4LocalCurrency"/>
      <sheetName val="F4NitraTouch"/>
      <sheetName val="F4LocalCurrencyNT"/>
      <sheetName val="F4Consolidated"/>
      <sheetName val="F4LocalCurrencyConsolidate"/>
      <sheetName val="S3 Update"/>
      <sheetName val="S3 Update (2)"/>
      <sheetName val="S3 Update (3)"/>
      <sheetName val="S3 KPI #1"/>
      <sheetName val="S3 KPI #2"/>
      <sheetName val="S3 KPI #3"/>
      <sheetName val="S3 KPI #4"/>
      <sheetName val="S3 KPI #5"/>
      <sheetName val="S3 KPI #6"/>
      <sheetName val="S3 KPI #7"/>
      <sheetName val="S3 KPI #8"/>
      <sheetName val="S3 KPI #9"/>
      <sheetName val="S4"/>
      <sheetName val="S4 (2)"/>
      <sheetName val="S4 (3)"/>
      <sheetName val="Europe"/>
      <sheetName val="Latin America"/>
      <sheetName val="Canada"/>
      <sheetName val="USA"/>
      <sheetName val="Suretex"/>
      <sheetName val="Rest of Asia"/>
      <sheetName val="Japan"/>
      <sheetName val="Australasia"/>
      <sheetName val="Frontend"/>
      <sheetName val="M2aa"/>
      <sheetName val="M8"/>
      <sheetName val="M11"/>
      <sheetName val="M11a"/>
      <sheetName val="M14"/>
      <sheetName val="M14a"/>
      <sheetName val="M0"/>
      <sheetName val="M1a-1"/>
      <sheetName val="M1a-2"/>
      <sheetName val="M1a-3"/>
      <sheetName val="M2 USA"/>
      <sheetName val="M2 Can"/>
      <sheetName val="M4 Can"/>
      <sheetName val="M4a-1"/>
      <sheetName val="M4a-2"/>
      <sheetName val="M8A "/>
      <sheetName val="M10 USA"/>
      <sheetName val="M10-Can"/>
      <sheetName val="M14-1USA"/>
      <sheetName val="M14-1Can"/>
      <sheetName val="K1 USA"/>
      <sheetName val="EBIT"/>
      <sheetName val="K1 Can"/>
      <sheetName val="Rates Used"/>
      <sheetName val="M1a"/>
      <sheetName val="M1b"/>
      <sheetName val="M3 (3)"/>
      <sheetName val="M3a"/>
      <sheetName val="M4a-3"/>
      <sheetName val="M4a-4"/>
      <sheetName val="M4a-cost"/>
      <sheetName val="M4b-1"/>
      <sheetName val="M4b-2"/>
      <sheetName val="M4b-3"/>
      <sheetName val="M4b-4"/>
      <sheetName val="M4D-1C"/>
      <sheetName val="M4D-2C"/>
      <sheetName val="M8 A"/>
      <sheetName val="M8 B"/>
      <sheetName val="M13"/>
      <sheetName val="M2C$"/>
      <sheetName val="M4C$"/>
      <sheetName val="M4a-1C$"/>
      <sheetName val="M4a-2C$"/>
      <sheetName val="M4a-3C$"/>
      <sheetName val="M4a-4C$"/>
      <sheetName val="M4a-costC$"/>
      <sheetName val="M4b-1C$"/>
      <sheetName val="M4b-2C$"/>
      <sheetName val="M4b-3C$"/>
      <sheetName val="M4b-4C$"/>
      <sheetName val="M5"/>
      <sheetName val="M6"/>
      <sheetName val="M7"/>
      <sheetName val="M8b"/>
      <sheetName val="M9"/>
      <sheetName val="M10"/>
      <sheetName val="M10 Prof"/>
      <sheetName val="M12"/>
      <sheetName val="M4b-costC$"/>
      <sheetName val="M11C$"/>
      <sheetName val="M14C$"/>
      <sheetName val="M15"/>
      <sheetName val="Clause 13(a)"/>
      <sheetName val="tax clearance"/>
      <sheetName val="Deff Tax "/>
      <sheetName val="3Cd Report"/>
      <sheetName val="3cd Ann"/>
      <sheetName val="Annex -1"/>
      <sheetName val="Supp for Ann II"/>
      <sheetName val="Anne-2"/>
      <sheetName val="Annex - 3"/>
      <sheetName val="Annex - 3A"/>
      <sheetName val="Software EHTP"/>
      <sheetName val="Software STP"/>
      <sheetName val="Annex - 4"/>
      <sheetName val="Annex - 5"/>
      <sheetName val="Annex - 6"/>
      <sheetName val="Annex - 7"/>
      <sheetName val="Annexure VIII"/>
      <sheetName val="Annex - 8"/>
      <sheetName val="Annex - 9"/>
      <sheetName val="Annex - 10"/>
      <sheetName val="Ann-11"/>
      <sheetName val="Annex - 12"/>
      <sheetName val="G-1 Lead Sheet"/>
      <sheetName val="TB Summary"/>
      <sheetName val="Ack "/>
      <sheetName val="Page8 "/>
      <sheetName val="Page10 "/>
      <sheetName val="TAX INCOME"/>
      <sheetName val="Discussion points "/>
      <sheetName val="TDS AR RECO"/>
      <sheetName val="TDS ACTUAL RECEIPTS"/>
      <sheetName val="TDS p years "/>
      <sheetName val="TDS RECEIVABLE 02 - 03 actuals"/>
      <sheetName val="TDS not accounted"/>
      <sheetName val="gen ledger data"/>
      <sheetName val="Tax balance breakup"/>
      <sheetName val="Deprecaition for Tax"/>
      <sheetName val="Profitandloss"/>
      <sheetName val="Currentassetsliabilities"/>
      <sheetName val="Apr 99 - Dec 1999"/>
      <sheetName val="Jan 00 - Dec 00"/>
      <sheetName val="80HHE Jan-Mar"/>
      <sheetName val="80HHE"/>
      <sheetName val="TAX INCOME LEASEHOLD"/>
      <sheetName val="Jan 00 - Dec 00 LEASEHOLD"/>
      <sheetName val="80HHE LEASEHOLD JAN-MAR"/>
      <sheetName val="80HHE LEASEHOLD Apr-Dec"/>
      <sheetName val="MAT LEASEHOLD"/>
      <sheetName val="INTEREST LEASEHOLD"/>
      <sheetName val="Apr 99- Mar 00"/>
      <sheetName val="Apr 00 - Mar 01"/>
      <sheetName val="BRS Final"/>
      <sheetName val="TL 31.03.07"/>
      <sheetName val="Publication"/>
      <sheetName val="segment working sheet"/>
      <sheetName val="SEBI Format"/>
      <sheetName val="Notes "/>
      <sheetName val="SEBI Format Dec 2008"/>
      <sheetName val="Segment Workings (2)"/>
      <sheetName val="Notes Dec 2008"/>
      <sheetName val="SEBI Format Dec 2008 (2)"/>
      <sheetName val="Balance Sheet Sch"/>
      <sheetName val="SOAD Entries"/>
      <sheetName val="UK Reco Entries"/>
      <sheetName val="kolkatta "/>
      <sheetName val="Hyderabad "/>
      <sheetName val="Delhi "/>
      <sheetName val="Top sheet-Rev"/>
      <sheetName val="SC"/>
      <sheetName val="Non cur liab"/>
      <sheetName val="FA-Annexure-II"/>
      <sheetName val="III-(i)"/>
      <sheetName val="III-(ii)"/>
      <sheetName val="III-(iii)"/>
      <sheetName val="III-(iv)"/>
      <sheetName val="III-(v)"/>
      <sheetName val="LT L&amp;A"/>
      <sheetName val="Trade rec"/>
      <sheetName val="Annexure-IV"/>
      <sheetName val="ST L&amp;A"/>
      <sheetName val="TDS - Form 16A (2)"/>
      <sheetName val="TDS - Form 16A"/>
      <sheetName val="TCS"/>
      <sheetName val="Login"/>
      <sheetName val="pay Register"/>
      <sheetName val="Bs2005"/>
      <sheetName val="9899 runrate"/>
      <sheetName val="worksheet"/>
      <sheetName val="HEAD"/>
      <sheetName val="Rent exps logic"/>
      <sheetName val="CFS (2)"/>
      <sheetName val="FA 2008 - 09"/>
      <sheetName val="PT,PF"/>
      <sheetName val="P&amp;L(Monthly) -FCR"/>
      <sheetName val="P&amp;L(Monthly) - INR"/>
      <sheetName val="BS Sub"/>
      <sheetName val="Revenue Backup - FCR"/>
      <sheetName val="Debtors-FCR-as on June'07"/>
      <sheetName val="Debtors-FCR SEP'07"/>
      <sheetName val="Debtors-FCR"/>
      <sheetName val="Unbilled-FCR"/>
      <sheetName val="Consolidation TB (Qtr)"/>
      <sheetName val="Related Party Details sEP 07"/>
      <sheetName val="Related Party Details"/>
      <sheetName val="Consolidation TB (Annual)"/>
      <sheetName val="BS - Varinace"/>
      <sheetName val="P&amp;L - Variance"/>
      <sheetName val="Grpng Dtls"/>
      <sheetName val="LOC to LOC"/>
      <sheetName val="-ve AR"/>
      <sheetName val="Loss acc 342k"/>
      <sheetName val="Vacant Rent"/>
      <sheetName val="Vacant  IGAAP "/>
      <sheetName val="Vacant USGAAP vs IGAAP"/>
      <sheetName val="Vacant"/>
      <sheetName val="Translation Rate"/>
      <sheetName val="LRM"/>
      <sheetName val="Q1 08 IGAAP"/>
      <sheetName val="Q2 08 IGAAP"/>
      <sheetName val="Q3 08 IGAAP"/>
      <sheetName val="Dan TB Q3 08"/>
      <sheetName val="Journals Q3 08"/>
      <sheetName val="USA - TB (Dan) Q208"/>
      <sheetName val="Journals Q208"/>
      <sheetName val="Mar07  IGAAP"/>
      <sheetName val="AUS - Inter"/>
      <sheetName val="Loss Accts-Summary"/>
      <sheetName val="Prepaid Marketing"/>
      <sheetName val="USA - Original"/>
      <sheetName val="Retained Reco"/>
      <sheetName val="Cash Forecast"/>
      <sheetName val="PART A - GENERAL"/>
      <sheetName val="PARTB - TI - TTI"/>
      <sheetName val="HOUSE_PROPERTY"/>
      <sheetName val="CG-OS"/>
      <sheetName val="CYLA-BFLA"/>
      <sheetName val="80G"/>
      <sheetName val="VIA"/>
      <sheetName val="SPI - SI"/>
      <sheetName val="EI"/>
      <sheetName val="FSI"/>
      <sheetName val="TR_FA"/>
      <sheetName val="SCH5A"/>
      <sheetName val="Pre_XML"/>
      <sheetName val="Calculator"/>
      <sheetName val="Setoff"/>
      <sheetName val="PARTB - TI - TTI - SAL"/>
      <sheetName val="SPI - SI - IF"/>
      <sheetName val="NATUREOFBUSINESS"/>
      <sheetName val="BALANCE_SHEET"/>
      <sheetName val="PROFIT_LOSS"/>
      <sheetName val="OTHER_INFORMATION"/>
      <sheetName val="QUANTITATIVE_DETAILS"/>
      <sheetName val="PART_B"/>
      <sheetName val="PART_C"/>
      <sheetName val="DPM_DOA"/>
      <sheetName val="DEP_DCG"/>
      <sheetName val="ESR"/>
      <sheetName val="CG_OS"/>
      <sheetName val="CYLA BFLA"/>
      <sheetName val="UD"/>
      <sheetName val="10A"/>
      <sheetName val="80_"/>
      <sheetName val="AMT"/>
      <sheetName val="AMTC"/>
      <sheetName val="SI"/>
      <sheetName val="FBI_FB"/>
      <sheetName val="TDS_TCS"/>
      <sheetName val="FTP"/>
      <sheetName val="CalculateTR"/>
      <sheetName val="SEAT "/>
      <sheetName val="CARPET AND CARMATS "/>
      <sheetName val="DT &amp; OTHERS-01.04.04-31.12.04"/>
      <sheetName val="PRO AND SALE -APRIL-04-JAN-05"/>
      <sheetName val="PRO AND TURNOVER-APRIL-MARCH-05"/>
      <sheetName val="PRODUCTION -DIES"/>
      <sheetName val="PRODUCTION-JIG AND FIXURES"/>
      <sheetName val="PRODUCTION -MOULDS"/>
      <sheetName val="IS-BS-FF-FY09"/>
      <sheetName val="IS-BS-FF -FY10"/>
      <sheetName val="IS-DIvwise"/>
      <sheetName val="Cash flow for Apr to Jul"/>
      <sheetName val="FY11"/>
      <sheetName val="FY12"/>
      <sheetName val="Sch_FA"/>
      <sheetName val="Bal_Gr"/>
      <sheetName val="P&amp;L_Gr"/>
      <sheetName val="CON_TB"/>
      <sheetName val="Mod_RSATB"/>
      <sheetName val="FAC_TB"/>
      <sheetName val="Mod_CorTB"/>
      <sheetName val="Cor_TB"/>
      <sheetName val="RSA_TB"/>
      <sheetName val="MODCSATB"/>
      <sheetName val="CSATB"/>
      <sheetName val="fgval"/>
      <sheetName val="Offer"/>
      <sheetName val="OVER HEADS"/>
      <sheetName val="Product Costing Format"/>
      <sheetName val="931Mh based"/>
      <sheetName val="CS14"/>
      <sheetName val="933Mh based"/>
      <sheetName val="936Mh based"/>
      <sheetName val="SCH3R"/>
      <sheetName val="2266957"/>
      <sheetName val="wdr bldg"/>
      <sheetName val="1. Prepaid Expenses"/>
      <sheetName val="OZ000105IRS"/>
      <sheetName val="Overview"/>
      <sheetName val="SCH-E,F,G,H,I"/>
      <sheetName val="Unmatched"/>
      <sheetName val="Matched"/>
      <sheetName val="cl.stk"/>
      <sheetName val="SS"/>
      <sheetName val="S1"/>
      <sheetName val="S2(D)"/>
      <sheetName val="S3(I)"/>
      <sheetName val="S6"/>
      <sheetName val="BS&amp;PL"/>
      <sheetName val="SD"/>
      <sheetName val="Capital Gains"/>
      <sheetName val="SubSch"/>
      <sheetName val="Form 16"/>
      <sheetName val="mac"/>
      <sheetName val="Form12BA"/>
      <sheetName val="TotalSalary (3)"/>
      <sheetName val="Perquisites (2)"/>
      <sheetName val="SalaryConv (1)"/>
      <sheetName val="Sorted"/>
      <sheetName val="Annexure I-TB"/>
      <sheetName val="I-Books_Appendix I"/>
      <sheetName val="II-Depn_Appendix II"/>
      <sheetName val="Business-Wise Depn_Appendix II "/>
      <sheetName val="DEP Backup"/>
      <sheetName val="FA workings DS India"/>
      <sheetName val="Summary(STI)"/>
      <sheetName val="Appendix IIA(STI)"/>
      <sheetName val="SSSC_AssetsMar10With Addn"/>
      <sheetName val="III-35D "/>
      <sheetName val="PF Appendix III"/>
      <sheetName val="Appendix (residual)"/>
      <sheetName val="Appendix IV - Cap Exp"/>
      <sheetName val="Appendix IV (ii)"/>
      <sheetName val="Appendix V - Exp at clubs"/>
      <sheetName val="Appendix VI - Inadm Exp"/>
      <sheetName val="Back-up Inadm Exp"/>
      <sheetName val="Appendix VII 17(k)"/>
      <sheetName val="Appendix VIII - 40A(2)(b)"/>
      <sheetName val="Final_Appendix IX - 43B (2)"/>
      <sheetName val="Appendix-X"/>
      <sheetName val="Back-up_Appendix-X "/>
      <sheetName val="Appendix XI A-Clause 24(a)"/>
      <sheetName val="Apendix XI-B -clause 24(b)"/>
      <sheetName val="Appendix XII -BF Loss-Dep"/>
      <sheetName val="Appendix XIII TDS"/>
      <sheetName val="Appendix XIII"/>
      <sheetName val="Appendix XIV -TDS  Delay"/>
      <sheetName val="Appendix-XV-A-traded Qty 28(a)"/>
      <sheetName val="Appendix XV-B-Raw Mat Trd"/>
      <sheetName val="Appendix XV-C Qty Dtl Fin Pro"/>
      <sheetName val="Appendix XVI-ratios"/>
      <sheetName val="Appendix XIII (2)"/>
      <sheetName val="Appendix XIII (3)"/>
      <sheetName val="FG Ratio Working"/>
      <sheetName val="Appendix XV - 13e"/>
      <sheetName val="IV-PF "/>
      <sheetName val="VIII-Loans or deposits"/>
      <sheetName val="Appendix XIV."/>
      <sheetName val="FA workings"/>
      <sheetName val="FY 2009-10Annexure IIA"/>
      <sheetName val="Rate Reco"/>
      <sheetName val="Deferred Tax - Ct Yr"/>
      <sheetName val="Deferred Tax - Pr Yr"/>
      <sheetName val="FA rev"/>
      <sheetName val="Sch PL"/>
      <sheetName val="Entries 06"/>
      <sheetName val="SUBSCHD"/>
      <sheetName val="tbmar2006"/>
      <sheetName val="TB Apr05-March06"/>
      <sheetName val="Re-class of PY nos"/>
      <sheetName val="STAT.OF INCOME"/>
      <sheetName val="tbal0203"/>
      <sheetName val="TRADING AC"/>
      <sheetName val="TAIPP"/>
      <sheetName val="BP Dist"/>
      <sheetName val="BP PRICE"/>
      <sheetName val="BP Subsidy"/>
      <sheetName val="Cyl Compensation"/>
      <sheetName val="TERM.CHGS"/>
      <sheetName val="Gross Margins"/>
      <sheetName val="FOB-Q"/>
      <sheetName val="PL FRT"/>
      <sheetName val="13TMT-FR."/>
      <sheetName val="Tranchart-Freights"/>
      <sheetName val="Port Charges"/>
      <sheetName val="Clarkson-Freights"/>
      <sheetName val="Diff Ocn Frt"/>
      <sheetName val="CIF DATA"/>
      <sheetName val="STATE SC"/>
      <sheetName val="BP Subsidy Final"/>
      <sheetName val="Statewise subsidy"/>
      <sheetName val="MinMax"/>
      <sheetName val="LPG SUBSIDY Summary"/>
      <sheetName val="Dep-Sch."/>
      <sheetName val="dep Details"/>
      <sheetName val="Sugar Cost"/>
      <sheetName val="trial- D"/>
      <sheetName val="Trial "/>
      <sheetName val="sale reco"/>
      <sheetName val="other working"/>
      <sheetName val="RESULTS Sep"/>
      <sheetName val="Segment-N"/>
      <sheetName val="BSHEET "/>
      <sheetName val="SUGAR BS"/>
      <sheetName val="Sugar P&amp;L "/>
      <sheetName val="FA SUGAR"/>
      <sheetName val="Sugar GROUP Bs "/>
      <sheetName val="Sugar Group P&amp;L"/>
      <sheetName val="Sugar Trial"/>
      <sheetName val="Dist BS"/>
      <sheetName val="DIST P&amp;L"/>
      <sheetName val="Dist Grp B&amp;S"/>
      <sheetName val="Dist Grp. P&amp;L"/>
      <sheetName val="FA DIS"/>
      <sheetName val="trial diST"/>
      <sheetName val="GROUP Bs 30.9.2006"/>
      <sheetName val="Group P&amp;L 30.9.2006"/>
      <sheetName val="CON.DEP.30.09.07"/>
      <sheetName val="DEP. 30.09.07"/>
      <sheetName val="dep det30.09.07"/>
      <sheetName val="Group P&amp;L"/>
      <sheetName val="BS Comparision"/>
      <sheetName val="RESULTS (%)"/>
      <sheetName val="RESULTS (3)"/>
      <sheetName val="%"/>
      <sheetName val="BS (in Rs. Lacs)"/>
      <sheetName val="BS_GRP'G"/>
      <sheetName val="directors remuneration"/>
      <sheetName val="NEW CODES"/>
      <sheetName val="BS_CTB"/>
      <sheetName val="Capex 0809"/>
      <sheetName val="Capex 0708"/>
      <sheetName val="Cap_Liq"/>
      <sheetName val="Cap_GG"/>
      <sheetName val="Cap_MEG"/>
      <sheetName val="NOT LINKED"/>
      <sheetName val="TB Vs SL"/>
      <sheetName val="TB_IGL CHEM"/>
      <sheetName val="Memo"/>
      <sheetName val="31.10.09"/>
      <sheetName val="Stock Dist"/>
      <sheetName val="Molasses"/>
      <sheetName val="IT TAX"/>
      <sheetName val="A-XI"/>
      <sheetName val="FA-IT"/>
      <sheetName val="ED ON SALE"/>
      <sheetName val="S WITH DIS"/>
      <sheetName val="S WITH CODE"/>
      <sheetName val="D WITH DIS"/>
      <sheetName val="D WITH CODE"/>
      <sheetName val="Result"/>
      <sheetName val="Cane Cost"/>
      <sheetName val="Costing Sugar"/>
      <sheetName val="Salary- Sugar"/>
      <sheetName val="Costing Dist"/>
      <sheetName val="Raw Sugar"/>
      <sheetName val="Raw Sugar Costing"/>
      <sheetName val="Notes to Acc stock"/>
      <sheetName val="Notes to Acc  segment"/>
      <sheetName val="CFS - Working (09-10)"/>
      <sheetName val="Sugar Stock Data"/>
      <sheetName val="Molasses Stock"/>
      <sheetName val="Bagasse Stock"/>
      <sheetName val="Sugar &amp; Molasses Sale"/>
      <sheetName val="WIP &amp; Stock in Process"/>
      <sheetName val="BioCompost"/>
      <sheetName val="Grouping For March '11"/>
      <sheetName val="Grouping upto March '11"/>
      <sheetName val="Sale Dist"/>
      <sheetName val="Inc-Decr in ED"/>
      <sheetName val="TB upto March'11"/>
      <sheetName val="TB For March '11"/>
      <sheetName val="BEN.FUND CL.17j"/>
      <sheetName val="ITA-01"/>
      <sheetName val="ITA-01A"/>
      <sheetName val="ITA-01B"/>
      <sheetName val="ITA- 01C"/>
      <sheetName val="ITA- 02"/>
      <sheetName val="ITA- 03 "/>
      <sheetName val="ITA- 04"/>
      <sheetName val="ITA- 05"/>
      <sheetName val="Anx-ITA-05"/>
      <sheetName val="PF EMPLOYER"/>
      <sheetName val="ITA-06"/>
      <sheetName val="ITA-07(pre)"/>
      <sheetName val="ITA-07A"/>
      <sheetName val="ITA-07B"/>
      <sheetName val="ITA-07C(Pre)"/>
      <sheetName val="ITA-07D"/>
      <sheetName val="ITA-08"/>
      <sheetName val="Anx8-SF"/>
      <sheetName val="Anx8-FORM"/>
      <sheetName val="Anx8-WRK1"/>
      <sheetName val="Anx8-WRK2"/>
      <sheetName val="Anx8-ed43b"/>
      <sheetName val="ITA- 09"/>
      <sheetName val="ANNEXURE J"/>
      <sheetName val="ITA-10"/>
      <sheetName val="ITA-11"/>
      <sheetName val="ITA-12"/>
      <sheetName val="mst"/>
      <sheetName val="l1"/>
      <sheetName val="pl_i"/>
      <sheetName val="pl_e"/>
      <sheetName val="Pool-Rec"/>
      <sheetName val="SchE"/>
      <sheetName val="SchY"/>
      <sheetName val="Sch-L"/>
      <sheetName val="CPE_3RD_QTR_0809"/>
      <sheetName val="CPE_4RTH_QTR_0708"/>
      <sheetName val="CPE_1ST_QTR_0809"/>
      <sheetName val="CPE_2ND_QTR_0809"/>
      <sheetName val="CPE_4RTH_QTR_0809"/>
      <sheetName val="ENTRY TAX"/>
      <sheetName val="OILVENDOR"/>
      <sheetName val="JVC VENDOR"/>
      <sheetName val="SUMOIL"/>
      <sheetName val="BREKOIL"/>
      <sheetName val="SchO"/>
      <sheetName val="SchO SUM"/>
      <sheetName val="CASHDIS"/>
      <sheetName val="OIL-REC(2005-06)"/>
      <sheetName val="OIL'S BILLS"/>
      <sheetName val="ETQ10506"/>
      <sheetName val="FINAL PAYMENTS"/>
      <sheetName val="2005-06 "/>
      <sheetName val="TS DATA "/>
      <sheetName val="QTY0506"/>
      <sheetName val="SCH-C-1"/>
      <sheetName val="Profit on sale of share (NEw)"/>
      <sheetName val="Audit fees"/>
      <sheetName val="Profit on sale of share"/>
      <sheetName val="Tax movement"/>
      <sheetName val="Publish(Final)"/>
      <sheetName val="SCH-A &amp; B"/>
      <sheetName val="SCH-C"/>
      <sheetName val="SCH-D &amp; E"/>
      <sheetName val="SCH-F &amp; G"/>
      <sheetName val="SCH-H &amp; I"/>
      <sheetName val="ANNE- 1"/>
      <sheetName val="Anne-3"/>
      <sheetName val="ANNE-2 "/>
      <sheetName val="Anne-4"/>
      <sheetName val="Fixed Deposits"/>
      <sheetName val="Depre-IT"/>
      <sheetName val="Directors' Sitting fees"/>
      <sheetName val="PT"/>
      <sheetName val="Salary detail"/>
      <sheetName val="changes made"/>
      <sheetName val="RASHI02"/>
      <sheetName val="FAR10-11"/>
      <sheetName val="FAR09-10"/>
      <sheetName val="FAR08-09"/>
      <sheetName val="FAR07-08"/>
      <sheetName val="FAR06-07"/>
      <sheetName val="Equipment list of CNC SD"/>
      <sheetName val="SDH155M"/>
      <sheetName val="Equip.of155M"/>
      <sheetName val="Sparparts"/>
      <sheetName val="InstallationTools"/>
      <sheetName val="NMS"/>
      <sheetName val="Flash_"/>
      <sheetName val="P_&amp;_L"/>
      <sheetName val="PL_"/>
      <sheetName val="VARIANCE_ANALYSIS"/>
      <sheetName val="VAR_-_ACT_VS_BUD"/>
      <sheetName val="_ACT_VS_BUD_WORKINGS(YTD)_"/>
      <sheetName val="_ACT_VS_PR_YEA_WORKINGS(MONTH)_"/>
      <sheetName val="_ACT_VS_BUD_WORKINGS(MONTH)_"/>
      <sheetName val="VAR_-_ACT_VS_BUD_WORKINGS"/>
      <sheetName val="VAR_-_PREV_YR_VS_ACT"/>
      <sheetName val="VAR_-_WORKINGS_PREV_YR_VS_ACT"/>
      <sheetName val="exp_"/>
      <sheetName val="grist_comp"/>
      <sheetName val="RM_CONS"/>
      <sheetName val="RM_CONS_YTD"/>
      <sheetName val="CHEM_CONS"/>
      <sheetName val="CHEM_CONS_YTD"/>
      <sheetName val="PM_CONS"/>
      <sheetName val="PM_CONS_YTD"/>
      <sheetName val="consumption_1_2003"/>
      <sheetName val="WIP_workings"/>
      <sheetName val="SALES_-monthly"/>
      <sheetName val="OTHER_INCOME"/>
      <sheetName val="Creditor_s"/>
      <sheetName val="Debtors_(2)"/>
      <sheetName val="_Creditors"/>
      <sheetName val="cost_sheet_based_on_brew"/>
      <sheetName val="COST_SHEET"/>
      <sheetName val="Cost_sheet_based_on_brews_YTD"/>
      <sheetName val="CL_STOCK"/>
      <sheetName val="COST_SHEET_YTD"/>
      <sheetName val="monthly_exp_"/>
      <sheetName val="monthly__pl_01-02"/>
      <sheetName val="Monthly_pl"/>
      <sheetName val="DEC_WAGES_"/>
      <sheetName val="DEC__EXP_"/>
      <sheetName val="Cash_Flow"/>
      <sheetName val="Creditors_"/>
      <sheetName val="Stock_Statement"/>
      <sheetName val="ytd_adj"/>
      <sheetName val="Reco_YTD_SEPT_02"/>
      <sheetName val="Exp-YTD_SEPT__02"/>
      <sheetName val="Int,Salary_YTD_SEPT__02"/>
      <sheetName val="TRIAL_BALANCE"/>
      <sheetName val="Flash_1"/>
      <sheetName val="P_&amp;_L1"/>
      <sheetName val="PL_1"/>
      <sheetName val="VARIANCE_ANALYSIS1"/>
      <sheetName val="VAR_-_ACT_VS_BUD1"/>
      <sheetName val="_ACT_VS_BUD_WORKINGS(YTD)_1"/>
      <sheetName val="_ACT_VS_PR_YEA_WORKINGS(MONTH)1"/>
      <sheetName val="_ACT_VS_BUD_WORKINGS(MONTH)_1"/>
      <sheetName val="VAR_-_ACT_VS_BUD_WORKINGS1"/>
      <sheetName val="VAR_-_PREV_YR_VS_ACT1"/>
      <sheetName val="VAR_-_WORKINGS_PREV_YR_VS_ACT1"/>
      <sheetName val="exp_1"/>
      <sheetName val="grist_comp1"/>
      <sheetName val="RM_CONS1"/>
      <sheetName val="RM_CONS_YTD1"/>
      <sheetName val="CHEM_CONS1"/>
      <sheetName val="CHEM_CONS_YTD1"/>
      <sheetName val="PM_CONS1"/>
      <sheetName val="PM_CONS_YTD1"/>
      <sheetName val="consumption_1_20031"/>
      <sheetName val="WIP_workings1"/>
      <sheetName val="SALES_-monthly1"/>
      <sheetName val="OTHER_INCOME1"/>
      <sheetName val="Creditor_s1"/>
      <sheetName val="Debtors_(2)1"/>
      <sheetName val="_Creditors1"/>
      <sheetName val="cost_sheet_based_on_brew1"/>
      <sheetName val="COST_SHEET1"/>
      <sheetName val="Cost_sheet_based_on_brews_YTD1"/>
      <sheetName val="CL_STOCK1"/>
      <sheetName val="COST_SHEET_YTD1"/>
      <sheetName val="monthly_exp_1"/>
      <sheetName val="monthly__pl_01-021"/>
      <sheetName val="Monthly_pl1"/>
      <sheetName val="DEC_WAGES_1"/>
      <sheetName val="DEC__EXP_1"/>
      <sheetName val="Cash_Flow1"/>
      <sheetName val="Creditors_1"/>
      <sheetName val="Stock_Statement1"/>
      <sheetName val="ytd_adj1"/>
      <sheetName val="Reco_YTD_SEPT_021"/>
      <sheetName val="Exp-YTD_SEPT__021"/>
      <sheetName val="Int,Salary_YTD_SEPT__021"/>
      <sheetName val="TRIAL_BALANCE1"/>
      <sheetName val="Re_grouped"/>
      <sheetName val="Original_format"/>
      <sheetName val="Re_grouped_(2)"/>
      <sheetName val="Re_grouped1"/>
      <sheetName val="Original_format1"/>
      <sheetName val="Re_grouped_(2)1"/>
      <sheetName val="Re grouped"/>
      <sheetName val="Original format"/>
      <sheetName val="Re grouped (2)"/>
      <sheetName val="Page1-New"/>
      <sheetName val="SubSchedules"/>
      <sheetName val="Cons&amp;_Cl_Stk"/>
      <sheetName val="Drs_&amp;_Crs"/>
      <sheetName val="DepotTB"/>
      <sheetName val="Cons&amp;_Cl_Stk1"/>
      <sheetName val="Drs_&amp;_Crs1"/>
      <sheetName val="Cons&amp; Cl Stk"/>
      <sheetName val="Drs &amp; Crs"/>
      <sheetName val="c0-1"/>
      <sheetName val="8-9"/>
      <sheetName val="9-0"/>
      <sheetName val="0-1"/>
      <sheetName val="301-2"/>
      <sheetName val="c1-2"/>
      <sheetName val="c2-3"/>
      <sheetName val="2-3"/>
      <sheetName val="NBJ"/>
      <sheetName val="s9-0"/>
      <sheetName val="s0-1"/>
      <sheetName val="s1-2"/>
      <sheetName val="s2-3"/>
      <sheetName val="medical"/>
      <sheetName val="FORM10BA"/>
      <sheetName val="내역서 耰&quot;_x005f_x005f_x005f_x0000__x005f_x005f_x0000"/>
      <sheetName val="_x005f_x005f_x005f_x0008_"/>
      <sheetName val="내역ࠜĀ_x005f_x005f_x005f_x005f_x005f_x005f_x005f_x0000_M4"/>
      <sheetName val="معد__ث"/>
      <sheetName val="تدفقات_و_مدفوعات"/>
      <sheetName val="WORK_COV"/>
      <sheetName val="اجور__ف1"/>
      <sheetName val="معد__خ"/>
      <sheetName val="معد__ث1"/>
      <sheetName val="Form_1"/>
      <sheetName val="Form_2"/>
      <sheetName val="Form_3"/>
      <sheetName val="Form_4"/>
      <sheetName val="Form_5"/>
      <sheetName val="Form_7"/>
      <sheetName val="Form_6"/>
      <sheetName val="Form_8"/>
      <sheetName val="Form_9"/>
      <sheetName val="Form_10"/>
      <sheetName val="Form_11"/>
      <sheetName val="Shadow_BOQ"/>
      <sheetName val="S20MSE_Items"/>
      <sheetName val="Season_Dircost"/>
      <sheetName val="Total_Collection"/>
      <sheetName val="???__?"/>
      <sheetName val="02_06_07_(2)"/>
      <sheetName val="Proj_Details"/>
      <sheetName val="_"/>
      <sheetName val="Final_Tender"/>
      <sheetName val="Sch_A-Viaduct"/>
      <sheetName val="Sch_A_-_Typ_Station_"/>
      <sheetName val="Sch_B"/>
      <sheetName val="Strip_Plan"/>
      <sheetName val="Major_Items"/>
      <sheetName val="Cost_of_equip,fabrication"/>
      <sheetName val="Late_start"/>
      <sheetName val="early_start"/>
      <sheetName val="Q_Baricade"/>
      <sheetName val="Q_HR"/>
      <sheetName val="Equip_Depl"/>
      <sheetName val="R-Void_Slab"/>
      <sheetName val="R_-_portal"/>
      <sheetName val="R_CLC"/>
      <sheetName val="P-Ins_&amp;_Bonds"/>
      <sheetName val="P_Staff_fac"/>
      <sheetName val="P-Site_fac"/>
      <sheetName val="P-Clients_fac"/>
      <sheetName val="P_Cash_Flow"/>
      <sheetName val="BORING_"/>
      <sheetName val="EXPANSION_JOINT"/>
      <sheetName val="CIS_MAIN_BERTH-1"/>
      <sheetName val="BOQ_725-769"/>
      <sheetName val="Flow_Chart"/>
      <sheetName val="Performance_Graph"/>
      <sheetName val="cost_Format"/>
      <sheetName val="CJPC___"/>
      <sheetName val="Abstract_"/>
      <sheetName val="Piling_MB"/>
      <sheetName val="Abs_of_Pile_Rein"/>
      <sheetName val="Reinforcement_"/>
      <sheetName val="Pre_cast_Beam_M_B"/>
      <sheetName val="Abs_of_Beam"/>
      <sheetName val="Pre_cast_Beam_BBS"/>
      <sheetName val="C_In_Situ_Muff_M_B_"/>
      <sheetName val="P_C_Muff_M_B"/>
      <sheetName val="Abs_of_Muff"/>
      <sheetName val="Pre_&amp;_cast__Muff__BBS"/>
      <sheetName val="Abs__Cross_Beam_"/>
      <sheetName val="BBS_CROSS_Beam"/>
      <sheetName val="Cross_Beam_M_B__"/>
      <sheetName val="Con_Pedstal_M_B_"/>
      <sheetName val="BBS_C_B_P_"/>
      <sheetName val="Total_Abstract"/>
      <sheetName val="Walk-way_M_B_"/>
      <sheetName val="Con_Rate"/>
      <sheetName val="concrete_detail"/>
      <sheetName val="Table_of_Contents"/>
      <sheetName val="Table_of_Contents_(2)"/>
      <sheetName val="Index_Sheet"/>
      <sheetName val="Extra_Item"/>
      <sheetName val="1_04-1"/>
      <sheetName val="2_01(a)-1"/>
      <sheetName val="G-13_2_01-2"/>
      <sheetName val="G-13_2_01-3"/>
      <sheetName val="G-13_2_01-4"/>
      <sheetName val="R-2_2_01-5"/>
      <sheetName val="MRR-1_2_01-6"/>
      <sheetName val="G-13_2_01-7"/>
      <sheetName val="2_01-b-II-1"/>
      <sheetName val="2_01-b-II-2"/>
      <sheetName val="2_01-b-II-3"/>
      <sheetName val="2_07-1"/>
      <sheetName val="2_07-2"/>
      <sheetName val="2_07-3"/>
      <sheetName val="2_07-4"/>
      <sheetName val="2_07-5"/>
      <sheetName val="2_07-6"/>
      <sheetName val="3_01-1"/>
      <sheetName val="3_01-2"/>
      <sheetName val="3_01-3"/>
      <sheetName val="3_01-4"/>
      <sheetName val="3_01-5"/>
      <sheetName val="3_02-1"/>
      <sheetName val="3_02-2"/>
      <sheetName val="3_02-3"/>
      <sheetName val="3_02-4"/>
      <sheetName val="3_02-5"/>
      <sheetName val="3_02-6"/>
      <sheetName val="3_02-7"/>
      <sheetName val="3_02-8"/>
      <sheetName val="3_02-9"/>
      <sheetName val="3_02-10"/>
      <sheetName val="3_02-11"/>
      <sheetName val="3_02-13"/>
      <sheetName val="4_01-1"/>
      <sheetName val="4_02-1"/>
      <sheetName val="4_04-1"/>
      <sheetName val="4_04-2"/>
      <sheetName val="Rock_Filling"/>
      <sheetName val="Cement_Reconciliation"/>
      <sheetName val="Bitumen_Reconciliation"/>
      <sheetName val="Prime_Coat"/>
      <sheetName val="Tack_Coat"/>
      <sheetName val="Gate_Pass"/>
      <sheetName val="CJPC_(2)"/>
      <sheetName val="SEP-08_(5-9)"/>
      <sheetName val="Civil_Boq"/>
      <sheetName val="______"/>
      <sheetName val="KUWATI(Total)_2"/>
      <sheetName val="OPTION_22"/>
      <sheetName val="OPTION_3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2002년_현장공사비_국내_실적2"/>
      <sheetName val="2003년국내현장공사비_실적2"/>
      <sheetName val="VC2_10_992"/>
      <sheetName val="INPUT_DATA1"/>
      <sheetName val="집계표_(25,26ဩ1"/>
      <sheetName val="Form_01"/>
      <sheetName val="Form_D-11"/>
      <sheetName val="Form_B-11"/>
      <sheetName val="Form_F-11"/>
      <sheetName val="Form_A1"/>
      <sheetName val="General_Data1"/>
      <sheetName val="LABOR_&amp;_자재"/>
      <sheetName val="입출재고현황_(2)"/>
      <sheetName val="3_공통공사대비"/>
      <sheetName val="간접비_총괄"/>
      <sheetName val="내역ࠜĀM4)"/>
      <sheetName val="Price_Schedule"/>
      <sheetName val="6PILE__(돌출)"/>
      <sheetName val="내역서_耰&quot;"/>
      <sheetName val="CAL_"/>
      <sheetName val="Rate_Analysis"/>
      <sheetName val="내역서_耰&quot;??"/>
      <sheetName val="EQUIPMENT_-2"/>
      <sheetName val="WEIGHT_LIST"/>
      <sheetName val="산#2-1_(2)"/>
      <sheetName val="BEND_LOSS"/>
      <sheetName val="내역서_耰&quot;_x005f_x0000__x005f_x0000_"/>
      <sheetName val="EQUIP_LIST"/>
      <sheetName val="단면_(2)"/>
      <sheetName val="공사비_내역_(가)"/>
      <sheetName val="Static_Equip"/>
      <sheetName val="3_Breakdown_Direct_Paint"/>
      <sheetName val="Form_A_"/>
      <sheetName val="내역서_耰&quot;__"/>
      <sheetName val="Summary_Sheets"/>
      <sheetName val="Station_for_phy_s_curve"/>
      <sheetName val="for_phy_s_curve_viaduct"/>
      <sheetName val="Rev_Cash_Flow"/>
      <sheetName val="fin_S_Curve"/>
      <sheetName val="for_phy_s_curve_FOB"/>
      <sheetName val="for_phy_s_curve_sch_B"/>
      <sheetName val="CTC_Summary"/>
      <sheetName val="Site_&amp;_Administration_Cost"/>
      <sheetName val="EVM5-_Revised"/>
      <sheetName val="PSC_SUP(5x15)"/>
      <sheetName val="PSC_SUP(5x15)_SR"/>
      <sheetName val="FIXED_ITEMS"/>
      <sheetName val="Area_Statement"/>
      <sheetName val="Calculation_sheet"/>
      <sheetName val="Eqpt_Running"/>
      <sheetName val="BOQ-CODE-SFP_"/>
      <sheetName val="Activitywise_Qty"/>
      <sheetName val="Rate_Ana"/>
      <sheetName val="Bridges_(Abst)"/>
      <sheetName val="Slab_Culvert"/>
      <sheetName val="Decision_Table"/>
      <sheetName val="EPC_Cost"/>
      <sheetName val="PrjCost_Assumptions"/>
      <sheetName val="Finance_Assumptions"/>
      <sheetName val="Revenue_Assumptions"/>
      <sheetName val="Traffic_Assum"/>
      <sheetName val="Inputs "/>
      <sheetName val="PanhandleB"/>
      <sheetName val="rsm"/>
      <sheetName val="GasConsumption"/>
      <sheetName val="IntlCmprPwr"/>
      <sheetName val="BoostrPwr"/>
      <sheetName val="LastBoostrPwr"/>
      <sheetName val="CapexBasis"/>
      <sheetName val="Cht_basis"/>
      <sheetName val="apiDimension"/>
      <sheetName val="weightChart"/>
      <sheetName val="apiWeight"/>
      <sheetName val="thicknessBasis"/>
      <sheetName val="PanhandleA"/>
      <sheetName val="SummarRs Cr&amp;Cust"/>
      <sheetName val="Optimisation"/>
      <sheetName val="SummaryUSDMill-NoCust"/>
      <sheetName val="Network-2 Compr_Option2"/>
      <sheetName val="Network-2 Compr_Option1"/>
      <sheetName val="140Bar Compr_Option1"/>
      <sheetName val="140Bar Compr_Option2"/>
      <sheetName val="120Bar Compr_Option2"/>
      <sheetName val="Dialog2"/>
      <sheetName val="Module5"/>
      <sheetName val="Module6"/>
      <sheetName val="Layer Chart"/>
      <sheetName val="Graph Data"/>
      <sheetName val="Raw Data"/>
      <sheetName val="Layer Table"/>
      <sheetName val="WORKED OGL"/>
      <sheetName val="FRL"/>
      <sheetName val="COLUMN"/>
      <sheetName val="Voucher"/>
      <sheetName val="SOR"/>
      <sheetName val="EW"/>
      <sheetName val="STR1"/>
      <sheetName val="STR2"/>
      <sheetName val="STR3"/>
      <sheetName val="LIN1"/>
      <sheetName val="LIN2"/>
      <sheetName val="typical subminor"/>
      <sheetName val="S&amp;I"/>
      <sheetName val="machi"/>
      <sheetName val="TRANS1"/>
      <sheetName val="trans"/>
      <sheetName val="mes-fb"/>
      <sheetName val="mes-pl"/>
      <sheetName val="XL4Test5"/>
      <sheetName val="inWords"/>
      <sheetName val="Mat_Cost"/>
      <sheetName val="MASTER_RATE ANALYSIS"/>
      <sheetName val="Expenditure Plan"/>
      <sheetName val="SPT vs PHI"/>
      <sheetName val="typical_subminor"/>
      <sheetName val="MASTER_RATE_ANALYSIS"/>
      <sheetName val="Expenditure_Plan"/>
      <sheetName val="SPT_vs_PHI"/>
      <sheetName val="typical_subminor1"/>
      <sheetName val="MASTER_RATE_ANALYSIS1"/>
      <sheetName val="Expenditure_Plan1"/>
      <sheetName val="SPT_vs_PHI1"/>
      <sheetName val="GEN"/>
      <sheetName val="DIR USED ITEMS"/>
      <sheetName val="MACHINERY"/>
      <sheetName val="MATERIAL-MACHINERY-LABOUR"/>
      <sheetName val="TOLL. SHEET (WMM II)"/>
      <sheetName val="TOLL. SHEET (G.S.B.)"/>
      <sheetName val="R.E. DIS. FROM PR. CL."/>
      <sheetName val="TOLL SHEET EMB"/>
      <sheetName val="TOLL SHEET (S.G)"/>
      <sheetName val="O.R.R.ROCK (D.K.)"/>
      <sheetName val="O R R TBM  LIST"/>
      <sheetName val="O R R OGL"/>
      <sheetName val="DEPTH CHART (ORR) R.S."/>
      <sheetName val="DEPTH CHART (ORR) L.S."/>
      <sheetName val="dIFFERENCE"/>
      <sheetName val="Rock level (Parag)"/>
      <sheetName val="O.R.R.(ROCK1)"/>
      <sheetName val="DEPTH CHART (ORR) L.S. (2)"/>
      <sheetName val="DEPTH CHART (ORR) R.S. (2)"/>
      <sheetName val="co_5"/>
      <sheetName val="Main Block"/>
      <sheetName val="Glacis Concrete"/>
      <sheetName val="TW-DW-90.85-105.85"/>
      <sheetName val="TW-DW-75.85-90.85 "/>
      <sheetName val="TW-DW-42-75.85"/>
      <sheetName val="Pier-26.17-42"/>
      <sheetName val="Workplan"/>
      <sheetName val="Conc&amp; Aggr"/>
      <sheetName val="Work Plan-Dam-0304-R1"/>
      <sheetName val="Annexures (2)"/>
      <sheetName val="SUM FSBLT"/>
      <sheetName val="VOLSUM"/>
      <sheetName val="WPSUM"/>
      <sheetName val="PCWBS_MAP"/>
      <sheetName val="WKFRM1"/>
      <sheetName val="WKFRM2"/>
      <sheetName val="SQNC-1"/>
      <sheetName val="SQNC-2"/>
      <sheetName val="SQNC-3"/>
      <sheetName val="MILSTN"/>
      <sheetName val="MASTSCH"/>
      <sheetName val="MOBALL"/>
      <sheetName val="CRDIDX"/>
      <sheetName val="PROGALL"/>
      <sheetName val="2538M"/>
      <sheetName val="ORGZN"/>
      <sheetName val="STAFSCH"/>
      <sheetName val="SUB_Map"/>
      <sheetName val="PERFEVA"/>
      <sheetName val="PIPE50%A"/>
      <sheetName val="PIPE50%B"/>
      <sheetName val="STFMHANZ"/>
      <sheetName val="CMHANZ"/>
      <sheetName val="MPDATA1000"/>
      <sheetName val="MPDATA2000"/>
      <sheetName val="MPDATA3000"/>
      <sheetName val="MPDATA4000"/>
      <sheetName val="MPDATA5000"/>
      <sheetName val="MPDATA6000"/>
      <sheetName val="MPDATA7000"/>
      <sheetName val="MPDATA8000"/>
      <sheetName val="MPDATA9_A_B"/>
      <sheetName val="BQCONV"/>
      <sheetName val="SCINF1"/>
      <sheetName val="SCINF2"/>
      <sheetName val="KNOWHOW_MEMO"/>
      <sheetName val="EQUIPMOB"/>
      <sheetName val="TEMP_FAC"/>
      <sheetName val="7000(rev)"/>
      <sheetName val="3000-A"/>
      <sheetName val="5000-A"/>
      <sheetName val="6000-A"/>
      <sheetName val="9000-A"/>
      <sheetName val="管道资料"/>
      <sheetName val="9DATA"/>
      <sheetName val="A000-A"/>
      <sheetName val="0DATA"/>
      <sheetName val="9管道资料"/>
      <sheetName val="FWBS 9000"/>
      <sheetName val="Overall Project"/>
      <sheetName val="Overall Process"/>
      <sheetName val="Overall Utility"/>
      <sheetName val="FWBS 1000"/>
      <sheetName val="FWBS 2000"/>
      <sheetName val="FWBS 3000"/>
      <sheetName val="5000"/>
      <sheetName val="FWBS 5000"/>
      <sheetName val="6000"/>
      <sheetName val="FWBS 6000"/>
      <sheetName val="7000"/>
      <sheetName val="FWBS 7000"/>
      <sheetName val="8000"/>
      <sheetName val="FWBS 8000"/>
      <sheetName val="9000"/>
      <sheetName val="A000"/>
      <sheetName val="FWBS A000"/>
      <sheetName val="B000"/>
      <sheetName val="FWBS B000"/>
      <sheetName val="Z000"/>
      <sheetName val="FWBS Z000"/>
      <sheetName val="TYPE-A"/>
      <sheetName val="Chart"/>
      <sheetName val="95신규호표"/>
      <sheetName val="Proj_Details1"/>
      <sheetName val="_1"/>
      <sheetName val="Final_Tender1"/>
      <sheetName val="Sch_A-Viaduct1"/>
      <sheetName val="Sch_A_-_Typ_Station_1"/>
      <sheetName val="Sch_B1"/>
      <sheetName val="Strip_Plan1"/>
      <sheetName val="Major_Items1"/>
      <sheetName val="Cost_of_equip,fabrication1"/>
      <sheetName val="Late_start1"/>
      <sheetName val="early_start1"/>
      <sheetName val="Q_Baricade1"/>
      <sheetName val="Q_HR1"/>
      <sheetName val="Equip_Depl1"/>
      <sheetName val="R-Void_Slab1"/>
      <sheetName val="R_-_portal1"/>
      <sheetName val="R_CLC1"/>
      <sheetName val="P-Ins_&amp;_Bonds1"/>
      <sheetName val="P_Staff_fac1"/>
      <sheetName val="P-Site_fac1"/>
      <sheetName val="P-Clients_fac1"/>
      <sheetName val="P_Cash_Flow1"/>
      <sheetName val="Fee Rate Summary"/>
      <sheetName val="GRAIN SIZE "/>
      <sheetName val="Sp.Gr."/>
      <sheetName val="LLPL"/>
      <sheetName val="PROCTOR"/>
      <sheetName val="C.B.R"/>
      <sheetName val="sp.CBR"/>
      <sheetName val="Joint"/>
      <sheetName val="Read me"/>
      <sheetName val="CI_Culvert"/>
      <sheetName val="Main_calcn1(culvert)"/>
      <sheetName val="GI_culvert"/>
      <sheetName val="CI_Sump"/>
      <sheetName val="Sump_cal"/>
      <sheetName val="Main_calcn1 (sump)"/>
      <sheetName val="Jt_table"/>
      <sheetName val="Jt_rate"/>
      <sheetName val="Main_Calcn2"/>
      <sheetName val="SPECIAL"/>
      <sheetName val="A S TEE"/>
      <sheetName val="A F TEE"/>
      <sheetName val="D F TAPER"/>
      <sheetName val="GI_Sump"/>
      <sheetName val="Rates_CI"/>
      <sheetName val="Rate_GI"/>
      <sheetName val="Rate_Labour"/>
      <sheetName val="special_copy"/>
      <sheetName val="Synop"/>
      <sheetName val="Loading"/>
      <sheetName val="Ref Ab"/>
      <sheetName val="Proj. View "/>
      <sheetName val="civil cost"/>
      <sheetName val="Toll Plaza"/>
      <sheetName val="C.P"/>
      <sheetName val="st.analysis"/>
      <sheetName val="Traffic signs"/>
      <sheetName val="bus_bay"/>
      <sheetName val="Materials"/>
      <sheetName val="LOCAL RATES"/>
      <sheetName val="MAJ Qtys "/>
      <sheetName val="MECH-PROG"/>
      <sheetName val="MECH-ANLYS"/>
      <sheetName val="Crusher"/>
      <sheetName val="Crushing n screening"/>
      <sheetName val="SHUTTERING "/>
      <sheetName val="Input_footings"/>
      <sheetName val="SinglePeir_Input"/>
      <sheetName val="Conc rate analysis"/>
      <sheetName val="Bill No.5C"/>
      <sheetName val="Bill No. 5D"/>
      <sheetName val="Bill No. 5E"/>
      <sheetName val="Bill No.5F"/>
      <sheetName val="Bill No.10"/>
      <sheetName val="Bill No.13"/>
      <sheetName val="Abstract-BOQ"/>
      <sheetName val="Pg No"/>
      <sheetName val="Consump %"/>
      <sheetName val="B&amp;U Abs"/>
      <sheetName val="B&amp;U"/>
      <sheetName val="B&amp;U-Rebar"/>
      <sheetName val="RE Wall"/>
      <sheetName val="RE Emb-10+"/>
      <sheetName val="RE Block Ere-10+"/>
      <sheetName val="RE FM -10+"/>
      <sheetName val="RE Fill-10+"/>
      <sheetName val="RE Ere-11"/>
      <sheetName val="RE Fill-11"/>
      <sheetName val="RE FM-11"/>
      <sheetName val="RE Emb 11+"/>
      <sheetName val="RE Block Ere-16+"/>
      <sheetName val="RE FM-16"/>
      <sheetName val="RE Fill-16+"/>
      <sheetName val="RE EMB-16"/>
      <sheetName val="RE EMB-31+"/>
      <sheetName val="RE Block Ere-31+"/>
      <sheetName val="RE FM-31+"/>
      <sheetName val="RE Fill-31+"/>
      <sheetName val="RE Block-cas"/>
      <sheetName val="RE Pannel-cas"/>
      <sheetName val="Abstract of Escalation"/>
      <sheetName val="Escalation-Cement"/>
      <sheetName val="Escalation-Steel"/>
      <sheetName val="Escalation-Diesel"/>
      <sheetName val="Invoice Details-1"/>
      <sheetName val="Invoice Details-2"/>
      <sheetName val="Invoice Details-3"/>
      <sheetName val="Invoice Details-5"/>
      <sheetName val="Secured Mat. Advance"/>
      <sheetName val="Invoice Details-9"/>
      <sheetName val="AS 7"/>
      <sheetName val="AS 7 (REV)"/>
      <sheetName val="BOQ (REV)"/>
      <sheetName val="Conc rate analysisa"/>
      <sheetName val="Conc rate analysis (Dust)"/>
      <sheetName val="Shear at Sections"/>
      <sheetName val="FENCING"/>
      <sheetName val="19-PERF"/>
      <sheetName val="H2-08 Thot"/>
      <sheetName val="H1-09 Thot"/>
      <sheetName val="H1,2009 Sripad"/>
      <sheetName val="H2-08 Sripad"/>
      <sheetName val="H1-2009 RJ"/>
      <sheetName val="H2-08 RJ4"/>
      <sheetName val="All Projects"/>
      <sheetName val="Q2-09 VA"/>
      <sheetName val="Z- GENERAL PRICE SUMMARY"/>
      <sheetName val=" Estimate  "/>
      <sheetName val="갑지1"/>
      <sheetName val="경영혁신본뷀"/>
      <sheetName val="electrical"/>
      <sheetName val="고압수량(철거)"/>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기계내역서"/>
      <sheetName val="2.2 STAFF Scedule"/>
      <sheetName val="당초내역서"/>
      <sheetName val="갑지(추정)"/>
      <sheetName val="ELEC_DCI"/>
      <sheetName val="INST_DCI"/>
      <sheetName val="Engg-Exec-2"/>
      <sheetName val="Site-Precom-2"/>
      <sheetName val="Collab"/>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EQUIPOS"/>
      <sheetName val="바닥판"/>
      <sheetName val="TYPE1"/>
      <sheetName val="철근량"/>
      <sheetName val="토목주소"/>
      <sheetName val="프랜트면허"/>
      <sheetName val="역T형"/>
      <sheetName val="PILE"/>
      <sheetName val="Man Hole"/>
      <sheetName val="대로근거"/>
      <sheetName val="중로근거"/>
      <sheetName val="PRO_DCI"/>
      <sheetName val="HVAC_DCI"/>
      <sheetName val="PIPE_DCI"/>
      <sheetName val="일위대가표"/>
      <sheetName val="조건표"/>
      <sheetName val="일위대가"/>
      <sheetName val="내역표지"/>
      <sheetName val="산출2-기기동력"/>
      <sheetName val="40총괄"/>
      <sheetName val="40집계"/>
      <sheetName val="30신설일위대가"/>
      <sheetName val="30집계표"/>
      <sheetName val="NSCP견적물량"/>
      <sheetName val="공사비예산서(토목분)"/>
      <sheetName val="float&amp;bear"/>
      <sheetName val="Kfracture"/>
      <sheetName val="직재"/>
      <sheetName val="I一般比"/>
      <sheetName val="입력시트"/>
      <sheetName val="ERECT"/>
      <sheetName val="PROSUM"/>
      <sheetName val="Resumen"/>
      <sheetName val="Precios Unitarios"/>
      <sheetName val="내역서 耰&quot;_x005f_x005f_x005f_x005f_x005f_x005f_x005f_x0000_"/>
      <sheetName val="_x005f_x005f_x005f_x005f_x005f_x005f_x005f_x0008_"/>
      <sheetName val="9906"/>
      <sheetName val="계측 내역서"/>
      <sheetName val="Lstsub"/>
      <sheetName val="[SANDAN.XLS??"/>
      <sheetName val="Hot"/>
      <sheetName val="Piping BQ for one turbine"/>
      <sheetName val="AILC004"/>
      <sheetName val="Administrative Prices"/>
      <sheetName val="Calc"/>
      <sheetName val="WBS 44"/>
      <sheetName val="WBS 41"/>
      <sheetName val="Precios por Administración"/>
      <sheetName val="Subcon A"/>
      <sheetName val="수로보호공"/>
      <sheetName val="데이타"/>
      <sheetName val="식재인부"/>
      <sheetName val="견적"/>
      <sheetName val="7. 월별투입내역서"/>
      <sheetName val="인부신상자료"/>
      <sheetName val="cable-data"/>
      <sheetName val="T 3"/>
      <sheetName val="HORI. VESSEL"/>
      <sheetName val="BCPAB"/>
      <sheetName val="내역서"/>
      <sheetName val="MP MOB"/>
      <sheetName val="SummaryC"/>
      <sheetName val="cable"/>
      <sheetName val="배관내역"/>
      <sheetName val="Form B"/>
      <sheetName val="Direct"/>
      <sheetName val="FORM-12"/>
      <sheetName val="Insts"/>
      <sheetName val="Vind - BtB"/>
      <sheetName val="LV induction motors"/>
      <sheetName val="인원계획"/>
      <sheetName val="BSD (2)"/>
      <sheetName val="BM DATA SHEET"/>
      <sheetName val="입찰품의서"/>
      <sheetName val="내역ࠜĀ_x005f_x005f_x005f_x005f_x005f_x005f_x005f_x005f_x0"/>
      <sheetName val="내역서 耰&quot;_x005f_x005f_x005f_x005f_x005f_x005f_x005f_x005f_"/>
      <sheetName val="_x005f_x005f_x005f_x005f_x005f_x005f_x005f_x005f_x005f_x005f_"/>
      <sheetName val="Q-7100-001"/>
      <sheetName val="수주추정"/>
      <sheetName val="_x0002__x0000_뻘N_x0000__x0000__x0001_ࠀ역서"/>
      <sheetName val="BATCH"/>
      <sheetName val="trf(36%)"/>
      <sheetName val="sum"/>
      <sheetName val="All_2"/>
      <sheetName val="Monthly Load"/>
      <sheetName val="Weekly Load"/>
      <sheetName val="Utility and Fire flange"/>
      <sheetName val="Material Selections"/>
      <sheetName val="97 사업추정(WEKI)"/>
      <sheetName val="금융"/>
      <sheetName val="변경집계표"/>
      <sheetName val="DB@Acess"/>
      <sheetName val="집계표"/>
      <sheetName val="M_DB"/>
      <sheetName val="Piping_물량_정리_"/>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실행집계"/>
      <sheetName val="breakdown of wage rate"/>
      <sheetName val="Unit"/>
      <sheetName val="INPUT_DATA2"/>
      <sheetName val="집계표_(25,26ဩ2"/>
      <sheetName val="Form_02"/>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내역서_耰&quot;__1"/>
      <sheetName val="Civil_1"/>
      <sheetName val="Civil_2"/>
      <sheetName val="Civil_3"/>
      <sheetName val="Site_1"/>
      <sheetName val="Site_2"/>
      <sheetName val="Site_3"/>
      <sheetName val="Site_Faci"/>
      <sheetName val="DCS"/>
      <sheetName val="FWBS7000,8000"/>
      <sheetName val="ANALYSER"/>
      <sheetName val="Eq. Mobilization"/>
      <sheetName val="출금실적"/>
      <sheetName val="경영현황"/>
      <sheetName val="_x0002_?뻘N??_x0001_ࠀ역서"/>
      <sheetName val="_SANDAN.XLS__"/>
      <sheetName val="_x0002_"/>
      <sheetName val="내역서 (∮ἀ嘆ɶ_x0000_᠀㬁_x0000_"/>
      <sheetName val="당초_xd8b4_∸ἀ"/>
      <sheetName val="Resource table"/>
      <sheetName val="총괄표"/>
      <sheetName val="7422CW00"/>
      <sheetName val="수량집계"/>
      <sheetName val="총괄집계표"/>
      <sheetName val="일일총괄"/>
      <sheetName val="criteria"/>
      <sheetName val="RFP002"/>
      <sheetName val="Cal"/>
      <sheetName val="TDTKP"/>
      <sheetName val="DK-KH"/>
      <sheetName val="_x0004__x0000__x000d__x0000__x0003__x0000__x0004__x0000__x0016__x0000__x000d__x0000__x0004_"/>
      <sheetName val="_x000a__x0000__x001b__x0000__x0006__x0000__x0006__x0000__x0008__x0000__x000a__x0000__x0000_"/>
      <sheetName val="BREAKDOWN(철거설치)"/>
      <sheetName val="BREAKDOWN(신규설치)"/>
      <sheetName val="자바라1"/>
      <sheetName val="Code_Magics"/>
      <sheetName val="Curves"/>
      <sheetName val="data_dci"/>
      <sheetName val="Heads"/>
      <sheetName val="data_mci"/>
      <sheetName val="BLDG_DCI"/>
      <sheetName val="BLDG_MCI"/>
      <sheetName val="PRO_A"/>
      <sheetName val="Tables"/>
      <sheetName val="Page_2"/>
      <sheetName val="Dbase"/>
      <sheetName val="behind"/>
      <sheetName val="costing_CV"/>
      <sheetName val="ITB_COST"/>
      <sheetName val="costing_ESDV"/>
      <sheetName val="costing_FE"/>
      <sheetName val="PROJECT"/>
      <sheetName val="정부노임단가"/>
      <sheetName val="Jobcost"/>
      <sheetName val="Default_Magics"/>
      <sheetName val="BM_DATA_SHEET"/>
      <sheetName val="Graph_(LGEN)"/>
      <sheetName val="PumpSpec"/>
      <sheetName val="costing_MOV"/>
      <sheetName val="out_prog"/>
      <sheetName val="costing_Press"/>
      <sheetName val="96_121"/>
      <sheetName val="선적schedule_(2)"/>
      <sheetName val="System구분"/>
      <sheetName val="견적기준"/>
      <sheetName val="b_balju-단가단가단가"/>
      <sheetName val="10현장조직"/>
      <sheetName val="할증표"/>
      <sheetName val="choose"/>
      <sheetName val="MBQ"/>
      <sheetName val="drg study"/>
      <sheetName val="RA"/>
      <sheetName val="block"/>
      <sheetName val="Technicla manpower"/>
      <sheetName val="Mixer"/>
      <sheetName val="Basic Material Rate"/>
      <sheetName val="BP Cost"/>
      <sheetName val="Concrete ana"/>
      <sheetName val="Rate analysis-civil"/>
      <sheetName val="Rate Analysis- Earth work"/>
      <sheetName val="reinf"/>
      <sheetName val="Rate Analysis-Misc "/>
      <sheetName val="masonry"/>
      <sheetName val="Plant Hire Pile"/>
      <sheetName val="Rate Analysis-Pile"/>
      <sheetName val="SoA Breakup"/>
      <sheetName val="SoA"/>
      <sheetName val="Rate Analysis- Concrete"/>
      <sheetName val="4 Plumbing"/>
      <sheetName val="Changed Analysis"/>
      <sheetName val="Civil Work-building"/>
      <sheetName val="Analysis."/>
      <sheetName val="Elect."/>
      <sheetName val="Syn.my to jam."/>
      <sheetName val="Machinery List"/>
      <sheetName val="STAFF-OH"/>
      <sheetName val="M.J.1 BOQ"/>
      <sheetName val="T-2 gen"/>
      <sheetName val="Road Map"/>
      <sheetName val="Details material"/>
      <sheetName val="MECH-PROG (2)"/>
      <sheetName val="Synopsis C-10"/>
      <sheetName val="Loading "/>
      <sheetName val="MAJ Qtys"/>
      <sheetName val="BoQ C- 10"/>
      <sheetName val="TSP-CRUSHER"/>
      <sheetName val="END"/>
      <sheetName val="Brief"/>
      <sheetName val="Shuttering Cost NS 40"/>
      <sheetName val="Abs 4 L"/>
      <sheetName val="Abs 6 L"/>
      <sheetName val="Syn"/>
      <sheetName val="OHs"/>
      <sheetName val="T-2 material"/>
      <sheetName val="T Plaza boq"/>
      <sheetName val="T plaza"/>
      <sheetName val="civil cost (Sun)"/>
      <sheetName val="Clarification"/>
      <sheetName val="Rate analysis - EW"/>
      <sheetName val="masonary"/>
      <sheetName val="Conc analysis"/>
      <sheetName val="Rate Analysis-Misc"/>
      <sheetName val="Rate Anaysis-Finish"/>
      <sheetName val="Rate Analysis-Finish1"/>
      <sheetName val="CoA Breakup"/>
      <sheetName val="Content-Technical"/>
      <sheetName val="Org-Chart"/>
      <sheetName val="Manpower Sche"/>
      <sheetName val="equipment Sche"/>
      <sheetName val="Separator Sheet"/>
      <sheetName val="Conc-Site"/>
      <sheetName val="Shut"/>
      <sheetName val="T Crane"/>
      <sheetName val="OH"/>
      <sheetName val="TS"/>
      <sheetName val="SDF I"/>
      <sheetName val="OH's"/>
      <sheetName val="BOQ P-N"/>
      <sheetName val="Site Plan"/>
      <sheetName val="Elect"/>
      <sheetName val="DPR BOQ"/>
      <sheetName val="DPR Rates"/>
      <sheetName val="Highways BOQ"/>
      <sheetName val="Structures BOQ"/>
      <sheetName val="Cover Drain"/>
      <sheetName val="OH Calculation sheet"/>
      <sheetName val="Program"/>
      <sheetName val="Road BOQ)"/>
      <sheetName val="Machinary  Analysis- DSIDC"/>
      <sheetName val="hmp"/>
      <sheetName val="wmm"/>
      <sheetName val="Over Head Total"/>
      <sheetName val="Analysis( Civil )."/>
      <sheetName val="Synopsis "/>
      <sheetName val="OH- Summery"/>
      <sheetName val="OH Calculations"/>
      <sheetName val="Fin. Charges"/>
      <sheetName val="Backup CC"/>
      <sheetName val="Abst"/>
      <sheetName val="PBQ"/>
      <sheetName val="Materials Reqd"/>
      <sheetName val="Rate anly as per site sink data"/>
      <sheetName val="KL Bridge BoQ"/>
      <sheetName val="Mech Details"/>
      <sheetName val="Electrical BoQ"/>
      <sheetName val="Analysis (2)"/>
      <sheetName val="earth work RA"/>
      <sheetName val="BoQ Bld"/>
      <sheetName val="SHUTTERING (NS-40)"/>
      <sheetName val="Elect- Naidu designs"/>
      <sheetName val="Pile-1000mm dia"/>
      <sheetName val="Pile-1200mm dia "/>
      <sheetName val="ITEMS TO BE CHECK"/>
      <sheetName val="PROJ VIEW"/>
      <sheetName val="PAGE COLLECTION"/>
      <sheetName val="RESOUR_MACH"/>
      <sheetName val="MECH-COST ANALYSIS"/>
      <sheetName val="MAJOR QTYS"/>
      <sheetName val="RESOUR_MANPOWER"/>
      <sheetName val="Eqpt_Manpoer Schedule"/>
      <sheetName val="NH-25(MP-UP) synopsys"/>
      <sheetName val="catch pit"/>
      <sheetName val="Shuttering&amp;Concrete"/>
      <sheetName val="Synopsis"/>
      <sheetName val="Abs Wagha"/>
      <sheetName val="Wagha BoQ"/>
      <sheetName val="Batching plant"/>
      <sheetName val="CONCRETE MIXER"/>
      <sheetName val="Concrete Pump"/>
      <sheetName val="Compressor"/>
      <sheetName val="Dozer"/>
      <sheetName val="Excavator"/>
      <sheetName val="FE Loader"/>
      <sheetName val="Grader"/>
      <sheetName val="HMP Plant"/>
      <sheetName val="PTR"/>
      <sheetName val="Tipper"/>
      <sheetName val="Tractor with Ripper "/>
      <sheetName val="Tandem Roller"/>
      <sheetName val="Vibratory Roller "/>
      <sheetName val="Water tanker"/>
      <sheetName val="WMM Paver"/>
      <sheetName val="WMM Plant"/>
      <sheetName val="Grand Summary"/>
      <sheetName val="Common Plant"/>
      <sheetName val="pLUMBING"/>
      <sheetName val="List of Items"/>
      <sheetName val="Major Quantities"/>
      <sheetName val="ANALYSIS (PMC)"/>
      <sheetName val="earth work Road"/>
      <sheetName val="Hire -based on depr"/>
      <sheetName val="machinery charges road"/>
      <sheetName val="BP (2)"/>
      <sheetName val="earth work Railway"/>
      <sheetName val="DC - HMP Plant"/>
      <sheetName val="P&amp;M Dep"/>
      <sheetName val="Summary of Rates"/>
      <sheetName val="Cal - 08-09"/>
      <sheetName val="Lead statement - 2008-09"/>
      <sheetName val="Bitumen-2008-09"/>
      <sheetName val="13 (2)"/>
      <sheetName val="12 (20%)"/>
      <sheetName val="13 (20%)"/>
      <sheetName val="14 (20%)"/>
      <sheetName val="15 (2)"/>
      <sheetName val="Market Rate"/>
      <sheetName val="Cement"/>
      <sheetName val="Material Rate Variation"/>
      <sheetName val="sc bills"/>
      <sheetName val="Top Sheet 1 "/>
      <sheetName val="cf abstract"/>
      <sheetName val="cf sch31.07.07"/>
      <sheetName val="QTY Plan_Prime cost"/>
      <sheetName val="Itemwise Qty plan &amp; Gross Bill"/>
      <sheetName val="BOQ_New 1"/>
      <sheetName val="RA Balance items"/>
      <sheetName val="Staff Expenses 1"/>
      <sheetName val="Lease &amp; Rentals 1"/>
      <sheetName val="Office &amp; Admn 1"/>
      <sheetName val="Input 1"/>
      <sheetName val="Bitumen Calculations 1"/>
      <sheetName val="P&amp;M Charges"/>
      <sheetName val="Tech Data"/>
      <sheetName val="Overhead summary"/>
      <sheetName val="Qnty planned"/>
      <sheetName val="PROGRM -2"/>
      <sheetName val="SC WO rates"/>
      <sheetName val="Working Rates"/>
      <sheetName val="Detailed Expenditure Breakup"/>
      <sheetName val="Expenditure det"/>
      <sheetName val="Boiler&amp;TG"/>
      <sheetName val="Tg_foundn"/>
      <sheetName val="Stru_steel"/>
      <sheetName val="Digester building"/>
      <sheetName val="Boiler_TG"/>
      <sheetName val="Note Sheet"/>
      <sheetName val="notesheet"/>
      <sheetName val="Syn-pkg-1"/>
      <sheetName val="Syn-pkg-2"/>
      <sheetName val="Jhar. BOQ.I,II"/>
      <sheetName val="Machinery Costing"/>
      <sheetName val="Escalation"/>
      <sheetName val="PMC BP"/>
      <sheetName val="PMC Mach"/>
      <sheetName val="Drain calculations"/>
      <sheetName val="Con Pro.I"/>
      <sheetName val="mobilisation"/>
      <sheetName val="Con Pro.II"/>
      <sheetName val="Escl"/>
      <sheetName val="Layout"/>
      <sheetName val="Elec Items"/>
      <sheetName val="Synops"/>
      <sheetName val="Abstract ( Depre)"/>
      <sheetName val="C.P. BOQ"/>
      <sheetName val="BitAll"/>
      <sheetName val="A17"/>
      <sheetName val="ANNX A 17"/>
      <sheetName val="A18"/>
      <sheetName val="ANNX A 18"/>
      <sheetName val="A19"/>
      <sheetName val="ANNX A 19"/>
      <sheetName val="A20"/>
      <sheetName val="ANNX A 20"/>
      <sheetName val="A21"/>
      <sheetName val="ANNX A 21"/>
      <sheetName val="A 22"/>
      <sheetName val="A 23"/>
      <sheetName val="Revised (2)"/>
      <sheetName val="S-Curve"/>
      <sheetName val="SoA Abstr."/>
      <sheetName val="SoA Bre"/>
      <sheetName val="CoA- Abst."/>
      <sheetName val="CoA Bre"/>
      <sheetName val="Work Prog"/>
      <sheetName val="C.Flow - WORKING"/>
      <sheetName val="C.Flow - ABS"/>
      <sheetName val="Crude tank  "/>
      <sheetName val="WATER DRAIN TANKS"/>
      <sheetName val="HDT HSD"/>
      <sheetName val="REFRIGERATED LPG"/>
      <sheetName val="NAPHTHA ST"/>
      <sheetName val="MS PREMIUM"/>
      <sheetName val="DPK AND SKO"/>
      <sheetName val="HSD DIESEL EXPORT ST"/>
      <sheetName val="HSD DIESEL STORAGE TANK"/>
      <sheetName val="MS REGULAR"/>
      <sheetName val="SULPHUR STORAGE TANKS"/>
      <sheetName val="LPG"/>
      <sheetName val="PROPYLENE"/>
      <sheetName val="Abstruct"/>
      <sheetName val="Major material list"/>
      <sheetName val="Coke Drum Str - BOQ"/>
      <sheetName val="Analysis-Civil"/>
      <sheetName val="CD errection cost"/>
      <sheetName val="BP-PMC"/>
      <sheetName val="Out Flow PMC"/>
      <sheetName val="Syn-pkg-3"/>
      <sheetName val="Syn-pkg-4"/>
      <sheetName val="Top Sheet (2)"/>
      <sheetName val="Loading (2)"/>
      <sheetName val="Jhar. BOQ.III,IV"/>
      <sheetName val="Con Pro.III"/>
      <sheetName val="Con Pro.IV"/>
      <sheetName val="Road Works"/>
      <sheetName val="0000000000000"/>
      <sheetName val="1000000000000"/>
      <sheetName val="RMR"/>
      <sheetName val="MEST"/>
      <sheetName val="DATA_ENTRY"/>
      <sheetName val="MRoad data"/>
      <sheetName val="MRATES"/>
      <sheetName val="MBTLead"/>
      <sheetName val="MRMR"/>
      <sheetName val="MRoadMap"/>
      <sheetName val="site rates"/>
      <sheetName val="33 kV-Eqpt.fdn."/>
      <sheetName val="220 kV-Eqpt.-fdn."/>
      <sheetName val="400 kV-Eqpt.fdn."/>
      <sheetName val="Tower &amp; LM Foundation"/>
      <sheetName val="Transformer FDN"/>
      <sheetName val="Transformer FDN.Drawing"/>
      <sheetName val="Transformer FDN 1"/>
      <sheetName val="SK BOQ Pkg-1"/>
      <sheetName val="Analysis "/>
      <sheetName val="Str.Qu."/>
      <sheetName val="AP-1(Electrical BOQ)"/>
      <sheetName val="machinery available soil"/>
      <sheetName val="MAJ Qtys HORR"/>
      <sheetName val="Crusher "/>
      <sheetName val="Shuttering Cost"/>
      <sheetName val="con pro."/>
      <sheetName val="Syn of Sk -Pkg1"/>
      <sheetName val="AP-7(synopsis)"/>
      <sheetName val="Summary AP7"/>
      <sheetName val="BOQ AP 7"/>
      <sheetName val="MAJ Qtys Ap"/>
      <sheetName val="Qty's calc."/>
      <sheetName val="Cost summary"/>
      <sheetName val="Cost summary (test)"/>
      <sheetName val="Cost summary (2)"/>
      <sheetName val="Activity summary"/>
      <sheetName val="Commission fees"/>
      <sheetName val="FUNCTION"/>
      <sheetName val="pr_cal"/>
      <sheetName val="Fire Wall-NEW"/>
      <sheetName val="Recator"/>
      <sheetName val="Cab Tre dc yard"/>
      <sheetName val="Cab Tre-ac yard"/>
      <sheetName val="AC FILTER YARD"/>
      <sheetName val="Ac Yard Equipments"/>
      <sheetName val="DC YARD TOWERS"/>
      <sheetName val="DC Yard Equipments"/>
      <sheetName val="AC YARD TOWERS"/>
      <sheetName val="BOQ total"/>
      <sheetName val="BOQ - AC Switchyard"/>
      <sheetName val="BOQ DC YARD"/>
      <sheetName val="BOQ Buildings -final-BALLIA"/>
      <sheetName val="Control Bldg"/>
      <sheetName val="Adani Haryana_VH"/>
      <sheetName val="Valve Hall including AHU"/>
      <sheetName val="Comparative statement"/>
      <sheetName val="Elect_"/>
      <sheetName val="Railway Deposit"/>
      <sheetName val="BOQ Thum"/>
      <sheetName val="PMC mach "/>
      <sheetName val="Crusher-PMC"/>
      <sheetName val="L.map"/>
      <sheetName val="Ele. workable Rates"/>
      <sheetName val="cash flow-tn06"/>
      <sheetName val="BOQ (F)"/>
      <sheetName val="SUMMARY_"/>
      <sheetName val="Sal1"/>
      <sheetName val="HRA Mess"/>
      <sheetName val="Off-Veh"/>
      <sheetName val="T.KM"/>
      <sheetName val="DC - WMM Plant"/>
      <sheetName val="RA - WMM"/>
      <sheetName val="BP from 74"/>
      <sheetName val="BP @ 58.00km"/>
      <sheetName val="Concrete works"/>
      <sheetName val="Exc items"/>
      <sheetName val="Top Sheet working"/>
      <sheetName val="Major qty "/>
      <sheetName val="SUMMARY_ (2)"/>
      <sheetName val="Escalation-not used"/>
      <sheetName val="Conc Qty"/>
      <sheetName val="WO Rates"/>
      <sheetName val="Top Sheet  "/>
      <sheetName val="Top Sheet -1"/>
      <sheetName val="ABS-SOH"/>
      <sheetName val="Salaries"/>
      <sheetName val="Off-Veh Exp"/>
      <sheetName val="BP-Other strs"/>
      <sheetName val="BP- FOs-Itchgs"/>
      <sheetName val="Hire chares of Machinery"/>
      <sheetName val="Land Lease-NH "/>
      <sheetName val="Major qty"/>
      <sheetName val="BOQ  (2)"/>
      <sheetName val="ESC"/>
      <sheetName val="TARGET VS ACHIVED"/>
      <sheetName val="Sheet1(NOV)"/>
      <sheetName val="Reasons SHORT&amp;CRITICA&amp;EXE.TIME "/>
      <sheetName val="BCTC_SUPPLY (CERTIFIED BILLS)"/>
      <sheetName val="BCTC_ERECTION"/>
      <sheetName val="Action Plan-RE work"/>
      <sheetName val="Action plan Turn Over reports"/>
      <sheetName val="RA BILL DEATAILS"/>
      <sheetName val="pending micc &amp; cip"/>
      <sheetName val="Supply Pkg B"/>
      <sheetName val="Er. PkgB"/>
      <sheetName val="Tower Calculations"/>
      <sheetName val="Hardware &amp; Acces."/>
      <sheetName val="MIS_MRN-6"/>
      <sheetName val="MRN-NEW"/>
      <sheetName val="In Ward 2007-2009"/>
      <sheetName val="MRN"/>
      <sheetName val="MS+CS"/>
      <sheetName val="MS"/>
      <sheetName val="MRNvsPJV FOR 10"/>
      <sheetName val="MS+CS FOR 10"/>
      <sheetName val="MS FOR 10"/>
      <sheetName val="701"/>
      <sheetName val="736"/>
      <sheetName val="98"/>
      <sheetName val="620"/>
      <sheetName val="597"/>
      <sheetName val="668"/>
      <sheetName val="570"/>
      <sheetName val="524"/>
      <sheetName val="675"/>
      <sheetName val="121"/>
      <sheetName val="577"/>
      <sheetName val="681"/>
      <sheetName val="20176"/>
      <sheetName val="20131"/>
      <sheetName val="20165"/>
      <sheetName val="ORG CHART 040206"/>
      <sheetName val="11 KV MAIN LINE 05.02.06"/>
      <sheetName val="s6 05.02.06"/>
      <sheetName val="Trans main"/>
      <sheetName val="Piling-Quot"/>
      <sheetName val="Piling-Kilpak"/>
      <sheetName val="Piling-KKNgr"/>
      <sheetName val="Piling-AnaPonga"/>
      <sheetName val="ABSTRACT-28-07-10"/>
      <sheetName val="DEBTORS AGING - Q1-FINAL"/>
      <sheetName val="NET DEB. W.INGS.26-7"/>
      <sheetName val="DEB. PROV.AS ON 30-06-2010"/>
      <sheetName val="DEB.ACT.PROV.AVAILABLE31-03-10"/>
      <sheetName val="G.D.(ACTUAL)"/>
      <sheetName val="LESSTHAN 6 M"/>
      <sheetName val="MORETHAN 6 MONTHS"/>
      <sheetName val="ONE TO TWO YRS."/>
      <sheetName val="TO TWO 2 3 YRS."/>
      <sheetName val="MOB.ADV."/>
      <sheetName val="MAT.ADV."/>
      <sheetName val="MAC.ADV."/>
      <sheetName val="01-04-08-30-06-08"/>
      <sheetName val="1-7-07-31-03-09"/>
      <sheetName val="01-04-09 30-06-09"/>
      <sheetName val="01-07-08 TO 31-03-09"/>
      <sheetName val="Complaince Status Report"/>
      <sheetName val="STOCK STATEMENT-BSP"/>
      <sheetName val="Major Materials"/>
      <sheetName val="Free Issue Mat. to PRW_Sub Con."/>
      <sheetName val="P.V.CL.Stock-BSP"/>
      <sheetName val="Physical Verification Cl. Stock"/>
      <sheetName val="Physical verification of FA"/>
      <sheetName val="Physical verification-BSP"/>
      <sheetName val="HOSPET-EMIPRICE"/>
      <sheetName val="Civil Analysis "/>
      <sheetName val="D.I pipe"/>
      <sheetName val="D.IComp"/>
      <sheetName val="Check List"/>
      <sheetName val="Site Visit Report"/>
      <sheetName val="ANALSIS"/>
      <sheetName val="rev.boq"/>
      <sheetName val="Ana=Civ"/>
      <sheetName val="ANa=Str"/>
      <sheetName val="Ana=SW"/>
      <sheetName val="PH"/>
      <sheetName val=" BoQ"/>
      <sheetName val="TUGSS3-549"/>
      <sheetName val="MRate"/>
      <sheetName val="PRELIM5"/>
      <sheetName val="Monthly Billing"/>
      <sheetName val="MPS R-1 (2)"/>
      <sheetName val="MPS R-1"/>
      <sheetName val="Level-3 MPS"/>
      <sheetName val="Old working"/>
      <sheetName val="SIL File"/>
      <sheetName val="FACTORS"/>
      <sheetName val="EP"/>
      <sheetName val="Extra &amp; Addtional Item"/>
      <sheetName val="CTC Variance Analysis 1 "/>
      <sheetName val="FTS"/>
      <sheetName val="CostFlow"/>
      <sheetName val="26.Cash flow "/>
      <sheetName val="Oncost"/>
      <sheetName val="Sch A1-A2"/>
      <sheetName val="Sch A3"/>
      <sheetName val="Sch A2-direct Rate"/>
      <sheetName val="PL-Dis"/>
      <sheetName val="Est-PL"/>
      <sheetName val="FTS-PNM"/>
      <sheetName val="BU III"/>
      <sheetName val="Cost-Sept 2015"/>
      <sheetName val="Cost April 2015"/>
      <sheetName val="BG Prepaid"/>
      <sheetName val="PILE COMP."/>
      <sheetName val=" ESC"/>
      <sheetName val="Tax-Mat"/>
      <sheetName val="Tax-Total"/>
      <sheetName val="FTS-HVT&amp;SS"/>
      <sheetName val="B-PL"/>
      <sheetName val="1.Pr Sch"/>
      <sheetName val="2.Work Program"/>
      <sheetName val="Client Quote BOQ"/>
      <sheetName val="Final Rate_WCT - less Cement"/>
      <sheetName val="6.B-LCSC"/>
      <sheetName val="Sheet piling"/>
      <sheetName val="sheet piling analysis"/>
      <sheetName val="Cl Fac"/>
      <sheetName val="DL"/>
      <sheetName val="Ins"/>
      <sheetName val="Sch D,E,G"/>
      <sheetName val="Fire Fighting"/>
      <sheetName val="Item E2"/>
      <sheetName val="4.B-Mat"/>
      <sheetName val="B Arch Mat"/>
      <sheetName val="5.B-Mix"/>
      <sheetName val="10.Est-SS"/>
      <sheetName val="16.Sal"/>
      <sheetName val="22.Enab"/>
      <sheetName val="23.Risk"/>
      <sheetName val="RBI Indices"/>
      <sheetName val="CY Detail"/>
      <sheetName val="Prestressing"/>
      <sheetName val="Thai Salary"/>
      <sheetName val="Sanitary_L&amp;T_Mandi"/>
      <sheetName val="PROFIT &amp; LOSS ACC"/>
      <sheetName val="Details of Closing Stock"/>
      <sheetName val="Comput"/>
      <sheetName val="Companies Act"/>
      <sheetName val="I.T. Act"/>
      <sheetName val="Depn _ net off subsidy"/>
      <sheetName val="Sponge Iron"/>
      <sheetName val="Cost of FG"/>
      <sheetName val="Coal (Weighted Av)"/>
      <sheetName val="Iron Ore"/>
      <sheetName val="Iron Ore (Weighted Av)"/>
      <sheetName val="Dolomite"/>
      <sheetName val="Dolomite (Weighted Av)"/>
      <sheetName val="Rent - Guest House"/>
      <sheetName val="Unsecured Loan"/>
      <sheetName val="TDS (Dr.)"/>
      <sheetName val="Prepaid Expenses"/>
      <sheetName val="Sundry  Balance Written Off"/>
      <sheetName val="IRPY"/>
      <sheetName val="Outstanding Liabilities"/>
      <sheetName val="Retention Money"/>
      <sheetName val="Sundry Debtors"/>
      <sheetName val="Advance from Customer"/>
      <sheetName val="Subsidies"/>
      <sheetName val="Detail of Cr"/>
      <sheetName val="Notes1"/>
      <sheetName val="80IB (2)"/>
      <sheetName val="80IB"/>
      <sheetName val="Unsold Construction"/>
      <sheetName val="GP"/>
      <sheetName val="NOA 1"/>
      <sheetName val="NOA 2"/>
      <sheetName val="NOA 3"/>
      <sheetName val="NOA 4"/>
      <sheetName val="NOA 5"/>
      <sheetName val="NOA 6"/>
      <sheetName val="NOA 7"/>
      <sheetName val="NOA 8"/>
      <sheetName val="NOA 9"/>
      <sheetName val="I.T. Act (2)"/>
      <sheetName val="Companies Act (2)"/>
      <sheetName val="Salary &amp; Wages"/>
      <sheetName val="Creditors (Cr.)"/>
      <sheetName val="Creditors (Dr.)"/>
      <sheetName val="REPAYMENT"/>
      <sheetName val="PROJECT REPORT"/>
      <sheetName val="CMA DATA"/>
      <sheetName val="Schedule BS"/>
      <sheetName val="Note 8-Non Current Investments"/>
      <sheetName val="P &amp; L."/>
      <sheetName val="Schedule to P&amp;L"/>
      <sheetName val="capital account"/>
      <sheetName val="Computation-Old"/>
      <sheetName val="Soul - Trial Balances "/>
      <sheetName val="Jubilee"/>
      <sheetName val="Yoga"/>
      <sheetName val="Avasa"/>
      <sheetName val="Jubilee P &amp; L"/>
      <sheetName val="Banjara P &amp; L"/>
      <sheetName val="Avasa P &amp; L"/>
      <sheetName val="Yoga Studio P &amp; L"/>
      <sheetName val="BS - Yoga"/>
      <sheetName val="BS - Jubilee"/>
      <sheetName val="BS - Avasa"/>
      <sheetName val="BS - Banjara"/>
      <sheetName val="Invest-EQ"/>
      <sheetName val="Invest-MF"/>
      <sheetName val="Mapping_31-03-05"/>
      <sheetName val="Notes to P&amp;L"/>
      <sheetName val="Abstrtact"/>
      <sheetName val="Notes to P&amp;L2"/>
      <sheetName val="Related parties"/>
      <sheetName val="Segment_Final"/>
      <sheetName val="212 (3)"/>
      <sheetName val="IEL trial-05"/>
      <sheetName val="IEL Mar 05"/>
      <sheetName val="IES Mar 05"/>
      <sheetName val="Prov for Tax"/>
      <sheetName val="Income Tax-Assmt position"/>
      <sheetName val="NOTE 2.1 "/>
      <sheetName val="NOTE 2.2 TO 2.14"/>
      <sheetName val="note 2.15 - 2.20"/>
      <sheetName val="note 2.8 (1)"/>
      <sheetName val="Note 2.8"/>
      <sheetName val="Note 2.11"/>
      <sheetName val="working 2015 -16"/>
      <sheetName val="working 2015"/>
      <sheetName val="DPR-JBRP"/>
      <sheetName val="DATA-JMEC(0-13)"/>
      <sheetName val="DATA-DEP.(13-17)"/>
      <sheetName val="DATA-KBPL(17-25)"/>
      <sheetName val="DATA-GCC(25-34.7)"/>
      <sheetName val="St.-Con(0-17)"/>
      <sheetName val="St.-Con.(17-34)"/>
      <sheetName val="St.-Others"/>
      <sheetName val="DEPLOY"/>
      <sheetName val="not req"/>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appendix 2.2 variances"/>
      <sheetName val="appendix 2.8 provisions"/>
      <sheetName val="ANAL"/>
      <sheetName val="1,4,13-.scope"/>
      <sheetName val="scurve"/>
      <sheetName val="132 kV Roikbha"/>
      <sheetName val="OPGW Quantity summary"/>
      <sheetName val="recap generale"/>
      <sheetName val="bord prix fourniture"/>
      <sheetName val="Détail Rechanges Client"/>
      <sheetName val="outillage"/>
      <sheetName val="sous traitance"/>
      <sheetName val="liste ANDI"/>
      <sheetName val="PV devinet"/>
      <sheetName val="PDRA devinet"/>
      <sheetName val="synthesis"/>
      <sheetName val="export coeff"/>
      <sheetName val="p.sch.coeff"/>
      <sheetName val="RecettesUsinesClient"/>
      <sheetName val="RécapCoachingGre"/>
      <sheetName val="Estim"/>
      <sheetName val="aide"/>
      <sheetName val="400kV GIS"/>
      <sheetName val="400kV AIS"/>
      <sheetName val="EA Sheet"/>
      <sheetName val="Internal Summary"/>
      <sheetName val="Supply - ETC"/>
      <sheetName val="SUM CE"/>
      <sheetName val="GIS"/>
      <sheetName val="Revised ANNEX-1"/>
      <sheetName val="ANNEX2"/>
      <sheetName val="VAT on Civil"/>
      <sheetName val="Receipt - Payment"/>
      <sheetName val="CF Statement"/>
      <sheetName val="OWC"/>
      <sheetName val="Curve"/>
      <sheetName val="Bank Charges"/>
      <sheetName val="ROR"/>
      <sheetName val="Scope &amp; Exclusion"/>
      <sheetName val="Tech. com"/>
      <sheetName val="EquipEarthing"/>
      <sheetName val="ESTDGRIDrev0"/>
      <sheetName val="DCPowerCables"/>
      <sheetName val="ACpowercables"/>
      <sheetName val="ControlCable"/>
      <sheetName val="Lighting"/>
      <sheetName val="Cantilever Strength"/>
      <sheetName val="TBB"/>
      <sheetName val="72.5EquipEarthing"/>
      <sheetName val="36EquipEarthing"/>
      <sheetName val=" _x0000__x001b__x0000__x0006__x0000__x0006__x0000__x0008__x0000_ _x0000__x0000_"/>
      <sheetName val="DPR -Permanent Works"/>
      <sheetName val="CP FEB 03"/>
      <sheetName val="CWCO FEB 03"/>
      <sheetName val="OH FEB 03"/>
      <sheetName val="MAT FEB 03"/>
      <sheetName val="P&amp;M AFA"/>
      <sheetName val="P&amp;M DEPN"/>
      <sheetName val="LAB FEB'03"/>
      <sheetName val="SC Cost FEB 03"/>
      <sheetName val="FEB03 LEDGER"/>
      <sheetName val="FEB03 LEDGER (2)"/>
      <sheetName val="JAN 03 LEDGER (2)"/>
      <sheetName val="CP distribution for CEMA"/>
      <sheetName val="CP MAR 03"/>
      <sheetName val="CWCO MAR 03"/>
      <sheetName val="MAR03 LEDGER"/>
      <sheetName val="MAR03 LEDGER (2)"/>
      <sheetName val="June08"/>
      <sheetName val="May2008"/>
      <sheetName val="Fix summary"/>
      <sheetName val="OFF EQP"/>
      <sheetName val="AC"/>
      <sheetName val="FUR FITT"/>
      <sheetName val="MOT VEH"/>
      <sheetName val="CAN EQUIP"/>
      <sheetName val="fIRE EXTIN"/>
      <sheetName val="Elec inst"/>
      <sheetName val="Patt &amp; dies"/>
      <sheetName val="RUPEE"/>
      <sheetName val="cap-borrow"/>
      <sheetName val="fassets"/>
      <sheetName val="asset1"/>
      <sheetName val="asset2"/>
      <sheetName val="plsch2"/>
      <sheetName val="plsch3"/>
      <sheetName val="Tax Prov"/>
      <sheetName val="IT WDV"/>
      <sheetName val="Financial Highlights"/>
      <sheetName val="FormV"/>
      <sheetName val="FormVII"/>
      <sheetName val="Cost of project"/>
      <sheetName val="Margin Money"/>
      <sheetName val="Means of finance"/>
      <sheetName val="Cost of Production"/>
      <sheetName val="Power calculations"/>
      <sheetName val="Working results"/>
      <sheetName val="Break-even"/>
      <sheetName val="Payback"/>
      <sheetName val="Estimates"/>
      <sheetName val="CONTENT INDEX"/>
      <sheetName val="ANNEXURES"/>
      <sheetName val="PL sch 1"/>
      <sheetName val="PL SCH2"/>
      <sheetName val="BS sch1"/>
      <sheetName val="BS sch2"/>
      <sheetName val="FA -casted New"/>
      <sheetName val="FAold"/>
      <sheetName val="BS sch 3"/>
      <sheetName val="BS sch 4"/>
      <sheetName val="Notes-1"/>
      <sheetName val="Notes-2"/>
      <sheetName val="Blade budget rev(20.04.10)"/>
      <sheetName val="Budget Vs Actual (3)"/>
      <sheetName val="Budget Vs Actual"/>
      <sheetName val="Monthwise Summary"/>
      <sheetName val="Sep08"/>
      <sheetName val="Aug08"/>
      <sheetName val="July08"/>
      <sheetName val="Apr2008"/>
      <sheetName val="Mar2008"/>
      <sheetName val="Feb2008"/>
      <sheetName val="INV PL LSML (INDIA) md revie"/>
      <sheetName val="INVESTMENT PLAN ITALY"/>
      <sheetName val="INV PL LSML (INDIA)"/>
      <sheetName val="IT BUDGET"/>
      <sheetName val="Philip Blade "/>
      <sheetName val="INV PL LSML(ITALY)"/>
      <sheetName val="Directives"/>
      <sheetName val="Explanation fields"/>
      <sheetName val="5year sum"/>
      <sheetName val="DOWN SEGMENT REPORT"/>
      <sheetName val="FLUCTUATIONS"/>
      <sheetName val="Previous year"/>
      <sheetName val="rescheudule"/>
      <sheetName val="ROCE Calculation"/>
      <sheetName val="Revaluaiton"/>
      <sheetName val="5year sum "/>
      <sheetName val="cogs reconciliation"/>
      <sheetName val="PNEW"/>
      <sheetName val="Audit commitee"/>
      <sheetName val="Cash flow chander"/>
      <sheetName val="ED on stock"/>
      <sheetName val="Segment - Balance Sheet"/>
      <sheetName val="Segment report"/>
      <sheetName val="LS39 Rotor blade -Capital Items"/>
      <sheetName val="Employee cost Balu"/>
      <sheetName val="Payroll cost"/>
      <sheetName val="Detail HR-Plan"/>
      <sheetName val="cost centres"/>
      <sheetName val="MC Shop"/>
      <sheetName val="Blade"/>
      <sheetName val="Prinoth"/>
      <sheetName val="P&amp;P"/>
      <sheetName val="Planing"/>
      <sheetName val="250KW"/>
      <sheetName val="Dart"/>
      <sheetName val="Innosoft"/>
      <sheetName val="Imports"/>
      <sheetName val="Std. Cost-FG"/>
      <sheetName val="Std. Cost-Bulk"/>
      <sheetName val="Daily Sheet"/>
      <sheetName val="Chq"/>
      <sheetName val="Auxiliar de Pré-Cálculo"/>
      <sheetName val="Resumo de Custos"/>
      <sheetName val="Recebimento Cash-in"/>
      <sheetName val="Planilha de Preço de Venda"/>
      <sheetName val="SUBRESUMO"/>
      <sheetName val="MEASUREMENT TG BUILDING (2)"/>
      <sheetName val="material consumption"/>
      <sheetName val="Annex I"/>
      <sheetName val="Annex II"/>
      <sheetName val="Summary_ This_Bill"/>
      <sheetName val="PB Tank"/>
      <sheetName val="Klin L &amp; M"/>
      <sheetName val="Pump"/>
      <sheetName val="Gas Scrubber"/>
      <sheetName val="Lime Grinding"/>
      <sheetName val="Block_Consumption"/>
      <sheetName val="KP 200_Consumption"/>
      <sheetName val="Cement_Consumption"/>
      <sheetName val="Comsumption_Reinforcement"/>
      <sheetName val="Consumption Summary"/>
      <sheetName val="PB Tank Raft &amp; Wall up to FGL"/>
      <sheetName val="Kiln L"/>
      <sheetName val="Kiln M"/>
      <sheetName val="Pour Card BBS Oct'15"/>
      <sheetName val="Consumption_Insert"/>
      <sheetName val="BBS"/>
      <sheetName val="970121 fee rates"/>
      <sheetName val="Headings"/>
      <sheetName val="Site Dev BOQ"/>
      <sheetName val="BOQ (2)"/>
      <sheetName val="PRECAST lightconc-II"/>
      <sheetName val="GBW"/>
      <sheetName val="FitOutConfCentre"/>
      <sheetName val="Summary_ This Bill Structural"/>
      <sheetName val="Summary_ Cumulative"/>
      <sheetName val="Kiln Feed"/>
      <sheetName val="Pipe Rack 200"/>
      <sheetName val="Substation Area 500 700"/>
      <sheetName val="Substation Area 200"/>
      <sheetName val="Calciner Foundation"/>
      <sheetName val="Pipe Rack 500"/>
      <sheetName val="Blower Room"/>
      <sheetName val="Transfer Tower"/>
      <sheetName val="ESP MCC Room"/>
      <sheetName val="Cooler Building"/>
      <sheetName val="Carbonation Unit"/>
      <sheetName val="Cable Tray"/>
      <sheetName val="Sea Water Line"/>
      <sheetName val="Misc Struc"/>
      <sheetName val="Consumption_Insert_Angle"/>
      <sheetName val="FIM Consumption Summary"/>
      <sheetName val="Consumption_InsertAngle (Civil)"/>
      <sheetName val="Consumption_Struc Steel"/>
      <sheetName val="Consumption_Bolts"/>
      <sheetName val="Under Size Hopper"/>
      <sheetName val="Filter Gas Scrubber"/>
      <sheetName val="A-Liq Tank"/>
      <sheetName val="LSA Silo"/>
      <sheetName val="ESP Foundation"/>
      <sheetName val="Settler Tank"/>
      <sheetName val="Fixed Ammonia"/>
      <sheetName val="Wash Water"/>
      <sheetName val="Dissolver Tank"/>
      <sheetName val="Road Culvert"/>
      <sheetName val="Pipe Sleeper"/>
      <sheetName val="Kiln L &amp; M"/>
      <sheetName val="Salt Dissolver"/>
      <sheetName val="Supercon 100_Consumption"/>
      <sheetName val="CBD-WRSS-I&amp;III"/>
      <sheetName val="Sch-1"/>
      <sheetName val="Sch-2"/>
      <sheetName val="SCHEDULE-3A"/>
      <sheetName val="400 KV Raipur-POWERGRID "/>
      <sheetName val="400 KV-Itarsi "/>
      <sheetName val="220KV-Itarsi"/>
      <sheetName val="66KV-Itarsi"/>
      <sheetName val="220KV-Vapi"/>
      <sheetName val="SCHEDULE-3B"/>
      <sheetName val="SCHEDULE-3C"/>
      <sheetName val="400 KV BSECL "/>
      <sheetName val="SCHEDULE-4A"/>
      <sheetName val="SCHEDULE-4B"/>
      <sheetName val="SCHEDULE-4C"/>
      <sheetName val="SCHEDULE-5A"/>
      <sheetName val="SCHEDULE-5B"/>
      <sheetName val="SCHEDULE-5C"/>
      <sheetName val="Structure"/>
      <sheetName val="Site Insfrastructure cost"/>
      <sheetName val="3BPA00132-5-3 W plan HVPNL"/>
      <sheetName val="Overhead SUP"/>
      <sheetName val="INFORMATION"/>
      <sheetName val="comcond"/>
      <sheetName val="13 Jan development"/>
      <sheetName val="data site"/>
      <sheetName val="Data tranfer"/>
      <sheetName val="as submitted"/>
      <sheetName val="concana"/>
      <sheetName val="concrate"/>
      <sheetName val="rateana"/>
      <sheetName val="comparative"/>
      <sheetName val="FW"/>
      <sheetName val="Grinding Mill"/>
      <sheetName val="RMH"/>
      <sheetName val="Chqd PL"/>
      <sheetName val="200308 det"/>
      <sheetName val="REVENUES &amp; BS"/>
      <sheetName val="NOWC"/>
      <sheetName val="dsoinv"/>
      <sheetName val="CoE"/>
      <sheetName val="SG&amp;A"/>
      <sheetName val="bs BP 04 SA"/>
      <sheetName val="Pourcard BBS"/>
      <sheetName val="Pour Card BBS"/>
      <sheetName val="MEASUREMENT SHEET"/>
      <sheetName val="AFL"/>
      <sheetName val="CIPL"/>
      <sheetName val="IPL"/>
      <sheetName val="OPL"/>
      <sheetName val="RSL"/>
      <sheetName val="SIPL"/>
      <sheetName val="ASS_PP98"/>
      <sheetName val="old_serial no_"/>
      <sheetName val="Vol &amp; Assumpt"/>
      <sheetName val="FDR-Jan-99 "/>
      <sheetName val="commissions"/>
      <sheetName val="pellet"/>
      <sheetName val="ASICS"/>
      <sheetName val="1999"/>
      <sheetName val="Implied"/>
      <sheetName val="Infra"/>
      <sheetName val="Tran Mat."/>
      <sheetName val="ASICS_Sum"/>
      <sheetName val="BS Schld"/>
      <sheetName val="Comp equip"/>
      <sheetName val="SFA WORKSHEET"/>
      <sheetName val="MSSL-Presentation, Action, Note"/>
      <sheetName val="Tran Mat_"/>
      <sheetName val="MAPPING-Mnth"/>
      <sheetName val="Cum"/>
      <sheetName val="Colt IO"/>
      <sheetName val="new_main_20K"/>
      <sheetName val="old_serial_no_"/>
      <sheetName val="CUSTOMER STRATEGIES"/>
      <sheetName val="CustOrg"/>
      <sheetName val="Cntmrs-Recruit"/>
      <sheetName val="CO FORMS"/>
      <sheetName val="ING"/>
      <sheetName val="WNS NA 31.03.04"/>
      <sheetName val="WNS UK 31.03.04"/>
      <sheetName val="PRODUCTION DATA"/>
      <sheetName val="INV COST"/>
      <sheetName val="MATERIAL AC"/>
      <sheetName val="FOR VARIANCE CALC."/>
      <sheetName val="VARIANCE SUMMARY"/>
      <sheetName val="old_serial_no_1"/>
      <sheetName val="Tran_Mat_"/>
      <sheetName val="Tran_Mat_1"/>
      <sheetName val="BS_Schld"/>
      <sheetName val="Balance_Sheet_"/>
      <sheetName val="Colt_IO"/>
      <sheetName val="April"/>
      <sheetName val="Inc. Stat from Tral balance"/>
      <sheetName val="collns"/>
      <sheetName val="August"/>
      <sheetName val="November"/>
      <sheetName val="TB 10-10 Adjusted"/>
      <sheetName val="FDR-Jan-99_"/>
      <sheetName val="TB BS"/>
      <sheetName val="TB P&amp;L"/>
      <sheetName val="Data Sheet for Funding Req"/>
      <sheetName val="Year1"/>
      <sheetName val="NOVEMBER SWAMY ORG-I"/>
      <sheetName val="A0744339"/>
      <sheetName val="1. Lead"/>
      <sheetName val="SNSITVE"/>
      <sheetName val="Variables"/>
      <sheetName val="Cost of Services"/>
      <sheetName val="Shareholders' Equity"/>
      <sheetName val="Grant Ranges"/>
      <sheetName val="11-13-2001"/>
      <sheetName val="periodtbl"/>
      <sheetName val="fin_stmts 5Yr Model Format"/>
      <sheetName val="Equity Movement (Shares)"/>
      <sheetName val="Actual Input"/>
      <sheetName val="PECVD"/>
      <sheetName val="Bus Mgmt"/>
      <sheetName val="commit"/>
      <sheetName val="Disruptive "/>
      <sheetName val="ELK"/>
      <sheetName val="ECURE"/>
      <sheetName val="HDP"/>
      <sheetName val="HQ"/>
      <sheetName val="LowK"/>
      <sheetName val="Module"/>
      <sheetName val="Ops"/>
      <sheetName val="Support"/>
      <sheetName val="TPS"/>
      <sheetName val="基PLBS"/>
      <sheetName val="XNOR DM"/>
      <sheetName val="XNOR"/>
      <sheetName val="Resumo 99"/>
      <sheetName val="ARG-2+10"/>
      <sheetName val="BRZ-2+10"/>
      <sheetName val="HQ-2+10"/>
      <sheetName val="LAC-Bud"/>
      <sheetName val="LAC-2+10"/>
      <sheetName val="MEX-2+10"/>
      <sheetName val="PROFIT &amp; LOSS PLANNING"/>
      <sheetName val="Investment Planning"/>
      <sheetName val="Breakdown of Expenses "/>
      <sheetName val="FLYLEAF PLANNING"/>
      <sheetName val="Design"/>
      <sheetName val="Drop_Down Controls"/>
      <sheetName val="fORMULAE"/>
      <sheetName val="Assump"/>
      <sheetName val="Summary (without Bonus)"/>
      <sheetName val="Form16"/>
      <sheetName val="E8"/>
      <sheetName val="E11"/>
      <sheetName val="BS, PL, Sch 5 to 9"/>
      <sheetName val="Audit checklist"/>
      <sheetName val="PBC"/>
      <sheetName val="TB Q1-Q1"/>
      <sheetName val="P&amp;L Q4-Q1"/>
      <sheetName val="P&amp;L Q1-Q1"/>
      <sheetName val="Sales Analysis"/>
      <sheetName val="Purchase Cutt-off"/>
      <sheetName val="S.TAX RECO"/>
      <sheetName val="Excise-reco "/>
      <sheetName val="Sales Cut-offs"/>
      <sheetName val="Ratios- Q1-Q4"/>
      <sheetName val="Ratios- Q1-Q1"/>
      <sheetName val="Creditors ageing"/>
      <sheetName val="Employee Working"/>
      <sheetName val="Employee"/>
      <sheetName val="Employee benefits"/>
      <sheetName val="TGT"/>
      <sheetName val="CONBS"/>
      <sheetName val="MIS+H.O."/>
      <sheetName val="P&amp;LA DKT"/>
      <sheetName val="P&amp;LA H.O."/>
      <sheetName val="SCH6"/>
      <sheetName val="M.V."/>
      <sheetName val="PER COST"/>
      <sheetName val="SCH14 W"/>
      <sheetName val="SCH14 S"/>
      <sheetName val="OVERHD"/>
      <sheetName val="FINCOST"/>
      <sheetName val="SCH13"/>
      <sheetName val="CWISE RMC (I)"/>
      <sheetName val="Trainee Feb.11"/>
      <sheetName val="Trainee Jan.11"/>
      <sheetName val="Deductor Detail"/>
      <sheetName val="Challan Detail"/>
      <sheetName val="Deductee Detail"/>
      <sheetName val="Deductee Detail Aug"/>
      <sheetName val="p&amp;l_mayank"/>
      <sheetName val="p&amp;l_mayank (2)"/>
      <sheetName val="p&amp;l_delhi"/>
      <sheetName val="personnel_N"/>
      <sheetName val="Dep Noida"/>
      <sheetName val="MAYANK NOIDA (2)"/>
      <sheetName val="WH 4W"/>
      <sheetName val="WH 2W"/>
      <sheetName val="EISHER"/>
      <sheetName val="PROD_BUDGET"/>
      <sheetName val="IT_BUDGET"/>
      <sheetName val="Depreciation chart"/>
      <sheetName val="Computer Hardware"/>
      <sheetName val="motor vehicle"/>
      <sheetName val="plant &amp; machinery"/>
      <sheetName val="fur.&amp;fixture"/>
      <sheetName val="PC-Plant"/>
      <sheetName val="Tools &amp; Dies"/>
      <sheetName val="Electrical Installation"/>
      <sheetName val="Computer Software"/>
      <sheetName val="RF Connection &amp; Lan cabling"/>
      <sheetName val="Building Construction"/>
      <sheetName val="GDC"/>
      <sheetName val="Pre-Op. Exp.-GDC"/>
      <sheetName val="Pre-Operative exp"/>
      <sheetName val="Pre-Operative-exp-Final"/>
      <sheetName val="Pre-Operative-exp-Final (2)"/>
      <sheetName val="CAPITAL ITEM FEB TO MAR 09-31.1"/>
      <sheetName val="CAPITAL ITEM FEB TO MAR 09-28.2"/>
      <sheetName val="Copyright"/>
      <sheetName val="Print Menu"/>
      <sheetName val="ResetModule"/>
      <sheetName val="Export"/>
      <sheetName val="Income Statement Input"/>
      <sheetName val="Balance Sheet Input"/>
      <sheetName val="Support Schedules"/>
      <sheetName val="NOPAT"/>
      <sheetName val="NOPAT-SBS"/>
      <sheetName val="Capital-SBS"/>
      <sheetName val="Cum Unusual"/>
      <sheetName val="COT"/>
      <sheetName val="CET"/>
      <sheetName val="MVA"/>
      <sheetName val="Graphs-MVA"/>
      <sheetName val="EVA-MVA"/>
      <sheetName val="Graphs-EVA"/>
      <sheetName val="PerfSum"/>
      <sheetName val="SixPanel"/>
      <sheetName val="Forecast-Input"/>
      <sheetName val="Engine NOPAT"/>
      <sheetName val="Engine CAPITAL"/>
      <sheetName val="Leases"/>
      <sheetName val="Capitalized Expense"/>
      <sheetName val="wwww"/>
      <sheetName val="HideModule"/>
      <sheetName val="ruSureModule"/>
      <sheetName val="PrintModule"/>
      <sheetName val="Bank Reco 30.9.10"/>
      <sheetName val="TL Instalmetns for next 3 yrs"/>
      <sheetName val="TL Interest caln for next 3 yrs"/>
      <sheetName val="Interest on cc (Apr -Sep)"/>
      <sheetName val="Interest on TL (Apr -Sep)"/>
      <sheetName val="List of Bank Accounts"/>
      <sheetName val="Imprest "/>
      <sheetName val="Bills Payable"/>
      <sheetName val="Expenses Payable"/>
      <sheetName val="Wages Payable"/>
      <sheetName val="GWR Payable"/>
      <sheetName val="Deposit against Bank Guarantee"/>
      <sheetName val="DEPB Claim"/>
      <sheetName val="Furn &amp; Fix"/>
      <sheetName val="Lease rent Machine &amp; Car"/>
      <sheetName val="Diesel"/>
      <sheetName val="Power &amp; Electricity"/>
      <sheetName val="TDS (10-11)"/>
      <sheetName val="Freight (Inward &amp; Outward)"/>
      <sheetName val="R M Valuation"/>
      <sheetName val="Consumable- SJ"/>
      <sheetName val="Stock Diesel &amp; LPG"/>
      <sheetName val="Inserts"/>
      <sheetName val="Stock Summay Sept"/>
      <sheetName val="Repair &amp; Maint (Other)"/>
      <sheetName val="Vehicle Maint (Petrol)"/>
      <sheetName val="Canteen"/>
      <sheetName val="Bus Hire charges"/>
      <sheetName val="Octroi charges"/>
      <sheetName val="Vehicle Maint (Other)"/>
      <sheetName val="Books &amp; Periodicals"/>
      <sheetName val="Charity &amp; Donation"/>
      <sheetName val="Security Charges"/>
      <sheetName val="Rates &amp; Taxes"/>
      <sheetName val="Repair &amp; Maint(Bldg)"/>
      <sheetName val="Travelling Expenses"/>
      <sheetName val="Sundry Creditors Details"/>
      <sheetName val="Medical Expenses"/>
      <sheetName val="Alluminium"/>
      <sheetName val="Zinc"/>
      <sheetName val="Salary "/>
      <sheetName val="Fees &amp; Registration"/>
      <sheetName val="Mar 14"/>
      <sheetName val="Reserves &amp; Surplus"/>
      <sheetName val="Long Term Borrowing"/>
      <sheetName val="D. Tax &amp; Long ter prov"/>
      <sheetName val="Acturial"/>
      <sheetName val="Short term Borrowing"/>
      <sheetName val="T. Payable &amp; OCL &amp; STP"/>
      <sheetName val="NCA_Fixed as"/>
      <sheetName val="NCA &amp; Long term loa &amp; adv"/>
      <sheetName val="Curr invest &amp; Invento"/>
      <sheetName val="Trad recei &amp; cash equil"/>
      <sheetName val="Revenue ,other op revenue"/>
      <sheetName val="COGS "/>
      <sheetName val="Employee benefits."/>
      <sheetName val="Fin cost &amp; Other exp"/>
      <sheetName val="EPS (2)(R)"/>
      <sheetName val="JPPL+Foreign Subsi"/>
      <sheetName val="BS CONSOL"/>
      <sheetName val="PNL CONSOL"/>
      <sheetName val="Consol fst Draxis"/>
      <sheetName val="BS Sch VI JOL, China"/>
      <sheetName val="BS Sch VI CHI"/>
      <sheetName val="BS JPPL+Cadista+JOIPL+BVI+Innov"/>
      <sheetName val="PNL JPPL+Cadista+JOIPL+BVI+Inno"/>
      <sheetName val="FA Consol_New"/>
      <sheetName val="CHI Consol FA"/>
      <sheetName val="FA Draxis-1"/>
      <sheetName val="FA JPPL+Cadista+JOIPL+Inno+BVI"/>
      <sheetName val="FA JOL China-1"/>
      <sheetName val="Group TB Draxis"/>
      <sheetName val="JOIPL - Trial Balance"/>
      <sheetName val="JPPL Singapore"/>
      <sheetName val="Minority Interest Sep 09"/>
      <sheetName val="Trial Cadista Pharma Inc"/>
      <sheetName val="Trial Cadista  Holdings Inc"/>
      <sheetName val="Base Data481"/>
      <sheetName val="Base Data 484"/>
      <sheetName val="484"/>
      <sheetName val="forecast2003"/>
      <sheetName val="budget 2004"/>
      <sheetName val="Flows"/>
      <sheetName val="Uniworld Payments"/>
      <sheetName val="BAAN CODE"/>
      <sheetName val="Pending Work"/>
      <sheetName val="Tax Audit"/>
      <sheetName val="R2"/>
      <sheetName val="COPA rawdata-oct07"/>
      <sheetName val="Cogs-2007"/>
      <sheetName val="COPA rawdata-2007"/>
      <sheetName val="SAP-PC"/>
      <sheetName val="SAP-CC"/>
      <sheetName val="SAP CO-PA"/>
      <sheetName val="Nov. Sales"/>
      <sheetName val="v100"/>
      <sheetName val="FS - Input"/>
      <sheetName val="Products description"/>
      <sheetName val="FS - Product PGM"/>
      <sheetName val="FS - Input (2)"/>
      <sheetName val="Analysis - FS"/>
      <sheetName val="Analysis - Product PGM"/>
      <sheetName val="Expense Analysis"/>
      <sheetName val="2007-Scorecard"/>
      <sheetName val="2007- FS - Smy"/>
      <sheetName val="2008- FS - Smy"/>
      <sheetName val="2008-Scorecard"/>
      <sheetName val="Scorecard Data"/>
      <sheetName val="Scorecard Charts"/>
      <sheetName val="RFCST V78"/>
      <sheetName val="RFCST V56"/>
      <sheetName val="RFCST V18"/>
      <sheetName val="FS - Budget"/>
      <sheetName val="Dashboard Data"/>
      <sheetName val="Charts Data"/>
      <sheetName val="QC Zovirax ointment"/>
      <sheetName val="vide"/>
      <sheetName val="DPI JE Log"/>
      <sheetName val="JE#1-Off.-15th"/>
      <sheetName val="JE#1-Off.-30th"/>
      <sheetName val="JE#1-UnionA"/>
      <sheetName val="JE#1-UnionB"/>
      <sheetName val="JE#1-UnionC"/>
      <sheetName val="JE#1-UnionD"/>
      <sheetName val="JE#1-UnionE"/>
      <sheetName val="Sick Time Rev"/>
      <sheetName val="JE#1-sr"/>
      <sheetName val="JE#1-Summary"/>
      <sheetName val="JE#1-Sick Time"/>
      <sheetName val="JE#1-Grp Ins"/>
      <sheetName val="JE#2A-Bank CAD"/>
      <sheetName val="JE#2A-Bank CAD cheq corr"/>
      <sheetName val="JE#2A-Bank CAD Term "/>
      <sheetName val="JE#2B-Bank USD"/>
      <sheetName val="JE#3-IC DHI"/>
      <sheetName val="JE#3A-IC DI"/>
      <sheetName val="JE#3-IC DHI (additional ins)"/>
      <sheetName val="JE#3A-IC DI LLC"/>
      <sheetName val="JE#3A-IC DI LLC (2)"/>
      <sheetName val="JE#3B-Inter Dept"/>
      <sheetName val="JE#3B-Inter Dept (2)"/>
      <sheetName val="JE#4-IC Loan Int"/>
      <sheetName val="JE#6-RRSP Accrual"/>
      <sheetName val="JE#6-RRSP Accrual -YE"/>
      <sheetName val="Je #6 - Bonus Accrual"/>
      <sheetName val="Je #6c - LTIP"/>
      <sheetName val="JE#6d"/>
      <sheetName val="JE#6-Sick days"/>
      <sheetName val="JE#6-Union Pays"/>
      <sheetName val="JE#6-125800"/>
      <sheetName val="JE#7-Mthly Amort"/>
      <sheetName val="JE#8"/>
      <sheetName val="JE#9"/>
      <sheetName val="JE#10"/>
      <sheetName val="JE#11"/>
      <sheetName val="12-2008"/>
      <sheetName val="12B-2007 (2)"/>
      <sheetName val="AIP-2007 Final (2)"/>
      <sheetName val="AIP-2008"/>
      <sheetName val="12B-2008"/>
      <sheetName val="12B-2008 (CH)"/>
      <sheetName val="12B-2007"/>
      <sheetName val="12B-2006 (2)"/>
      <sheetName val="12B-dec"/>
      <sheetName val="AIP-2007 Final"/>
      <sheetName val="JE#16"/>
      <sheetName val="AIP-2007A"/>
      <sheetName val="AIP-E"/>
      <sheetName val="AIP (2)"/>
      <sheetName val="JE#13"/>
      <sheetName val="JE#15"/>
      <sheetName val="JE#14"/>
      <sheetName val="JE #16 (2)"/>
      <sheetName val="JE#17"/>
      <sheetName val="JE#17 (2)"/>
      <sheetName val="JE#18"/>
      <sheetName val="JE#19"/>
      <sheetName val="JE#19 a"/>
      <sheetName val="JE#20"/>
      <sheetName val="JE#21"/>
      <sheetName val="JE#22"/>
      <sheetName val="JE#Misc"/>
      <sheetName val="JE#Misc (2)"/>
      <sheetName val="JE#23"/>
      <sheetName val="JE#21 (2)"/>
      <sheetName val="JE#21 (3)"/>
      <sheetName val="JE#21 (4)"/>
      <sheetName val="JE#21 (5)"/>
      <sheetName val="CE-new 2007"/>
      <sheetName val="CE-SGF"/>
      <sheetName val="CE-SGF@Sept30"/>
      <sheetName val="CE-Dec 2005"/>
      <sheetName val="UGE (2)"/>
      <sheetName val="UGE"/>
      <sheetName val="UGE-MA"/>
      <sheetName val="UGE-A"/>
      <sheetName val="UGE-M"/>
      <sheetName val="UGE-F"/>
      <sheetName val="UGE-J"/>
      <sheetName val="SI-CGCD"/>
      <sheetName val="SI-CGUD"/>
      <sheetName val="SI-UGUD"/>
      <sheetName val="BS-CGCD"/>
      <sheetName val="BS-CGUD"/>
      <sheetName val="BS-W"/>
      <sheetName val="RE"/>
      <sheetName val="PL-YTD"/>
      <sheetName val="PL-YTDvar 31to 27"/>
      <sheetName val="PL-YTD-usd"/>
      <sheetName val="DAHIUS-Cdn$"/>
      <sheetName val="DAHIUS-US$"/>
      <sheetName val="DraxisUS-Cdn$"/>
      <sheetName val="DraxisUS-US$"/>
      <sheetName val="DAHINevada-Cdn$"/>
      <sheetName val="DAHINevada-US$"/>
      <sheetName val="DAHILLC-Cdn$"/>
      <sheetName val="DAHILLC-US$"/>
      <sheetName val="DILLC-Cdn$ "/>
      <sheetName val="DILLC-US$ "/>
      <sheetName val="Dhi-Cdn$"/>
      <sheetName val="Dhi-US$"/>
      <sheetName val="DI-Cdn$"/>
      <sheetName val="DI-US$"/>
      <sheetName val="DPI-Cdn$"/>
      <sheetName val="DPI-US$"/>
      <sheetName val="TransferIn Mississagi"/>
      <sheetName val="Mississagi"/>
      <sheetName val="Terminal Value"/>
      <sheetName val="Miss(CapExCCATaxes)"/>
      <sheetName val="SensitivityGraphs"/>
      <sheetName val="ValueRanges"/>
      <sheetName val="on pRICING"/>
      <sheetName val="DebtSizing"/>
      <sheetName val="Adjusted Purchase Price (1)"/>
      <sheetName val="PPA (2)"/>
      <sheetName val="Cash Flow (3)"/>
      <sheetName val="Projection Summary (4)"/>
      <sheetName val="Orders on hand- (6)"/>
      <sheetName val="CapRate (11)"/>
      <sheetName val="Trade name (6)"/>
      <sheetName val="Technology"/>
      <sheetName val="Customer relationships (5)"/>
      <sheetName val="Workforce (9)"/>
      <sheetName val="Table 1 Summary"/>
      <sheetName val="Table 2 Sources uses"/>
      <sheetName val="Table3 Royalty Analysis"/>
      <sheetName val="Company documents"/>
      <sheetName val="TB oct"/>
      <sheetName val="COMMONSIZE BS"/>
      <sheetName val="Summary TB (2)"/>
      <sheetName val="COMMONSIZE P&amp;L"/>
      <sheetName val="SSB BS"/>
      <sheetName val="Summary TB"/>
      <sheetName val="cash Flow BS"/>
      <sheetName val="CASH FLOW DIRECT"/>
      <sheetName val="CASH FLOW INDIRECT"/>
      <sheetName val="DTA 08"/>
      <sheetName val="Trial updated"/>
      <sheetName val="Dept WISE Exp"/>
      <sheetName val="IT Depr"/>
      <sheetName val="40 a"/>
      <sheetName val="Revenue &amp; Backlog "/>
      <sheetName val="Sc 3 2008"/>
      <sheetName val="Allocation S&amp;M"/>
      <sheetName val="Def tax in tax jurisdiction 1"/>
      <sheetName val="Def tax in tax juris. 2 (rare) "/>
      <sheetName val="Summary &amp; Additional Disclosure"/>
      <sheetName val="MainModule"/>
      <sheetName val="Internal Data"/>
      <sheetName val="Indian Depreciation NOV"/>
      <sheetName val="Ind. Dep Saj"/>
      <sheetName val="Master List"/>
      <sheetName val="old compare"/>
      <sheetName val="Sc 3 new"/>
      <sheetName val="FOR OPENING"/>
      <sheetName val="RECAP."/>
      <sheetName val="Category wise Summary"/>
      <sheetName val="Year Wise Reconciliation"/>
      <sheetName val="TAX AUDIT "/>
      <sheetName val="ESI - ws and sr"/>
      <sheetName val="Observations"/>
      <sheetName val="Salary Summary-sr"/>
      <sheetName val="books vs computation-sr"/>
      <sheetName val="Salary Summary-ws"/>
      <sheetName val="books vs computation-ws"/>
      <sheetName val="CY"/>
      <sheetName val="PY FA"/>
      <sheetName val="Employee List"/>
      <sheetName val="GROSS PAY"/>
      <sheetName val="L - Insurance"/>
      <sheetName val="M - HR"/>
      <sheetName val="O - Employee Projection"/>
      <sheetName val="Account info"/>
      <sheetName val="Testing traits"/>
      <sheetName val="Consultants"/>
      <sheetName val="Promotions"/>
      <sheetName val="Revisions"/>
      <sheetName val="Ref. Sheet"/>
      <sheetName val="Sch 1 to 2"/>
      <sheetName val="Sch 4 to 11 "/>
      <sheetName val="Sch 12 to 16"/>
      <sheetName val="Admin. Exp"/>
      <sheetName val="TRIAL with adjustment"/>
      <sheetName val="adjustment entries"/>
      <sheetName val="Loans&amp;Adv"/>
      <sheetName val="O4 Accrued expenses"/>
      <sheetName val="O4.1 PROV"/>
      <sheetName val="O4.1.1 SALE_APR-DEC'04"/>
      <sheetName val="O4.2 travel"/>
      <sheetName val="O4.3 MED FINAL"/>
      <sheetName val="O4.4 LTA FINAL"/>
      <sheetName val="O4.5 Bonus"/>
      <sheetName val="O4.5.1 Resigned emp"/>
      <sheetName val="O4.6 BONUS-MARSHAL"/>
      <sheetName val="O4.6.1 BONUS-SINGH"/>
      <sheetName val="Excise Payable"/>
      <sheetName val="MED FINAL"/>
      <sheetName val="LTA FINAL"/>
      <sheetName val=" Employee Bonus"/>
      <sheetName val="FSE &amp; ASM Travelling"/>
      <sheetName val="Provision FSE &amp; ASM"/>
      <sheetName val="Actual Expense FSE I"/>
      <sheetName val="Actual Expense FSE II"/>
      <sheetName val="Sundry Debtorwith -Mar'10"/>
      <sheetName val="3. Unbilled Debtors"/>
      <sheetName val="2. Sundry Debtorwith -Mar'10"/>
      <sheetName val="Sch3 "/>
      <sheetName val="Sch4 &amp; 5"/>
      <sheetName val="Sch6 &amp; 7"/>
      <sheetName val="Sch8"/>
      <sheetName val="Sch9 &amp; 10"/>
      <sheetName val="Sch11&amp;12"/>
      <sheetName val="TB-15042010"/>
      <sheetName val="Consolidated Lead"/>
      <sheetName val="summary Trial"/>
      <sheetName val="Computation Final"/>
      <sheetName val="Reconciliation of Profit"/>
      <sheetName val="Day Book Audit Enteries"/>
      <sheetName val="Audit Enteries"/>
      <sheetName val="Enteries Passed After BS"/>
      <sheetName val="Enteries to be passed"/>
      <sheetName val="Monthly Variance Sheet"/>
      <sheetName val="HRA Analytical"/>
      <sheetName val="staff-welfare"/>
      <sheetName val="Directexp"/>
      <sheetName val="Monthly Reim Var."/>
      <sheetName val="Reason"/>
      <sheetName val="Summ Reim"/>
      <sheetName val="Reim-Dec'08"/>
      <sheetName val="Reim-Jan'09"/>
      <sheetName val="Reim-Feb'09"/>
      <sheetName val="Reimb-Mar'09"/>
      <sheetName val="Smaples for Reimb check"/>
      <sheetName val="Details for making Memo"/>
      <sheetName val="1-8"/>
      <sheetName val="9-10"/>
      <sheetName val="Summary Trial Final (2)"/>
      <sheetName val="Sc 1&amp;2"/>
      <sheetName val="Sc 3"/>
      <sheetName val="SC 4 &amp; 5"/>
      <sheetName val="SC 6,7 , 8 &amp; 9 "/>
      <sheetName val="Debtors 08"/>
      <sheetName val="Sale &amp; Purchase"/>
      <sheetName val="Summary Trial Final"/>
      <sheetName val="FBT 08"/>
      <sheetName val="Cash  WCR"/>
      <sheetName val="Breakeven Data"/>
      <sheetName val="OPPORTUNITIES"/>
      <sheetName val="Order Intake"/>
      <sheetName val="Order Intake Update"/>
      <sheetName val="Orders Graph"/>
      <sheetName val="Key Figures (2)"/>
      <sheetName val="Orders GM"/>
      <sheetName val="OI MATRIX"/>
      <sheetName val="Proposal Register"/>
      <sheetName val="REVENUE CURVE"/>
      <sheetName val="Sales GM"/>
      <sheetName val="Sales Graph"/>
      <sheetName val="Sales GM Graph"/>
      <sheetName val="Sales Breakup"/>
      <sheetName val="Sales GM Breakup"/>
      <sheetName val="Expense Graph"/>
      <sheetName val="Expenses Brealup"/>
      <sheetName val="Graph Detail"/>
      <sheetName val="Sales GM Summary"/>
      <sheetName val="HOSTING CHARGES"/>
      <sheetName val="Key Figures"/>
      <sheetName val="EL- 31-Mar-06"/>
      <sheetName val="PF Admin exp reconciliation"/>
      <sheetName val="PF reconciliation"/>
      <sheetName val="Input Form"/>
      <sheetName val="Jan'08"/>
      <sheetName val="Feb'08"/>
      <sheetName val="Mar'08"/>
      <sheetName val="Apr'08"/>
      <sheetName val="May'08"/>
      <sheetName val="June-final"/>
      <sheetName val="Sep"/>
      <sheetName val="Nov"/>
      <sheetName val="Staff Lunch"/>
      <sheetName val="Referral Bonus"/>
      <sheetName val="Special Allowance"/>
      <sheetName val="Educ. Allow."/>
      <sheetName val="Transport Allow."/>
      <sheetName val="Ex-Gratia"/>
      <sheetName val="EPF"/>
      <sheetName val="Car Maint.Reim."/>
      <sheetName val="GYM Expenses"/>
      <sheetName val="Advance given"/>
      <sheetName val="Amount recoverable"/>
      <sheetName val="Segment Reporting"/>
      <sheetName val="TCF"/>
      <sheetName val="TAAPL"/>
      <sheetName val="service - import"/>
      <sheetName val="KMP remuneration"/>
      <sheetName val="Creditors balances"/>
      <sheetName val="2008-Dec"/>
      <sheetName val="2008-Dec (2)"/>
      <sheetName val="Rendering of Services 07"/>
      <sheetName val="rendering of services"/>
      <sheetName val="DVAT-30"/>
      <sheetName val="Reimburse jan-mar 08"/>
      <sheetName val="Reimburse apr-dec"/>
      <sheetName val="Balance payable 2007"/>
      <sheetName val="CAPEX &amp; amort"/>
      <sheetName val="result FINANCIER &amp; NET"/>
      <sheetName val="DB - Actuals"/>
      <sheetName val="DB - Budget"/>
      <sheetName val="DB - F'cast 06"/>
      <sheetName val="DB - F'cast 12"/>
      <sheetName val="Formating"/>
      <sheetName val="Prevcom"/>
      <sheetName val="OI_Partner"/>
      <sheetName val="OI_Country"/>
      <sheetName val="OI_Family"/>
      <sheetName val="Comments"/>
      <sheetName val="AS"/>
      <sheetName val="1. Work done &amp; Observations"/>
      <sheetName val="2. FBT Summary"/>
      <sheetName val="2. FBT audited"/>
      <sheetName val="3. Master rates for FBT 2008-09"/>
      <sheetName val="5. Not used"/>
      <sheetName val="6. FBT client computation"/>
      <sheetName val="4. Interest calculation"/>
      <sheetName val="IT  DEPRICIATION 08"/>
      <sheetName val="Income Tax Act showroom"/>
      <sheetName val="Income tax Act workshop"/>
      <sheetName val="Tax audit schedule"/>
      <sheetName val="Admin work"/>
      <sheetName val="Admin show"/>
      <sheetName val="EMPLOYER CONT TO PF work"/>
      <sheetName val="Employer Contribution EPF Show"/>
      <sheetName val="LA Inter Branch"/>
      <sheetName val="Sum - Old Struct"/>
      <sheetName val="Sum - New Struct"/>
      <sheetName val="Sum - Thales BGs"/>
      <sheetName val="Sum - Thales BGs (2)"/>
      <sheetName val="Major Orders 03-06 old struct"/>
      <sheetName val="Major Orders 03-06 NEW struc"/>
      <sheetName val="Variances 03-05"/>
      <sheetName val="Variances 03-05 (2)"/>
      <sheetName val="Comparison BU"/>
      <sheetName val="Variance Selling doc"/>
      <sheetName val="Vs Selling doc"/>
      <sheetName val="C4ISR"/>
      <sheetName val="MP"/>
      <sheetName val="SER"/>
      <sheetName val="ORD"/>
      <sheetName val="E&amp;V"/>
      <sheetName val="ELECRONICS &amp; Ae"/>
      <sheetName val="NAVAL"/>
      <sheetName val="SER &amp; SEC"/>
      <sheetName val="LAND - ORD"/>
      <sheetName val="LAND - E&amp;V"/>
      <sheetName val="BGNAV"/>
      <sheetName val="BGCOM"/>
      <sheetName val="BGAD"/>
      <sheetName val="BGAV"/>
      <sheetName val="BGO"/>
      <sheetName val="THINT"/>
      <sheetName val="Intra Thales orders"/>
      <sheetName val="P3 analysis (Ext)"/>
      <sheetName val="P3 analysis (Ext) - New Struct"/>
      <sheetName val="Total orders 03-06"/>
      <sheetName val="Pivot per Country_Region"/>
      <sheetName val="Exports By BU"/>
      <sheetName val="DBG SCHEDULE"/>
      <sheetName val="Office Equip"/>
      <sheetName val="Vehicle"/>
      <sheetName val="FinSchedule"/>
      <sheetName val="9 (2)"/>
      <sheetName val="2A"/>
      <sheetName val="3.1 &amp; 3.11"/>
      <sheetName val="detail3.1&amp;3.11"/>
      <sheetName val="3.2"/>
      <sheetName val="3.3 onwards-"/>
      <sheetName val="3.5"/>
      <sheetName val="3.6"/>
      <sheetName val="3.10"/>
      <sheetName val="3.12"/>
      <sheetName val="3.13"/>
      <sheetName val="3.14"/>
      <sheetName val="3.15"/>
      <sheetName val="3.16"/>
      <sheetName val="3.17"/>
      <sheetName val="3.20"/>
      <sheetName val="3.22"/>
      <sheetName val="3.23"/>
      <sheetName val="3.24"/>
      <sheetName val="3.26"/>
      <sheetName val="3.28"/>
      <sheetName val="3.33"/>
      <sheetName val="3.34"/>
      <sheetName val="3.35"/>
      <sheetName val="3.37"/>
      <sheetName val="3.38"/>
      <sheetName val="3.40"/>
      <sheetName val="3.42"/>
      <sheetName val="3B"/>
      <sheetName val="Clause 15(a)"/>
      <sheetName val="Clause 17(i)"/>
      <sheetName val="Sheet3 (2)"/>
      <sheetName val="bonus"/>
      <sheetName val="Clause 40(a)"/>
      <sheetName val="Annex. 1"/>
      <sheetName val="loan-FFSL"/>
      <sheetName val="caln of ratio"/>
      <sheetName val="calnofEMI"/>
      <sheetName val="loan-AEBL&amp;KMPL"/>
      <sheetName val="detail of credit to Preop."/>
      <sheetName val="bonuspayable"/>
      <sheetName val="9-Trash"/>
      <sheetName val="10-trash"/>
      <sheetName val="Results Consolidated"/>
      <sheetName val="Ratio computation"/>
      <sheetName val="PROFITABILITY Final"/>
      <sheetName val="Profitability-revised"/>
      <sheetName val="Sch 1 to 3"/>
      <sheetName val="sch-4"/>
      <sheetName val="Sch 5 to 11"/>
      <sheetName val="Sch 12 to 17"/>
      <sheetName val="SCH#2-3 &amp; 4"/>
      <sheetName val="SCH#6"/>
      <sheetName val="sch#7-9"/>
      <sheetName val="SCH#15-16"/>
      <sheetName val="associates bs"/>
      <sheetName val="associates pl "/>
      <sheetName val="SCH#19 "/>
      <sheetName val="SCH#20"/>
      <sheetName val="WO"/>
      <sheetName val="FA Schedule 02-03"/>
      <sheetName val="O_E"/>
      <sheetName val="Imports-useless sheet"/>
      <sheetName val="hard Furn final"/>
      <sheetName val="hard Furn- useless sheet"/>
      <sheetName val="Fur_Fix"/>
      <sheetName val="Leasehold imp A30"/>
      <sheetName val="LHI A_31"/>
      <sheetName val="LHI A_31 (2)"/>
      <sheetName val="LHI A_31 (3)"/>
      <sheetName val="Income &amp; Services Overview"/>
      <sheetName val="Rent Income 2006"/>
      <sheetName val="Service Charges Income 2006 "/>
      <sheetName val="Budget 2006 Details"/>
      <sheetName val="Budget 2006 Subtotals"/>
      <sheetName val="IP operating result"/>
      <sheetName val="IP Sales &amp; COS"/>
      <sheetName val="B1038-owner's cost"/>
      <sheetName val="Rental &amp; Service Charge Income"/>
      <sheetName val="2006 Short term leases"/>
      <sheetName val="Security 2006- formatka"/>
      <sheetName val="Security Week details"/>
      <sheetName val="cleaning - formatka"/>
      <sheetName val="B620 Failure service"/>
      <sheetName val="water &amp; sewage"/>
      <sheetName val="water &amp; sewage - formatka"/>
      <sheetName val="electricity - formatka"/>
      <sheetName val="heating"/>
      <sheetName val="Budget 2006 Totals"/>
      <sheetName val="Budget 2007 Details"/>
      <sheetName val="Budget 2007 Subtotals "/>
      <sheetName val="IP operating result 2007"/>
      <sheetName val="IP Sales &amp; COS 2007"/>
      <sheetName val="B1038-owner's cost 2007"/>
      <sheetName val="CAPEX 2007"/>
      <sheetName val="Rental &amp; Service Charge Inc2007"/>
      <sheetName val="2007 Short term leases"/>
      <sheetName val="Security 2007- formatka "/>
      <sheetName val="Security Week details 2007"/>
      <sheetName val="cleaning - formatka 2007"/>
      <sheetName val="B620 Failure service 2007"/>
      <sheetName val="water &amp; sewage 2007"/>
      <sheetName val="water &amp; sewage - formatka 2007"/>
      <sheetName val="electricity 2007"/>
      <sheetName val="electricity - formatka 2007"/>
      <sheetName val="heating 2007"/>
      <sheetName val="Budget 2007 Totals "/>
      <sheetName val="2007"/>
      <sheetName val="Budget 2008 Details"/>
      <sheetName val="Budget 2008 Subtotals  "/>
      <sheetName val="IP operating result 2008"/>
      <sheetName val="IP Sales &amp; COS 2008"/>
      <sheetName val="B1038-owner's cost 2008"/>
      <sheetName val="CAPEX 2008"/>
      <sheetName val="Rental &amp; Service Charge Inc "/>
      <sheetName val="2008 Short term leases"/>
      <sheetName val="Security 2008- formatka "/>
      <sheetName val="Security Week details 2008"/>
      <sheetName val="cleaning - formatka 2008"/>
      <sheetName val="B620 Failure service 2008"/>
      <sheetName val="water &amp; sewage 2008"/>
      <sheetName val="water &amp; sewage - formatka 2008 "/>
      <sheetName val="electricity 2008"/>
      <sheetName val="electricity - formatka 2008"/>
      <sheetName val="heating 2008"/>
      <sheetName val="Budget 2008 Totals "/>
      <sheetName val="2008"/>
      <sheetName val="Budget 2009 Details"/>
      <sheetName val="Budget 2009 Subtotals"/>
      <sheetName val="IP operating result 2009"/>
      <sheetName val="IP Sales &amp; COS 2009"/>
      <sheetName val="B1038-owner's cost 2009"/>
      <sheetName val="CAPEX 2009"/>
      <sheetName val="Rental &amp; Service Charge Inc"/>
      <sheetName val="2009 Short term leases"/>
      <sheetName val="Security 2009- formatka"/>
      <sheetName val="Security Week details 2009"/>
      <sheetName val="cleaning - formatka 2009"/>
      <sheetName val="B620 Failure service 2009"/>
      <sheetName val="water &amp; sewage 2009"/>
      <sheetName val="water &amp; sewage - formatka 2009"/>
      <sheetName val="electricity 2009"/>
      <sheetName val="electricity - formatka 2009"/>
      <sheetName val="heating 2009"/>
      <sheetName val="Budget 2009 Totals"/>
      <sheetName val="AllYrsNOInco"/>
      <sheetName val="FY02NoInco"/>
      <sheetName val="All Yrs"/>
      <sheetName val="FY02"/>
      <sheetName val="FY03"/>
      <sheetName val="FY04"/>
      <sheetName val="FY05"/>
      <sheetName val="FY06"/>
      <sheetName val="FY07"/>
      <sheetName val="FY08"/>
      <sheetName val="FY09"/>
      <sheetName val="FY10"/>
      <sheetName val="RevConst$"/>
      <sheetName val="COGSbyReg 02"/>
      <sheetName val="GP%"/>
      <sheetName val="SeedPurch$"/>
      <sheetName val="Inv$"/>
      <sheetName val="InvKg"/>
      <sheetName val="Inv$kg01"/>
      <sheetName val="Inv$02-03"/>
      <sheetName val="InvRoll"/>
      <sheetName val="InvRollByMonth02_03"/>
      <sheetName val="DEBT "/>
      <sheetName val="capx"/>
      <sheetName val="FY02-11 Est v10 UBS"/>
      <sheetName val="xchg"/>
      <sheetName val="Local"/>
      <sheetName val="Hoja3"/>
      <sheetName val="Spis treści"/>
      <sheetName val="strony podziału"/>
      <sheetName val="3_1"/>
      <sheetName val="3_2"/>
      <sheetName val="3_3 "/>
      <sheetName val="3_4 "/>
      <sheetName val="3_5"/>
      <sheetName val="3_6"/>
      <sheetName val="3_7"/>
      <sheetName val="Główne Podsumowanie"/>
      <sheetName val="Cost Cutting Opportunities"/>
      <sheetName val="PRW"/>
      <sheetName val="PC Master List"/>
      <sheetName val="Apr.99"/>
      <sheetName val="C.Pdn"/>
      <sheetName val="C. Mill R.HRS"/>
      <sheetName val="CLINKER PRODN"/>
      <sheetName val="RAW MEAL PRODN "/>
      <sheetName val="R. MTRLS. RECPT &amp; CONSN."/>
      <sheetName val="Comp. R.Hrs"/>
      <sheetName val="Ele. &amp; Fuel"/>
      <sheetName val="Sen.analysis"/>
      <sheetName val="Helping Hand"/>
      <sheetName val="03.01.2002"/>
      <sheetName val="Limestone"/>
      <sheetName val="Earth moving eq."/>
      <sheetName val="Other raw materials"/>
      <sheetName val="F.usage"/>
      <sheetName val="F.Rec&amp;Cons"/>
      <sheetName val="F.Cost"/>
      <sheetName val="F.Value"/>
      <sheetName val="LS wrkg"/>
      <sheetName val="EM Depn"/>
      <sheetName val="Electricity-consn.workings"/>
      <sheetName val="Per unit cost"/>
      <sheetName val="Total Elec.chrgs.-Fy,Clny&amp;Ntm."/>
      <sheetName val="Monthwise power cost"/>
      <sheetName val="G.Media"/>
      <sheetName val="Other var exp"/>
      <sheetName val="Ele.per MT"/>
      <sheetName val="Ele.per MT-Actual"/>
      <sheetName val="VCost-Pr.file"/>
      <sheetName val="G media"/>
      <sheetName val="G-Aid"/>
      <sheetName val="Fuel mix economics"/>
      <sheetName val="Wind power gen."/>
      <sheetName val="VCost-Pr.file (2)"/>
      <sheetName val="Basic Assumptions"/>
      <sheetName val="Incentives"/>
      <sheetName val="Jawahar Sugar P&amp;L"/>
      <sheetName val="nig_sugar_ P&amp;L"/>
      <sheetName val="Jawahar Cogen P&amp;L"/>
      <sheetName val="nigohi cogen P&amp;L"/>
      <sheetName val="nigohi cogen base P&amp;L"/>
      <sheetName val="Consolidated Profitability "/>
      <sheetName val="Projected Balance Sheet"/>
      <sheetName val="Projected Cash Flow"/>
      <sheetName val="XIRR"/>
      <sheetName val="Depreciation "/>
      <sheetName val="IT Computations"/>
      <sheetName val="Basic Assumptions - Year-wise"/>
      <sheetName val="Loan Schedule-FI-Sugar"/>
      <sheetName val="Loan Schedule-SDF-Sugar"/>
      <sheetName val="Loan Schedule-FI-Power"/>
      <sheetName val="Loan Schedule-SDF-Power"/>
      <sheetName val="Interest Schedule"/>
      <sheetName val="Cane Allocation"/>
      <sheetName val="Ramnagar Sugar P&amp;L"/>
      <sheetName val="Ramnagar Cogen P&amp;L"/>
      <sheetName val="distillery"/>
      <sheetName val="incin cogen"/>
      <sheetName val="rcm cogen p&amp;l"/>
      <sheetName val="rcm expansion"/>
      <sheetName val="ramnagar"/>
      <sheetName val="khalilabad"/>
      <sheetName val="cogen new "/>
      <sheetName val="cogen khalilabad"/>
      <sheetName val="Depreciation - Sugar"/>
      <sheetName val="Profitability Statement - Sugar"/>
      <sheetName val="Production &amp; Revenue - Power"/>
      <sheetName val="Profitability Statement - Power"/>
      <sheetName val="Depreciation - Power"/>
      <sheetName val="Tube Details"/>
      <sheetName val="Revised Estimates"/>
      <sheetName val="XIRR (100% Own Funding)"/>
      <sheetName val="Production &amp; Revenue - Sugar"/>
      <sheetName val="Loan Schedule-FI"/>
      <sheetName val="Loan Schedule-SDF"/>
      <sheetName val="Exportable Power"/>
      <sheetName val="Steam Requirement"/>
      <sheetName val="Summary Sheet"/>
      <sheetName val="Allocated Cost "/>
      <sheetName val="Repayment Interest Schedule-FI "/>
      <sheetName val="Repayment Interest Schedule-SDF"/>
      <sheetName val="Profitability Statement"/>
      <sheetName val="XIRR1"/>
      <sheetName val="XIRR2 "/>
      <sheetName val="Fibrizor Drive"/>
      <sheetName val="Bought-out Bagasse"/>
      <sheetName val="13.02.13"/>
      <sheetName val="12.02.13"/>
      <sheetName val="11.02.13"/>
      <sheetName val="10.02.13"/>
      <sheetName val="09.02.13"/>
      <sheetName val="08.02.13"/>
      <sheetName val="07.02.13"/>
      <sheetName val="06.02.13"/>
      <sheetName val="05.02.13"/>
      <sheetName val="04.02.13"/>
      <sheetName val="02.02.13"/>
      <sheetName val="01.02.13"/>
      <sheetName val="31.01.13"/>
      <sheetName val="30.01.13"/>
      <sheetName val="29.01.13"/>
      <sheetName val="28.01.13"/>
      <sheetName val="25.01.13"/>
      <sheetName val="24.01.13"/>
      <sheetName val="23.01.13 "/>
      <sheetName val="22.01.13"/>
      <sheetName val="21.01.13"/>
      <sheetName val="20.01.13"/>
      <sheetName val="concast-castable salary"/>
      <sheetName val="miscellaneous parameters"/>
      <sheetName val="qry exps"/>
      <sheetName val="vrs-03-04"/>
      <sheetName val="Working 1 (Pr)"/>
      <sheetName val="Page 4"/>
      <sheetName val="Page 3 (Pr)"/>
      <sheetName val="Page 3"/>
      <sheetName val="Page 2"/>
      <sheetName val="Page 1"/>
      <sheetName val="Page 1 (Pr)"/>
      <sheetName val="rev contrib"/>
      <sheetName val="bep_conc_castb"/>
      <sheetName val="DPR 30.11.11"/>
      <sheetName val="30.11.11"/>
      <sheetName val="DPR 29.11.11"/>
      <sheetName val="29.11.11"/>
      <sheetName val="DPR 28.11.11"/>
      <sheetName val="28.11.11"/>
      <sheetName val="DPR 27.11.11"/>
      <sheetName val="27.11.11"/>
      <sheetName val="DPR 26.11.11"/>
      <sheetName val="26.11.11"/>
      <sheetName val="DPR 25.11.11"/>
      <sheetName val="25.11.11"/>
      <sheetName val="DPR 24.11.11"/>
      <sheetName val="24.11.11"/>
      <sheetName val="DPR 23.11.11"/>
      <sheetName val="23.11.11"/>
      <sheetName val="DPR 22.11.11"/>
      <sheetName val="22.11.11"/>
      <sheetName val="DPR 21.11.11"/>
      <sheetName val="21.11.11"/>
      <sheetName val="DPR 20.11.11"/>
      <sheetName val="20.11.11"/>
      <sheetName val="DPR19.11.11"/>
      <sheetName val="19.11.11"/>
      <sheetName val="DPR 18.11.11"/>
      <sheetName val="18.11.11"/>
      <sheetName val="DPR 17.11.11"/>
      <sheetName val="17.11.11"/>
      <sheetName val="16.11.11"/>
      <sheetName val="15.11.11"/>
      <sheetName val="02.11.11"/>
      <sheetName val="01.11.11"/>
      <sheetName val="Nov.11"/>
      <sheetName val="Energy 16.05.11"/>
      <sheetName val="DPR 16.05.11"/>
      <sheetName val="16.05.11"/>
      <sheetName val="Energy 15.05.11"/>
      <sheetName val="DPR 15.05.11"/>
      <sheetName val="15.05.11"/>
      <sheetName val="Energy 14.05.11"/>
      <sheetName val="DPR 14.05.11"/>
      <sheetName val="14.05.11"/>
      <sheetName val="Energy 13.05.11"/>
      <sheetName val="DPR 13.05.11"/>
      <sheetName val="13.05.11"/>
      <sheetName val="Energy 12.05.11"/>
      <sheetName val="DPR 12.05.11"/>
      <sheetName val="12.05.11"/>
      <sheetName val="Energy 11.05.11"/>
      <sheetName val="DPR 11.05.11"/>
      <sheetName val="11.05.11"/>
      <sheetName val="Energy 10.05.11"/>
      <sheetName val="DPR 10.05.11"/>
      <sheetName val="10.05.11"/>
      <sheetName val="Energy 09.05.11"/>
      <sheetName val="DPR 09.05.11"/>
      <sheetName val="09.05.11"/>
      <sheetName val="Energy 08.05.11"/>
      <sheetName val="DPR 08.05.11"/>
      <sheetName val="08.05.11"/>
      <sheetName val="Energy 07.05.11"/>
      <sheetName val="DPR 07.05.11"/>
      <sheetName val="07.05.11"/>
      <sheetName val="Energy 06.05.11"/>
      <sheetName val="DPR 06.05.11"/>
      <sheetName val="06.05.11"/>
      <sheetName val="Energy 05.05.11"/>
      <sheetName val="DPR 05.05.11"/>
      <sheetName val="05.05.11"/>
      <sheetName val="Energy 04.05.11"/>
      <sheetName val="DPR 04.05.11"/>
      <sheetName val="04.05.11"/>
      <sheetName val="Energy 03.05.11"/>
      <sheetName val="DPR 03.05.11"/>
      <sheetName val="03.05.11"/>
      <sheetName val="Energy 02.05.11"/>
      <sheetName val="DPR 02.05.11"/>
      <sheetName val="02.05.11"/>
      <sheetName val="Energy 01.05.11"/>
      <sheetName val="DPR 01.05.11"/>
      <sheetName val="01.05.11"/>
      <sheetName val="May 11"/>
      <sheetName val="Energy 30.04.11"/>
      <sheetName val="DPR 30.04.11"/>
      <sheetName val="30.04.11"/>
      <sheetName val="Energy 29.04.11"/>
      <sheetName val="DPR 29.04.11"/>
      <sheetName val="29.04.11"/>
      <sheetName val="Energy 28.04.11"/>
      <sheetName val="DPR 28.04.11"/>
      <sheetName val="28.04.11"/>
      <sheetName val="Energy 27.04.11"/>
      <sheetName val="DPR 27.04.11"/>
      <sheetName val="27.04.11"/>
      <sheetName val="Energy 26.04.11"/>
      <sheetName val="DPR 26.04.11"/>
      <sheetName val="26.04.11"/>
      <sheetName val="Energy 25.04.11"/>
      <sheetName val="DPR 25.04.11"/>
      <sheetName val="25.04.11"/>
      <sheetName val="Energy 24.04.11"/>
      <sheetName val="DPR 24.04.11"/>
      <sheetName val="24.04.11"/>
      <sheetName val="Energy 23.04.11"/>
      <sheetName val="DPR 23.04.11"/>
      <sheetName val="23.04.11"/>
      <sheetName val="Energy 22.04.11"/>
      <sheetName val="DPR 22.04.11"/>
      <sheetName val="22.04.11"/>
      <sheetName val="Energy 21.04.11"/>
      <sheetName val="DPR 21.04.11"/>
      <sheetName val="21.04.11"/>
      <sheetName val="Energy 20.04.11"/>
      <sheetName val="DPR 20.04.11"/>
      <sheetName val="20.04.11"/>
      <sheetName val="Energy 19.04.11"/>
      <sheetName val="DPR19.04.11"/>
      <sheetName val="19.04.11"/>
      <sheetName val="Energy 18.04.11"/>
      <sheetName val="DPR 18.0411"/>
      <sheetName val="18.04.11"/>
      <sheetName val="Energy 17.04.11"/>
      <sheetName val="DPR 17.04.11"/>
      <sheetName val="17.04.11"/>
      <sheetName val="Energy 16.04.11"/>
      <sheetName val="DPR 16.04.11"/>
      <sheetName val="16.04.11"/>
      <sheetName val="Energy 15.04.11"/>
      <sheetName val="DPR 15.04.11"/>
      <sheetName val="15.04.11"/>
      <sheetName val="Energy 14.04.11"/>
      <sheetName val="DPR 14.04.11"/>
      <sheetName val="14.04.11"/>
      <sheetName val="Energy 13.04.11"/>
      <sheetName val="DPR 13.04.11"/>
      <sheetName val="13.04.11"/>
      <sheetName val="Energy 12.04.11"/>
      <sheetName val="DPR 12.04.11"/>
      <sheetName val="12.04.11"/>
      <sheetName val="Energy 11.04.11 "/>
      <sheetName val="DPR 11.04.11"/>
      <sheetName val="11.04.11"/>
      <sheetName val="Energy 10.04.11"/>
      <sheetName val="DPR 10.04.11"/>
      <sheetName val="10.04.11"/>
      <sheetName val="Energy 09.04.11"/>
      <sheetName val="DPR 09.04.11"/>
      <sheetName val="09.04.11"/>
      <sheetName val="Energy 08.04.11"/>
      <sheetName val="DPR 08.04.11"/>
      <sheetName val="08.04.11"/>
      <sheetName val="Energy 07.04.11"/>
      <sheetName val="DPR 07.04.11"/>
      <sheetName val="07.04.11"/>
      <sheetName val="Energy 06.04.11"/>
      <sheetName val="DPR 06.04.11"/>
      <sheetName val="06.04.11"/>
      <sheetName val="Energy 05.04.11"/>
      <sheetName val="DPR 05.04.11"/>
      <sheetName val="05.04.11"/>
      <sheetName val="Energy 04.04.11"/>
      <sheetName val="DPR 04.04.11"/>
      <sheetName val="04.04.11"/>
      <sheetName val="Energy 03.04.11"/>
      <sheetName val="DPR 03.04.11"/>
      <sheetName val="03.04.11"/>
      <sheetName val="Energy 02.04.11"/>
      <sheetName val="DPR 02.04.11"/>
      <sheetName val="02.04.11"/>
      <sheetName val="Energy 01.04.11"/>
      <sheetName val="DPR 01.04.11"/>
      <sheetName val="01.04.11"/>
      <sheetName val="Apr 11"/>
      <sheetName val="DPR 10.12.11"/>
      <sheetName val="10.12.11"/>
      <sheetName val="DPR 09.12.11"/>
      <sheetName val="09.12.11"/>
      <sheetName val="DPR 08.12.11"/>
      <sheetName val="08.12.11"/>
      <sheetName val="DPR 07.12.11"/>
      <sheetName val="07.12.11"/>
      <sheetName val="DPR 06.12.11"/>
      <sheetName val="06.12.11"/>
      <sheetName val="DPR 05.12.11"/>
      <sheetName val="05.12.11"/>
      <sheetName val="DPR 04.12.11"/>
      <sheetName val="04.12.11"/>
      <sheetName val="DPR 03.12.11"/>
      <sheetName val="03.12.11"/>
      <sheetName val="DPR 02.12.11"/>
      <sheetName val="02.12.11"/>
      <sheetName val="DPR 01.12.11"/>
      <sheetName val="01.12.11"/>
      <sheetName val="December-11"/>
      <sheetName val="17.12.11"/>
      <sheetName val="DPR 16.12.11"/>
      <sheetName val="16.12.11"/>
      <sheetName val="DPR 15.12.11"/>
      <sheetName val="15.12.11"/>
      <sheetName val="DPR 14.12.11"/>
      <sheetName val="14.12.11"/>
      <sheetName val="DPR 13.12.11"/>
      <sheetName val="13.12.11"/>
      <sheetName val="DPR 12.12.11"/>
      <sheetName val="12.12.11"/>
      <sheetName val="DPR 11.12.11"/>
      <sheetName val="11.12.11"/>
      <sheetName val="DPR 20.12.11"/>
      <sheetName val="20.12.11"/>
      <sheetName val="DPR19.12.11"/>
      <sheetName val="19.12.11"/>
      <sheetName val="DPR 18.12.11"/>
      <sheetName val="18.12.11"/>
      <sheetName val="DPR 17.12.11"/>
      <sheetName val="inputondt"/>
      <sheetName val="MTD-DEC 11"/>
      <sheetName val="MTD-NOV 11"/>
      <sheetName val="YTD 2011 "/>
      <sheetName val="STD"/>
      <sheetName val="Nov-11"/>
      <sheetName val="Dec-11"/>
      <sheetName val="Jan-10"/>
      <sheetName val="Feb-10"/>
      <sheetName val="Mar10"/>
      <sheetName val="Power Export -Cons."/>
      <sheetName val="Bagasse Saved"/>
      <sheetName val="Poss pow "/>
      <sheetName val="CERs"/>
      <sheetName val="Steam Power &amp; Crush"/>
      <sheetName val="Stoppages"/>
      <sheetName val="Av Gen 20 MW"/>
      <sheetName val="Banking"/>
      <sheetName val="I T Provision 08"/>
      <sheetName val="UNAUDITED RESULTS MONTHWISE"/>
      <sheetName val="UNAUDITED RESULTS QTR. WISE"/>
      <sheetName val="CONSOLIDATED 300908"/>
      <sheetName val="Fin. Result upto July"/>
      <sheetName val="UNAUDITED RESULT 300908"/>
      <sheetName val="Bird View"/>
      <sheetName val="Figure in Lacs"/>
      <sheetName val="Figure in Millions"/>
      <sheetName val="Unaudited Result 2008-09"/>
      <sheetName val="JULY JSN 2008 (2)"/>
      <sheetName val="FG 301108"/>
      <sheetName val="SCRAP 301108"/>
      <sheetName val="FG 311008"/>
      <sheetName val="SCRAP 311008"/>
      <sheetName val="FG 300908"/>
      <sheetName val="SCRAP 300908"/>
      <sheetName val="SCRAP 310808"/>
      <sheetName val="SCRAP 310708"/>
      <sheetName val="SCRAP 300608"/>
      <sheetName val="FG 310808"/>
      <sheetName val="FG 310708"/>
      <sheetName val="FG 30.06.08"/>
      <sheetName val="TRIAL BALANCE 31.03.2008 "/>
      <sheetName val="TRIAL BALANCE 31.12.2007"/>
      <sheetName val="STOCK VALUATION SHEET"/>
      <sheetName val="Unaudited 30.09.07"/>
      <sheetName val="Unaudited 31.08.07JSL"/>
      <sheetName val="Unaudited 31.03.08(New Format)"/>
      <sheetName val="F.Statement31.03.2008"/>
      <sheetName val="GRADE WISE"/>
      <sheetName val="Monthly WC Requirement"/>
      <sheetName val="Sales vs Purchase MIS"/>
      <sheetName val="JSSL RESULT UPTO JAN-09"/>
      <sheetName val="UNAUDITED RESULT JAN.09 (2)"/>
      <sheetName val="REVENUE EXP. ANALYSIS %"/>
      <sheetName val="Break even"/>
      <sheetName val="Financial Summay (Qtr. Wise)"/>
      <sheetName val="JSSL Result (Sept.-2009)"/>
      <sheetName val="Unaudited Result (30.09.09)"/>
      <sheetName val="FG (31.08.09)&amp;(30.09.09)"/>
      <sheetName val="SCRAP(31.08.2009)&amp;(30.09.09)"/>
      <sheetName val="(Increase-Decrease Stock)"/>
      <sheetName val="FG Valuation(31.07.09)"/>
      <sheetName val="FG Valuation(310709"/>
      <sheetName val="Scrap Valuation (31.07.2009)"/>
      <sheetName val="ADDITIONAL  WIP VALUATION "/>
      <sheetName val="Grade Wise(WIP)"/>
      <sheetName val="FG Valuation (June)"/>
      <sheetName val="FG Valuation (April)"/>
      <sheetName val="Scrap Valuation (april)"/>
      <sheetName val="Qtr. Wise Highlights"/>
      <sheetName val="Qtr. Result 2008-09 (3)"/>
      <sheetName val="Qtr. Result 2008-09"/>
      <sheetName val="UNAUDITED RESULT MARCH 09"/>
      <sheetName val="Service Centre Wise Sales Repor"/>
      <sheetName val="Revenue Figure 2009-10"/>
      <sheetName val="Distribution Activicty"/>
      <sheetName val="Job Work 4(6) Activicty"/>
      <sheetName val="Job Work 4(5) Activcty"/>
      <sheetName val="Miscellanous Sales"/>
      <sheetName val="Balance Sheet Mar 09"/>
      <sheetName val="Associate JSS Steel italia"/>
      <sheetName val="Balance Sheet Abstract"/>
      <sheetName val="Consolidated Balance Sheet08-09"/>
      <sheetName val="Unit Wise Balance Sheet"/>
      <sheetName val="Consolidated Schecule V"/>
      <sheetName val="Deferred Tax Liability Cal.  09"/>
      <sheetName val="Income Tax Provision 09"/>
      <sheetName val="Details of Schedules Gurgaon"/>
      <sheetName val="Details of Schedules Mumbai"/>
      <sheetName val="CUST JSN 31.03.09"/>
      <sheetName val="CUST JSW 31.03.09"/>
      <sheetName val="Vendor Gurgaon"/>
      <sheetName val="Vendor Detail JSW"/>
      <sheetName val="chennai unit"/>
      <sheetName val="VADODARA UNIT"/>
      <sheetName val="trail 9 june JSN"/>
      <sheetName val="trail 9 june JSW"/>
      <sheetName val="tb jss 6 june"/>
      <sheetName val="FG VALUATION (31.03.09)-JSN (2)"/>
      <sheetName val="FG VALUATION (31.03.09)-JSW"/>
      <sheetName val="WIP VALUATION (2008-09)"/>
      <sheetName val="SCRAP VALUATION JSW"/>
      <sheetName val="SCRAP VALUATION JSN"/>
      <sheetName val="WIP VALUATION (2008-09) JSN"/>
      <sheetName val="STOCK TALLY (GURGAON)"/>
      <sheetName val="STOCK TALLY (MUMBAI)"/>
      <sheetName val="MOVING PRICE (CR DIV.)"/>
      <sheetName val="MOVING PRICE (HR DIV.)"/>
      <sheetName val="Summary stock tally"/>
      <sheetName val="Trial Balance vadodra"/>
      <sheetName val="SCHEDULE FIVE Vadodara"/>
      <sheetName val="SCHEDULE FIVE GURGAON"/>
      <sheetName val="SCHEDULE FIVE MUMBAI"/>
      <sheetName val="SCHEDULE FIVE CHENNAI"/>
      <sheetName val="CONSOLIDATE DEP. IT(31.03.09)"/>
      <sheetName val="TB JSSL"/>
      <sheetName val="Sheet25"/>
      <sheetName val="FG VALUATION"/>
      <sheetName val="Unaudited 31.12.07(New Format)"/>
      <sheetName val="JSSL Result (Qtr.-1)Exe."/>
      <sheetName val="JSSL Result (Qtr.-1)"/>
      <sheetName val="F.Statement31.06.2008"/>
      <sheetName val="SCRAP VALUATION"/>
      <sheetName val="FG VALUATION GURGAON"/>
      <sheetName val="SALES RETURN"/>
      <sheetName val="RG-1 Register"/>
      <sheetName val="CLOSING FG OWN "/>
      <sheetName val="WIP Valuation"/>
      <sheetName val="4(6) "/>
      <sheetName val="STOCK TALLY (FORMAT)"/>
      <sheetName val="4(5)a Desp"/>
      <sheetName val="4(5)a Party wise clos"/>
      <sheetName val="4(5)a receipt"/>
      <sheetName val="COSTING FOR CR"/>
      <sheetName val="FG SHEET"/>
      <sheetName val="RM SHEET"/>
      <sheetName val="Closing Stock Scrap Mumbai"/>
      <sheetName val="Scrap Valuation JSSL Chennai"/>
      <sheetName val="stock tally"/>
      <sheetName val="closing stock "/>
      <sheetName val="ram material"/>
      <sheetName val="Finish Goods"/>
      <sheetName val="sales  return"/>
      <sheetName val="consumptionvs production"/>
      <sheetName val="rm "/>
      <sheetName val="STOCK TALLY  consol"/>
      <sheetName val="STOCK TALLY  Gurgaon "/>
      <sheetName val="STOCK TALLY Chennai"/>
      <sheetName val="POP Sch."/>
      <sheetName val="HSBC"/>
      <sheetName val="DHS"/>
      <sheetName val="DB"/>
      <sheetName val="DBD"/>
      <sheetName val="STC"/>
      <sheetName val="DSTC"/>
      <sheetName val="AWB"/>
      <sheetName val="KEN"/>
      <sheetName val="DDNM"/>
      <sheetName val="DNM"/>
      <sheetName val="MG"/>
      <sheetName val="FMG"/>
      <sheetName val="Scenario-Summary"/>
      <sheetName val="Global Steel prod"/>
      <sheetName val="Operational cost"/>
      <sheetName val="Scenarios buildup"/>
      <sheetName val="Capital cost sch"/>
      <sheetName val="Yearly sum"/>
      <sheetName val="Assumption1"/>
      <sheetName val="Assumption2"/>
      <sheetName val="power utility Co."/>
      <sheetName val="Water Utility Co."/>
      <sheetName val="Govt Revenue"/>
      <sheetName val="operation -PP"/>
      <sheetName val="Financials - PP"/>
      <sheetName val="Project Cost-old"/>
      <sheetName val="Key Assumptions"/>
      <sheetName val="Orissa PhII revised"/>
      <sheetName val="Capex flexibility"/>
      <sheetName val="Mecon"/>
      <sheetName val="2008 BS"/>
      <sheetName val="EBIDAT reco"/>
      <sheetName val="SBI-1"/>
      <sheetName val="SBI-2"/>
      <sheetName val="SBI-3"/>
      <sheetName val="Capital Cost - PP"/>
      <sheetName val="D-E Yearly"/>
      <sheetName val="D-E Summary"/>
      <sheetName val="D-E Required"/>
      <sheetName val="MOP P5"/>
      <sheetName val="ABS P5"/>
      <sheetName val="Measurement Sheet-P1"/>
      <sheetName val="5M. Sheet"/>
      <sheetName val="7MS_Office"/>
      <sheetName val="Design &amp; Drwng"/>
      <sheetName val="Shaft"/>
      <sheetName val="MTBM"/>
      <sheetName val="PIPE SUPPLY"/>
      <sheetName val="JACKING"/>
      <sheetName val="commissioning"/>
      <sheetName val="Measurement Sheet-P6"/>
      <sheetName val="8MS_Drg appd. status"/>
      <sheetName val="shaft construction"/>
      <sheetName val="Detail of Alignment"/>
      <sheetName val="9MS_Shaft Const"/>
      <sheetName val="LKPDATA"/>
      <sheetName val="Hines France - Accrual"/>
      <sheetName val="Hines France - Cash"/>
      <sheetName val="Profit Center -- Cash"/>
      <sheetName val="Danton C2 - Deal Summary"/>
      <sheetName val="HEVAF Neuilly JATTE- BS "/>
      <sheetName val="Ls_Alert"/>
      <sheetName val="Profit Center -- Accrual"/>
      <sheetName val="PC -- Accural (by Project)"/>
      <sheetName val="Accrual to Cash Reconciliation"/>
      <sheetName val="Predevelopment and Land Carry"/>
      <sheetName val="BSPJ"/>
      <sheetName val="PC -- Cash (by Project)"/>
      <sheetName val="Proj Balance Sheet(HF)"/>
      <sheetName val="Trial Balance(HF)"/>
      <sheetName val="PC -- Accrual (by Project)"/>
      <sheetName val="Hines France Variances"/>
      <sheetName val="Accrual to Cash Variances"/>
      <sheetName val="Hines France Break - Cash "/>
      <sheetName val="Hines France - Balance Sheet"/>
      <sheetName val="Hines France - Trial Balance"/>
      <sheetName val="Hines France - BS Notes"/>
      <sheetName val="HLD - Balance Sheet"/>
      <sheetName val="HLD - Balance Sheet Notes"/>
      <sheetName val="2005 Liquidity Forecast"/>
      <sheetName val="2006 Liquidity Forecast"/>
      <sheetName val="Business Commentary"/>
      <sheetName val="PB6 - Project Cash Flow"/>
      <sheetName val="PB6 - Project Notes"/>
      <sheetName val="PB6 - Balance Sheet "/>
      <sheetName val="PB6 - Balance Sheet Notes"/>
      <sheetName val="CB16 - Project Cash Flow"/>
      <sheetName val="CB16 - Project Notes"/>
      <sheetName val="CB16 - Balance Sheet"/>
      <sheetName val="CB16 - Balance Sheet Notes"/>
      <sheetName val="Suresnes - Project Cash Flow"/>
      <sheetName val="Suresnes - Project Notes"/>
      <sheetName val="Le Gauguin Balance Sheet "/>
      <sheetName val="Le Gauguin Balance Sheet Notes"/>
      <sheetName val="Danton C2 - Project Cash Flow"/>
      <sheetName val="Danton C2 - Project Notes"/>
      <sheetName val="Hines Danton LLC - BS"/>
      <sheetName val="Hines Danton LLC - BS Notes"/>
      <sheetName val="Danton Devt - Balance Sheet"/>
      <sheetName val="Danton Devt - BS Notes"/>
      <sheetName val="Danton C2 - Balance Sheet"/>
      <sheetName val="Hines Danton C2-Balance Sheet "/>
      <sheetName val="Hines Danton C2 - BS Notes"/>
      <sheetName val="Hines Danton B - Balance Sheet"/>
      <sheetName val="Hines Danton B - BS Notes"/>
      <sheetName val="Danton C1 - Project Cash Flow"/>
      <sheetName val="Danton C1 - Deal Summary"/>
      <sheetName val="Renault - Project Cash Flow"/>
      <sheetName val="Renault - Project Notes"/>
      <sheetName val="Block A1 - Project Cash Flow"/>
      <sheetName val="Block D2 - Project Cash Flow"/>
      <sheetName val="Block B3 - Project Cash Flow"/>
      <sheetName val="Block C1 - Project Cash Flow"/>
      <sheetName val="HEDF Office D2 - Balance Sheet"/>
      <sheetName val="HEDF Office A1 - Balance Sheet"/>
      <sheetName val="HEDF Resid.I - Balance Sheet"/>
      <sheetName val="HEDF Resid. II - Balance Sheet "/>
      <sheetName val="HEDF Soc.Housing -Balance Sheet"/>
      <sheetName val="HEDF Office B3 - Balance Sheet"/>
      <sheetName val="HEDF Global - Balance Sheet"/>
      <sheetName val="HEDF SPVs - BS Notes"/>
      <sheetName val="Hines Boulogne - Balance Sheet "/>
      <sheetName val="Hines DMA - Balance Sheet"/>
      <sheetName val="Hines DMA &amp; Boulogne - BS Notes"/>
      <sheetName val="Renault - Deal Summary"/>
      <sheetName val="Block EE - Project Cash Flow"/>
      <sheetName val="Block EE - Project Notes"/>
      <sheetName val="Hines Prelude - Balance Sheet"/>
      <sheetName val="Hines Prelude - BS Notes"/>
      <sheetName val="Block EE - Deal Summary "/>
      <sheetName val="Meudon - Project Cash Flow"/>
      <sheetName val="Meudon - Project Notes"/>
      <sheetName val="Hines Meudon - Balance sheet"/>
      <sheetName val="Hines Meudon - BS Notes"/>
      <sheetName val="Deal Summary - Meudon"/>
      <sheetName val="Neuilly - Project Cash Flow"/>
      <sheetName val="HEVAF Neuilly Sablons - BS"/>
      <sheetName val="HEVAF Neuilly Sablons-BS Notes"/>
      <sheetName val="HEVAF Sablons - Balance sheet"/>
      <sheetName val="HEVAF Sablons - BS Notes"/>
      <sheetName val="Deal Summary - Neuilly"/>
      <sheetName val="Project to Profit Ctr Rec"/>
      <sheetName val="PB6 - Guarantees"/>
      <sheetName val="CB16 - Guarantees"/>
      <sheetName val="Suresnes - Guarantees"/>
      <sheetName val="Danton - Guarantees"/>
      <sheetName val="Renault - Guarantees"/>
      <sheetName val="Renault Block EE - Guarantees"/>
      <sheetName val="Meudon - Guarantees"/>
      <sheetName val="Debt Maturities"/>
      <sheetName val="Tier Entities"/>
      <sheetName val="HEVAF Neuilly Sablon - BS Notes"/>
      <sheetName val="Tax worksheet"/>
      <sheetName val="Preference"/>
      <sheetName val="SUMMARY Euro"/>
      <sheetName val="Summary table (S1)"/>
      <sheetName val="Summary table (S2)"/>
      <sheetName val="CF LAND euro"/>
      <sheetName val="CF VEFA C2 euro"/>
      <sheetName val="CF SHARES C2 euro"/>
      <sheetName val="CF VEFA B euro"/>
      <sheetName val="Budget Terrain"/>
      <sheetName val="CF Terrain"/>
      <sheetName val="BILAN VEFA C2"/>
      <sheetName val="TRESO VEFA C2"/>
      <sheetName val="BILAN VEFA B"/>
      <sheetName val="TRESO VEFA B"/>
      <sheetName val="INFOS VEFA B"/>
      <sheetName val="BILAN SHARES C2"/>
      <sheetName val="TRESO SHARES C2"/>
      <sheetName val="Receivables Detail"/>
      <sheetName val="Deal Prices"/>
      <sheetName val="Cash &amp; Loan"/>
      <sheetName val=" INFO VEFA C2"/>
      <sheetName val="Hyp"/>
      <sheetName val="Graph1"/>
      <sheetName val="Hines Cash S1"/>
      <sheetName val="Hines Cash S2"/>
      <sheetName val="Guarantees S1"/>
      <sheetName val="Guarantees S2"/>
      <sheetName val="Guarantee S2 BIS"/>
      <sheetName val="Risk-Reward Analysis"/>
      <sheetName val="Rents"/>
      <sheetName val="Average Occupancy"/>
      <sheetName val="Parking"/>
      <sheetName val="Misc. Income"/>
      <sheetName val="Tenancy Schedule"/>
      <sheetName val="Rent Roll"/>
      <sheetName val="Stacking Plan"/>
      <sheetName val="Recoveries"/>
      <sheetName val="Resumen - do not print"/>
      <sheetName val="Initial Fund"/>
      <sheetName val="Recoverable Expenses 2007-2008"/>
      <sheetName val="61-Por"/>
      <sheetName val="61"/>
      <sheetName val="62-Por"/>
      <sheetName val="62 "/>
      <sheetName val="63-Por"/>
      <sheetName val="63"/>
      <sheetName val="64-Por"/>
      <sheetName val="64"/>
      <sheetName val="65-Por"/>
      <sheetName val="65"/>
      <sheetName val="66-Por"/>
      <sheetName val="66"/>
      <sheetName val="72-Por"/>
      <sheetName val="72"/>
      <sheetName val="Cap-Por"/>
      <sheetName val="Capital Expenditures"/>
      <sheetName val="Argus 2009 Annual"/>
      <sheetName val="2009 value"/>
      <sheetName val="Debt - Consolidated"/>
      <sheetName val="Debt2"/>
      <sheetName val="Cash Flow Input"/>
      <sheetName val="Step-out analysis"/>
      <sheetName val="Going Forward Leveraged IRR"/>
      <sheetName val="IRR Since Inception - Qtr"/>
      <sheetName val="HoldSell-Leveraged-Unleveraged"/>
      <sheetName val="Promote - 08 - old"/>
      <sheetName val="Promote - 08"/>
      <sheetName val="Promote -9"/>
      <sheetName val="Promote -10"/>
      <sheetName val="Promote -11"/>
      <sheetName val="Promote -12"/>
      <sheetName val="Promote -13 old"/>
      <sheetName val="Promote -13"/>
      <sheetName val="2008 Mo Cap Ex"/>
      <sheetName val="2009 Business Plan"/>
      <sheetName val="2009 BPlan Monthly"/>
      <sheetName val="5 yr plan"/>
      <sheetName val="Cash Flow 11.13"/>
      <sheetName val="TIRefor"/>
      <sheetName val="TI -19 _20_ACR"/>
      <sheetName val="TI-1505_ACR"/>
      <sheetName val="Zelman"/>
      <sheetName val="C&amp;W"/>
      <sheetName val="61.50 5 yr"/>
      <sheetName val="56.50 5 yr"/>
      <sheetName val="retail commis"/>
      <sheetName val="Zaros"/>
      <sheetName val="08 reforecast"/>
      <sheetName val="AGILENT"/>
      <sheetName val="EPSG"/>
      <sheetName val="CSG"/>
      <sheetName val="ATG"/>
      <sheetName val="TMO SEGMENT (EPSG, CSG and ATG)"/>
      <sheetName val="SPG"/>
      <sheetName val="Work Book Basics"/>
      <sheetName val="Instructions Spread Sheet"/>
      <sheetName val="PIVOTS"/>
      <sheetName val="GIO Refunctionalization"/>
      <sheetName val="Inventory Capitalization"/>
      <sheetName val="JV Consolidation"/>
      <sheetName val="NQ_ISO"/>
      <sheetName val="SARS"/>
      <sheetName val="Restricted"/>
      <sheetName val="LTPP"/>
      <sheetName val="ESPP"/>
      <sheetName val="DCP"/>
      <sheetName val="NatAccts"/>
      <sheetName val="MU"/>
      <sheetName val="Instructions JV"/>
      <sheetName val="JV Pivot"/>
      <sheetName val="SmartJV"/>
      <sheetName val="SARS PIVOT"/>
      <sheetName val="Header"/>
      <sheetName val="CH20"/>
      <sheetName val="US00"/>
      <sheetName val="workOnIt"/>
      <sheetName val="Div adjustment05"/>
      <sheetName val="503 0510 LL BS"/>
      <sheetName val="503 0510 LL PL"/>
      <sheetName val="TAX-28"/>
      <sheetName val="CAS"/>
      <sheetName val="CA1 "/>
      <sheetName val="FA Addition"/>
      <sheetName val="Addition Listing"/>
      <sheetName val="FA Disposal"/>
      <sheetName val="Disposal Listing"/>
      <sheetName val="PL-notes"/>
      <sheetName val="RD"/>
      <sheetName val="FS"/>
      <sheetName val="Adm"/>
      <sheetName val="interest remit(503)"/>
      <sheetName val="PL-details"/>
      <sheetName val="621011-final"/>
      <sheetName val="PL-ICTrans"/>
      <sheetName val="Form C info"/>
      <sheetName val="CTO "/>
      <sheetName val="Div adjustment"/>
      <sheetName val="Captura"/>
      <sheetName val="Shirley"/>
      <sheetName val="FAA"/>
      <sheetName val="FAD"/>
      <sheetName val="FACTO"/>
      <sheetName val="CA Sch"/>
      <sheetName val="O&amp;E"/>
      <sheetName val="forexA5"/>
      <sheetName val="Pro royalty"/>
      <sheetName val="bad dbts prov"/>
      <sheetName val="prov RB"/>
      <sheetName val="prov vacation"/>
      <sheetName val="pay for results "/>
      <sheetName val="621011PIVOT FINAL"/>
      <sheetName val="Staff Cost "/>
      <sheetName val="WFM Responsibilities"/>
      <sheetName val="NEW NAMES 1.31.09"/>
      <sheetName val="CURRENT NAMES eff dt 1.30.09"/>
      <sheetName val="Differences with GHRMS file"/>
      <sheetName val="CONSOLIDATED NEW NAMES for FIN"/>
      <sheetName val="MRU Division Table"/>
      <sheetName val="EIBU Lvl3 2006-2009 Rollup"/>
      <sheetName val="EIBU Lvl3Q3 2006"/>
      <sheetName val="EIBU Lvl3Q4 2006"/>
      <sheetName val="EIBU Lvl3Q1 2007"/>
      <sheetName val="EIBU Lvl3Q2 2007"/>
      <sheetName val="EIBU Lvl3Q3 2007"/>
      <sheetName val="EIBU Lvl3Q4 2007"/>
      <sheetName val="EIBU Lvl3 2006"/>
      <sheetName val="EIBU Lvl3 2007"/>
      <sheetName val="EIBU Lvl3 2008"/>
      <sheetName val="EIBU Lvl3 2009"/>
      <sheetName val="retire"/>
      <sheetName val="Ownership &amp; Change Control"/>
      <sheetName val="Documentation"/>
      <sheetName val="T- Agilent &amp; Varian"/>
      <sheetName val="T1 - Pretax and Pro forma"/>
      <sheetName val="T2 - Non-GAAP ETR Summary"/>
      <sheetName val="T3 - GAAP ETR Summary"/>
      <sheetName val="T3F - Cont Ops Tax Rate"/>
      <sheetName val="T4 - Forecast Summary by Q"/>
      <sheetName val="B - Varian GAAP Forecast"/>
      <sheetName val="T5 - Rate Application"/>
      <sheetName val="T6-1 - World Tax - Non-GAAP"/>
      <sheetName val="T6-2 - World Tax - GAAP"/>
      <sheetName val="T-7 - ITM Summary"/>
      <sheetName val="Subconsolidations"/>
      <sheetName val="T14 - CFR Forecast"/>
      <sheetName val="T7A - FY09 Tax Adjustment "/>
      <sheetName val="T8-1 - Foreign Tax Variance"/>
      <sheetName val="T8-2 - Subpart F &amp; GrossUp"/>
      <sheetName val="T9 - OCI Tax Benefit"/>
      <sheetName val="T10 - ARB 51 Tax Adj"/>
      <sheetName val="T10D - ATIS IP Transfer"/>
      <sheetName val="T11 - PF Items - July"/>
      <sheetName val="T11-1 ProForma by Country"/>
      <sheetName val="T12 - GAAP Jurisdiction Tax"/>
      <sheetName val="T13 - Jun '10 YTD Cash Payments"/>
      <sheetName val="T15 - July FLASH"/>
      <sheetName val="T16-State Tax Liability - Q3'10"/>
      <sheetName val="T17-State ETR - Q3'10"/>
      <sheetName val="T19 - Federal R&amp;D Calc - Q3'10"/>
      <sheetName val="T23 - Perms - Domestic"/>
      <sheetName val="T-26 - 9709 LOM Q3'10"/>
      <sheetName val="Supporting Wkprs to the right "/>
      <sheetName val="T14A - CFR Forecast"/>
      <sheetName val="T10A - YAN IP Transfer"/>
      <sheetName val="T10B - Acqiris IP Trsfr wCl"/>
      <sheetName val="T10C - Adaptif IP Transfer"/>
      <sheetName val="T23A - Perms - Fgn not used"/>
      <sheetName val="QuarterView"/>
      <sheetName val="Consolidated Table"/>
      <sheetName val="GIO Ops"/>
      <sheetName val="Labs"/>
      <sheetName val="Notes for JV Data Tab"/>
      <sheetName val="Back-end Instructions"/>
      <sheetName val="Drop-Downs"/>
      <sheetName val="Summary by $"/>
      <sheetName val="Summary by headcount"/>
      <sheetName val="Pushdown Pivot"/>
      <sheetName val="Pushdown Rank"/>
      <sheetName val="Q2_By Group"/>
      <sheetName val="Q1Accrual by group"/>
      <sheetName val="Q1Pivot"/>
      <sheetName val="Q1FX"/>
      <sheetName val="LNP"/>
      <sheetName val="US_NONUS Key"/>
      <sheetName val="Q2Pivot"/>
      <sheetName val="Q2FX"/>
      <sheetName val="Q2_Unpaid_Enhancement"/>
      <sheetName val="June05Sheet1"/>
      <sheetName val="june05_pivot2"/>
      <sheetName val="June_payouts_pivot1"/>
      <sheetName val="July_Pivot"/>
      <sheetName val="July2_Final_List"/>
      <sheetName val="Q2Profor_wfm_terms_detail.rpt"/>
      <sheetName val="expense guidelines"/>
      <sheetName val="comet cur act"/>
      <sheetName val="LastYr"/>
      <sheetName val="actual_scale qtd compare "/>
      <sheetName val="Q4_accrual_Pivot"/>
      <sheetName val="MU table"/>
      <sheetName val="Notes from BU's for 10.26.07"/>
      <sheetName val="NEW NAMES 10.25.07"/>
      <sheetName val="CURRENT NAMES eff dt 10.25.07"/>
      <sheetName val="Current"/>
      <sheetName val="From Tamara C "/>
      <sheetName val="Deferral"/>
      <sheetName val="LTPP Susy F"/>
      <sheetName val="Data Calcs Filtered for 8213"/>
      <sheetName val="Data and Calcs From Susy F."/>
      <sheetName val="TTU"/>
      <sheetName val="Board check"/>
      <sheetName val="TTU &amp; Spectrian"/>
      <sheetName val="T3F - DiscOps&amp;Cont Ops Tax Rate"/>
      <sheetName val="T6-3 - World Tax Compare"/>
      <sheetName val="T7A - FY'06 Tax Adjust"/>
      <sheetName val="T8-2 - Subpart F Income"/>
      <sheetName val="T10 - Vaud Foreign Tax Proj"/>
      <sheetName val="T10B - Acqiris IP Transfer"/>
      <sheetName val="T11 - PF Items - Sept Flash"/>
      <sheetName val="T12 - Jurisdiction Tax"/>
      <sheetName val="T13 - Oct'07 YTD Csh Pymts"/>
      <sheetName val="T14 - Corp Dvlmt Forecast"/>
      <sheetName val="T14A - Oct '07 Oracle"/>
      <sheetName val="T15 - Sept Flash"/>
      <sheetName val="T16-State Tax Liability"/>
      <sheetName val="T17-State ETR"/>
      <sheetName val="T18 - EIE - Q4'07"/>
      <sheetName val="T19 - FED R&amp;D Credit - Q4'07"/>
      <sheetName val="T19A - R&amp;D Credit - FY'06"/>
      <sheetName val="T20 - Federal AMT"/>
      <sheetName val="T21 - Valuation Allow Analysis"/>
      <sheetName val="T21-A - Valuation Allow - US"/>
      <sheetName val="T21-B - Valuation Allow - UK"/>
      <sheetName val="T21-C - Val Allow - Netherlands"/>
      <sheetName val="T22 - APB 23 Analysis"/>
      <sheetName val="T23 - Other Perm Difference"/>
      <sheetName val="T24 - Goodwill"/>
      <sheetName val="T-26 -9709  LOM Inventory"/>
      <sheetName val="Done"/>
      <sheetName val="Sheets to right not used"/>
      <sheetName val="ETR Information Requests"/>
      <sheetName val="Accrual Calc"/>
      <sheetName val="Intl Only Oct 29"/>
      <sheetName val="Pivot Oct 29"/>
      <sheetName val="Jan27 research"/>
      <sheetName val="市区町村別"/>
      <sheetName val="送付先"/>
      <sheetName val="FY99 HPJOFFICE"/>
      <sheetName val="貸出先３位ﾘｽﾄ"/>
      <sheetName val="ALL DATA (2)"/>
      <sheetName val="Report-O-Matic"/>
      <sheetName val="ReportsbyFunction"/>
      <sheetName val="-Seller Reference"/>
      <sheetName val="-Seller Reference (2)"/>
      <sheetName val="HIT Grp to Grp (EPSG)"/>
      <sheetName val="SQF Eng Services (EPSG) "/>
      <sheetName val="Rook2 Manufacture (EPSG)"/>
      <sheetName val="Contract Mgmt (OSSG)"/>
      <sheetName val="BBN MFG-R&amp;D (EPSG)"/>
      <sheetName val="EU Logistics (EPSG BBN to ATG)"/>
      <sheetName val="EU Logistics (EPSG)"/>
      <sheetName val="Bulk Gases (EPSG)"/>
      <sheetName val="Business Center - (EPSG)"/>
      <sheetName val="CMD (EPSG) "/>
      <sheetName val="Commercial Services (CSG)"/>
      <sheetName val="Business Solutions (EPSG)"/>
      <sheetName val="Call Center EU (EPSG)"/>
      <sheetName val="Call Center Japan (EPSG)"/>
      <sheetName val="Call Center NA (EPSG) "/>
      <sheetName val="Call Center Asia (EPSG) "/>
      <sheetName val="Cross Selling (EPSG)"/>
      <sheetName val="Demo Management  (EPSG) "/>
      <sheetName val="Engineering Services (EPSG) "/>
      <sheetName val="Everest Central Team (EPSG) "/>
      <sheetName val="Factory Logistics  (ATG) "/>
      <sheetName val="Field eBusiness (EPSG) "/>
      <sheetName val="Field Quality Assurance (EPSG)"/>
      <sheetName val="GSDC (CSG) "/>
      <sheetName val="LAR HC (EPSG) "/>
      <sheetName val="MFG (CSG)"/>
      <sheetName val="Penang Site Service (SPG)"/>
      <sheetName val="Quality (ATG)  "/>
      <sheetName val="SPO (EPSG)"/>
      <sheetName val="Supply Base Management (EPSG)"/>
      <sheetName val="Tech Center (EPSG)"/>
      <sheetName val="IO Products MAST (EPSG) "/>
      <sheetName val="Test Dev (LSCA)  "/>
      <sheetName val="US Logistics (EPSG) "/>
      <sheetName val="US Operations (EPSG)  "/>
      <sheetName val="WPTC COS Residual (EPSG)"/>
      <sheetName val="WPTC R&amp;D Projects (EPSG) "/>
      <sheetName val="WPTC Model Shop (EPSG)"/>
      <sheetName val="-Revision Control"/>
      <sheetName val="-Setup"/>
      <sheetName val="Output 1"/>
      <sheetName val="Outputs - 33 Income Before Tax"/>
      <sheetName val="ICO&amp;ITM Comments"/>
      <sheetName val="Graph by SOB"/>
      <sheetName val="Factory SOBs"/>
      <sheetName val="Field SOBs"/>
      <sheetName val="Field SOBs - Actual"/>
      <sheetName val="Other SOBs"/>
      <sheetName val="Consols &amp; Inactive"/>
      <sheetName val="Exception Time Series"/>
      <sheetName val="Brio Time Series"/>
      <sheetName val="Factory Ratios"/>
      <sheetName val="Field Fund Matrix"/>
      <sheetName val="CU-SOB"/>
      <sheetName val="SOB-CAT"/>
      <sheetName val="Avago"/>
      <sheetName val="Verigy"/>
      <sheetName val="Variables Sheet"/>
      <sheetName val="APB23"/>
      <sheetName val="FY98 Pretax Earnings"/>
      <sheetName val="FY97 Pretax Earnings"/>
      <sheetName val="P&amp;L (EN-32)"/>
      <sheetName val="Low Tax"/>
      <sheetName val="99 Earnings"/>
      <sheetName val="98 Earnings"/>
      <sheetName val="97 Earnings"/>
      <sheetName val="Germany 99 Revenue"/>
      <sheetName val="Japan 99 Revenue"/>
      <sheetName val="99 Contingency Analysis"/>
      <sheetName val="Sing-Malay 94-96"/>
      <sheetName val="FY98 Goodwill"/>
      <sheetName val="Goodwill 98"/>
      <sheetName val="C_Trend"/>
      <sheetName val="J_Trend"/>
      <sheetName val="FY99 IC Carveout"/>
      <sheetName val="DTA Balances"/>
      <sheetName val="ICPE"/>
      <sheetName val="ICPE Rate"/>
      <sheetName val="Tax Account At FY99"/>
      <sheetName val="TaxCO"/>
      <sheetName val="TaxMO"/>
      <sheetName val="TaxTotal"/>
      <sheetName val="DeferCO"/>
      <sheetName val="DeferMO"/>
      <sheetName val="DeferTotal"/>
      <sheetName val="Tax Holiday 98"/>
      <sheetName val="Tax Holiday 97"/>
      <sheetName val="Tax Holiday 96"/>
      <sheetName val="Untaxed Earnings"/>
      <sheetName val="Chart-Phoenix Eff"/>
      <sheetName val="Chart-CO Eff"/>
      <sheetName val="Chart-MO Eff"/>
      <sheetName val="Chart-Eff Tax Rate"/>
      <sheetName val="Chart-Struct Tax Rate"/>
      <sheetName val="1998 Earnings"/>
      <sheetName val="1997 Earnings"/>
      <sheetName val="1997 Earnings - Superceded"/>
      <sheetName val="1999 Earnings"/>
      <sheetName val="94-99 Earnings"/>
      <sheetName val="RESERVE"/>
      <sheetName val="234BC"/>
      <sheetName val="Annexure C - adv tax"/>
      <sheetName val="Annexure D - ListDir"/>
      <sheetName val="BS - R"/>
      <sheetName val="BS &amp; P&amp;L"/>
      <sheetName val="Sch 1 and 2"/>
      <sheetName val="Sch 4,5 and 6"/>
      <sheetName val="Sch 7, 8"/>
      <sheetName val="ECB Interest &amp; ECB Exchange"/>
      <sheetName val="FA-DEP"/>
      <sheetName val="DEP'N-31-03-07"/>
      <sheetName val="CPP 2"/>
      <sheetName val="TBMIS-April 04"/>
      <sheetName val="OR APR"/>
      <sheetName val="working of power"/>
      <sheetName val="Duty"/>
      <sheetName val="nov duty prov  (2)"/>
      <sheetName val="Dec e bill Prov  (2)"/>
      <sheetName val="nov duty prov "/>
      <sheetName val="Nov e bill Prov "/>
      <sheetName val="Cpex Details Nov"/>
      <sheetName val="SeptBill"/>
      <sheetName val="310804"/>
      <sheetName val="300904"/>
      <sheetName val="FINAL TRIAL"/>
      <sheetName val="Repairs"/>
      <sheetName val="Nov prov"/>
      <sheetName val="Final COAL Nov (2)"/>
      <sheetName val="OR Nov"/>
      <sheetName val="P&amp;L Nov"/>
      <sheetName val="OR MRM"/>
      <sheetName val="P&amp;LMRM (2)"/>
      <sheetName val="P&amp;LMRM"/>
      <sheetName val="Final COAL Nov"/>
      <sheetName val="Nov VAR"/>
      <sheetName val="Cons P&amp;L"/>
      <sheetName val="June VAR"/>
      <sheetName val="Aprilvar"/>
      <sheetName val="Capmis"/>
      <sheetName val="F.I."/>
      <sheetName val="E BILL &amp; DUTY-R"/>
      <sheetName val="MGF"/>
      <sheetName val="E BILL JUNE"/>
      <sheetName val="COAL JUNE"/>
      <sheetName val="Regcon"/>
      <sheetName val="MAN"/>
      <sheetName val="Savings after Take Over"/>
      <sheetName val="admin "/>
      <sheetName val="Cpex Details Sept"/>
      <sheetName val="SEPT VAR"/>
      <sheetName val="Final COAL Sept"/>
      <sheetName val="metal review format"/>
      <sheetName val="OR SEPT"/>
      <sheetName val="P&amp;L SEPT"/>
      <sheetName val="TB For MIS Jan"/>
      <sheetName val="3110"/>
      <sheetName val="Consl Mfg Exp"/>
      <sheetName val="Consl adm-NF"/>
      <sheetName val="CPPBP"/>
      <sheetName val="CPP  FI "/>
      <sheetName val="3009"/>
      <sheetName val="3108"/>
      <sheetName val="3110 ver2"/>
      <sheetName val="3110 ver1"/>
      <sheetName val="3110 ver3"/>
      <sheetName val="FINALTRIAL"/>
      <sheetName val="3110final"/>
      <sheetName val="TBMIS"/>
      <sheetName val="IUT (2)"/>
      <sheetName val="con-III"/>
      <sheetName val="CON-II"/>
      <sheetName val="CON-I"/>
      <sheetName val="SIIL"/>
      <sheetName val="Attdc"/>
      <sheetName val="Copper"/>
      <sheetName val="Comm_SAP"/>
      <sheetName val="Prod Work"/>
      <sheetName val="TB-SAP"/>
      <sheetName val="Outside"/>
      <sheetName val="N2 Reserves"/>
      <sheetName val="N10 non cur inv"/>
      <sheetName val="N9-FAR&amp;DEP"/>
      <sheetName val="N16 Cash and CE"/>
      <sheetName val="Other Notes to Accounts"/>
      <sheetName val="other disclosure"/>
      <sheetName val="AS 15"/>
      <sheetName val="N50 der disclosure"/>
      <sheetName val="Segmental Report"/>
      <sheetName val="Workings for notes"/>
      <sheetName val="SAP"/>
      <sheetName val="Sales &amp; Prod"/>
      <sheetName val="CLBS TTK"/>
      <sheetName val="Copper-Value FIFO"/>
      <sheetName val="ABSTRACT FIFO"/>
      <sheetName val="Anode Trf Price"/>
      <sheetName val="N-13 Investments"/>
      <sheetName val="Exp Capt"/>
      <sheetName val="TB-YTD-30.09.11"/>
      <sheetName val=" Final TB Q1 "/>
      <sheetName val="FAR-SEP-11"/>
      <sheetName val="EPS-Working"/>
      <sheetName val="ST&amp;LT-breakup"/>
      <sheetName val="Provisions-breakup"/>
      <sheetName val="Reserves-Composition"/>
      <sheetName val="Rollover&amp;Cancellation-FWD"/>
      <sheetName val="Variance (Annualised)"/>
      <sheetName val="Fund Involve"/>
      <sheetName val="Or"/>
      <sheetName val="capex "/>
      <sheetName val="Top 10"/>
      <sheetName val="Metal "/>
      <sheetName val="Prd Value"/>
      <sheetName val="Prd-Pl (2)"/>
      <sheetName val="Cu-P&amp;L"/>
      <sheetName val="FI-New"/>
      <sheetName val="Fundsflow"/>
      <sheetName val="Mar 03 Books Summary"/>
      <sheetName val="NEW BS"/>
      <sheetName val="SIIL-BS-Sales"/>
      <sheetName val="SANSWADI"/>
      <sheetName val="Copper BS"/>
      <sheetName val="Tuty-BS"/>
      <sheetName val="CAPEX-PROJECTS"/>
      <sheetName val="BS-Slvs"/>
      <sheetName val="NonCopper-HO"/>
      <sheetName val="NonCopper-ORRISSA"/>
      <sheetName val="HO-BP"/>
      <sheetName val="Inter Unit "/>
      <sheetName val="Sum Present"/>
      <sheetName val="Alu Conductor"/>
      <sheetName val="Smelter-FInv"/>
      <sheetName val="Acids-FInv "/>
      <sheetName val="CPP-FInv"/>
      <sheetName val="FINV-Slvs"/>
      <sheetName val="Mfg-1"/>
      <sheetName val="Prd-Pl"/>
      <sheetName val="Prd-Pl Present"/>
      <sheetName val="non1"/>
      <sheetName val="Copper (2)"/>
      <sheetName val="SIIL-BS-PRD"/>
      <sheetName val="PMStocks"/>
      <sheetName val="Conc"/>
      <sheetName val="TCRC"/>
      <sheetName val="Smelter "/>
      <sheetName val="Ref-TTN"/>
      <sheetName val="Ref-SLVS"/>
      <sheetName val="ACP-SLVS "/>
      <sheetName val="CCR-SLVS"/>
      <sheetName val="KeyinHO"/>
      <sheetName val="CCR-TTN"/>
      <sheetName val="Debtprofile"/>
      <sheetName val="Assump-Major"/>
      <sheetName val="Notes BS"/>
      <sheetName val="Note 2.9 BS-FA"/>
      <sheetName val="Investment - MF"/>
      <sheetName val="Notes PL"/>
      <sheetName val="Working -CFS"/>
      <sheetName val="Note 2.10 BS-Invest"/>
      <sheetName val="Trial 31.03.2012"/>
      <sheetName val="Capital Advances -Mar 2012"/>
      <sheetName val="Balance Sheet Old"/>
      <sheetName val="SCH 6-8"/>
      <sheetName val="SCH 9-11"/>
      <sheetName val="Exp During Construction "/>
      <sheetName val="CWIP Notes"/>
      <sheetName val="Trial 05.10.2011"/>
      <sheetName val="N 9 FAR"/>
      <sheetName val="Ref"/>
      <sheetName val="Default"/>
      <sheetName val="IFRS P&amp;L"/>
      <sheetName val="Reserve Reco"/>
      <sheetName val="N5-Investment Revenue"/>
      <sheetName val="N6-Finance costs"/>
      <sheetName val="N7-Profit- Operations"/>
      <sheetName val="N8-Auditors' Remuneration"/>
      <sheetName val="N9-Emplyee No-staff cost"/>
      <sheetName val="N10-Tax"/>
      <sheetName val="N12-Dividend"/>
      <sheetName val="N14-Propert, Plant and Equimt"/>
      <sheetName val="N16 Financial Asset Investment"/>
      <sheetName val="N17 Other non current asset"/>
      <sheetName val="N18 Inventories"/>
      <sheetName val="N19 Trade and other receivables"/>
      <sheetName val="N20 Liquid Investment"/>
      <sheetName val="N21 Cash and CE"/>
      <sheetName val="N22 Borrowings"/>
      <sheetName val="N22 Borrowings-2"/>
      <sheetName val="N22 Borrowings-3"/>
      <sheetName val="N23 Net Debts-Cash"/>
      <sheetName val="N24 Trade and other payables"/>
      <sheetName val="N26 Derivative"/>
      <sheetName val="N28-Deferred Tax"/>
      <sheetName val="commited liablity"/>
      <sheetName val="N35 Related Party"/>
      <sheetName val="1-10-03"/>
      <sheetName val="Rating"/>
      <sheetName val="Rating2"/>
      <sheetName val="Capital Risk"/>
      <sheetName val="Credit risk"/>
      <sheetName val="Liquidity risk"/>
      <sheetName val="Currency risk"/>
      <sheetName val="Interest rate risk"/>
      <sheetName val="Commodity price risk"/>
      <sheetName val="Cash flow hedges"/>
      <sheetName val="New Note 3"/>
      <sheetName val="New Note 2"/>
      <sheetName val="New Note 1"/>
      <sheetName val="Sales &amp;Sale Cost"/>
      <sheetName val="Physicals-YTD"/>
      <sheetName val="YTD P &amp; L"/>
      <sheetName val="Exp Breakup"/>
      <sheetName val="bkp"/>
      <sheetName val="Physicals(Format)"/>
      <sheetName val="P&amp;L(Format)"/>
      <sheetName val="Scenario Summary"/>
      <sheetName val="Stock Cal"/>
      <sheetName val="BS Gyan"/>
      <sheetName val="P&amp;L Gyan"/>
      <sheetName val="TB-Q1-FY-1011 (2)"/>
      <sheetName val="BS "/>
      <sheetName val="Sch1-3"/>
      <sheetName val="TB-Q1-FY-1011"/>
      <sheetName val="TB (2)"/>
      <sheetName val="Pre oper"/>
      <sheetName val="Purchase"/>
      <sheetName val="Cash Flow Hedge Accounting"/>
      <sheetName val="AUDIT-1"/>
      <sheetName val="Cluster Mapping"/>
      <sheetName val="Rate sheet"/>
      <sheetName val="Sales Wipro HCIT"/>
      <sheetName val="COS Wipro HCIT"/>
      <sheetName val="Support cost Wipro HCIT"/>
      <sheetName val="Manpower No. Wipro HCIT"/>
      <sheetName val="Support cost BPO-CPO"/>
      <sheetName val="COS  BPO-CPO"/>
      <sheetName val="Sales  BPO-CPO"/>
      <sheetName val="Support cost DD"/>
      <sheetName val="COS  DD"/>
      <sheetName val="Sales  DD"/>
      <sheetName val="Support cost LS"/>
      <sheetName val="COS LS"/>
      <sheetName val="Sales LS"/>
      <sheetName val="Sales HC"/>
      <sheetName val="COS HC"/>
      <sheetName val="Support cost HC"/>
      <sheetName val="Corp Format"/>
      <sheetName val="P&amp;L HC"/>
      <sheetName val="P&amp;L LS"/>
      <sheetName val="P&amp;L DD"/>
      <sheetName val="P&amp;L BPO-CPO"/>
      <sheetName val="P&amp;L Biomed"/>
      <sheetName val="P&amp;L Cen Sup"/>
      <sheetName val="P&amp;L Wipro HCIT"/>
      <sheetName val="Joydeep"/>
      <sheetName val="Cen Supp Costs"/>
      <sheetName val="Manpower Consol"/>
      <sheetName val="Manpower No. HC"/>
      <sheetName val="Manpower No. LS"/>
      <sheetName val="Manpower No. DD"/>
      <sheetName val="Manpower c Support"/>
      <sheetName val="Manpower No. BPO-CPO"/>
      <sheetName val="HRZ"/>
      <sheetName val="Geo-Sal inv"/>
      <sheetName val="Rev,MM&amp;Rat sum"/>
      <sheetName val="Cont analy"/>
      <sheetName val="Ver-Geowise mm"/>
      <sheetName val="Ver-Geowise mm sum"/>
      <sheetName val="Business Visa"/>
      <sheetName val="Work Permit"/>
      <sheetName val="Intl cost"/>
      <sheetName val="Reco-KALM"/>
      <sheetName val="vertical"/>
      <sheetName val="Service Function"/>
      <sheetName val="DC"/>
      <sheetName val="891&amp;salesadj"/>
      <sheetName val="CONTNREPT"/>
      <sheetName val="Contrib-rawdata"/>
      <sheetName val="sales file"/>
      <sheetName val="Sales file $"/>
      <sheetName val="Sales file Rs."/>
      <sheetName val="Loading Details"/>
      <sheetName val="Loading Rawdata"/>
      <sheetName val="PDD Nov'01"/>
      <sheetName val="capital charge"/>
      <sheetName val="ME List"/>
      <sheetName val="PBT Reco"/>
      <sheetName val="workings - Assets"/>
      <sheetName val="workings - liabilites"/>
      <sheetName val=" P&amp;L"/>
      <sheetName val="Workings for P &amp; L"/>
      <sheetName val="Schedules to P&amp;L "/>
      <sheetName val="Schedules to BS "/>
      <sheetName val="Points to be con for final del."/>
      <sheetName val="groups"/>
      <sheetName val="misc.workings"/>
      <sheetName val="Computation  (2)"/>
      <sheetName val="80 IB"/>
      <sheetName val="Working P &amp; L"/>
      <sheetName val="Curr liab Adv from customers"/>
      <sheetName val="Closing stock (2)"/>
      <sheetName val="Workings Cash flows"/>
      <sheetName val="Trail Balance 07-08"/>
      <sheetName val="Trial Balance 08-09"/>
      <sheetName val="Sec"/>
      <sheetName val="Unsec"/>
      <sheetName val="Inventory details"/>
      <sheetName val="Cash &amp; bank"/>
      <sheetName val="Loans &amp; Adv"/>
      <sheetName val="Current Liab &amp; prov "/>
      <sheetName val="Other exps"/>
      <sheetName val="tax year on year"/>
      <sheetName val="BSR"/>
      <sheetName val="BSR (2)"/>
      <sheetName val="Note on Revenue Recognition"/>
      <sheetName val="Sumarry"/>
      <sheetName val="Revenue workings"/>
      <sheetName val="POC"/>
      <sheetName val="TB 31.12.10"/>
      <sheetName val="S3A - Office"/>
      <sheetName val="S3A - Retai"/>
      <sheetName val="S3B"/>
      <sheetName val="Total Pmts.(MRHPL)"/>
      <sheetName val="ExportVar"/>
      <sheetName val="Business_Organisation"/>
      <sheetName val="Schedule TI"/>
      <sheetName val="Bank Accounts"/>
      <sheetName val="Schedule HP"/>
      <sheetName val="Schedule BP"/>
      <sheetName val="Schedule DPM"/>
      <sheetName val="Schedule DOA"/>
      <sheetName val="Schedule DEP"/>
      <sheetName val="Schedule DCG"/>
      <sheetName val="Schedule ESR"/>
      <sheetName val="Schedule CG"/>
      <sheetName val="Schedule OS"/>
      <sheetName val="Schedule CFL"/>
      <sheetName val="Schedule 10"/>
      <sheetName val="Schedule 80G"/>
      <sheetName val="Schedule 80"/>
      <sheetName val="Schedule VIA"/>
      <sheetName val="SCHEDULE STTR"/>
      <sheetName val="Schedule SI"/>
      <sheetName val="Schedule EI"/>
      <sheetName val="Schedule MAT"/>
      <sheetName val="Schedule MATC"/>
      <sheetName val="Schedule DDT"/>
      <sheetName val="Schedule FB"/>
      <sheetName val="Schedule IT - Adv"/>
      <sheetName val="Schedule IT - Self"/>
      <sheetName val="Schedule FBT"/>
      <sheetName val="Schedule DDTP"/>
      <sheetName val="Schedule TDS2"/>
      <sheetName val="Schedule TCS"/>
      <sheetName val="Debentures"/>
      <sheetName val="Cash flow workings1"/>
      <sheetName val="Inc Tax"/>
      <sheetName val="FA schedule (08-09)"/>
      <sheetName val="P_L Schedules"/>
      <sheetName val="TrialBal"/>
      <sheetName val="EPS workings (2)"/>
      <sheetName val="Interest reco"/>
      <sheetName val="outside entries(Mukul)"/>
      <sheetName val="outside entries"/>
      <sheetName val="Regrouping of pr yr"/>
      <sheetName val="uncertified workings - creditor"/>
      <sheetName val="Deferred tax (2)"/>
      <sheetName val="Micr small enterprises"/>
      <sheetName val="Enfield"/>
      <sheetName val="Notes changes"/>
      <sheetName val="FA Schedule (09-10)"/>
      <sheetName val="PrintManagerCode"/>
      <sheetName val="ReportManagerCode"/>
      <sheetName val="AdditionalPrintCode"/>
      <sheetName val="MainPrintCode"/>
      <sheetName val="__FDSCACHE__"/>
      <sheetName val="G to N"/>
      <sheetName val="LCIP"/>
      <sheetName val="LCIP Output"/>
      <sheetName val="Aggregate"/>
      <sheetName val="Crossover"/>
      <sheetName val="CJ Analysis"/>
      <sheetName val="IV Sen"/>
      <sheetName val="G to N Sens"/>
      <sheetName val="PWM Case"/>
      <sheetName val="Comp Cases"/>
      <sheetName val="Comp Sens"/>
      <sheetName val="MS Comp"/>
      <sheetName val="German"/>
      <sheetName val="Draper"/>
      <sheetName val="Scenario Analysis"/>
      <sheetName val="Tim's Proposal"/>
      <sheetName val="Hugh's Analysis"/>
      <sheetName val="Gross to Net- Majors"/>
      <sheetName val="Gross to Net-No Majors"/>
      <sheetName val="Comp Sens WSIB"/>
      <sheetName val="Non-Major"/>
      <sheetName val="CalPERS"/>
      <sheetName val="G to N CalPERS"/>
      <sheetName val="G to N for GM"/>
      <sheetName val="German Output"/>
      <sheetName val="German Sens"/>
      <sheetName val="CalSTRS"/>
      <sheetName val="US_Analysis Breakout"/>
      <sheetName val="US_Analysis"/>
      <sheetName val="Revised U.S. Fund"/>
      <sheetName val="U.S. Fund"/>
      <sheetName val="Model Guidance"/>
      <sheetName val="PL, BS, Cash Flow"/>
      <sheetName val="consorev"/>
      <sheetName val="Personnel Exps &amp; Debt"/>
      <sheetName val="Detailed Rev Break up"/>
      <sheetName val="Prcost"/>
      <sheetName val="HopVizFin"/>
      <sheetName val="Expenses-personnel"/>
      <sheetName val="Bedcapplan"/>
      <sheetName val="Bang-Rev"/>
      <sheetName val="Mumbai-rev"/>
      <sheetName val="Delhi-rev"/>
      <sheetName val="GENERAL2"/>
      <sheetName val="BS Print"/>
      <sheetName val="Summary P&amp;L"/>
      <sheetName val="Detailed P&amp;L"/>
      <sheetName val="Export Mixed"/>
      <sheetName val="Export WH"/>
      <sheetName val="Export LWC"/>
      <sheetName val="Export OCC"/>
      <sheetName val="Export PL"/>
      <sheetName val="PMaterial"/>
      <sheetName val="W&amp;S"/>
      <sheetName val="Distribution"/>
      <sheetName val="Presentation sheet"/>
      <sheetName val="Plant Summary "/>
      <sheetName val="YTD Comparison"/>
      <sheetName val="Prior Year PDFs"/>
      <sheetName val="PDF Summary"/>
      <sheetName val="Paul Maint"/>
      <sheetName val="Sales Estimate 03-04"/>
      <sheetName val="Distribution Cost Savings"/>
      <sheetName val="Dist"/>
      <sheetName val="Chemical Cost Savings"/>
      <sheetName val="Sundries Cost Savings"/>
      <sheetName val="Mill Mix"/>
      <sheetName val="Production Estimate 03-04"/>
      <sheetName val="Grade Cost"/>
      <sheetName val="Grade Cost - Monthly"/>
      <sheetName val="Grade Cost - Monthly Detail"/>
      <sheetName val="Sales - Tonnes - VP3"/>
      <sheetName val="Sales - Tonnes - VP6"/>
      <sheetName val="Sales - Prices"/>
      <sheetName val="Sales - Value - VP3"/>
      <sheetName val="Sales - Value - VP6"/>
      <sheetName val="Sales - Revenue"/>
      <sheetName val="Production - VP3"/>
      <sheetName val="Production - VP6"/>
      <sheetName val="Production Assumptions - VP3"/>
      <sheetName val="Production Assumptions - VP6"/>
      <sheetName val="R Mat - BOM"/>
      <sheetName val="Other Materials"/>
      <sheetName val="Other Materials - BOM"/>
      <sheetName val="Other Materials - Consumption"/>
      <sheetName val="Energy"/>
      <sheetName val="Wages Summary"/>
      <sheetName val="R&amp;M Timming"/>
      <sheetName val="R+M Summ - AccNo"/>
      <sheetName val="FTE"/>
      <sheetName val="Grade Cost Monthly - DATA"/>
      <sheetName val="G Cost Mthly - DATA Detail"/>
      <sheetName val="Sales-Prod Mix"/>
      <sheetName val="PDF Summary with Sales detail"/>
      <sheetName val="Grade Cost - Grade"/>
      <sheetName val="Grade Cost - PBL Group"/>
      <sheetName val="Sales - Tonnes"/>
      <sheetName val="Sales - Value"/>
      <sheetName val="PBL Tons &amp; Price"/>
      <sheetName val="Production Assumptions"/>
      <sheetName val="Prod Assumptions - PBL"/>
      <sheetName val="R Mat - Bom Sept - Jun"/>
      <sheetName val="R Mat -S.C. BOM "/>
      <sheetName val="R Mat - PBL BOM Jul - Aug"/>
      <sheetName val="R MAt - PBL bom Sept - Jun"/>
      <sheetName val="Other Mats - BOM Jul-Dec"/>
      <sheetName val="OM - PBL BOM Jul-Dec"/>
      <sheetName val="Other Mats - BOM Jan-Jun"/>
      <sheetName val="OM - PBL BOM Jan-Jun"/>
      <sheetName val="Other Mats - BOM Mar-Jun03"/>
      <sheetName val="OM - PBL BOM Mar-Jun03"/>
      <sheetName val="Dist - PBL Consol"/>
      <sheetName val="Dist - BoralAust"/>
      <sheetName val="Dist - CSR"/>
      <sheetName val="Dist - BGC"/>
      <sheetName val="Dist - LafBoralAsia"/>
      <sheetName val="Dist - ABS Turkey"/>
      <sheetName val="Dist - BPB Asia"/>
      <sheetName val="Dist - Winstone"/>
      <sheetName val="Audit data"/>
      <sheetName val="Power Point Data"/>
      <sheetName val="Data_History"/>
      <sheetName val="YTD PDF Summary"/>
      <sheetName val="Graph - VPC Prod. TPM"/>
      <sheetName val="Rebate Calc"/>
      <sheetName val="Raw Materials - BOM"/>
      <sheetName val="Other Mats - BOM"/>
      <sheetName val="Graph  Other Materials Analysis"/>
      <sheetName val="Other Mat Calcs"/>
      <sheetName val="PC114"/>
      <sheetName val="PPAK219"/>
      <sheetName val="HBAK412"/>
      <sheetName val="UHBAK702"/>
      <sheetName val="WaxAK505"/>
      <sheetName val="TCHG310"/>
      <sheetName val="Capacity VPC"/>
      <sheetName val="Potential VPC"/>
      <sheetName val="USA Chart"/>
      <sheetName val="India_Asia Chart"/>
      <sheetName val="Germany Chart"/>
      <sheetName val="Internal Integration Chart"/>
      <sheetName val="Base Paper PDF Summary"/>
      <sheetName val="Graph - Base Paper Cont. to PDF"/>
      <sheetName val="Reference Data"/>
      <sheetName val="KEMI Analysis Data"/>
      <sheetName val="KEMI Analysis Graphs"/>
      <sheetName val="Alterations"/>
      <sheetName val="MENO"/>
      <sheetName val="Dep 01-02 (2)"/>
      <sheetName val="DEP AS PER I.TAX"/>
      <sheetName val="DEP-BUILD-ADMN"/>
      <sheetName val="Dep 02-03"/>
      <sheetName val="Dep 03-04"/>
      <sheetName val="Add  03-04"/>
      <sheetName val="deletion 03-04"/>
      <sheetName val="deletion"/>
      <sheetName val="Add  02-03"/>
      <sheetName val="Linked.BS"/>
      <sheetName val="Linked.P&amp;L"/>
      <sheetName val="Linked.Schedules"/>
      <sheetName val="sub schedules"/>
      <sheetName val="def tax (2)"/>
      <sheetName val="PFT"/>
      <sheetName val="234 B C INT 06"/>
      <sheetName val="234 B C INT 06 _Final"/>
      <sheetName val="Data Lists"/>
      <sheetName val="Monthly Return"/>
      <sheetName val="Age Analysis"/>
      <sheetName val="run"/>
      <sheetName val="Generate Mail-file"/>
      <sheetName val="Snapshot"/>
      <sheetName val="Rings Inventory"/>
      <sheetName val="Rings Working Capital"/>
      <sheetName val="Rings Headcount"/>
      <sheetName val="Rings CAPEX"/>
      <sheetName val="Rings Cash Flow"/>
      <sheetName val="StratPlan 2004_mathematics"/>
      <sheetName val="StratPlan 2004_variances"/>
      <sheetName val="StratPlan 2004_variances_€"/>
      <sheetName val="Comp to prior Strat"/>
      <sheetName val="StratPlan 2003"/>
      <sheetName val="Strat Plan "/>
      <sheetName val="StratPlan 2003_€"/>
      <sheetName val="Overview_SF"/>
      <sheetName val="prod-rest"/>
      <sheetName val="Productivity Graph"/>
      <sheetName val="Sales_HypStruktur_adj for IC"/>
      <sheetName val="Country Information"/>
      <sheetName val="Variance Analysis_2005_€"/>
      <sheetName val="Variance Analysis_extrapol_€"/>
      <sheetName val="Variance Analysis_2005_$"/>
      <sheetName val="ROHA"/>
      <sheetName val="Fixed Assets Check"/>
      <sheetName val="HC- Sal_Hour"/>
      <sheetName val="RING_EUR $"/>
      <sheetName val="RING_EUR €"/>
      <sheetName val="GEAUTOR_2005 by country"/>
      <sheetName val="Earnings Reconc LC"/>
      <sheetName val="FMTPEUR"/>
      <sheetName val="GEAUTRA"/>
      <sheetName val="FMTPTRA"/>
      <sheetName val="GEMACH"/>
      <sheetName val="GEGZIND"/>
      <sheetName val="GEGTRAD"/>
      <sheetName val="GARENOM"/>
      <sheetName val="GARENTR"/>
      <sheetName val="DESENZR"/>
      <sheetName val="SAPANRL"/>
      <sheetName val="SAPAEG"/>
      <sheetName val="FTLE"/>
      <sheetName val="RINSALE"/>
      <sheetName val="RINEUADJ"/>
      <sheetName val="ATCRING"/>
      <sheetName val="GARETS"/>
      <sheetName val="xxx4"/>
      <sheetName val="Capital Summary by Category"/>
      <sheetName val="xxx5"/>
      <sheetName val="GEAUTOR"/>
      <sheetName val="Overall Parameters"/>
      <sheetName val="Roll to 2001"/>
      <sheetName val="Roll to 2002"/>
      <sheetName val="Beyond 2002"/>
      <sheetName val="FAS Asset Roll"/>
      <sheetName val="sec 1"/>
      <sheetName val="sec 2"/>
      <sheetName val="sec 3"/>
      <sheetName val="sec 4"/>
      <sheetName val="sec 5"/>
      <sheetName val="Schedule 1"/>
      <sheetName val="Schedule 2"/>
      <sheetName val="Schedule 3"/>
      <sheetName val="Balance Confirmation"/>
      <sheetName val="Direction"/>
      <sheetName val="Vol-MfgRate"/>
      <sheetName val="DirLabor"/>
      <sheetName val="mcv recon"/>
      <sheetName val="mcv"/>
      <sheetName val="subctor"/>
      <sheetName val="Performance I"/>
      <sheetName val="Performance II"/>
      <sheetName val="brand cost"/>
      <sheetName val="Effy Restate"/>
      <sheetName val="mod3_a"/>
      <sheetName val="mod3"/>
      <sheetName val="mod2"/>
      <sheetName val="modified"/>
      <sheetName val="COST CTRS"/>
      <sheetName val="INP"/>
      <sheetName val="MSUM"/>
      <sheetName val="SAL_CHC"/>
      <sheetName val="T&amp;T"/>
      <sheetName val="SW"/>
      <sheetName val="HW"/>
      <sheetName val="PUR_SVC"/>
      <sheetName val="PRF_SVC"/>
      <sheetName val="TEL_COM"/>
      <sheetName val="OTH"/>
      <sheetName val="DA&amp;IC"/>
      <sheetName val="Additional"/>
      <sheetName val="Sept Exit"/>
      <sheetName val="Sept Fresh"/>
      <sheetName val="A1- EBITDA Roll"/>
      <sheetName val="A2 - Pension"/>
      <sheetName val="A3 - NNB"/>
      <sheetName val="A4 - NonSourcing"/>
      <sheetName val="A5-Sourcing"/>
      <sheetName val="B1-Cash Flow"/>
      <sheetName val="B2 - Debt"/>
      <sheetName val="B3 -  Debt Detail"/>
      <sheetName val="Term 1"/>
      <sheetName val="Term 2"/>
      <sheetName val="Term 3"/>
      <sheetName val="Term 4"/>
      <sheetName val="B4 - Ratios"/>
      <sheetName val="C1-OP Cash"/>
      <sheetName val="C2-Working Capital"/>
      <sheetName val="C3 - Cap Ex"/>
      <sheetName val="BU Scenarios"/>
      <sheetName val="Bolt-on"/>
      <sheetName val="Exit Dates"/>
      <sheetName val="C4-Taxes"/>
      <sheetName val="Bill #1"/>
      <sheetName val="Bill #2"/>
      <sheetName val="C5 -Changes"/>
      <sheetName val="Corp Tracking Schedules"/>
      <sheetName val="HYP Export"/>
      <sheetName val="HYP Summary"/>
      <sheetName val="TB Financials"/>
      <sheetName val="MFG Cost Analysis"/>
      <sheetName val="Pushdown"/>
      <sheetName val="# Summary"/>
      <sheetName val="# Run Rate"/>
      <sheetName val="# Sale Plan Summary"/>
      <sheetName val="# FMG GA Sale"/>
      <sheetName val="# Sale Plan Details"/>
      <sheetName val="# Sale value"/>
      <sheetName val="# Production Plan Summary"/>
      <sheetName val="# Raw Material Cost (SAP)"/>
      <sheetName val="# Material Comparision"/>
      <sheetName val="# Jobbing"/>
      <sheetName val="# Steel Rings"/>
      <sheetName val="# Hump Exp &amp; Coil Spr"/>
      <sheetName val="# Power Cost"/>
      <sheetName val="# Production Plan Details"/>
      <sheetName val="# Inter_Activity Trfr."/>
      <sheetName val="# Capacity"/>
      <sheetName val="# Raw Material _ Local Supply"/>
      <sheetName val="# Raw Material Rate_Domestic"/>
      <sheetName val="# Raw Material Rate_Imported"/>
      <sheetName val="# Primary Packing"/>
      <sheetName val="# Secondary Packing"/>
      <sheetName val="# Consumable-Foundry"/>
      <sheetName val="# Consumable-M-Shop"/>
      <sheetName val="# Consumable -Common"/>
      <sheetName val="# Inter-plant Receipt"/>
      <sheetName val="# Inter-plant Transfer"/>
      <sheetName val="# Inventory"/>
      <sheetName val="Esic Reconicaltions"/>
      <sheetName val="ESIC GOA"/>
      <sheetName val="Dewas"/>
      <sheetName val="352403_ESIC PAYBALE"/>
      <sheetName val="K SWARUP"/>
      <sheetName val="Raw Sheet"/>
      <sheetName val="PHYSICAL"/>
      <sheetName val="Consol FA sch"/>
      <sheetName val="SYS &amp; LAPTOP SALE"/>
      <sheetName val="Con-Dep"/>
      <sheetName val="Sale P&amp;LQ1-Q2-Q3-Q4 "/>
      <sheetName val="Veh"/>
      <sheetName val="S-w"/>
      <sheetName val="Helicopter"/>
      <sheetName val="Fur"/>
      <sheetName val="Con-Cost"/>
      <sheetName val="Off"/>
      <sheetName val="FA SH5-6 "/>
      <sheetName val="EXTRA"/>
      <sheetName val="Trans to"/>
      <sheetName val="detail "/>
      <sheetName val="Con-Dep without wm"/>
      <sheetName val="Con-Cost without wm"/>
      <sheetName val="CMA-II"/>
      <sheetName val="CMA"/>
      <sheetName val="ITW"/>
      <sheetName val="Store data Dec-07"/>
      <sheetName val="line wise"/>
      <sheetName val="INTERLEAVING PAP"/>
      <sheetName val="PIVOT MILL WISE"/>
      <sheetName val="PIVOT ALL LINE WISE"/>
      <sheetName val="Indiirect store"/>
      <sheetName val="MONTHWISE ID"/>
      <sheetName val="ALLOCATION ID "/>
      <sheetName val="REPAIR Data"/>
      <sheetName val="Gen Repair Allocation"/>
      <sheetName val="LINE PRODUCTION"/>
      <sheetName val="PIVOT LINE WISE CRD1"/>
      <sheetName val="C Norms (Others)"/>
      <sheetName val="C Norms (Main)"/>
      <sheetName val="crd1 mis"/>
      <sheetName val="PIVOT LINE WISE CRD2"/>
      <sheetName val="crd 2 mis"/>
      <sheetName val="PIVOT LINE WISE SPD"/>
      <sheetName val="PIVOT LINE WISE AP4"/>
      <sheetName val="AP4"/>
      <sheetName val="PIVOT LINE WISE Z4"/>
      <sheetName val="Z4"/>
      <sheetName val="Coin Blanking"/>
      <sheetName val="PIVOT LINE COIN BLANKING"/>
      <sheetName val="Store Consumption Dec-2007"/>
      <sheetName val="Final Refund Summary"/>
      <sheetName val="FORM3-FF"/>
      <sheetName val="FORM3 - MAIN-OLD"/>
      <sheetName val="FROM2"/>
      <sheetName val="Form2 - letter"/>
      <sheetName val="Form3 - letter"/>
      <sheetName val="CMA-REGISTER"/>
      <sheetName val="FORM-I"/>
      <sheetName val="jan'04"/>
      <sheetName val="234 -C"/>
      <sheetName val="Cost working"/>
      <sheetName val="OP"/>
      <sheetName val="Intt Allocation"/>
      <sheetName val="COS "/>
      <sheetName val="CFS Grouping"/>
      <sheetName val="FA as per IT"/>
      <sheetName val="Computation A.Y.2009-10"/>
      <sheetName val="Trial - City"/>
      <sheetName val="Trial - VL"/>
      <sheetName val="Trial - Space"/>
      <sheetName val="Sub Grouping"/>
      <sheetName val="Vatika Debtors"/>
      <sheetName val="Buzz"/>
      <sheetName val="June 30 , 09"/>
      <sheetName val="Income Act"/>
      <sheetName val="rental"/>
      <sheetName val="SSI"/>
      <sheetName val="Preops."/>
      <sheetName val="Machine Rate"/>
      <sheetName val="Pers."/>
      <sheetName val="Cost Allocation"/>
      <sheetName val="-"/>
      <sheetName val="Equip."/>
      <sheetName val="Purch."/>
      <sheetName val="Mixing Plant"/>
      <sheetName val="zus. Artikel"/>
      <sheetName val="Quant Raw M"/>
      <sheetName val="Market Data"/>
      <sheetName val="Detailed COP"/>
      <sheetName val="Raw Material"/>
      <sheetName val="Installed capacity"/>
      <sheetName val="Capacity Utilization"/>
      <sheetName val="R&amp;M"/>
      <sheetName val="Funds Flow"/>
      <sheetName val="Depreciation-IT"/>
      <sheetName val="TermLoan"/>
      <sheetName val="Hire-purchase"/>
      <sheetName val="(1)B1PH"/>
      <sheetName val="(1)B2PH"/>
      <sheetName val="(1)B2-1PH"/>
      <sheetName val="(1)B3"/>
      <sheetName val="(1)B5-1PH"/>
      <sheetName val="(1)C7PH"/>
      <sheetName val="(1)C7-1PH"/>
      <sheetName val="A3PH"/>
      <sheetName val="C1PH"/>
      <sheetName val="C1-1PH"/>
      <sheetName val="C3PH"/>
      <sheetName val="E1PH"/>
      <sheetName val="E3PH"/>
      <sheetName val="E3-1PH"/>
      <sheetName val="EA1"/>
      <sheetName val="EA1-1"/>
      <sheetName val="F1PH"/>
      <sheetName val="F3PH"/>
      <sheetName val="F3-1PH"/>
      <sheetName val="F3-2PH"/>
      <sheetName val="F6PH"/>
      <sheetName val="G1PH"/>
      <sheetName val="G2PH"/>
      <sheetName val="G3PH"/>
      <sheetName val="H1PH"/>
      <sheetName val="H6PH"/>
      <sheetName val="H6-1PH"/>
      <sheetName val="I1PH"/>
      <sheetName val="I5PH"/>
      <sheetName val="J1PH"/>
      <sheetName val="J2PH"/>
      <sheetName val="J2.1PH"/>
      <sheetName val="J3PH"/>
      <sheetName val="J3-1PH"/>
      <sheetName val="J3-2PH"/>
      <sheetName val="J6PH"/>
      <sheetName val="J7PH"/>
      <sheetName val="J8PH"/>
      <sheetName val="J8-1PH"/>
      <sheetName val="J8-2PH"/>
      <sheetName val="K101PH"/>
      <sheetName val="M1PH"/>
      <sheetName val="N1PH"/>
      <sheetName val="N2PH"/>
      <sheetName val="N3PH"/>
      <sheetName val="N4PH"/>
      <sheetName val="P1PH"/>
      <sheetName val="P2PH"/>
      <sheetName val="P3PH"/>
      <sheetName val="P3.1PH"/>
      <sheetName val="R1PH"/>
      <sheetName val="R3PH"/>
      <sheetName val="R3.1PH"/>
      <sheetName val="R3.1.1PH"/>
      <sheetName val="R3.1.2PH"/>
      <sheetName val="R3.1.3PH"/>
      <sheetName val="R3.1.4PH"/>
      <sheetName val="R3.2"/>
      <sheetName val="R3.3"/>
      <sheetName val="R4PH"/>
      <sheetName val="R4.1PH"/>
      <sheetName val="R4.1-1PH"/>
      <sheetName val="R4.1.2PH"/>
      <sheetName val="R4.1-3PH"/>
      <sheetName val="R4.2"/>
      <sheetName val="R5PH"/>
      <sheetName val="R5-1PH"/>
      <sheetName val="R5-2PH"/>
      <sheetName val="R5.3PH"/>
      <sheetName val="R5.4PH"/>
      <sheetName val="R6PH"/>
      <sheetName val="R7PH"/>
      <sheetName val="R8PH"/>
      <sheetName val="R9PH"/>
      <sheetName val="R10PH"/>
      <sheetName val="R10.1PH"/>
      <sheetName val="(1)B1"/>
      <sheetName val="(1)B2"/>
      <sheetName val="(1)B2-1"/>
      <sheetName val="(1)B5-1"/>
      <sheetName val="(1)C7"/>
      <sheetName val="(1)C7-1"/>
      <sheetName val="C1-1"/>
      <sheetName val="E3-1"/>
      <sheetName val="F3-1"/>
      <sheetName val="F3-2"/>
      <sheetName val="H6"/>
      <sheetName val="H6-1"/>
      <sheetName val="J1"/>
      <sheetName val="J2"/>
      <sheetName val="J2.1"/>
      <sheetName val="J3"/>
      <sheetName val="J3-1"/>
      <sheetName val="J3-2"/>
      <sheetName val="J6"/>
      <sheetName val="J7"/>
      <sheetName val="J8"/>
      <sheetName val="J8-1"/>
      <sheetName val="J8-2"/>
      <sheetName val="K101"/>
      <sheetName val="N3"/>
      <sheetName val="P3.1"/>
      <sheetName val="R3"/>
      <sheetName val="R3.1"/>
      <sheetName val="R3.1.1"/>
      <sheetName val="R3.1.2"/>
      <sheetName val="R3.1.3"/>
      <sheetName val="R3.1.4"/>
      <sheetName val="R4"/>
      <sheetName val="R4.1"/>
      <sheetName val="R4.1-1"/>
      <sheetName val="R4.1.2"/>
      <sheetName val="R4.1-3"/>
      <sheetName val="R5"/>
      <sheetName val="R5-1"/>
      <sheetName val="R5-2"/>
      <sheetName val="R5.3"/>
      <sheetName val="R5.4"/>
      <sheetName val="R6"/>
      <sheetName val="R7"/>
      <sheetName val="R8"/>
      <sheetName val="R9"/>
      <sheetName val="R10"/>
      <sheetName val="R10.1"/>
      <sheetName val="Freezers"/>
      <sheetName val="Mach &amp; equip"/>
      <sheetName val="MV"/>
      <sheetName val="FFE"/>
      <sheetName val="DEPN 2002"/>
      <sheetName val="DEPN 2001"/>
      <sheetName val="Imemo"/>
      <sheetName val="I1-1"/>
      <sheetName val="I1-2 ARPS"/>
      <sheetName val="I2 Interco review"/>
      <sheetName val="I1 (2)"/>
      <sheetName val="S19A(1)(HP)"/>
      <sheetName val="SCH (2)"/>
      <sheetName val="Int working"/>
      <sheetName val="R24"/>
      <sheetName val="(1)B2-2"/>
      <sheetName val="(1)B5"/>
      <sheetName val="C4"/>
      <sheetName val="C5"/>
      <sheetName val="D2-1"/>
      <sheetName val="E5-1"/>
      <sheetName val="F2-13"/>
      <sheetName val="F2-14"/>
      <sheetName val="H1-1"/>
      <sheetName val="J2-4"/>
      <sheetName val="R5-3"/>
      <sheetName val="R12"/>
      <sheetName val="R13"/>
      <sheetName val="R15"/>
      <sheetName val="R16"/>
      <sheetName val="R19"/>
      <sheetName val="R20"/>
      <sheetName val="R22"/>
      <sheetName val="R23"/>
      <sheetName val="LSPL08"/>
      <sheetName val="LSPL07"/>
      <sheetName val="LSIP08"/>
      <sheetName val="LSIP07"/>
      <sheetName val="LSPL07BS"/>
      <sheetName val="LSIP07BS"/>
      <sheetName val="LSPL06BS"/>
      <sheetName val="LSIP06BS"/>
      <sheetName val="96SGD"/>
      <sheetName val="96PCSGD"/>
      <sheetName val="96AUD"/>
      <sheetName val="96USD"/>
      <sheetName val="Bank Guarantee"/>
      <sheetName val="Deposit"/>
      <sheetName val="A P"/>
      <sheetName val="Leave Prov"/>
      <sheetName val="R (2)"/>
      <sheetName val="AJE"/>
      <sheetName val="RJE"/>
      <sheetName val="TOD"/>
      <sheetName val="Proof Def Tax"/>
      <sheetName val="TWDV over NBV"/>
      <sheetName val="Z1-BS"/>
      <sheetName val="Z1-IS"/>
      <sheetName val="Z2-DPL"/>
      <sheetName val="Z3-CJE"/>
      <sheetName val="Z5-MI"/>
      <sheetName val="Z7-FA"/>
      <sheetName val="Z8-NTA"/>
      <sheetName val="Z10-IntercoTscn"/>
      <sheetName val="Z8-NTARisk"/>
      <sheetName val="Z9-Tax"/>
      <sheetName val="Z10-India"/>
      <sheetName val="Z10-CashFlow"/>
      <sheetName val="F15"/>
      <sheetName val="F17"/>
      <sheetName val="F18"/>
      <sheetName val="Ostd"/>
      <sheetName val="WJE"/>
      <sheetName val="(1)B5.1"/>
      <sheetName val="WBS"/>
      <sheetName val="C1.1"/>
      <sheetName val="C1.2"/>
      <sheetName val="F3.1"/>
      <sheetName val="F3.2"/>
      <sheetName val="F7"/>
      <sheetName val="H1.1"/>
      <sheetName val="H2"/>
      <sheetName val="J3.1"/>
      <sheetName val="J3.2"/>
      <sheetName val="J4"/>
      <sheetName val="M2.1"/>
      <sheetName val="RSampling"/>
      <sheetName val="R5.1"/>
      <sheetName val="R5.2"/>
      <sheetName val="Receivable"/>
      <sheetName val="AJE (2)"/>
      <sheetName val="CJE"/>
      <sheetName val="C6"/>
      <sheetName val="D1.2"/>
      <sheetName val="D5"/>
      <sheetName val="E3S"/>
      <sheetName val="E3.1"/>
      <sheetName val="EA1-HQ"/>
      <sheetName val="EA1-TG"/>
      <sheetName val="EA3-HQ"/>
      <sheetName val="EA3-TohGuan"/>
      <sheetName val="F2.1"/>
      <sheetName val="F2.2"/>
      <sheetName val="F2.3"/>
      <sheetName val="F3.3"/>
      <sheetName val="F6.1"/>
      <sheetName val="F6.2"/>
      <sheetName val="H2.1"/>
      <sheetName val="H5"/>
      <sheetName val="I2.1"/>
      <sheetName val="I2.2"/>
      <sheetName val="J2A"/>
      <sheetName val="J6.1"/>
      <sheetName val="K102.1"/>
      <sheetName val="K102.2"/>
      <sheetName val="K102.3"/>
      <sheetName val="K102.4"/>
      <sheetName val="K102.5"/>
      <sheetName val="K102.6"/>
      <sheetName val="M2.2"/>
      <sheetName val="P4.1"/>
      <sheetName val="J5"/>
      <sheetName val="TOD-P"/>
      <sheetName val="Dilution of interest"/>
      <sheetName val="Conso BS2002"/>
      <sheetName val="UW - Group CF (2005)"/>
      <sheetName val="AGT"/>
      <sheetName val="Consol BS - UW"/>
      <sheetName val="NTA -PPE"/>
      <sheetName val="TB Links"/>
      <sheetName val="Section 1"/>
      <sheetName val="(2)EA1-1"/>
      <sheetName val="B5"/>
      <sheetName val="NTA"/>
      <sheetName val="Conso BS Main"/>
      <sheetName val="PriceList"/>
      <sheetName val="Addresses"/>
      <sheetName val="Conso PL Main"/>
      <sheetName val="Proof of goodwill"/>
      <sheetName val="Cashflow computation"/>
      <sheetName val="Cost of Sales "/>
      <sheetName val="Section 2"/>
      <sheetName val="PPE summary"/>
      <sheetName val="(2)C1"/>
      <sheetName val="Consol PL - UW"/>
      <sheetName val="Consulting"/>
      <sheetName val="(2)R3.2 (2)"/>
      <sheetName val="Advance to GZ"/>
      <sheetName val="(2)R1"/>
      <sheetName val="E101"/>
      <sheetName val="WIP Summary"/>
      <sheetName val="Summary - System"/>
      <sheetName val="A4-1"/>
      <sheetName val="LJE"/>
      <sheetName val="Blank"/>
      <sheetName val="sum-JantoJun'03"/>
      <sheetName val="BS-FOREX"/>
      <sheetName val="PL-FOREX"/>
      <sheetName val="SR-FOREX"/>
      <sheetName val="FA-FOREX"/>
      <sheetName val="WCJ"/>
      <sheetName val="JCJ"/>
      <sheetName val="RIES"/>
      <sheetName val="FRS39"/>
      <sheetName val="Key mgmt"/>
      <sheetName val="Cost of Investment"/>
      <sheetName val="Div"/>
      <sheetName val="SR Analysis"/>
      <sheetName val="SUB(01)"/>
      <sheetName val="SUB(02)"/>
      <sheetName val="ExchangeRates"/>
      <sheetName val="A5.101 BS"/>
      <sheetName val="A5.102 PL"/>
      <sheetName val="A5.103 SR"/>
      <sheetName val="A5.104FA"/>
      <sheetName val="A5.105 CAL"/>
      <sheetName val="A5.106 WCJ"/>
      <sheetName val="A5.107 JCJ"/>
      <sheetName val="A5.108 BS-FOREX"/>
      <sheetName val="A5.109 PL-FOREX"/>
      <sheetName val="A5.110 SR-FOREX"/>
      <sheetName val="A5.111 FA-FOREX"/>
      <sheetName val="A5.112 SUB"/>
      <sheetName val="A5.113 Cost of Investment"/>
      <sheetName val="F301-1 FX"/>
      <sheetName val="F301-2 FX"/>
      <sheetName val="F301-3 FX"/>
      <sheetName val="F302-1 FX"/>
      <sheetName val="F302-2 FX"/>
      <sheetName val="F302-3 FX"/>
      <sheetName val="F301-1 ZF"/>
      <sheetName val="F301 - 02 ZF"/>
      <sheetName val="F301-03 ZF"/>
      <sheetName val="F302 -01 ZF"/>
      <sheetName val="F302-02 ZF"/>
      <sheetName val="F302-03 ZF"/>
      <sheetName val="F OSM"/>
      <sheetName val="F101 FC"/>
      <sheetName val="F200 FX (RM)"/>
      <sheetName val="F200 ZF (RM)"/>
      <sheetName val="F201 ZF"/>
      <sheetName val="F204 ZF"/>
      <sheetName val="F704-RM"/>
      <sheetName val="F704-RM(2)"/>
      <sheetName val="F705-RM"/>
      <sheetName val="F705-RM(2)"/>
      <sheetName val="F706-RM"/>
      <sheetName val="F706-RM(2)"/>
      <sheetName val="F606 (01)"/>
      <sheetName val="Business Unit"/>
      <sheetName val="BS-new"/>
      <sheetName val="PL-new"/>
      <sheetName val="S&amp;R"/>
      <sheetName val="S&amp;R-forex"/>
      <sheetName val="CAL-forex"/>
      <sheetName val="A2 Cash flow"/>
      <sheetName val="***00"/>
      <sheetName val="Disclosure"/>
      <sheetName val="TAworkings"/>
      <sheetName val="TA"/>
      <sheetName val="CF-7"/>
      <sheetName val="interbal"/>
      <sheetName val="segmental"/>
      <sheetName val="seg-turnover"/>
      <sheetName val="dato-turnover"/>
      <sheetName val="dato-pbt"/>
      <sheetName val="Assoc_byco"/>
      <sheetName val="consolpl"/>
      <sheetName val="GKTJV"/>
      <sheetName val="protover"/>
      <sheetName val="GESB"/>
      <sheetName val="GMMJV"/>
      <sheetName val="protoMP"/>
      <sheetName val="presegmental"/>
      <sheetName val="J-1"/>
      <sheetName val="O_Taxmovement "/>
      <sheetName val="OSM  client"/>
      <sheetName val="Required from the client"/>
      <sheetName val="A2 (old)"/>
      <sheetName val="A2-1"/>
      <sheetName val="A2-1l1"/>
      <sheetName val="A2-3"/>
      <sheetName val="A2-4"/>
      <sheetName val="A2-4 (old)"/>
      <sheetName val="A7-40"/>
      <sheetName val="A-4"/>
      <sheetName val="L-1"/>
      <sheetName val="Policy"/>
      <sheetName val="Rationalisation"/>
      <sheetName val="U (2)"/>
      <sheetName val="aje98"/>
      <sheetName val="rje98"/>
      <sheetName val="exch rates"/>
      <sheetName val="purch testing"/>
      <sheetName val="sales testing"/>
      <sheetName val="rcpt testing"/>
      <sheetName val="pymt testing"/>
      <sheetName val="roundsums"/>
      <sheetName val="PBD98"/>
      <sheetName val="PBD981"/>
      <sheetName val="Tax97"/>
      <sheetName val="Draft taxcomp 97"/>
      <sheetName val="Draft taxcomp 98"/>
      <sheetName val="Capital Allowances97"/>
      <sheetName val="CA98"/>
      <sheetName val="Deferred tax97"/>
      <sheetName val="Deferredtax98"/>
      <sheetName val="Handuk Korea"/>
      <sheetName val="Korea acc97"/>
      <sheetName val="Korea Acc98"/>
      <sheetName val="epf97"/>
      <sheetName val="epf98"/>
      <sheetName val="Sales97"/>
      <sheetName val="Sales98"/>
      <sheetName val="Stock-purch97"/>
      <sheetName val="Stock-purch98"/>
      <sheetName val="nrv98"/>
      <sheetName val="nrv97"/>
      <sheetName val="E1 "/>
      <sheetName val="N-final"/>
      <sheetName val="N1-f"/>
      <sheetName val="N1l1-f"/>
      <sheetName val="N2-1-f"/>
      <sheetName val="N-F"/>
      <sheetName val="N1-1"/>
      <sheetName val="N2-F"/>
      <sheetName val="N2-1F"/>
      <sheetName val="Issue"/>
      <sheetName val="WCGW_not used"/>
      <sheetName val="Depn1"/>
      <sheetName val="DSS1&amp;2"/>
      <sheetName val="JSN (with coupon) 15 yrs"/>
      <sheetName val="JSN (with coupon) 10 yrs"/>
      <sheetName val="New bonds"/>
      <sheetName val="BOND (with coupon)"/>
      <sheetName val="2-6"/>
      <sheetName val="EmployeeDbase"/>
      <sheetName val="Reimbursements"/>
      <sheetName val="Allowance"/>
      <sheetName val="Linked JV"/>
      <sheetName val="Alex"/>
      <sheetName val="Alan"/>
      <sheetName val="Alicia"/>
      <sheetName val="Anna"/>
      <sheetName val="Brian"/>
      <sheetName val="ChenKok"/>
      <sheetName val="ChunKiat"/>
      <sheetName val="Daphne"/>
      <sheetName val="Damien"/>
      <sheetName val="Francis"/>
      <sheetName val="David"/>
      <sheetName val="Eric"/>
      <sheetName val="FuiSuan"/>
      <sheetName val="HuaiNing"/>
      <sheetName val="Huey Shee"/>
      <sheetName val="HuiPeng"/>
      <sheetName val="Ian"/>
      <sheetName val="Jimmy"/>
      <sheetName val="Jezamin"/>
      <sheetName val="JuneHow"/>
      <sheetName val="Kwan"/>
      <sheetName val="Luanne"/>
      <sheetName val="Michelle"/>
      <sheetName val="Naomi"/>
      <sheetName val="Nic"/>
      <sheetName val="Nik"/>
      <sheetName val="Penny"/>
      <sheetName val="PooGeok"/>
      <sheetName val="Saufil"/>
      <sheetName val="Sean"/>
      <sheetName val="ShuErn"/>
      <sheetName val="SuetLI"/>
      <sheetName val="Tan"/>
      <sheetName val="Terrence"/>
      <sheetName val="Tony"/>
      <sheetName val="TzeKhay"/>
      <sheetName val="WoanNing"/>
      <sheetName val="WenSing"/>
      <sheetName val="YinSeong"/>
      <sheetName val="Zaleha"/>
      <sheetName val="F-8"/>
      <sheetName val="AP-110SUP(June)"/>
      <sheetName val="G-4-3."/>
      <sheetName val="G-4-4"/>
      <sheetName val="G-4-5."/>
      <sheetName val="G-4-6"/>
      <sheetName val="FF-2-not used"/>
      <sheetName val="SRM 1"/>
      <sheetName val="SRM 2"/>
      <sheetName val="A3-2"/>
      <sheetName val="M-1"/>
      <sheetName val="N-2"/>
      <sheetName val="Q-1"/>
      <sheetName val="Q-2"/>
      <sheetName val="Q-2-2"/>
      <sheetName val="O-2"/>
      <sheetName val="O-3"/>
      <sheetName val="O-4"/>
      <sheetName val="U-2-1"/>
      <sheetName val="FSA (Attach)"/>
      <sheetName val="BPR."/>
      <sheetName val="P&amp;L1 "/>
      <sheetName val="P&amp;L GHD"/>
      <sheetName val="OPEX1"/>
      <sheetName val="Cashflow1"/>
      <sheetName val="BSheet1"/>
      <sheetName val="p&amp;l 0304"/>
      <sheetName val="p&amp;l 0405"/>
      <sheetName val="p&amp;l 0506"/>
      <sheetName val="Proof of Associate"/>
      <sheetName val="BPR1"/>
      <sheetName val="BPR2"/>
      <sheetName val="OS 1(FOR CLIENT DISTRIBUTION)"/>
      <sheetName val="A3-1-1"/>
      <sheetName val="A3-1-2"/>
      <sheetName val="A3-1-3"/>
      <sheetName val="A2 - 5"/>
      <sheetName val="A2 - 6"/>
      <sheetName val="I-2"/>
      <sheetName val="Inter- Company Reconciliation"/>
      <sheetName val="Outstanding Matters (2)"/>
      <sheetName val="A2 - 5 (2)"/>
      <sheetName val="A8-6 (1)"/>
      <sheetName val="A8-2(1)"/>
      <sheetName val="A3-1-4"/>
      <sheetName val="A3 - 3"/>
      <sheetName val="A3 - 4"/>
      <sheetName val="C "/>
      <sheetName val="10-3"/>
      <sheetName val="BPR summary"/>
      <sheetName val="os client"/>
      <sheetName val="RCD 300"/>
      <sheetName val="FEM(NA)"/>
      <sheetName val="Matters for discussion(NA)"/>
      <sheetName val="FEM APPENDIX 1"/>
      <sheetName val="FEM APPENDIX 2"/>
      <sheetName val="F-1&amp;2 adj"/>
      <sheetName val="F-3 adj"/>
      <sheetName val="10-20"/>
      <sheetName val="F-9-1"/>
      <sheetName val="F-9 SS"/>
      <sheetName val="F-14"/>
      <sheetName val="A-3"/>
      <sheetName val="M|MM"/>
      <sheetName val="U Disclosure"/>
      <sheetName val="U-8"/>
      <sheetName val="U-9"/>
      <sheetName val="U-7"/>
      <sheetName val="DD-3"/>
      <sheetName val="DD-4"/>
      <sheetName val="DD-5"/>
      <sheetName val="FF-1 Tax Comp"/>
      <sheetName val="FF-2 DT"/>
      <sheetName val="FF-3 CA"/>
      <sheetName val="FF-4 Proof"/>
      <sheetName val="FF-6 (2)"/>
      <sheetName val="30-4"/>
      <sheetName val="FSA-Bloom"/>
      <sheetName val="F -4"/>
      <sheetName val="F-25"/>
      <sheetName val="J-70"/>
      <sheetName val="M|MM "/>
      <sheetName val="U-Dis"/>
      <sheetName val="BB-3"/>
      <sheetName val="BB - 7"/>
      <sheetName val="FF - 6"/>
      <sheetName val="AF-Notes"/>
      <sheetName val="Adm97"/>
      <sheetName val="Key Ratios"/>
      <sheetName val="BPR (2)"/>
      <sheetName val="F-1 (2)"/>
      <sheetName val="payroll - to insert 20.11.01"/>
      <sheetName val="OS "/>
      <sheetName val="G-4-2"/>
      <sheetName val="J-71"/>
      <sheetName val="J-72"/>
      <sheetName val="J-73"/>
      <sheetName val="AP110(SUP)"/>
      <sheetName val="F-8 (FSL)"/>
      <sheetName val="F-8 (MASB)-Recon"/>
      <sheetName val="C-2"/>
      <sheetName val="M-MM"/>
      <sheetName val="G-35"/>
      <sheetName val="G-35-1"/>
      <sheetName val="G-35-2"/>
      <sheetName val="G-35-3"/>
      <sheetName val="Reminder-IR"/>
      <sheetName val="G-50 -1-IR"/>
      <sheetName val="G-50 -2-IR"/>
      <sheetName val="UB-20-IR"/>
      <sheetName val="UB-21-IR"/>
      <sheetName val="RCD -401-IR"/>
      <sheetName val="RCD-402-IR"/>
      <sheetName val="Materiality-IR"/>
      <sheetName val="Cashflow-IR"/>
      <sheetName val="BPR balance sheet-IR"/>
      <sheetName val="BPR profit &amp; loss-IR"/>
      <sheetName val="BPR BS analysis-IR"/>
      <sheetName val="BPR PL analysis-IR"/>
      <sheetName val="B-1-IR"/>
      <sheetName val="BB-1-IR"/>
      <sheetName val="A8-IR"/>
      <sheetName val="F-4-IR"/>
      <sheetName val="OSM-Prefinal"/>
      <sheetName val="OSM-Feb05"/>
      <sheetName val="B7|1"/>
      <sheetName val="B7|2"/>
      <sheetName val="B10|1"/>
      <sheetName val="B10|2"/>
      <sheetName val="B11|1"/>
      <sheetName val="B11|2"/>
      <sheetName val="F-8(na)"/>
      <sheetName val="E-5"/>
      <sheetName val="E-6"/>
      <sheetName val="E-6|1"/>
      <sheetName val="E - APS Debt"/>
      <sheetName val="I-1"/>
      <sheetName val="Inter Co"/>
      <sheetName val="I-1|1"/>
      <sheetName val="M-2"/>
      <sheetName val="N (IR)"/>
      <sheetName val="N-Note"/>
      <sheetName val="O-5"/>
      <sheetName val="Sum-Proll"/>
      <sheetName val="4000"/>
      <sheetName val="P&amp;L-Co"/>
      <sheetName val="P&amp;L-Gr"/>
      <sheetName val="PRJE"/>
      <sheetName val="ConF-1"/>
      <sheetName val="ConF-2"/>
      <sheetName val="ConF-3"/>
      <sheetName val="CPAJE"/>
      <sheetName val="WRK"/>
      <sheetName val="A-MEMO"/>
      <sheetName val="C-3"/>
      <sheetName val="N-3"/>
      <sheetName val="N-5"/>
      <sheetName val="U-Gr"/>
      <sheetName val="U-Sh"/>
      <sheetName val="U-ShG"/>
      <sheetName val="U-Aril"/>
      <sheetName val="U-Gen"/>
      <sheetName val="U-Fam"/>
      <sheetName val="Std Tickmarks"/>
      <sheetName val="AP (110)"/>
      <sheetName val="F-1|2"/>
      <sheetName val="Udisc"/>
      <sheetName val="AA-1"/>
      <sheetName val="UTB"/>
      <sheetName val="BIS LIST-C1 21 (2)"/>
      <sheetName val="BIS LIST-C1 20 (2)"/>
      <sheetName val="BIS LIST-C2 18"/>
      <sheetName val="BIS LIST-C2 19"/>
      <sheetName val="BIS LIST-C2 20"/>
      <sheetName val="BIS LIST-C2 21"/>
      <sheetName val="BIS LIST-NTH 18"/>
      <sheetName val="BIS LIST-NTH 19"/>
      <sheetName val="BIS LIST-NTH 20"/>
      <sheetName val="BIS LIST-NTH 21"/>
      <sheetName val="BIS LIST-NTH 19 (2)"/>
      <sheetName val="BIS LIST-NTH 18 (2)"/>
      <sheetName val="BIS LIST-STH 20 (2)"/>
      <sheetName val="BIS LIST-STH 21 (2)"/>
      <sheetName val="BIS LIST-C1 18 (2)"/>
      <sheetName val="BIS LIST-C1 19 (2)"/>
      <sheetName val="BIS LIST-C1 19 (3)"/>
      <sheetName val="BIS LIST-EC 18 (2)"/>
      <sheetName val="BIS LIST-EC 19 (2)"/>
      <sheetName val="BIS LIST-STH 18 (2)"/>
      <sheetName val="BIS LIST-EC 20 (2)"/>
      <sheetName val="BIS LIST-EC 21 (2)"/>
      <sheetName val="GVF"/>
      <sheetName val=" IB-PL-GROUP"/>
      <sheetName val=" IB-PL-YTD VS BGT"/>
      <sheetName val="DCA"/>
      <sheetName val="GFS"/>
      <sheetName val="GFA"/>
      <sheetName val=" IB-PL-MONTH"/>
      <sheetName val=" IB-PL-YTD"/>
      <sheetName val="IBBS"/>
      <sheetName val="inter-co Calculation"/>
      <sheetName val=" IB-PL-4CAST"/>
      <sheetName val="IBBS-4CAST"/>
      <sheetName val="GOPEX"/>
      <sheetName val="GMVF "/>
      <sheetName val="GPS"/>
      <sheetName val="CONSOLFULL"/>
      <sheetName val="inter-co full"/>
      <sheetName val="ITSB"/>
      <sheetName val="ADTRANTZ"/>
      <sheetName val="SPSSB"/>
      <sheetName val="GCF"/>
      <sheetName val="CF BY CO"/>
      <sheetName val="GCF BY CO"/>
      <sheetName val=" IB-PL-YTD IND"/>
      <sheetName val="271101"/>
      <sheetName val="281101"/>
      <sheetName val="Jadual 3"/>
      <sheetName val="Jadual 3A"/>
      <sheetName val="Jadual 3B"/>
      <sheetName val="Jadual 3C"/>
      <sheetName val="A2|1"/>
      <sheetName val="A3|1"/>
      <sheetName val="F3|1"/>
      <sheetName val="FF1"/>
      <sheetName val="FF2"/>
      <sheetName val="K1-K9"/>
      <sheetName val="A3-1&amp;2"/>
      <sheetName val="A3-5"/>
      <sheetName val="A3-71"/>
      <sheetName val="K Disclosure"/>
      <sheetName val="U10&amp;20"/>
      <sheetName val="U10-1"/>
      <sheetName val="U30"/>
      <sheetName val="U30-1"/>
      <sheetName val="MV of 2001"/>
      <sheetName val="MV of 2002"/>
      <sheetName val="MV of 2003"/>
      <sheetName val="O-6"/>
      <sheetName val="O-7"/>
      <sheetName val="A3-7A"/>
      <sheetName val="A-5"/>
      <sheetName val="O 1(Sche I)"/>
      <sheetName val="O 2(Sche IIa)"/>
      <sheetName val="O 2 (Sche IIb)"/>
      <sheetName val="Schedule IIc"/>
      <sheetName val="O 3(Sche III)"/>
      <sheetName val="O 4 (working)"/>
      <sheetName val="B-11"/>
      <sheetName val="4th cos"/>
      <sheetName val="For 02 tax recon purposes only"/>
      <sheetName val="Schedule I"/>
      <sheetName val="Schedule IIa"/>
      <sheetName val="Schedule IIb"/>
      <sheetName val="Schedule III"/>
      <sheetName val="indx"/>
      <sheetName val="A6-2"/>
      <sheetName val="O|1"/>
      <sheetName val="R1 (2)"/>
      <sheetName val="R1_DT Movement"/>
      <sheetName val="R2_DT Proof"/>
      <sheetName val="R|1"/>
      <sheetName val="R2|1"/>
      <sheetName val="R2|2"/>
      <sheetName val="R2|3"/>
      <sheetName val="A2_1_AJE"/>
      <sheetName val="A2_2_RJE"/>
      <sheetName val="G1|1"/>
      <sheetName val="I1|1 "/>
      <sheetName val="N|1"/>
      <sheetName val="P1-1"/>
      <sheetName val="U2|1"/>
      <sheetName val="U3"/>
      <sheetName val="R2R2"/>
      <sheetName val="RR2"/>
      <sheetName val="y"/>
      <sheetName val="graphs (2)"/>
      <sheetName val="graphs (3)"/>
      <sheetName val="graphs (6)"/>
      <sheetName val="graphs (4)"/>
      <sheetName val="graphs (5)"/>
      <sheetName val="FIFO RATE"/>
      <sheetName val="NSEZ STOCK"/>
      <sheetName val="Karigars"/>
      <sheetName val="Export Sales"/>
      <sheetName val="Loading Value"/>
      <sheetName val="FG RW WIP"/>
      <sheetName val="PATNA"/>
      <sheetName val="P&amp;L INR (alt)"/>
      <sheetName val="P&amp;L Crores (alt)"/>
      <sheetName val="Vgl 0706 with 1107"/>
      <sheetName val="Vgl Claims Ratio"/>
      <sheetName val="Summary(in crores.)"/>
      <sheetName val="BC Nov_2007"/>
      <sheetName val="Overview products"/>
      <sheetName val="p&amp;l EUR"/>
      <sheetName val="p&amp;l INR"/>
      <sheetName val="Solvency"/>
      <sheetName val="Sales planing "/>
      <sheetName val="assumption sales plan "/>
      <sheetName val="Technical Result Products "/>
      <sheetName val="G&amp;A costs A-DKV"/>
      <sheetName val="fixed assets A-DKV Comp."/>
      <sheetName val="Security Deposits,Rentals &amp; Tax"/>
      <sheetName val="RO,BO&amp;SO"/>
      <sheetName val="Asset valuation for solvency"/>
      <sheetName val="fixed assets A-DKV Tax"/>
      <sheetName val="salaries+fringe A-DKV "/>
      <sheetName val="salaries+fringe A-DKV HO"/>
      <sheetName val="Salary comparison"/>
      <sheetName val="salaries list A-DKV HO"/>
      <sheetName val="productivity operations"/>
      <sheetName val="Salary structure HO"/>
      <sheetName val="salaries+fringe RO_BO"/>
      <sheetName val="salaries list A-DKV RO_BO"/>
      <sheetName val=" paym. structure sales"/>
      <sheetName val="DCF_standalone"/>
      <sheetName val="DCF_Group"/>
      <sheetName val="IRRalt"/>
      <sheetName val="2. TDS"/>
      <sheetName val="1. Summary"/>
      <sheetName val="TBAL Dahej"/>
      <sheetName val="TBAL DAP"/>
      <sheetName val="Net Trial"/>
      <sheetName val="comp."/>
      <sheetName val="guest-house-expenses (2)"/>
      <sheetName val="TB-DOWNLOAD-OCT-DEC05"/>
      <sheetName val="SUPERANNUATION"/>
      <sheetName val="guest-house-expenses"/>
      <sheetName val="expat-inpat-benefits"/>
      <sheetName val="STAFF-FUNCTIONS"/>
      <sheetName val="telecommunication"/>
      <sheetName val="tax depr vehicle"/>
      <sheetName val="Ann B1"/>
      <sheetName val="INT "/>
      <sheetName val="Ann A"/>
      <sheetName val="Ann B2"/>
      <sheetName val="Ann C"/>
      <sheetName val="overseas wkg"/>
      <sheetName val="Co 04"/>
      <sheetName val="Co 01"/>
      <sheetName val="standard"/>
      <sheetName val="INDEPENDENT"/>
      <sheetName val="Transaction_Tables"/>
      <sheetName val="Reports"/>
      <sheetName val="CutOff_Dates"/>
      <sheetName val="Holidays"/>
      <sheetName val="Emp_Master"/>
      <sheetName val="Contract_Master"/>
      <sheetName val="Client_Master"/>
      <sheetName val="GT_Role_Master"/>
      <sheetName val="Practice_Master"/>
      <sheetName val="Prog_Master"/>
      <sheetName val="Location_Master"/>
      <sheetName val="Project_Master"/>
      <sheetName val="Planner 2006_DBFormat"/>
      <sheetName val="Summary Sheet T"/>
      <sheetName val="Order 2006"/>
      <sheetName val="Planner 2006"/>
      <sheetName val="Employee_Project_Table"/>
      <sheetName val="Msg"/>
      <sheetName val="Korrelationsmatrix"/>
      <sheetName val="Konvarianzmatrix"/>
      <sheetName val="HM"/>
      <sheetName val="Vic_L"/>
      <sheetName val="DKV"/>
      <sheetName val="Vic_Kr"/>
      <sheetName val="Konsolidierung_ERGO"/>
      <sheetName val="GVV"/>
      <sheetName val="Kapitalanlagen"/>
      <sheetName val="NW110"/>
      <sheetName val="NW213"/>
      <sheetName val="Aktiva"/>
      <sheetName val="Passiva"/>
      <sheetName val="GVR"/>
      <sheetName val="Prüfung"/>
      <sheetName val="Res_Area"/>
      <sheetName val="entitlements"/>
      <sheetName val="Pre and Post"/>
      <sheetName val="On Assignment"/>
      <sheetName val="New format Comparison"/>
      <sheetName val="2. Monthly Variance Sheet"/>
      <sheetName val="1. Inhaltsverzeichnis"/>
      <sheetName val="2. Informationen zum Teilnehmer"/>
      <sheetName val="3. Zinsstruktur"/>
      <sheetName val="4.1 Leben Risikoklasse 1"/>
      <sheetName val="4.2 Leben Risikoklasse 2"/>
      <sheetName val="4.3 Leben Risikoklasse 3"/>
      <sheetName val="4.4 Leben Risikoklasse 4"/>
      <sheetName val="4.5 Leben Risikoklasse 5"/>
      <sheetName val="4.6 Leben Risikoklasse 6"/>
      <sheetName val="4.7 Leben Risikoklasse 7"/>
      <sheetName val="4.8 Leben Risikoklasse 8"/>
      <sheetName val="4.9 Leben Risikoklasse 9"/>
      <sheetName val="5. Leben Zusammenfassung"/>
      <sheetName val="Prospect Database"/>
      <sheetName val="Portfolio Goals &amp; Selection"/>
      <sheetName val="Prospect CrossPlots"/>
      <sheetName val="Prospect Rankings"/>
      <sheetName val="Portfolio Resources"/>
      <sheetName val="Portfolio Resource Histograms"/>
      <sheetName val="Portfolio Discoveries"/>
      <sheetName val="Portfolio Economics"/>
      <sheetName val="Summary Charts"/>
      <sheetName val="Sequential Accumulation"/>
      <sheetName val="Sorting"/>
      <sheetName val="Computations"/>
      <sheetName val="Computations 2"/>
      <sheetName val="Computations 3"/>
      <sheetName val="Computations 4"/>
      <sheetName val="Computations 5"/>
      <sheetName val="Main Page"/>
      <sheetName val="Study Package Planner"/>
      <sheetName val="Stock Register"/>
      <sheetName val="Requisition Master"/>
      <sheetName val="Annexure (A)"/>
      <sheetName val="Annexure (B)"/>
      <sheetName val="Annexure (C)"/>
      <sheetName val="Annexure (D)"/>
      <sheetName val="Annexure (E)"/>
      <sheetName val="Annexure (F)"/>
      <sheetName val="Annexure (G)"/>
      <sheetName val="Annexure (G) (2)"/>
      <sheetName val="April-00"/>
      <sheetName val="Sc 3 (2)"/>
      <sheetName val="6. Leben optionale Fragen"/>
      <sheetName val="7.1 Nichtleben Risikoklasse 1"/>
      <sheetName val="7.2 Nichtleben Risikoklasse 2"/>
      <sheetName val="7.3 Nichtleben Risikoklasse 3"/>
      <sheetName val="7.4 Nichtleben Risikoklasse 4"/>
      <sheetName val="7.5 Nichtleben Risikoklasse 5"/>
      <sheetName val="7.6 Nichtleben Risikoklasse 6"/>
      <sheetName val="7.7 Nichtleben Risikoklasse 7"/>
      <sheetName val="7.8 Nichtleben Risikoklasse 8"/>
      <sheetName val="7.9 Nichtleben Risikoklasse 9"/>
      <sheetName val="7.10 Nichtleben Risikoklasse 10"/>
      <sheetName val="7.11 Nichtleben Risikoklasse 11"/>
      <sheetName val="8. Nichtleben Zusammenfassung"/>
      <sheetName val="9. Nichtleben optionale Fragen"/>
      <sheetName val="0. Internal data"/>
      <sheetName val="MSO"/>
      <sheetName val="SIJV"/>
      <sheetName val="Teranga"/>
      <sheetName val="Fixed Assets Details June  10"/>
      <sheetName val="Acc Dep Details Apr 10 (ZPBC)"/>
      <sheetName val="Acc Dep Details Apr 10 "/>
      <sheetName val="Cap.Advan details"/>
      <sheetName val="Capital WIP June 10 "/>
      <sheetName val="TB Asset June 10"/>
      <sheetName val="TB June  10"/>
      <sheetName val="S-report"/>
      <sheetName val="BayInfo"/>
      <sheetName val="234C Automatic"/>
      <sheetName val="Interst 234C"/>
      <sheetName val="234 Memorandum"/>
      <sheetName val="Memo 2"/>
      <sheetName val="234Ctesting"/>
      <sheetName val="BS for cash flow"/>
      <sheetName val="Below the line"/>
      <sheetName val="Cash Flow 2"/>
      <sheetName val="sch3grp"/>
      <sheetName val="Sch-3"/>
      <sheetName val="Sch4&amp;5grp"/>
      <sheetName val="Sch6grp"/>
      <sheetName val="Sch7&amp;8grp"/>
      <sheetName val="Sch7"/>
      <sheetName val="Sch9grp"/>
      <sheetName val="Sch10grp1"/>
      <sheetName val="Sch10grp2"/>
      <sheetName val="Sch10"/>
      <sheetName val="Sch11grp"/>
      <sheetName val="Sch12grp"/>
      <sheetName val="Sch13grp"/>
      <sheetName val="classification"/>
      <sheetName val="Final TB Coded"/>
      <sheetName val="Deduction 10A (2)"/>
      <sheetName val="Wealth Tax computation"/>
      <sheetName val="Computation backup"/>
      <sheetName val="Deduction 10A"/>
      <sheetName val="Sundry Debtorwith invoice d (2)"/>
      <sheetName val="summary Trial(OLD)"/>
      <sheetName val="Sundry Debtorwith invoice date"/>
      <sheetName val="210809"/>
      <sheetName val="TB firstcut"/>
      <sheetName val="Trial Balance (3)"/>
      <sheetName val="packagetbason15.4"/>
      <sheetName val="Consolidatedmovemnt"/>
      <sheetName val="P. TAX"/>
      <sheetName val="PopCache"/>
      <sheetName val="Projects"/>
      <sheetName val="1 - Lead"/>
      <sheetName val="2 - Finance"/>
      <sheetName val="3 - Principal payments"/>
      <sheetName val="4 - Interest Calculation"/>
      <sheetName val="5 - CITICORP"/>
      <sheetName val="6 - ABN AMRO"/>
      <sheetName val="7 - Provision"/>
      <sheetName val="BS Final"/>
      <sheetName val="PL Final"/>
      <sheetName val="NOTES Final"/>
      <sheetName val="consol bs"/>
      <sheetName val="consol pl"/>
      <sheetName val="adjustments Rs"/>
      <sheetName val="wtb euro bs"/>
      <sheetName val="wtb euro pl"/>
      <sheetName val="adjustments euro"/>
      <sheetName val="BS PBC"/>
      <sheetName val="PL PBC"/>
      <sheetName val="Exp (Rs.)"/>
      <sheetName val="Exp (euro)"/>
      <sheetName val="Samples EURO"/>
      <sheetName val="Project control"/>
      <sheetName val="Re class"/>
      <sheetName val="gbp rupee conversion"/>
      <sheetName val="UV"/>
      <sheetName val="ho account final"/>
      <sheetName val="Asset Acquisition &amp; Physicl Ver"/>
      <sheetName val="Store"/>
      <sheetName val="Assembly"/>
      <sheetName val="Development Assembly"/>
      <sheetName val="Job-Work"/>
      <sheetName val="Q.C"/>
      <sheetName val="R &amp; D"/>
      <sheetName val="Powder Coating"/>
      <sheetName val="Moulding"/>
      <sheetName val="Interest D1"/>
      <sheetName val="Dispute 1 details"/>
      <sheetName val="Abstract D2"/>
      <sheetName val="Interest D2 details"/>
      <sheetName val="Abstract D3"/>
      <sheetName val="Interest D3 details"/>
      <sheetName val="DR FR ext "/>
      <sheetName val="DR RR ext"/>
      <sheetName val="Mldg (2)"/>
      <sheetName val="Other FR"/>
      <sheetName val="OTHER RR"/>
      <sheetName val="FMBCOST"/>
      <sheetName val="RRR"/>
      <sheetName val="READY (2)"/>
      <sheetName val="Programme 06-07-08"/>
      <sheetName val="REVISED QTYs"/>
      <sheetName val="S5escalation."/>
      <sheetName val="HSD."/>
      <sheetName val="MD 09.04.2008"/>
      <sheetName val="MD 29.04.2008"/>
      <sheetName val="MD 17.06.2008"/>
      <sheetName val="SCH 1 - 4"/>
      <sheetName val="SCH 4 - 7"/>
      <sheetName val="SCH 8 - 9"/>
      <sheetName val="cbeam trial"/>
      <sheetName val="SCH  8"/>
      <sheetName val="Related party- Working"/>
      <sheetName val="cash flow - final"/>
      <sheetName val="Cash Flow-client"/>
      <sheetName val="Sch 14,15,16"/>
      <sheetName val="Basement Budget"/>
      <sheetName val="EXIS-COMBINED"/>
      <sheetName val="balance sheet &amp; p&amp;l"/>
      <sheetName val="ABPData"/>
      <sheetName val="S &amp; A"/>
      <sheetName val="madhu"/>
      <sheetName val="JOB WORK"/>
      <sheetName val="ToolLife"/>
      <sheetName val="??J"/>
      <sheetName val="office"/>
      <sheetName val="Material&amp;equipment"/>
      <sheetName val="MOD-II(APR.04-MAR.05) (2)"/>
      <sheetName val="Lead 1"/>
      <sheetName val="Lead 2"/>
      <sheetName val="Lead 3"/>
      <sheetName val="RMR HMP 1"/>
      <sheetName val="RMR HMP 2"/>
      <sheetName val="RMR HMP 3"/>
      <sheetName val="RMR DIR 1"/>
      <sheetName val="RMR DIR 2"/>
      <sheetName val="RMR DIR 3"/>
      <sheetName val="Basic_Mat. rates 2"/>
      <sheetName val="Basic_Mat. rates 3"/>
      <sheetName val="Borrow 1"/>
      <sheetName val="Borrow 2"/>
      <sheetName val="Borrow 3"/>
      <sheetName val="Material Haulage 1"/>
      <sheetName val="Material Haulage 2"/>
      <sheetName val="Material Haulage 3"/>
      <sheetName val="m_c rate"/>
      <sheetName val="Basic_Mat. rates 1"/>
      <sheetName val="RA 1"/>
      <sheetName val="MUMBAI-PUNE (p)"/>
      <sheetName val="MUMBAI-PUNE (2)"/>
      <sheetName val="PROGRESS (3)"/>
      <sheetName val="plmarch99 (f)"/>
      <sheetName val="plmarch99"/>
      <sheetName val="PLMAR(F)"/>
      <sheetName val="AP&amp;LMAR98"/>
      <sheetName val="SHARE OF HO EXP."/>
      <sheetName val="INT ON HO FUND"/>
      <sheetName val="PLsep98 (2)"/>
      <sheetName val="JUNE98 (QTR)"/>
      <sheetName val="pldecqtr(p)"/>
      <sheetName val="pldecqtr(a)"/>
      <sheetName val="PLSUMMARY FM"/>
      <sheetName val="PLMAR99"/>
      <sheetName val="PROGRESS (2)"/>
      <sheetName val="COMP-FM (2)"/>
      <sheetName val="TOADJF"/>
      <sheetName val="DAM"/>
      <sheetName val="IND.STR"/>
      <sheetName val="UND-GROUND"/>
      <sheetName val="ENNORE"/>
      <sheetName val="BARRAGE"/>
      <sheetName val="HSG.COMP."/>
      <sheetName val="TALA"/>
      <sheetName val="ENVIORNMENT"/>
      <sheetName val="MUMBAI-PUNE"/>
      <sheetName val="PREL EFFECT"/>
      <sheetName val="EQUIP.CHARG."/>
      <sheetName val="CLAINS STAT."/>
      <sheetName val="CLO-BRN"/>
      <sheetName val="MALAWI"/>
      <sheetName val="FLASH-REPORT"/>
      <sheetName val="HO-EXPENSES"/>
      <sheetName val="PLSUMMARY"/>
      <sheetName val="PROGRESS"/>
      <sheetName val="P&amp;L MALAWI"/>
      <sheetName val="RE䁖ENUE"/>
      <sheetName val="Ex⁰-detail졳"/>
      <sheetName val="BOቑ  lot Iᙖ B"/>
      <sheetName val="All RA's L䁏T A"/>
      <sheetName val=" (၁nnexure䈠1)"/>
      <sheetName val="UG䄠Exv 3.1"/>
      <sheetName val="Wiꡲemesh 4ꄮ7.2"/>
      <sheetName val="S0̠Keydateͳ"/>
      <sheetName val="S4 CycleTi葭e"/>
      <sheetName val="Wo恲king-shꡥet"/>
      <sheetName val="Wo恲k Programm"/>
      <sheetName val="MI腓 (VI)"/>
      <sheetName val="ApⱰroach"/>
      <sheetName val="S0-KEYDATE㕓"/>
      <sheetName val="Pi色 VA (2)"/>
      <sheetName val="MIこ MODULE III"/>
      <sheetName val="MI॓ MODULE†IV"/>
      <sheetName val="MI䙓 MODULE䌠VI"/>
      <sheetName val="MIS MODULE갠VII"/>
      <sheetName val="MI MODULEଠX"/>
      <sheetName val="An䁡l.Profit"/>
      <sheetName val="Caalog Suꡭm"/>
      <sheetName val="FU⑎D INDENє"/>
      <sheetName val="MI酓 MOD-II"/>
      <sheetName val="BA啓IC RATE酓"/>
      <sheetName val="Budget Notť"/>
      <sheetName val="CSꁒ expens腥s"/>
      <sheetName val="S4䁴imecycle "/>
      <sheetName val="S5쁥scalati⁯n "/>
      <sheetName val="??-BLDG"/>
      <sheetName val="drg"/>
      <sheetName val="Fill this out first..."/>
      <sheetName val="Front"/>
      <sheetName val="PDF Front"/>
      <sheetName val="Simple Letter"/>
      <sheetName val="Inside"/>
      <sheetName val="Inclusions"/>
      <sheetName val="Exclusions"/>
      <sheetName val="CSI Summary"/>
      <sheetName val="Section 1 Areas"/>
      <sheetName val="Section 1 Summary"/>
      <sheetName val="Section 2 Areas"/>
      <sheetName val="Section 2 Summary"/>
      <sheetName val="Section 3 Areas"/>
      <sheetName val="Section 3 Summary"/>
      <sheetName val="Section 3"/>
      <sheetName val="Section 4 Areas"/>
      <sheetName val="Section 4 Summary"/>
      <sheetName val="Section 4"/>
      <sheetName val="Section 5 Areas"/>
      <sheetName val="Section 5 Summary"/>
      <sheetName val="Section 5"/>
      <sheetName val="Sitework Areas"/>
      <sheetName val="Section 6 Areas"/>
      <sheetName val="Section 6 Summary"/>
      <sheetName val="Section 6"/>
      <sheetName val="Sitework Summary"/>
      <sheetName val="Sitework"/>
      <sheetName val="Alternates"/>
      <sheetName val="Comparison Summary"/>
      <sheetName val="Fill this out first___"/>
      <sheetName val="LOI"/>
      <sheetName val="construction_schedule"/>
      <sheetName val="top_sheet"/>
      <sheetName val="Offtop-Tender"/>
      <sheetName val="Offtop-Prestart"/>
      <sheetName val="SummaryIDC"/>
      <sheetName val="Items"/>
      <sheetName val="IDC.AHK "/>
      <sheetName val="BOQ_Direct_selling cost"/>
      <sheetName val="Monthwise breakup"/>
      <sheetName val="Labourrate"/>
      <sheetName val="conanalysis"/>
      <sheetName val="ShuttAna"/>
      <sheetName val="Reinf Analy"/>
      <sheetName val="Power anal"/>
      <sheetName val="quality_obj"/>
      <sheetName val="SHEET 1"/>
      <sheetName val="labour coeff"/>
      <sheetName val="Sebtion 1 SumMary"/>
      <sheetName val="DLA Standard Cost Report1"/>
      <sheetName val="Macro custom function"/>
      <sheetName val="Bill-AAC_old"/>
      <sheetName val="TBAL9697 -group wise  sdpl"/>
      <sheetName val="Staff Acco."/>
      <sheetName val="Pacakges split"/>
      <sheetName val="Civil Works"/>
      <sheetName val="Cat A Change Control"/>
      <sheetName val="A-General"/>
      <sheetName val="Meas.-Hotel Part"/>
      <sheetName val="sort2"/>
      <sheetName val="LMP"/>
      <sheetName val="RCC,Ret. Wall"/>
      <sheetName val="공장별판관비배부"/>
      <sheetName val="Cashflow projection"/>
      <sheetName val="schedule nos"/>
      <sheetName val="INPUT SHEET"/>
      <sheetName val="RES-PLANNING"/>
      <sheetName val="Stress Calculation"/>
      <sheetName val="PA- Consutant "/>
      <sheetName val="Raft"/>
      <sheetName val="Break up Sheet"/>
      <sheetName val="Deduction of assets"/>
      <sheetName val="strand"/>
      <sheetName val="Pay_Sep06"/>
      <sheetName val="1st flr"/>
      <sheetName val="DetEst"/>
      <sheetName val="Driveway Beams"/>
      <sheetName val="2gii"/>
      <sheetName val="REL"/>
      <sheetName val="SILICATE"/>
      <sheetName val="Labour productivity"/>
      <sheetName val="LEVEL SHEET"/>
      <sheetName val="Costing"/>
      <sheetName val="Capex - Hry"/>
      <sheetName val="\TCS, NAGPUR-MANJIRI C\PROGRESS"/>
      <sheetName val="Project Plan - WWW"/>
      <sheetName val="Formulas"/>
      <sheetName val="1st Slab"/>
      <sheetName val="Sun E Type"/>
      <sheetName val="As per PCA"/>
      <sheetName val="box-12"/>
      <sheetName val="SUMRY"/>
      <sheetName val="PrintManager"/>
      <sheetName val="BLOCK-A (MEA.SHEET)"/>
      <sheetName val="Data-Month"/>
      <sheetName val="Order Info"/>
      <sheetName val="Scope Reconciliation"/>
      <sheetName val="Mar09"/>
      <sheetName val="FITZ MORT 94"/>
      <sheetName val="Approved MTD Proj #'s"/>
      <sheetName val="Project Budget Worksheet"/>
      <sheetName val="CABLERET"/>
      <sheetName val="tower"/>
      <sheetName val="DLA%20Standard%20Cost%20Report1"/>
      <sheetName val="WORK TABLE"/>
      <sheetName val="Works - Quote Sheet"/>
      <sheetName val="Item- Compact"/>
      <sheetName val="DSLP"/>
      <sheetName val="Lowside"/>
      <sheetName val="FT-05-02IsoBOM"/>
      <sheetName val="WORK"/>
      <sheetName val="PARAMETRES"/>
      <sheetName val="GF Columns"/>
      <sheetName val="P&amp;L - AD"/>
      <sheetName val="目录"/>
      <sheetName val="Adimi bldg"/>
      <sheetName val="Pump House"/>
      <sheetName val="Fuel Regu Station"/>
      <sheetName val="verrous"/>
      <sheetName val="Fill_this_out_first___"/>
      <sheetName val="Fill_this_out_first___1"/>
      <sheetName val="PDF_Front"/>
      <sheetName val="Simple_Letter"/>
      <sheetName val="Overall_Summary"/>
      <sheetName val="CSI_Summary"/>
      <sheetName val="Section_1_Areas"/>
      <sheetName val="Section_1_Summary"/>
      <sheetName val="Section_1"/>
      <sheetName val="Section_2_Areas"/>
      <sheetName val="Section_2_Summary"/>
      <sheetName val="Section_2"/>
      <sheetName val="Section_3_Areas"/>
      <sheetName val="Section_3_Summary"/>
      <sheetName val="Section_3"/>
      <sheetName val="Section_4_Areas"/>
      <sheetName val="Section_4_Summary"/>
      <sheetName val="Section_4"/>
      <sheetName val="Section_5_Areas"/>
      <sheetName val="Section_5_Summary"/>
      <sheetName val="Section_5"/>
      <sheetName val="Sitework_Areas"/>
      <sheetName val="Section_6_Areas"/>
      <sheetName val="Section_6_Summary"/>
      <sheetName val="Section_6"/>
      <sheetName val="Sitework_Summary"/>
      <sheetName val="Comparison_Summary"/>
      <sheetName val="Fill_this_out_first___2"/>
      <sheetName val="Salient_Features"/>
      <sheetName val="IDC_AHK_"/>
      <sheetName val="BOQ_Direct_selling_cost"/>
      <sheetName val="Monthwise_breakup"/>
      <sheetName val="Reinf_Analy"/>
      <sheetName val="Power_anal"/>
      <sheetName val="SHEET_1"/>
      <sheetName val="labour_coeff"/>
      <sheetName val="PRECAST_lightconc-II"/>
      <sheetName val="Sebtion_1_SumMary"/>
      <sheetName val="DLA_Standard_Cost_Report1"/>
      <sheetName val="IO_List"/>
      <sheetName val="Macro_custom_function"/>
      <sheetName val="TBAL9697_-group_wise__sdpl"/>
      <sheetName val="Staff_Acco_"/>
      <sheetName val="Meas_-Hotel_Part"/>
      <sheetName val="Cat_A_Change_Control"/>
      <sheetName val="Layer_Table"/>
      <sheetName val="Pacakges_split"/>
      <sheetName val="Basement_Budget"/>
      <sheetName val="Civil_Works"/>
      <sheetName val="Tender_Summary"/>
      <sheetName val="Deduction_of_assets"/>
      <sheetName val="schedule_nos"/>
      <sheetName val="INPUT_SHEET"/>
      <sheetName val="Stress_Calculation"/>
      <sheetName val="DEPTH_CHART_(ORR)_L_S_"/>
      <sheetName val="Name_List"/>
      <sheetName val="Driveway_Beams"/>
      <sheetName val="Contract_Night_Staff"/>
      <sheetName val="Contract_Day_Staff"/>
      <sheetName val="Day_Shift"/>
      <sheetName val="Night_Shift"/>
      <sheetName val="RCC,Ret__Wall"/>
      <sheetName val="Cashflow_projection"/>
      <sheetName val="PA-_Consutant_"/>
      <sheetName val="Fee_Rate_Summary"/>
      <sheetName val="Break_up_Sheet"/>
      <sheetName val="1st_flr"/>
      <sheetName val="Site_Dev_BOQ"/>
      <sheetName val="DETAILED  BOQ"/>
      <sheetName val="Total Quote"/>
      <sheetName val="Cleaning &amp; Grubbing"/>
      <sheetName val="Intro."/>
      <sheetName val="Intake"/>
      <sheetName val="sc-mar2000"/>
      <sheetName val="óc-sepVdec99"/>
      <sheetName val="SPS DETAIL"/>
      <sheetName val="Deprec."/>
      <sheetName val="Field Values"/>
      <sheetName val="cubes_M20"/>
      <sheetName val="girder"/>
      <sheetName val="Structure Bills Qty"/>
      <sheetName val="MN T.B."/>
      <sheetName val="Data Forecast"/>
      <sheetName val="환율"/>
      <sheetName val="final abstract"/>
      <sheetName val="Master Data Sheet"/>
      <sheetName val="Cement recon."/>
      <sheetName val="Conc&amp;steel-assets"/>
      <sheetName val="datatable"/>
      <sheetName val="Labour_productivity"/>
      <sheetName val="Capex_-_Hry"/>
      <sheetName val="LEVEL_SHEET"/>
      <sheetName val="Fin_Sum"/>
      <sheetName val="1st_Slab"/>
      <sheetName val="Order_Info"/>
      <sheetName val="Works_-_Quote_Sheet"/>
      <sheetName val="Scope_Reconciliation"/>
      <sheetName val="Sun_E_Type"/>
      <sheetName val="As_per_PCA"/>
      <sheetName val="FITZ_MORT_94"/>
      <sheetName val="SITE_OVERHEADS"/>
      <sheetName val="BLOCK-A_(MEA_SHEET)"/>
      <sheetName val="Project_Plan_-_WWW"/>
      <sheetName val="WORK_TABLE"/>
      <sheetName val="Approved_MTD_Proj_#'s"/>
      <sheetName val="Project_Budget_Worksheet"/>
      <sheetName val="GF_Columns"/>
      <sheetName val="P&amp;L_-_AD"/>
      <sheetName val="Sheet3_(2)"/>
      <sheetName val="\TCS,_NAGPUR-MANJIRI_C\PROGRESS"/>
      <sheetName val="Cement_recon_"/>
      <sheetName val="DETAILED__BOQ"/>
      <sheetName val="Deprec_"/>
      <sheetName val="Item-_Compact"/>
      <sheetName val="SPS_DETAIL"/>
      <sheetName val="PC_Master_List"/>
      <sheetName val="Field_Values"/>
      <sheetName val="Structure_Bills_Qty"/>
      <sheetName val="BASIS_-DEC_08"/>
      <sheetName val="MN_T_B_"/>
      <sheetName val="Data_Forecast"/>
      <sheetName val="final_abstract"/>
      <sheetName val="Master_Data_Sheet"/>
      <sheetName val="WWR"/>
      <sheetName val="RA_markate"/>
      <sheetName val="19.08.11"/>
      <sheetName val="Ch. List (2)"/>
      <sheetName val="Ch. List"/>
      <sheetName val="QTY-RATE"/>
      <sheetName val="PRE. ESTIMATE"/>
      <sheetName val="QTY-RATE (Site 09 12 04)"/>
      <sheetName val="QTY-RATE (2)"/>
      <sheetName val="BRAKE UP SHEET"/>
      <sheetName val="PAINTING"/>
      <sheetName val="common area"/>
      <sheetName val="Block Work, Plastering"/>
      <sheetName val="FLOORING"/>
      <sheetName val="WATER PROOFING"/>
      <sheetName val="joinery"/>
      <sheetName val="lintle,chejjas"/>
      <sheetName val="EXTENDED BASEMENT"/>
      <sheetName val="Basement"/>
      <sheetName val="MASS EXCAVATION"/>
      <sheetName val="FOOT-QTY"/>
      <sheetName val="FOOTING AND EXCAVATION"/>
      <sheetName val="Columns Reinforcement"/>
      <sheetName val="COLU MN"/>
      <sheetName val="Beams Reinforcement"/>
      <sheetName val="GYM EQUIP"/>
      <sheetName val="M &amp; E"/>
      <sheetName val="preliminaries"/>
      <sheetName val="MOBI"/>
      <sheetName val="RCC Retaining wall"/>
      <sheetName val="HYDERABAD SWIMMING POOL"/>
      <sheetName val="Preliminaries -Cleaning Labour"/>
      <sheetName val="bASIC rATES OTHERS"/>
      <sheetName val="Establishment ch  "/>
      <sheetName val="TRIANGLE"/>
      <sheetName val="OCATAGON"/>
      <sheetName val="RECTANGLE"/>
      <sheetName val="Adv Rt Dirc"/>
      <sheetName val="CIRCULAR"/>
      <sheetName val="NH Rt.M"/>
      <sheetName val="Ex junct."/>
      <sheetName val="Guard Rail"/>
      <sheetName val="Studs"/>
      <sheetName val="Chevron Sign"/>
      <sheetName val="chervon sign information.1"/>
      <sheetName val="Delineators"/>
      <sheetName val="Road Markings "/>
      <sheetName val="TR-I"/>
      <sheetName val="1    "/>
      <sheetName val="1C"/>
      <sheetName val="2    "/>
      <sheetName val="2C"/>
      <sheetName val="4    "/>
      <sheetName val="Cut Quantity 1;1 slope"/>
      <sheetName val="Cut Quantity 1;2 slope"/>
      <sheetName val="Fill Quantity 1;2"/>
      <sheetName val="Fill Quantity"/>
      <sheetName val="3C"/>
      <sheetName val="Subgrade"/>
      <sheetName val="5    "/>
      <sheetName val="4C"/>
      <sheetName val="C7"/>
      <sheetName val="7    (2)"/>
      <sheetName val="6    "/>
      <sheetName val="6C"/>
      <sheetName val="7   "/>
      <sheetName val="7C"/>
      <sheetName val="8C"/>
      <sheetName val="12   "/>
      <sheetName val="11C"/>
      <sheetName val="9C"/>
      <sheetName val="Bus Bay &amp; Truck"/>
      <sheetName val="144"/>
      <sheetName val="Maintanance"/>
      <sheetName val="12C"/>
      <sheetName val="13 D"/>
      <sheetName val="13-D"/>
      <sheetName val="Cs Details"/>
      <sheetName val="Pavement Design"/>
      <sheetName val="Section 1-SH-59"/>
      <sheetName val="Section 2- Sh-9"/>
      <sheetName val="Filling Qty"/>
      <sheetName val="summary ( OP-2)"/>
      <sheetName val="BU"/>
      <sheetName val="D.E-1"/>
      <sheetName val="B.Pass"/>
      <sheetName val="Widening PRP"/>
      <sheetName val="T.Diver"/>
      <sheetName val="T.Div cost"/>
      <sheetName val="EW-EXist"/>
      <sheetName val="EW-Bpass"/>
      <sheetName val="Bus Bay &amp; Truck-Ex"/>
      <sheetName val="On Existing Proj Road"/>
      <sheetName val="Jun Ex Road"/>
      <sheetName val="EX -MISS"/>
      <sheetName val="Jun Bypass"/>
      <sheetName val="Bus Bay &amp; Truck-Ex (2)"/>
      <sheetName val="BYPAS-MISS "/>
      <sheetName val="Drain - steel"/>
      <sheetName val="Drain - steel-Bypass"/>
      <sheetName val="Wayside Amenities"/>
      <sheetName val="Bypass Cost"/>
      <sheetName val="Detailed Estimate"/>
      <sheetName val="Delineators (2)"/>
      <sheetName val="Miscellaneous"/>
      <sheetName val="Cover (2)"/>
      <sheetName val="Currency split"/>
      <sheetName val="Payment Status"/>
      <sheetName val="BOQ 1"/>
      <sheetName val="BOQ 2"/>
      <sheetName val="BOQ 3"/>
      <sheetName val="BOQ 4"/>
      <sheetName val="BOQ 5"/>
      <sheetName val="BOQ 6"/>
      <sheetName val="BOQ 7"/>
      <sheetName val="BOQ 8"/>
      <sheetName val="BOQ 9"/>
      <sheetName val="BOQ 10"/>
      <sheetName val="BOQ 11"/>
      <sheetName val="BOQ 12"/>
      <sheetName val="SUMBILL1"/>
      <sheetName val="BOQ 14"/>
      <sheetName val="BOQ 15"/>
      <sheetName val="BOQ 16"/>
      <sheetName val="BOQ 17"/>
      <sheetName val="BOQ 18"/>
      <sheetName val="BOQ 19"/>
      <sheetName val="BOQ 20"/>
      <sheetName val="BOQ 21"/>
      <sheetName val="BOQ 22"/>
      <sheetName val="BOQ 23"/>
      <sheetName val="BOQ 24"/>
      <sheetName val="Summary bill 7"/>
      <sheetName val="BOQ 26"/>
      <sheetName val="BOQ 27"/>
      <sheetName val="Summary bill 8"/>
      <sheetName val="BOQ 29"/>
      <sheetName val="BOQ 30"/>
      <sheetName val="BOQ 31"/>
      <sheetName val="BOQ 32"/>
      <sheetName val="BOQ 33"/>
      <sheetName val="BOQ 34"/>
      <sheetName val="BOQ 35"/>
      <sheetName val="BOQ 36"/>
      <sheetName val="BOQ 37"/>
      <sheetName val="BOQ 38"/>
      <sheetName val="BOQ 39"/>
      <sheetName val="BOQ 40"/>
      <sheetName val="BOQ 41"/>
      <sheetName val="BOQ 42"/>
      <sheetName val="BOQ 43"/>
      <sheetName val="BOQ 44"/>
      <sheetName val="BOQ 45"/>
      <sheetName val="Summary bill 17"/>
      <sheetName val="BOQ 47"/>
      <sheetName val="BOQ 48"/>
      <sheetName val="BOQ 49"/>
      <sheetName val="Summary bill 20"/>
      <sheetName val="BOQ 51"/>
      <sheetName val="BOQ 52"/>
      <sheetName val="BOQ 53"/>
      <sheetName val="BOQ 54"/>
      <sheetName val="BOQ 55"/>
      <sheetName val="BOQ 56"/>
      <sheetName val="BOQ 57"/>
      <sheetName val="Summary bill 21"/>
      <sheetName val="BOQ 59"/>
      <sheetName val="BOQ 60"/>
      <sheetName val="BOQ 61"/>
      <sheetName val="BOQ 62"/>
      <sheetName val="Summary bill 22"/>
      <sheetName val="Mos"/>
      <sheetName val="VOP LABOUR"/>
      <sheetName val="VOP MATERIALS"/>
      <sheetName val="Curve details"/>
      <sheetName val="B TCS Sch F"/>
      <sheetName val="Road summary"/>
      <sheetName val="BOQ - Roads"/>
      <sheetName val="Junction R"/>
      <sheetName val="Bought Out items"/>
      <sheetName val="Std Toll Plaza L&amp;T"/>
      <sheetName val="Input Data R"/>
      <sheetName val="Reg. Course R"/>
      <sheetName val="PQC-DLC_Th"/>
      <sheetName val="Service Road R"/>
      <sheetName val="Input Data F"/>
      <sheetName val="Reg. Course F"/>
      <sheetName val="BC-DBM F"/>
      <sheetName val="Service Road F"/>
      <sheetName val="Input Data70+100MSA"/>
      <sheetName val="Reg. Course70+100 MSA"/>
      <sheetName val="BC-DBM_Thick 70+100MSA"/>
      <sheetName val="Overlay"/>
      <sheetName val="Overlay 4Lane"/>
      <sheetName val="Drain BM PCC"/>
      <sheetName val="Ex Road"/>
      <sheetName val="Drain"/>
      <sheetName val="Drain Lined"/>
      <sheetName val="ManHole"/>
      <sheetName val="Extra Widening"/>
      <sheetName val="R.E. NH-10"/>
      <sheetName val="RCC Retaining Wall1"/>
      <sheetName val="Dismantling"/>
      <sheetName val="BM VS RECON"/>
      <sheetName val="RE WALL NEW"/>
      <sheetName val="STWC"/>
      <sheetName val="bupcost"/>
      <sheetName val="AFA"/>
      <sheetName val="performance"/>
      <sheetName val="FINALTOPSHEET"/>
      <sheetName val="chiklicost"/>
      <sheetName val="revanal"/>
      <sheetName val="annex1siteman-indirectpm"/>
      <sheetName val="annex2siteman-indirectlab"/>
      <sheetName val="annex3mob-stockpile"/>
      <sheetName val="annex4mob-wp1trasnfer"/>
      <sheetName val="annex5-mob-safety"/>
      <sheetName val="annex6-sitefac-survey"/>
      <sheetName val="CONTRACT PRICE"/>
      <sheetName val="PRICE BREAKUP"/>
      <sheetName val="ABSTRACT BOQ"/>
      <sheetName val="IDC - OVERHEADS - SUMMARY"/>
      <sheetName val="BASIC DATA of Material"/>
      <sheetName val="Cost of material"/>
      <sheetName val="Req of Material"/>
      <sheetName val="MIX COMPOSITION"/>
      <sheetName val="ETC Plant Cost"/>
      <sheetName val="SITE CLEARANCE"/>
      <sheetName val="Subbase"/>
      <sheetName val="Earthwork"/>
      <sheetName val="SUMMARY PLANT COST"/>
      <sheetName val="PAVEMENT"/>
      <sheetName val="TRAFFIC APPURENTANCE"/>
      <sheetName val="CD &amp; Bridges"/>
      <sheetName val="BRIDGE CONCRETE"/>
      <sheetName val="ETC -Escalation"/>
      <sheetName val="IDC - OVERHEADS"/>
      <sheetName val="SC DIESEL ESCALATION"/>
      <sheetName val="OF - BACK"/>
      <sheetName val="CHART INDICES"/>
      <sheetName val="IPS"/>
      <sheetName val="hirevs dep"/>
      <sheetName val="PC PIVOT- do not fiddle with"/>
      <sheetName val="Summary Crusher"/>
      <sheetName val="boq rvn"/>
      <sheetName val="factor "/>
      <sheetName val="Leadsheet"/>
      <sheetName val="Test Asset"/>
      <sheetName val="Sample-Confirms"/>
      <sheetName val="Sample-Valn"/>
      <sheetName val="Cutoff"/>
      <sheetName val="FA Movement"/>
      <sheetName val="Phy Verifn"/>
      <sheetName val="Sample-PhyVer"/>
      <sheetName val="Sample-Addn"/>
      <sheetName val="Sample-CWIP"/>
      <sheetName val="Meetings Dates &amp; Teams"/>
      <sheetName val="Agenda of STATE Meetings"/>
      <sheetName val="Agenda-Bhopal"/>
      <sheetName val="Agenda-Sagar"/>
      <sheetName val="Agenda-Indore"/>
      <sheetName val="Agenda-Ujjain"/>
      <sheetName val="Agenda-Ratlam"/>
      <sheetName val="Agenda-Gwalior"/>
      <sheetName val="Agenda-Raipur"/>
      <sheetName val="Agenda-Bhillai"/>
      <sheetName val="Agenda-JagdalPur"/>
      <sheetName val="Agenda-Bilaspur"/>
      <sheetName val="LIPL - Valuation"/>
      <sheetName val="Past PL - ex. Pass throughs"/>
      <sheetName val="Past PL - inc. Pass throughs"/>
      <sheetName val="Past BS"/>
      <sheetName val="Past CF"/>
      <sheetName val="Valuation assumptions"/>
      <sheetName val="Projected P&amp;L"/>
      <sheetName val="Projected CF"/>
      <sheetName val="Projected BS"/>
      <sheetName val="Business Valuation"/>
      <sheetName val="Real estate "/>
      <sheetName val="Net New business (by service)"/>
      <sheetName val="ML Model"/>
      <sheetName val="Commission &amp; Fees"/>
      <sheetName val="Employee Costs"/>
      <sheetName val="Lease rental details"/>
      <sheetName val="Global Trading Multiples "/>
      <sheetName val="Global Deal Multiples"/>
      <sheetName val="Margins for India comparables"/>
      <sheetName val="Sensex sheet"/>
      <sheetName val="Global Comparables"/>
      <sheetName val="India Advertising agencies"/>
      <sheetName val="Changed ML Model"/>
      <sheetName val="ML Model - Original 110205"/>
      <sheetName val="ML Model -Reverse 110205"/>
      <sheetName val="Ambit model USD"/>
      <sheetName val="ML Model - 150206"/>
      <sheetName val="Graphs for presentation"/>
      <sheetName val="Charts for presentation"/>
      <sheetName val="Pre - Feb 15"/>
      <sheetName val="NPV working"/>
      <sheetName val="ML Model USD"/>
      <sheetName val="ML Model - Original"/>
      <sheetName val="(Pages)"/>
      <sheetName val="FUR.DEPOSIT.DTL (98-99)"/>
      <sheetName val="FUR.DEPOSIT.DTL(99-2000"/>
      <sheetName val="FUR.DEPOSIT.DTL(current)"/>
      <sheetName val="DEPOSIT UPTO SEP_00"/>
      <sheetName val="May-00"/>
      <sheetName val="JUNE-00 "/>
      <sheetName val="JULY 00"/>
      <sheetName val="AUG00"/>
      <sheetName val="Sep00"/>
      <sheetName val="April_00"/>
      <sheetName val="Introductions"/>
      <sheetName val="Internal Resources"/>
      <sheetName val="External Resources"/>
      <sheetName val="AOP Detail"/>
      <sheetName val="AOP Investments"/>
      <sheetName val="AOP Summary"/>
      <sheetName val="FTE Summary"/>
      <sheetName val="$US Internal Resources"/>
      <sheetName val="$US External Resources"/>
      <sheetName val="$US AOP Detail"/>
      <sheetName val="$US AOP Investments"/>
      <sheetName val="$US AOP Summary"/>
      <sheetName val="$US FTE Summary"/>
      <sheetName val="CL1"/>
      <sheetName val="Cl2"/>
      <sheetName val="SAP TB"/>
      <sheetName val="AR grossing"/>
      <sheetName val="AP grossing"/>
      <sheetName val="CIF"/>
      <sheetName val="PFL"/>
      <sheetName val="FA break up"/>
      <sheetName val="Packing Material"/>
      <sheetName val="Inc-Dec-STK"/>
      <sheetName val="outsource"/>
      <sheetName val="CAP-Comm"/>
      <sheetName val="Vacation Pay Ac 210406"/>
      <sheetName val="P_MAC"/>
      <sheetName val="P_SWB"/>
      <sheetName val="P_MTX"/>
      <sheetName val="P_SAL"/>
      <sheetName val="P_TOT"/>
      <sheetName val="P_BEN"/>
      <sheetName val="P_ANA"/>
      <sheetName val="HR_TOT"/>
      <sheetName val="P_AOP"/>
      <sheetName val="P_ABA"/>
      <sheetName val="HR_MTX2"/>
      <sheetName val="HR_ANA1"/>
      <sheetName val="HR_ANA2"/>
      <sheetName val="HR_ANA3"/>
      <sheetName val="HR_SWB"/>
      <sheetName val="HR_COS"/>
      <sheetName val="BE_SWB"/>
      <sheetName val="HR_BEN1"/>
      <sheetName val="HR_BEN2"/>
      <sheetName val="HR_BEN3"/>
      <sheetName val="HR_BEN4"/>
      <sheetName val="HR_BEN5"/>
      <sheetName val="HR_MTX"/>
      <sheetName val="HR_TAB"/>
      <sheetName val="1. Setup"/>
      <sheetName val="2. Benchmark Analysis"/>
      <sheetName val="3. Market Data"/>
      <sheetName val="4. Employee data"/>
      <sheetName val="5. Salary Ranges"/>
      <sheetName val="6. Base &amp; Guaranteed Pay"/>
      <sheetName val="7. Total Cash"/>
      <sheetName val="7. New Ranges"/>
      <sheetName val="8. Merit Matrix"/>
      <sheetName val="9. Summary"/>
      <sheetName val="10. Analysis"/>
      <sheetName val="11. Salary Ranges and Matrix"/>
      <sheetName val="12. AOP Items"/>
      <sheetName val="WORK2"/>
      <sheetName val="1_ Setup"/>
      <sheetName val="4_ Employee data"/>
      <sheetName val="Matrix Changes Comparison"/>
      <sheetName val="Special write down"/>
      <sheetName val="Init"/>
      <sheetName val="gvl"/>
      <sheetName val="LedMast"/>
      <sheetName val="Makro1"/>
      <sheetName val="Template"/>
      <sheetName val="12 March Onwards"/>
      <sheetName val="Ass&amp;Returns"/>
      <sheetName val="Scenario 1"/>
      <sheetName val="Triggers"/>
      <sheetName val="qtr on qtr"/>
      <sheetName val="comp&amp;sw"/>
      <sheetName val="Break Up"/>
      <sheetName val="Managerial"/>
      <sheetName val="Prodn. sale  summ"/>
      <sheetName val="State level Sales"/>
      <sheetName val="HLCL-P&amp;L"/>
      <sheetName val="Fertilizers - P&amp;L"/>
      <sheetName val="Chemicals - P&amp;L"/>
      <sheetName val="RMAssumptions"/>
      <sheetName val="Sub-Cal"/>
      <sheetName val="Subsidy summary"/>
      <sheetName val="avaS"/>
      <sheetName val="Pdt.wise  contn-Fert"/>
      <sheetName val=" Fertilizers productwise"/>
      <sheetName val="DAP Flow"/>
      <sheetName val="NDAP Flow"/>
      <sheetName val="NPK10 Flow"/>
      <sheetName val="NPK12 Flow"/>
      <sheetName val="NPK15 Flow"/>
      <sheetName val="Pdt.wise  contn-Chem"/>
      <sheetName val="MOP Flow"/>
      <sheetName val="NSSP Flow"/>
      <sheetName val="Chemicals Productwise"/>
      <sheetName val="STPP"/>
      <sheetName val="SULPHURIC ACID"/>
      <sheetName val="SULPHONIC"/>
      <sheetName val="GYPSUM"/>
      <sheetName val="RM ASSM FERT"/>
      <sheetName val="RM ASSM CHEM"/>
      <sheetName val="Fin Dep(in Rs)"/>
      <sheetName val="Fin Dep"/>
      <sheetName val="IPP"/>
      <sheetName val="Discounts"/>
      <sheetName val="DAP"/>
      <sheetName val="Chem Intermediates"/>
      <sheetName val="NPK"/>
      <sheetName val="SSP"/>
      <sheetName val="Dist Cost"/>
      <sheetName val="Mop"/>
      <sheetName val="Stk"/>
      <sheetName val="p2o5"/>
      <sheetName val="NH3"/>
      <sheetName val="Rock-HG"/>
      <sheetName val="Rock-LG"/>
      <sheetName val="Sulphur"/>
      <sheetName val="MOP-arrsal"/>
      <sheetName val="MOP-arrRM"/>
      <sheetName val="MFg P2O5"/>
      <sheetName val="RM Clg"/>
      <sheetName val="Prod. Sch"/>
      <sheetName val="Other Cost Chem"/>
      <sheetName val="Other Cost Fert"/>
      <sheetName val="mdlRoutines"/>
      <sheetName val="ProdGrouped"/>
      <sheetName val="TPM 1-Qtr"/>
      <sheetName val="TPM Tot"/>
      <sheetName val="ICVBreakDown"/>
      <sheetName val="StdMarginQtrReg"/>
      <sheetName val="StdMarginRegQtr"/>
      <sheetName val="SalesByRegnByQtr"/>
      <sheetName val="SalesByQtrByRegn"/>
      <sheetName val="Summary Q1"/>
      <sheetName val="Summary Q2"/>
      <sheetName val="Summary Q3"/>
      <sheetName val="Summary Q4"/>
      <sheetName val="Summary a"/>
      <sheetName val="SalesQtrReg Global Feb-05"/>
      <sheetName val="Region Sumry GEMSA Feb-05 (4)"/>
      <sheetName val="Region Sumry GEMSE Feb-05 (4)"/>
      <sheetName val="Region Sumry GEMSAM Feb-05 (4)"/>
      <sheetName val="Region Sumry GEMSA Feb-05 (3)"/>
      <sheetName val="Region Sumry GEMSE Feb-05 (3)"/>
      <sheetName val="Region Sumry GEMSAM Feb-05 (3)"/>
      <sheetName val="Region Sumry GEMSA Feb-05 (2)"/>
      <sheetName val="Region Sumry GEMSE Feb-05 (2)"/>
      <sheetName val="Region Sumry GEMSAM Feb-05 (2)"/>
      <sheetName val="Region Sumry GEMSA Feb-05"/>
      <sheetName val="Region Sumry GEMSE Feb-05"/>
      <sheetName val="Region Sumry GEMSAM Feb-05"/>
      <sheetName val="SalesQtrReg GEMSA Feb-05"/>
      <sheetName val="SalesQtrReg GEMSE Feb-05"/>
      <sheetName val="SalesQtrReg GEMSAM Feb-05"/>
      <sheetName val="SalesQtrReg ROA Feb-05"/>
      <sheetName val="SalesQtrReg Japan Feb-05"/>
      <sheetName val="SalesQtrReg Res Feb-05"/>
      <sheetName val="SalesQtrReg Canada Feb-05"/>
      <sheetName val="SalesQtrReg Lat Feb-05"/>
      <sheetName val="SalesQtrReg USA Feb-05"/>
      <sheetName val="CompSales"/>
      <sheetName val="CAndDemo"/>
      <sheetName val="PricesPSIG"/>
      <sheetName val="PricesComp"/>
      <sheetName val="PSIGSales"/>
      <sheetName val="PSIGDetails"/>
      <sheetName val="CompProduction"/>
      <sheetName val="SalesByPole2FCast"/>
      <sheetName val="SalesByPole"/>
      <sheetName val="ShipmentsByPole4FCast"/>
      <sheetName val="ShipmentsByPole2FCast"/>
      <sheetName val="ShipmentsByPole"/>
      <sheetName val="IOPlanBalances"/>
      <sheetName val="IOPlan"/>
      <sheetName val="IOPlan Regn"/>
      <sheetName val="BlockISales"/>
      <sheetName val="InternalSales"/>
      <sheetName val="ForecastCompModalities"/>
      <sheetName val="GlobalPSIPlanSummary"/>
      <sheetName val="GlobalInventoryOrSales"/>
      <sheetName val="GlobalInternalSales"/>
      <sheetName val="SalesByRegionWithDelta"/>
      <sheetName val="GlobalSAndIByPole"/>
      <sheetName val="대리점리스트"/>
      <sheetName val="Slow Moving"/>
      <sheetName val="INV-512"/>
      <sheetName val="grootboekrek"/>
      <sheetName val="connectivity-b"/>
      <sheetName val="pre-operative Exps"/>
      <sheetName val="capex_comp_yoy"/>
      <sheetName val="basic_assumptions"/>
      <sheetName val="p&amp;l_comp_yoy"/>
      <sheetName val="Pre-operative Exps_original"/>
      <sheetName val="cf_comp_yoy"/>
      <sheetName val="connectivity"/>
      <sheetName val="premises"/>
      <sheetName val="distribution Revenues"/>
      <sheetName val="Trans Assump"/>
      <sheetName val="Deal Summary"/>
      <sheetName val="SDG"/>
      <sheetName val="GUCCI $$"/>
      <sheetName val="Earnings"/>
      <sheetName val="Brunei"/>
      <sheetName val="China"/>
      <sheetName val="Guam"/>
      <sheetName val="HongKong"/>
      <sheetName val="Indonesia"/>
      <sheetName val="Korea"/>
      <sheetName val="Malaysia"/>
      <sheetName val="NewZealand"/>
      <sheetName val="Philippines"/>
      <sheetName val="Singapore"/>
      <sheetName val="Taiwan"/>
      <sheetName val="Thailand"/>
      <sheetName val="BExRepositorySheet"/>
      <sheetName val="TCL-Input"/>
      <sheetName val="Div Accounts-Rs. Cr"/>
      <sheetName val="Other Analysis"/>
      <sheetName val="Sch-VI"/>
      <sheetName val="Div-SEBI"/>
      <sheetName val="SEBI (2)-Final"/>
      <sheetName val="SEBI-Segment"/>
      <sheetName val="Seg-working"/>
      <sheetName val="AS-17 Segment"/>
      <sheetName val="EPS Final"/>
      <sheetName val="BEBP"/>
      <sheetName val="Q3 end genesis balances"/>
      <sheetName val="Targets By Plant"/>
      <sheetName val="Q3 End"/>
      <sheetName val="Inv Orgs"/>
      <sheetName val="Modality Summary"/>
      <sheetName val="Input Page"/>
      <sheetName val="Title Page"/>
      <sheetName val="MORTGAGE"/>
      <sheetName val="By Salesman"/>
      <sheetName val="By Product"/>
      <sheetName val="By Qtr"/>
      <sheetName val="Sold Accounts"/>
      <sheetName val="Dropped"/>
      <sheetName val="2nd Qtr 2003"/>
      <sheetName val="04.11"/>
      <sheetName val="PE CHARGES"/>
      <sheetName val="SL GL REco"/>
      <sheetName val="HEad count reco"/>
      <sheetName val="PF ESI Logic"/>
      <sheetName val="Joiners TOC"/>
      <sheetName val="Leavers TOC"/>
      <sheetName val="Salary ledger breakup"/>
      <sheetName val="PF ESI ledger breakup"/>
      <sheetName val="April 2010 HO Project"/>
      <sheetName val="June to Sep 2010 - Paywhiz"/>
      <sheetName val="Tumkur"/>
      <sheetName val="UA-04"/>
      <sheetName val="R&amp;D - S&amp;M"/>
      <sheetName val="Revenue wrkgs"/>
      <sheetName val="Service Income"/>
      <sheetName val="salex tax"/>
      <sheetName val="UA-1_Lead"/>
      <sheetName val="UA1.1_Sales register"/>
      <sheetName val="UA-1.2_Month on Month"/>
      <sheetName val="UA-1.3_Recon_Register vs GL"/>
      <sheetName val="UA-1.4_Sales Classification"/>
      <sheetName val="UA-1.5_Sales Rationalisation"/>
      <sheetName val="UA-1.6_Customer wise Sales"/>
      <sheetName val="UA-1.7_Stock Trf analysis"/>
      <sheetName val="UA-1.8_Sale to APSRTC"/>
      <sheetName val="UA-1.9_Margin Analysis"/>
      <sheetName val="Part wise sale"/>
      <sheetName val="Factory Stock trf Agst Form F"/>
      <sheetName val="Factory to Warehouse Bangalore"/>
      <sheetName val="Stock trf between warehouses"/>
      <sheetName val="Return"/>
      <sheetName val="Payable-Quart-Service"/>
      <sheetName val="Payable-Quart-Service (1)"/>
      <sheetName val="Payable-Quart-Service (2)"/>
      <sheetName val="Advance-Payment-Quarterly"/>
      <sheetName val="Payable-Service"/>
      <sheetName val="Advance-Payment"/>
      <sheetName val="Paid-Quarterly-Service"/>
      <sheetName val="Paid-Service"/>
      <sheetName val="Challan-Service"/>
      <sheetName val="CENVAT-Quarterly"/>
      <sheetName val="CENVAT"/>
      <sheetName val="Distributor"/>
      <sheetName val="Distributor-Quarterly"/>
      <sheetName val="Datasheet"/>
      <sheetName val="tariff"/>
      <sheetName val="workcap"/>
      <sheetName val="Ins Marine"/>
      <sheetName val="Ins Erection"/>
      <sheetName val="MSEB"/>
      <sheetName val="ST"/>
      <sheetName val="Coke Fines"/>
      <sheetName val="Photocopy"/>
      <sheetName val="PF&amp;ESI"/>
      <sheetName val="Medical LTA"/>
      <sheetName val="Managerial Remuneration"/>
      <sheetName val="Uniform"/>
      <sheetName val="DIWALI"/>
      <sheetName val="STFRCRFINGFEE"/>
      <sheetName val="Annexure 11(a)_SUMAMRY"/>
      <sheetName val="Annexure 11(a)WORKING"/>
      <sheetName val="RGPCOM"/>
      <sheetName val="CALCOM"/>
      <sheetName val="NDCOM"/>
      <sheetName val="BASIC ASSU."/>
      <sheetName val="COST PRD."/>
      <sheetName val="BURNER"/>
      <sheetName val="Norms (GV)"/>
      <sheetName val="MCC_01"/>
      <sheetName val="MCC_01A"/>
      <sheetName val="MCC_02"/>
      <sheetName val="MCC_02A"/>
      <sheetName val="MCC_03"/>
      <sheetName val="MCC_03A"/>
      <sheetName val="MCC_04"/>
      <sheetName val="MCC_05"/>
      <sheetName val="MCC_05A"/>
      <sheetName val="MCC_06"/>
      <sheetName val="MCC_07"/>
      <sheetName val="MCC_08"/>
      <sheetName val="MCC_08A"/>
      <sheetName val="MCC_09 "/>
      <sheetName val="MCC_10"/>
      <sheetName val="MCC_10A"/>
      <sheetName val="MCC_11"/>
      <sheetName val="MCC_11A"/>
      <sheetName val="MCC_12"/>
      <sheetName val="MCC_13"/>
      <sheetName val="MCC_14"/>
      <sheetName val="Main Input Sheet"/>
      <sheetName val="30Apr03"/>
      <sheetName val="16Jan03"/>
      <sheetName val="24Dec02"/>
      <sheetName val="Flow-03Dec02"/>
      <sheetName val="Flow-27Sep02"/>
      <sheetName val="Flow-08Aug02"/>
      <sheetName val="Flow-01Aug02"/>
      <sheetName val="Flow-29Jul02"/>
      <sheetName val="Flow-22Jul02"/>
      <sheetName val="Flow-09Jul02"/>
      <sheetName val="Flow-30May02"/>
      <sheetName val="Flow-29May02"/>
      <sheetName val="Flow-14May02"/>
      <sheetName val="Flow-17Apr02"/>
      <sheetName val="Flow-03Apr02"/>
      <sheetName val="Tabelle1"/>
      <sheetName val="Tabelle2"/>
      <sheetName val="CS Area"/>
      <sheetName val="Check_Up"/>
      <sheetName val=" Raw Mill"/>
      <sheetName val="Kiln"/>
      <sheetName val="Ramp_Up_Kiln"/>
      <sheetName val="Coal Mill"/>
      <sheetName val="Cement Mill"/>
      <sheetName val="Ramp_Up_Cement Mill"/>
      <sheetName val="Heat Consumption"/>
      <sheetName val="False Air"/>
      <sheetName val="Raw Material Requirement"/>
      <sheetName val="Power_Summary"/>
      <sheetName val="Power_Material"/>
      <sheetName val="Power_Cement"/>
      <sheetName val="power_clinker"/>
      <sheetName val="Power_OPC"/>
      <sheetName val="Power_PPC"/>
      <sheetName val="Kiln Performance"/>
      <sheetName val="Power_Sheet_Presentation"/>
      <sheetName val="Ebidta"/>
      <sheetName val="Energy bill  "/>
      <sheetName val="Power cost"/>
      <sheetName val="Fixed Expenses"/>
      <sheetName val="VCOP"/>
      <sheetName val="VC-QC"/>
      <sheetName val="Operation-line-1"/>
      <sheetName val="Input cost"/>
      <sheetName val="Input Factor"/>
      <sheetName val="Power-kwh-t"/>
      <sheetName val="Frt cost"/>
      <sheetName val="Approved Capex"/>
      <sheetName val="Proposed Capex"/>
      <sheetName val="Major Litigation"/>
      <sheetName val="FCCmt"/>
      <sheetName val="Com.Allcn"/>
      <sheetName val="Cmt. Wkg"/>
      <sheetName val="Com. wkg"/>
      <sheetName val="DG Cost"/>
      <sheetName val="Caloff"/>
      <sheetName val="RM -LS(V)"/>
      <sheetName val="CCR"/>
      <sheetName val="Fuel "/>
      <sheetName val="pkg.bags"/>
      <sheetName val="RM &amp; Clinker"/>
      <sheetName val="Loose Cmt"/>
      <sheetName val="Branch Acct."/>
      <sheetName val="PL -LS TC"/>
      <sheetName val="Contr."/>
      <sheetName val="QW Sales"/>
      <sheetName val="Lac"/>
      <sheetName val="Var 30-9 B vrs A"/>
      <sheetName val="Var 30-9 A vrs A"/>
      <sheetName val="Var 31-12 B vrs A "/>
      <sheetName val="Var 31-12 A vrs A "/>
      <sheetName val="Var 31-3B vrs A"/>
      <sheetName val="Var 31-3 A vrs A "/>
      <sheetName val="Cal. Br."/>
      <sheetName val="Infmn.from OD"/>
      <sheetName val="Note on Changes made"/>
      <sheetName val="OPR DATA"/>
      <sheetName val="P&amp;L 08.09"/>
      <sheetName val="Cost of Prod."/>
      <sheetName val="EBDITA Estimates"/>
      <sheetName val="STOCK ADJ."/>
      <sheetName val="Cane Mkt."/>
      <sheetName val="Cane Price"/>
      <sheetName val="Mfg."/>
      <sheetName val="F. EXP."/>
      <sheetName val="Exp annexure"/>
      <sheetName val="Salaries &amp; Wages"/>
      <sheetName val="Dep. Co's Act"/>
      <sheetName val="INTT."/>
      <sheetName val="WC-Summ"/>
      <sheetName val="WC-Value"/>
      <sheetName val="WC-Qty. &amp; Rate"/>
      <sheetName val="Budgeted Balance Sheet"/>
      <sheetName val="Budgeted Cash FlowConsolidated "/>
      <sheetName val="Budgeted Fund Flow Consolidated"/>
      <sheetName val="P &amp; L Account Sugar&amp; Cogen"/>
      <sheetName val="OPB 07.08 - Sugar"/>
      <sheetName val="Cogen Profitability"/>
      <sheetName val="Prod_Consm_stock of Grogs"/>
      <sheetName val="silliminite_clot"/>
      <sheetName val="CLOTS"/>
      <sheetName val="clot_others"/>
      <sheetName val="BASIC_CLOT"/>
      <sheetName val="B_CLOT"/>
      <sheetName val="TB-CIT"/>
      <sheetName val="reconcilation"/>
      <sheetName val="de_reconcilation"/>
      <sheetName val="FB"/>
      <sheetName val="SLC"/>
      <sheetName val="recon_volii"/>
      <sheetName val="RF.Common"/>
      <sheetName val="RF.common.wrkg."/>
      <sheetName val="grn_brnt prod"/>
      <sheetName val="dep."/>
      <sheetName val="VRS"/>
      <sheetName val="calcined clay"/>
      <sheetName val="Apr_aug."/>
      <sheetName val="BP.Allocation"/>
      <sheetName val="GPP.Allocation"/>
      <sheetName val="Recon of PL with TB"/>
      <sheetName val="Group-sch"/>
      <sheetName val="P&amp;L - REF"/>
      <sheetName val="Summary.PL.31.12.03"/>
      <sheetName val="Recon of BS _ACs"/>
      <sheetName val="BS - RF"/>
      <sheetName val="Recon of BS "/>
      <sheetName val="OB_ BS"/>
      <sheetName val="OB. wrkg. for BS"/>
      <sheetName val="Brk.up.OB."/>
      <sheetName val="OB.Vol _ II"/>
      <sheetName val="OB_Rev SL"/>
      <sheetName val="0B_Qry SL"/>
      <sheetName val="9 mnths.Comparative.prod.sales "/>
      <sheetName val="Prod.sales.9mths."/>
      <sheetName val="E D Apl to Dec. 03 "/>
      <sheetName val="Int. Silica.Loan"/>
      <sheetName val="SW.UptoAug"/>
      <sheetName val="s&amp;w_PF&amp;ESI"/>
      <sheetName val="FB_S&amp;W"/>
      <sheetName val="SB_1_S&amp;W "/>
      <sheetName val="SB_3_S&amp;W"/>
      <sheetName val="BB_S&amp;W "/>
      <sheetName val="stkval_for_akd"/>
      <sheetName val="stkval_for_bk "/>
      <sheetName val="stkval"/>
      <sheetName val="LADLEjun"/>
      <sheetName val="qejun'04"/>
      <sheetName val="realis with ladle (2)"/>
      <sheetName val="LADLE-jul"/>
      <sheetName val="realis-July"/>
      <sheetName val="realis excl export jan'04"/>
      <sheetName val="realis excl export upto Dec'03"/>
      <sheetName val="realis per ton in total (2)"/>
      <sheetName val="for factory licence"/>
      <sheetName val="realis excl export (2)"/>
      <sheetName val="realis with ladle"/>
      <sheetName val="realis excl export"/>
      <sheetName val="LADLE"/>
      <sheetName val="Convertor"/>
      <sheetName val="exciseDuty"/>
      <sheetName val="realisation per mt"/>
      <sheetName val="Upto dec"/>
      <sheetName val="Q.E Mar'04"/>
      <sheetName val="Q.E Dec'03"/>
      <sheetName val="Upto Nov"/>
      <sheetName val="Upto Sep"/>
      <sheetName val="Q.E Sep'03"/>
      <sheetName val="upto Aug'04"/>
      <sheetName val="Q.E Jun'03"/>
      <sheetName val="Upto"/>
      <sheetName val="realis per ton in total"/>
      <sheetName val="break up (2)"/>
      <sheetName val="pivot sumary"/>
      <sheetName val="Qtr. 1_DE"/>
      <sheetName val="Pkg"/>
      <sheetName val="power units"/>
      <sheetName val="impact (2)"/>
      <sheetName val="rmf-exprt"/>
      <sheetName val="SLB_PROD"/>
      <sheetName val="Summary_contr."/>
      <sheetName val="var_"/>
      <sheetName val="fuel pmt"/>
      <sheetName val="de_analysis"/>
      <sheetName val="ret_frm_custmr"/>
      <sheetName val="ipt sum"/>
      <sheetName val="IPT"/>
      <sheetName val="fuel pmt-total"/>
      <sheetName val="fuel alloc"/>
      <sheetName val="rej_overs"/>
      <sheetName val="rej_overs_exprt"/>
      <sheetName val="rm_REJ._OVERS (2)"/>
      <sheetName val="rm_REJ._OVERS"/>
      <sheetName val="Fixed expense (2)"/>
      <sheetName val="Fixed expense -Dixit"/>
      <sheetName val="Fixed expense"/>
      <sheetName val="Rev.bgt_to_Trgt"/>
      <sheetName val="q4.trgt.bgt."/>
      <sheetName val="recon.dec"/>
      <sheetName val="pl_vs"/>
      <sheetName val="pl_dec04"/>
      <sheetName val="PL.dec_Summary"/>
      <sheetName val="plntwise pl"/>
      <sheetName val="de_jan._bgt"/>
      <sheetName val="de_wrkg_bgt"/>
      <sheetName val="Variance-dec."/>
      <sheetName val="VarFE"/>
      <sheetName val="Others_exp."/>
      <sheetName val="dec act"/>
      <sheetName val="SLC-STK-DEC'04"/>
      <sheetName val="no.of days holding"/>
      <sheetName val="Plantwise"/>
      <sheetName val="Sales Qty"/>
      <sheetName val="Pkg matr"/>
      <sheetName val="Payment_oa"/>
      <sheetName val="4yrs fixed exps"/>
      <sheetName val="Manpower_impact"/>
      <sheetName val="FC_Gain"/>
      <sheetName val="Working 2 "/>
      <sheetName val="Page 4 "/>
      <sheetName val="Page 3 "/>
      <sheetName val="de_dec._trgt"/>
      <sheetName val="de_wrkg_trgt"/>
      <sheetName val="Q.E Dec Summary"/>
      <sheetName val="cfdatabase"/>
      <sheetName val="RF"/>
      <sheetName val="SIW"/>
      <sheetName val="Assumptions 1"/>
      <sheetName val="Assumptions 2"/>
      <sheetName val="Project Cost Incl duties"/>
      <sheetName val="DCL Project Cost"/>
      <sheetName val="Cement - Greenfield"/>
      <sheetName val="Detailed Cement Greenfld EBIDTA"/>
      <sheetName val="Detailed Cement EBIDTA"/>
      <sheetName val="WF &amp; TPPs"/>
      <sheetName val="Sugar"/>
      <sheetName val="Sugar Economics"/>
      <sheetName val="Carbon Credit"/>
      <sheetName val="Total EBIDTA"/>
      <sheetName val="Sales Tax Deferral"/>
      <sheetName val="Takeouts"/>
      <sheetName val="Impact of Current Tax"/>
      <sheetName val="YHD Summary Consolidated"/>
      <sheetName val="YHD Summary Consolidate (Case)"/>
      <sheetName val="PL CONSOLIDATED"/>
      <sheetName val="BS CONSOLIDATED"/>
      <sheetName val="CF CONSOLIDATED"/>
      <sheetName val="Ratios CONSOLIDATED"/>
      <sheetName val="Summary-Fin Consolidated"/>
      <sheetName val="YHD Summary DCBL"/>
      <sheetName val="YHD Summary DCBL (Case)"/>
      <sheetName val="Book Dep"/>
      <sheetName val="TOTAL Sales"/>
      <sheetName val="PL DCBL"/>
      <sheetName val="CF DCBL"/>
      <sheetName val="BS DCBL (Without Full WCL)"/>
      <sheetName val="Monthly CF DCBL"/>
      <sheetName val="CF DCBL - PD"/>
      <sheetName val="Capex Payout"/>
      <sheetName val="Surplus Graph"/>
      <sheetName val="Sugar - Sensivity"/>
      <sheetName val="YHD Summary DCB Subsidiary"/>
      <sheetName val="PL DCB Subsidiary"/>
      <sheetName val="BS DCB Subsidiary"/>
      <sheetName val="CF DCB Subsidiary"/>
      <sheetName val="Ratios DCB Subsidiary"/>
      <sheetName val="Summary - Fin &amp; Ops Subsidiary"/>
      <sheetName val="Cement-Greenfield-Subsidiary"/>
      <sheetName val="Detailed Cement Greenfld Subsi"/>
      <sheetName val="BS DCBL"/>
      <sheetName val="Ratios DCBL "/>
      <sheetName val="Assumptions Summary"/>
      <sheetName val="IT, WC, Loans - DCB Subsidiary"/>
      <sheetName val="PL - OCL "/>
      <sheetName val="BS - OCL"/>
      <sheetName val="CF - OCL"/>
      <sheetName val="cement greenfieldtax"/>
      <sheetName val="ProjectIRR"/>
      <sheetName val="pl (2)"/>
      <sheetName val="ids_mar"/>
      <sheetName val="semi-stk-exprt"/>
      <sheetName val="adv tax 4"/>
      <sheetName val="RM (2)"/>
      <sheetName val="fbjul"/>
      <sheetName val="incr_decr stk"/>
      <sheetName val="stkvaladvtax2"/>
      <sheetName val="royalty_pp"/>
      <sheetName val="royalty_AMC"/>
      <sheetName val="PTI"/>
      <sheetName val="mould consm"/>
      <sheetName val="stores consm"/>
      <sheetName val="str_spr_repr"/>
      <sheetName val="apr-stk"/>
      <sheetName val="may-stk"/>
      <sheetName val="jun-stk"/>
      <sheetName val="jul-stk"/>
      <sheetName val="Aug-stk"/>
      <sheetName val="Sep-stk"/>
      <sheetName val="Oct-stk"/>
      <sheetName val="Nov-stk"/>
      <sheetName val="Dec-stk"/>
      <sheetName val="Jan-stk"/>
      <sheetName val="Feb-mar"/>
      <sheetName val="tot-stk"/>
      <sheetName val="adv2"/>
      <sheetName val="bud breakup"/>
      <sheetName val="Prod-Sales data"/>
      <sheetName val="PLR"/>
      <sheetName val="PLR(ND)"/>
      <sheetName val="Mis PL-actu Pl"/>
      <sheetName val="PLRRev"/>
      <sheetName val="pl(3)"/>
      <sheetName val="pl-ndfinal"/>
      <sheetName val="pl-nd"/>
      <sheetName val="BOARD_REPORT"/>
      <sheetName val="CUS._TB_For_BS"/>
      <sheetName val="Prov_agst_adv_FOR_BS"/>
      <sheetName val="RM_CONSUMED"/>
      <sheetName val="prod._sales"/>
      <sheetName val="Notes to account"/>
      <sheetName val="Consolidated PR(CF,RF,KCW)"/>
      <sheetName val="Cement Factory 10"/>
      <sheetName val="Refractory 11"/>
      <sheetName val="Lanjiberna Limestone Mines 12"/>
      <sheetName val="Lanjiberna Quarry Transport 14"/>
      <sheetName val="Common 15"/>
      <sheetName val="Power Generating Sets 16"/>
      <sheetName val="HA Cement Plant 25"/>
      <sheetName val="Shaft Kiln 26"/>
      <sheetName val="LINE - 2 (RAJGANGPUR ) 27"/>
      <sheetName val="LINE - 2 (L.Q) 28"/>
      <sheetName val="KCW-Cement Factory 51"/>
      <sheetName val="Talabira Mines 91"/>
      <sheetName val="Raigarh Mines 92"/>
      <sheetName val="Chiraipani Mines 94"/>
      <sheetName val="Mugdara Mines 95"/>
      <sheetName val="Bhikampalli Quartzite Mines 98"/>
      <sheetName val="Price Index"/>
      <sheetName val="Taxes&amp;Duties"/>
      <sheetName val="CIT"/>
      <sheetName val="FC-Com-MHD"/>
      <sheetName val="CPP PBT"/>
      <sheetName val="CPP Rgt Vs Act"/>
      <sheetName val="Sri AKD"/>
      <sheetName val="Coal FY-13"/>
      <sheetName val="Coal consn"/>
      <sheetName val="Coal FY-12"/>
      <sheetName val="Power rate"/>
      <sheetName val="CPP data"/>
      <sheetName val="LC to NCR"/>
      <sheetName val="Summary (FY13 Vs 14)"/>
      <sheetName val="FY-13 Vs FY14"/>
      <sheetName val="Price working"/>
      <sheetName val="Discount"/>
      <sheetName val="Trade"/>
      <sheetName val="Statewise Sales Plan (43 LT)"/>
      <sheetName val="Summary-Plant &amp; Qlty wise"/>
      <sheetName val="Sales-RGP+KCW+BCW"/>
      <sheetName val="Sales-RGP"/>
      <sheetName val="Sales-KCW"/>
      <sheetName val="Sales-BCW"/>
      <sheetName val="Primary Road Frt"/>
      <sheetName val="Rly Frt &amp; CHW"/>
      <sheetName val="Rly Frt w.e.f 1.4.13"/>
      <sheetName val="Road Freight to Depot"/>
      <sheetName val="Secondary Road Frt"/>
      <sheetName val="Sales Qnty"/>
      <sheetName val="VAT Calculation_FY 14"/>
      <sheetName val="Sys. Design"/>
      <sheetName val="Civil-An-1"/>
      <sheetName val="An.2(Major P&amp;M)"/>
      <sheetName val="An.2O"/>
      <sheetName val="An.2A"/>
      <sheetName val="An2S"/>
      <sheetName val="An.2V"/>
      <sheetName val="An.2U"/>
      <sheetName val="An.2T"/>
      <sheetName val="An.2B(BCs)"/>
      <sheetName val="An.2C(WF)"/>
      <sheetName val="An.2D(BF)"/>
      <sheetName val="An.2E(Fans)"/>
      <sheetName val="An.2F"/>
      <sheetName val="An.2G"/>
      <sheetName val="An.2H(Ref)"/>
      <sheetName val="An.2I(Misc. P&amp;M,Assets)"/>
      <sheetName val="An.2J(HT Motors)"/>
      <sheetName val="An.2K(VFC)"/>
      <sheetName val="An.2L(PD)"/>
      <sheetName val="An.2M(C&amp;I)"/>
      <sheetName val="An.3(Err&amp; Com)"/>
      <sheetName val="An.4(Mining)"/>
      <sheetName val="SUM-LS-TRPT"/>
      <sheetName val="An.5-LS.Trpt-Sum"/>
      <sheetName val="LS.Trpt-BG"/>
      <sheetName val="LS.Trpt-Pipe"/>
      <sheetName val="LS.Trpt-Belt"/>
      <sheetName val="LS.Trpt-Loco"/>
      <sheetName val="LQ-Power"/>
      <sheetName val="Fixed Exp"/>
      <sheetName val="LQ Budget"/>
      <sheetName val="LQ-Explosive"/>
      <sheetName val="LQ-EMMD"/>
      <sheetName val="LQ-Spl spares+Pumps"/>
      <sheetName val="Capital Additions"/>
      <sheetName val="WC.CF.FY08"/>
      <sheetName val="WC.KCW.FY08"/>
      <sheetName val="WC.Wkg.CF.FY08"/>
      <sheetName val="WC.Wkg.KCW.FY08"/>
      <sheetName val="Cost Tree"/>
      <sheetName val="WC.CF.FY07-Old-SytYHD"/>
      <sheetName val="BUDCOM"/>
      <sheetName val="OPER_CF"/>
      <sheetName val="LQ"/>
      <sheetName val="FC New"/>
      <sheetName val="Coal Variance"/>
      <sheetName val="Kiln Stp Hrs &amp; Fqny"/>
      <sheetName val="CVRM Stp Hrs &amp; fqny"/>
      <sheetName val="Clinker Pwr"/>
      <sheetName val="CCBC"/>
      <sheetName val="CCBC Stp &amp; Frqny"/>
      <sheetName val="Accounts related"/>
      <sheetName val="ND Office 300911"/>
      <sheetName val="Trial Balance300911"/>
      <sheetName val="FY12 &amp; FY 13 Projection"/>
      <sheetName val="OCL DO depreciation FY11-12"/>
      <sheetName val="OCL DO IT DEPN FY11-12"/>
      <sheetName val="OCL DO Additions FY11-12"/>
      <sheetName val="OCL DO SALE or W-OFF FY11-12"/>
      <sheetName val="ASSET-310312-Office &amp; Eqipment"/>
      <sheetName val="ASSET-310312-Computer"/>
      <sheetName val="ASSET-310312-Fans"/>
      <sheetName val="ASSET-310312-Furniture"/>
      <sheetName val="ASSET-310312-Generator"/>
      <sheetName val="ASSET-310312-Motor cars"/>
      <sheetName val="Sales of Asset at B-47"/>
      <sheetName val="WDV calculator FY10-11"/>
      <sheetName val="Old B-47 asset as on 310311"/>
      <sheetName val="Fixed Asset As per books of acc"/>
      <sheetName val="Qtrly. Var-Book EBIDTA"/>
      <sheetName val="Q1 EBIDTA"/>
      <sheetName val="Cement VC"/>
      <sheetName val="Clinker VC"/>
      <sheetName val="LQ Cost sheet"/>
      <sheetName val="Slag"/>
      <sheetName val="RSP &amp; WSP Gap"/>
      <sheetName val="Addl. Cost in power- QE Jun'12"/>
      <sheetName val="Addl. Cost in power - QE Jun'13"/>
      <sheetName val="RF Adv"/>
      <sheetName val="S-Creditor"/>
      <sheetName val="Sundries"/>
      <sheetName val="rf11"/>
      <sheetName val="rf16"/>
      <sheetName val="rf32"/>
      <sheetName val="rf46"/>
      <sheetName val="Fuel Cost"/>
      <sheetName val="Exe.Sum (2)"/>
      <sheetName val="Cost 96"/>
      <sheetName val="Exe.Sum"/>
      <sheetName val="Tot. stone"/>
      <sheetName val="Cost sheet Templete"/>
      <sheetName val="Cost Sheet  "/>
      <sheetName val="Sum CCBC"/>
      <sheetName val="CCBC EXP"/>
      <sheetName val="Emp.cost"/>
      <sheetName val="Pmt.to Contr."/>
      <sheetName val="Contr.Allcn."/>
      <sheetName val="Repair &amp; Maint."/>
      <sheetName val="Other Expenses"/>
      <sheetName val="Inc-Dec in stk"/>
      <sheetName val="Bill to LQ FY-12"/>
      <sheetName val="Bill to LQ (2)"/>
      <sheetName val="LQ Cost.FTM"/>
      <sheetName val="LQ Basic Data"/>
      <sheetName val="LQ Cost.YTD"/>
      <sheetName val="WESCO Power"/>
      <sheetName val="Explosive"/>
      <sheetName val="Bill to LQ"/>
      <sheetName val="Take outs"/>
      <sheetName val="FY14"/>
      <sheetName val="Stoppages-Kiln"/>
      <sheetName val="Stoppages-Mills"/>
      <sheetName val="Wkg.Reconc."/>
      <sheetName val="PG"/>
      <sheetName val="PPT Graph"/>
      <sheetName val="ND Office 300611"/>
      <sheetName val="Trial Balance 300611"/>
      <sheetName val="87 Kg IRR Option 1"/>
      <sheetName val="CPP"/>
      <sheetName val="VC-Overall"/>
      <sheetName val="VC RGP"/>
      <sheetName val="VC KCW"/>
      <sheetName val="Line1+Line2"/>
      <sheetName val="Approved Capex "/>
      <sheetName val="FC Com"/>
      <sheetName val="Out of Books Qry 30 0 6 04"/>
      <sheetName val="Oot of Book Rev  30 06 04"/>
      <sheetName val="Out of Book Vol II 30 06 04"/>
      <sheetName val="Custom Duty May 05"/>
      <sheetName val="List of Business Partners"/>
      <sheetName val="List of Business Partners (2)"/>
      <sheetName val="List of Business Partners (3)"/>
      <sheetName val="PSC Intermix"/>
      <sheetName val="NEATSLAG"/>
      <sheetName val="FINECOALHAG"/>
      <sheetName val="PSC direct"/>
      <sheetName val="PPC Intermix"/>
      <sheetName val="3Month-Detailed Vriance"/>
      <sheetName val="3a"/>
      <sheetName val="4-6"/>
      <sheetName val="7-9"/>
      <sheetName val="11-13"/>
      <sheetName val="15-17"/>
      <sheetName val="18-19"/>
      <sheetName val="P&amp;L-Grouping"/>
      <sheetName val="Trade Deposit"/>
      <sheetName val="Accrued Interest"/>
      <sheetName val="Ughai-Alcohol"/>
      <sheetName val="Suspense"/>
      <sheetName val="Advance against Salary"/>
      <sheetName val="Ware-house"/>
      <sheetName val="S. Creditors"/>
      <sheetName val="Advance &amp; Deposit"/>
      <sheetName val="Pre-paid Expenses"/>
      <sheetName val="LE"/>
      <sheetName val="Ughai (Bio-Compost)"/>
      <sheetName val="Annuallised Cost"/>
      <sheetName val="Store Consumption"/>
      <sheetName val="Work-men"/>
      <sheetName val="Employees Welfare"/>
      <sheetName val="BR"/>
      <sheetName val="MR"/>
      <sheetName val="S. Repair"/>
      <sheetName val="Selling Expenses"/>
      <sheetName val="General Charges"/>
      <sheetName val="Stationery"/>
      <sheetName val="Conveyance"/>
      <sheetName val="Effulent"/>
      <sheetName val="Party-wise Sales"/>
      <sheetName val="Sundry Income"/>
      <sheetName val="Bio-Compost Sales"/>
      <sheetName val="Bio-Compost Costing"/>
      <sheetName val="Press Mud"/>
      <sheetName val="Windrows"/>
      <sheetName val="W. Details"/>
      <sheetName val="PF &amp; FP"/>
      <sheetName val="Annuallised Cost (1)"/>
      <sheetName val="Uns march"/>
      <sheetName val=" L.E 30.6.11 (3)"/>
      <sheetName val="UnsJune"/>
      <sheetName val="Trial Balanc"/>
      <sheetName val="Int acc"/>
      <sheetName val="300613L.E"/>
      <sheetName val=" L.E"/>
      <sheetName val="Retained Retention"/>
      <sheetName val="Stale Cheque1"/>
      <sheetName val="Rei for exps"/>
      <sheetName val="Retaining "/>
      <sheetName val="Rent Payable"/>
      <sheetName val="Stale Cheque "/>
      <sheetName val="Water Cess"/>
      <sheetName val="Bills awaited"/>
      <sheetName val="Int.Accrued30912"/>
      <sheetName val="Int.Accrued31312"/>
      <sheetName val="Service tax "/>
      <sheetName val="TDS "/>
      <sheetName val="CST"/>
      <sheetName val="Sat"/>
      <sheetName val="Stat Dues"/>
      <sheetName val="Vat."/>
      <sheetName val="CST."/>
      <sheetName val="Entry tax."/>
      <sheetName val="Sat."/>
      <sheetName val="W.C.T"/>
      <sheetName val="Cane Purc tax pay"/>
      <sheetName val="Inve"/>
      <sheetName val="Invet"/>
      <sheetName val="Prepaid."/>
      <sheetName val="cane seed adv"/>
      <sheetName val="Sundry deposit"/>
      <sheetName val="Sun Debt"/>
      <sheetName val="GrPL"/>
      <sheetName val="UBI kolkata(059)"/>
      <sheetName val="IDBI KOLKATA CA"/>
      <sheetName val="Finished goods."/>
      <sheetName val="BY Product."/>
      <sheetName val="Cane Purchase"/>
      <sheetName val="Cane Purchase."/>
      <sheetName val="Cane Transportation &amp; Loading"/>
      <sheetName val="Cane Commission."/>
      <sheetName val="Cane Purchase Tax."/>
      <sheetName val="Cane Development"/>
      <sheetName val="Cane Expenses"/>
      <sheetName val="salary-exp"/>
      <sheetName val="FP, DLI"/>
      <sheetName val="Pac mate"/>
      <sheetName val="Store Cons"/>
      <sheetName val="int.calcu.final"/>
      <sheetName val="Auditfee"/>
      <sheetName val="B.C"/>
      <sheetName val="Brokrage"/>
      <sheetName val="G.Charges."/>
      <sheetName val="Law Charges"/>
      <sheetName val="Miscelle."/>
      <sheetName val="Security charge"/>
      <sheetName val="Sundry Repair"/>
      <sheetName val="Printing &amp; Stationery"/>
      <sheetName val="Postage,telephon "/>
      <sheetName val="Vehicle Runni"/>
      <sheetName val="Selling Exps."/>
      <sheetName val="Security Bill"/>
      <sheetName val="Cane Commission. (2)"/>
      <sheetName val="Cane Adjustment"/>
      <sheetName val="Power Bill Details"/>
      <sheetName val="Block "/>
      <sheetName val="BIS"/>
      <sheetName val="Vehicle-13"/>
      <sheetName val="Vehicle-12"/>
      <sheetName val="Cane Deve"/>
      <sheetName val="Cane Exp"/>
      <sheetName val="Cane Purchase. (2)"/>
      <sheetName val="30612L.E (2)"/>
      <sheetName val="int.calcu. (2)"/>
      <sheetName val="UA 1.1 - Sales Arp"/>
      <sheetName val="UA 1.2 - Sale Summary"/>
      <sheetName val="Free Sale"/>
      <sheetName val="Levy Sale"/>
      <sheetName val="TOTAL OUT SIDE SALE"/>
      <sheetName val="UA 1. 8 Molasses Party wise sal"/>
      <sheetName val="UA 1.5 Godown Sale"/>
      <sheetName val="UA 1.6 By Product Sale"/>
      <sheetName val="UA 1.6 BY Product."/>
      <sheetName val="TOTAL SALE FACTORY GDN "/>
      <sheetName val="March-10 trial"/>
      <sheetName val="Mill Gate"/>
      <sheetName val="Centre"/>
      <sheetName val="oil mill"/>
      <sheetName val="tw &amp; rs"/>
      <sheetName val="cal off buil"/>
      <sheetName val="cal off mach"/>
      <sheetName val="cal off furn"/>
      <sheetName val="cal off tw &amp; con"/>
      <sheetName val="addition"/>
      <sheetName val="amalg &amp; sch"/>
      <sheetName val="it dep jun 03"/>
      <sheetName val="Fur9900"/>
      <sheetName val="I.T Dep."/>
      <sheetName val="Amal.9900"/>
      <sheetName val="Mac9900"/>
      <sheetName val="TW9900"/>
      <sheetName val="Cal.TW&amp;Con.9900"/>
      <sheetName val="Amal.01"/>
      <sheetName val="Mac 01"/>
      <sheetName val="Fur.01"/>
      <sheetName val="Cal.Mach.01"/>
      <sheetName val="bui-02"/>
      <sheetName val="mach.02"/>
      <sheetName val="TW.02"/>
      <sheetName val="Amal.02"/>
      <sheetName val="Cal.Mach.02"/>
      <sheetName val="Sch..02"/>
      <sheetName val="Bui-9900"/>
      <sheetName val="Bui-01"/>
      <sheetName val="TW.01"/>
      <sheetName val="Fur.02"/>
      <sheetName val="Con.01"/>
      <sheetName val="Agr.F A.01"/>
      <sheetName val="Agr.F A 02"/>
      <sheetName val="Cal.Bldg.01"/>
      <sheetName val="Cal.Bldg.02"/>
      <sheetName val="Cal.Fur.02"/>
      <sheetName val="Pre- Op. Exps June-09"/>
      <sheetName val="C_Stock 30.6.09"/>
      <sheetName val="ED_Payable 30.6.09"/>
      <sheetName val="Packing 30.6.09"/>
      <sheetName val="Avg Sale-30.6.09"/>
      <sheetName val="Pre-op. May-09"/>
      <sheetName val="May-09 Stock"/>
      <sheetName val="Bui 01"/>
      <sheetName val="Mach 01"/>
      <sheetName val="Tube 01"/>
      <sheetName val="Tube Well"/>
      <sheetName val="Furn 01"/>
      <sheetName val="Conv 01"/>
      <sheetName val="Agr FA 01"/>
      <sheetName val="Agr. F A"/>
      <sheetName val="Cal Bldg 01"/>
      <sheetName val="Cal.Bldg."/>
      <sheetName val="Cal Mach 01"/>
      <sheetName val="Cal.Mach."/>
      <sheetName val="Cal Fur 01"/>
      <sheetName val="Cal.Furn."/>
      <sheetName val="Cal TW&amp;CON 01"/>
      <sheetName val="Cal.TW&amp;Con."/>
      <sheetName val="Amal."/>
      <sheetName val="IT Dep 01"/>
      <sheetName val="Schedule01"/>
      <sheetName val="Amal 01"/>
      <sheetName val="Bu02"/>
      <sheetName val="Mach02"/>
      <sheetName val="Tube02"/>
      <sheetName val="Furn02"/>
      <sheetName val="Conv02"/>
      <sheetName val="Agr FA02"/>
      <sheetName val="Cal Bldg02"/>
      <sheetName val="Cal Fur02"/>
      <sheetName val="Cal TW&amp;Con02"/>
      <sheetName val="Addition02"/>
      <sheetName val="Amal02"/>
      <sheetName val="Schedule02"/>
      <sheetName val="IT Dep02"/>
      <sheetName val="Distallery"/>
      <sheetName val="IT dep Q"/>
      <sheetName val="Insurance Spares"/>
      <sheetName val="Summary Of intt &amp; B.C"/>
      <sheetName val="Intt_Dr"/>
      <sheetName val="bank-charges"/>
      <sheetName val="Rent Payable (2)"/>
      <sheetName val="p&amp;l  (2)"/>
      <sheetName val="Power-JV"/>
      <sheetName val="Sugar-JV"/>
      <sheetName val="Normal-MR"/>
      <sheetName val="Special-MR"/>
      <sheetName val=" Block"/>
      <sheetName val="MR-Power"/>
      <sheetName val="data 3A|6A"/>
      <sheetName val="6A"/>
      <sheetName val="DATA [ FORM12 , CHALLAN ]"/>
      <sheetName val="PF CHALLAN"/>
      <sheetName val="form12A"/>
      <sheetName val="LETTERS"/>
      <sheetName val="ESI CHALLAN"/>
      <sheetName val="PF CHALLAN INT-DAMAGES"/>
      <sheetName val="Données"/>
      <sheetName val="DOC34"/>
      <sheetName val="Base de Datos Pedidos Dolares"/>
      <sheetName val="Paramètres"/>
      <sheetName val="Listes de Sélection"/>
      <sheetName val="EB1"/>
      <sheetName val="ER1"/>
      <sheetName val="ER2"/>
      <sheetName val="ER4_Old"/>
      <sheetName val="ER5"/>
      <sheetName val="ER6_Old"/>
      <sheetName val="ER7"/>
      <sheetName val="ER8"/>
      <sheetName val="ER9"/>
      <sheetName val="form26"/>
      <sheetName val="Mth-Vana"/>
      <sheetName val="RevisionRound1"/>
      <sheetName val="data_3A|6A"/>
      <sheetName val="DATA_[_FORM12_,_CHALLAN_]"/>
      <sheetName val="PF_CHALLAN"/>
      <sheetName val="ESI_CHALLAN"/>
      <sheetName val="PF_CHALLAN_INT-DAMAGES"/>
      <sheetName val="Base_de_Datos_Pedidos_Dolares"/>
      <sheetName val="wkg_cflo"/>
      <sheetName val="SCH_1_2"/>
      <sheetName val="Inputs_Sens"/>
      <sheetName val="InvStats_CU"/>
      <sheetName val="InvStats_SM"/>
      <sheetName val="InvStats_CM"/>
      <sheetName val="OpStats_CU"/>
      <sheetName val="OpStats_SM"/>
      <sheetName val="OpStats_CM"/>
      <sheetName val="IS_Sum_CU"/>
      <sheetName val="IS_Sum_SM"/>
      <sheetName val="IS_Sum_CM"/>
      <sheetName val="DevStats"/>
      <sheetName val="Chedi Ubud"/>
      <sheetName val="Serai Manggis"/>
      <sheetName val="Chedi Manggis"/>
      <sheetName val="MgmtCo"/>
      <sheetName val="Chart_CU"/>
      <sheetName val="Chart_SM"/>
      <sheetName val="Chart_CM"/>
      <sheetName val="Annual_CFs_Aloha"/>
      <sheetName val="InvStats"/>
      <sheetName val="OpStats"/>
      <sheetName val="IS_Sum"/>
      <sheetName val="Hotel1_P&amp;L"/>
      <sheetName val="Annual_CFs_Asset"/>
      <sheetName val="Annual_CFs_Entity"/>
      <sheetName val="RentWorksheet-Opening Budg."/>
      <sheetName val="Office - Retail"/>
      <sheetName val="Residential"/>
      <sheetName val="Capital Structure"/>
      <sheetName val="Capital Structure_s"/>
      <sheetName val="Assumptions_Consol"/>
      <sheetName val="Capital Structure_Consol"/>
      <sheetName val="CRITERIA4"/>
      <sheetName val="M B-QtyRecn"/>
      <sheetName val="MFG FORE"/>
      <sheetName val="Count Agreed- F&amp;B (G6)"/>
      <sheetName val="Summary of F&amp;B stock ledger"/>
      <sheetName val="F&amp;B stock ledger"/>
      <sheetName val="doubtful deb."/>
      <sheetName val="Rev Stm"/>
      <sheetName val="SAD - Adjustments"/>
      <sheetName val="R.Earnings"/>
      <sheetName val="Fixed Assets Lead"/>
      <sheetName val="Predictive"/>
      <sheetName val="Local investments"/>
      <sheetName val="Trade rev"/>
      <sheetName val="Cash at bank"/>
      <sheetName val="TP Lead"/>
      <sheetName val="Trade Pay"/>
      <sheetName val="Other Pay"/>
      <sheetName val="Adm Exp"/>
      <sheetName val="U4"/>
      <sheetName val="ana-CoS"/>
      <sheetName val="o.prodn"/>
      <sheetName val="raw-pre"/>
      <sheetName val="rea"/>
      <sheetName val="monthly wages"/>
      <sheetName val="reasonableness"/>
      <sheetName val="ana-adm"/>
      <sheetName val="over"/>
      <sheetName val="fin.cost"/>
      <sheetName val="BS Mau (30.05.03)"/>
      <sheetName val="BS Mau (30.04.03)"/>
      <sheetName val="ESS"/>
      <sheetName val="ess1"/>
      <sheetName val="ess2"/>
      <sheetName val="NOP"/>
      <sheetName val="JDE-OFFBS"/>
      <sheetName val="EQNAUDJPY"/>
      <sheetName val="BS SummaryC"/>
      <sheetName val="BS SummaryPL"/>
      <sheetName val="BS SummaryPLL"/>
      <sheetName val="BS SummarySC"/>
      <sheetName val="BALANCEJUL2003"/>
      <sheetName val="BALANCEAUG03"/>
      <sheetName val="BALANCESEP03"/>
      <sheetName val="Dirrep"/>
      <sheetName val="auditors"/>
      <sheetName val="pg3,4"/>
      <sheetName val="pg5"/>
      <sheetName val="pg6"/>
      <sheetName val="pg7,8"/>
      <sheetName val="Pg 9"/>
      <sheetName val="Ls_XlbFormatTables"/>
      <sheetName val="Mon-Manuf"/>
      <sheetName val="YTD-Manuf"/>
      <sheetName val="Admin-Selling&amp;Dist"/>
      <sheetName val="Raw Material Cost"/>
      <sheetName val="Balance Sheet 06.2010-Inc Rev "/>
      <sheetName val="Chart of Accounts"/>
      <sheetName val="Debtors Inquiry"/>
      <sheetName val="Ledger Listing"/>
      <sheetName val="Balance Sheet-inc Rev"/>
      <sheetName val="DNF ITEMISED CAPEX"/>
      <sheetName val="DNFcost per head "/>
      <sheetName val="DNFSALES"/>
      <sheetName val="CDLSALES"/>
      <sheetName val="Lead cdlcone"/>
      <sheetName val="Depn cdlfab"/>
      <sheetName val="Lead cdlfab"/>
      <sheetName val="ohds"/>
      <sheetName val="CDLcost per head"/>
      <sheetName val="DNFOHd to reduce"/>
      <sheetName val="Cost per Unit"/>
      <sheetName val="DNFMini Ohd"/>
      <sheetName val="CDLMiniOhd"/>
      <sheetName val="OVERHEAD ANALYSIS"/>
      <sheetName val="Prodn Param"/>
      <sheetName val="dnf cashflow "/>
      <sheetName val="cdl cashflow"/>
      <sheetName val="INTEREST cdl"/>
      <sheetName val="Labour Force"/>
      <sheetName val="CDL ITEMISED CAPEX"/>
      <sheetName val="Depn cdlcone"/>
      <sheetName val="Leaddnf"/>
      <sheetName val="Depndnf"/>
      <sheetName val="oh input dnf"/>
      <sheetName val="oh input cdl"/>
      <sheetName val="oh ratio"/>
      <sheetName val="Para OLD"/>
      <sheetName val="PROBLEM"/>
      <sheetName val="currentac"/>
      <sheetName val="INTEREST dnf"/>
      <sheetName val="CONSOL CDL"/>
      <sheetName val="CONSOL FINEKNITS"/>
      <sheetName val="BS CDL"/>
      <sheetName val="BS DNF"/>
      <sheetName val="CDLCOVER"/>
      <sheetName val="CDL INT BEARING DEBT"/>
      <sheetName val="breakeven"/>
      <sheetName val="DNF OHVD RECON "/>
      <sheetName val="CDL OHVD RECON"/>
      <sheetName val="PL DNF"/>
      <sheetName val="PL CDL"/>
      <sheetName val="dnf BSHEET"/>
      <sheetName val="DNF INT BEARING DEBT"/>
      <sheetName val="BS FINEKNITS"/>
      <sheetName val="BS FABRIC"/>
      <sheetName val="FAB CONE PL"/>
      <sheetName val="FINE KNITS PL(WOOL+CONE)"/>
      <sheetName val="PL CDL Profit Centre"/>
      <sheetName val="Stock DCA"/>
      <sheetName val="Pivot Ageing DCA"/>
      <sheetName val="yarn forecast"/>
      <sheetName val="exc rate"/>
      <sheetName val="30121 &amp; com"/>
      <sheetName val="30121 Only"/>
      <sheetName val="30121 Overseas"/>
      <sheetName val="AW03"/>
      <sheetName val="SS04"/>
      <sheetName val="JUL03_MAR04"/>
      <sheetName val="Cummul Trading to Mar"/>
      <sheetName val="FM jul03_jun04"/>
      <sheetName val="export apr_jun04"/>
      <sheetName val="FM SS04"/>
      <sheetName val="FM AW04"/>
      <sheetName val="FM AW04 &lt;=JUN04"/>
      <sheetName val="JUL04 ONWARDS"/>
      <sheetName val="forecast 2003_2004"/>
      <sheetName val="budget jul 04 to jun 05"/>
      <sheetName val="detail budget jul 04 to jun 05"/>
      <sheetName val="factory output per month"/>
      <sheetName val="Mkt Mth Trading  2"/>
      <sheetName val="available minutes"/>
      <sheetName val="Mkt Mth Trading  2 (2)"/>
      <sheetName val="OM"/>
      <sheetName val="MVRE"/>
      <sheetName val="FinCharges"/>
      <sheetName val="BudTB03"/>
      <sheetName val="SummFCastbud2003 "/>
      <sheetName val="FCastbud2003"/>
      <sheetName val="jp"/>
      <sheetName val="Cashbook"/>
      <sheetName val="Unrecorded liab"/>
      <sheetName val="Unrecorded liab (2)"/>
      <sheetName val="N.10 unrec liab - Local crs"/>
      <sheetName val="Cashbook (2)"/>
      <sheetName val="Vat reconc"/>
      <sheetName val="Food Rev Cost"/>
      <sheetName val="Oper Rev"/>
      <sheetName val="Cost Room"/>
      <sheetName val="Cost F&amp;B"/>
      <sheetName val="Oper Cost"/>
      <sheetName val="PFBD"/>
      <sheetName val="OPEBAL"/>
      <sheetName val="I Stat-cumu"/>
      <sheetName val="I Stat-fcast"/>
      <sheetName val="activities"/>
      <sheetName val="B  Sheet"/>
      <sheetName val="St Equity-cumu"/>
      <sheetName val="St Equity-fcast"/>
      <sheetName val="PPE-cumu"/>
      <sheetName val="PPE-fcast"/>
      <sheetName val="PPE Add grp-cumu"/>
      <sheetName val="PPE Add grp-fcast"/>
      <sheetName val="PPE Dispgrp-cumu"/>
      <sheetName val="PPE dispgrp-fcast"/>
      <sheetName val="Deprn-cumu"/>
      <sheetName val="Deprn-fcast"/>
      <sheetName val="LTerm Invmt"/>
      <sheetName val="Invmt prop"/>
      <sheetName val="Invmtsub-cumu"/>
      <sheetName val="Invmtsub-fcast"/>
      <sheetName val="InvmtJV-cumu"/>
      <sheetName val="InvmtJV-fcast"/>
      <sheetName val="InvAssociate-cumu"/>
      <sheetName val="InvAssociate-fcast"/>
      <sheetName val="A F Sale -cumu"/>
      <sheetName val="A F sale-fcast"/>
      <sheetName val="NetInvFinLease"/>
      <sheetName val="Lhold land"/>
      <sheetName val="Biological Ass"/>
      <sheetName val="Defd Exp"/>
      <sheetName val="SHL RecGp-cumu"/>
      <sheetName val="SHL RecGp-fcast"/>
      <sheetName val="LTL RecGrp-cumu"/>
      <sheetName val="portion LTL RecGrp-cumu"/>
      <sheetName val="LTL RecGrp-fcast"/>
      <sheetName val="portion LTL RecGrp-fcast"/>
      <sheetName val="LTL RecNonGrp-cumu"/>
      <sheetName val="LTL RecNonGrp-fcast"/>
      <sheetName val="IntangAss-cumu"/>
      <sheetName val="IntangAss-fcast"/>
      <sheetName val="IntAss Add-dispgrp-cumu "/>
      <sheetName val="IntAss Add-dispgrp-fcast"/>
      <sheetName val="Current Invmt-cumu"/>
      <sheetName val="Current Invmt-fcast"/>
      <sheetName val="STL rec -cumu"/>
      <sheetName val="STL rec-fcast"/>
      <sheetName val="AcctsRecGp-cumu"/>
      <sheetName val="AcctsRecGp-fcast "/>
      <sheetName val="STL RecGrp-cumu"/>
      <sheetName val="STL Grp-fcast"/>
      <sheetName val="AcctsRecNonGrp"/>
      <sheetName val="Trade Rec disc"/>
      <sheetName val="Banks-cumu"/>
      <sheetName val="Banks-fcast"/>
      <sheetName val="STL paynongrp-cumu"/>
      <sheetName val="STL paynongrp-fcast"/>
      <sheetName val="Fin Lease Oblgns"/>
      <sheetName val="Acctspaygrp-cumu"/>
      <sheetName val="Acctspaygrp-fcast"/>
      <sheetName val="STL paygrp-cumu"/>
      <sheetName val="STL paygrp-fcast"/>
      <sheetName val="Acctspaynongrp"/>
      <sheetName val="Sh cap-cumu"/>
      <sheetName val="Sh cap-fcast"/>
      <sheetName val="SHL paygrp-cumu"/>
      <sheetName val="SHL paygrp-fcast"/>
      <sheetName val="LTL paygrp-cumu"/>
      <sheetName val="LTL paygrp-fcast"/>
      <sheetName val="portionLTL paygrp-cumu"/>
      <sheetName val="portionLTL paygrp-fcast"/>
      <sheetName val="LTL paynongrp-cumu"/>
      <sheetName val="LTL paynongrp-fcast"/>
      <sheetName val="Dept Profit-cumu"/>
      <sheetName val="Dept Profit-fcast"/>
      <sheetName val="Other Sch"/>
      <sheetName val="SUB2"/>
      <sheetName val="Cashflow a"/>
      <sheetName val="Cashflow b"/>
      <sheetName val="Cashflow c"/>
      <sheetName val="cashflowkings"/>
      <sheetName val="Gp Recpts cumu"/>
      <sheetName val="Gp Recpts fcast"/>
      <sheetName val="Gp Paymts cumu"/>
      <sheetName val="Gp Paymts fcast"/>
      <sheetName val="operating exp"/>
      <sheetName val="staffcosts-depn-amort"/>
      <sheetName val="Excp items"/>
      <sheetName val="Tax-BS"/>
      <sheetName val="DivRec"/>
      <sheetName val="Sub 3"/>
      <sheetName val="Fincostsdisc"/>
      <sheetName val="charitable instns"/>
      <sheetName val="taxationdisc"/>
      <sheetName val="ppe-discl"/>
      <sheetName val="profitonsalePPE"/>
      <sheetName val="inv prop-int ass"/>
      <sheetName val="profit sale Inv prop"/>
      <sheetName val="LTL rec discl"/>
      <sheetName val="stockdiscl"/>
      <sheetName val="F leaseoblig - discl"/>
      <sheetName val="LTL pay discl"/>
      <sheetName val="RBOdiscl1"/>
      <sheetName val="RBOdiscl2"/>
      <sheetName val="capcomm-contliab"/>
      <sheetName val="Cashflow discl"/>
      <sheetName val="relatedparty1"/>
      <sheetName val="relatedparty2"/>
      <sheetName val="related party3"/>
      <sheetName val="writeoff"/>
      <sheetName val="taxcomp"/>
      <sheetName val="UserParameters"/>
      <sheetName val="DN"/>
      <sheetName val="DS"/>
      <sheetName val="pg 3-4 "/>
      <sheetName val="pg 6"/>
      <sheetName val="pg 7-8 "/>
      <sheetName val="pg 10-18"/>
      <sheetName val="PG 19"/>
      <sheetName val="Bud"/>
      <sheetName val="BroFees"/>
      <sheetName val="weekly capacity"/>
      <sheetName val="TMLEASE01(1stversion)"/>
      <sheetName val="ETB"/>
      <sheetName val="PivotTable"/>
      <sheetName val="Feuil1"/>
      <sheetName val="Rentals"/>
      <sheetName val="Investment Restated"/>
      <sheetName val="New Investment"/>
      <sheetName val="PL - BS"/>
      <sheetName val="Administrative"/>
      <sheetName val="Cov"/>
      <sheetName val="Directorate and Administration"/>
      <sheetName val="Statutory Disclosure 1"/>
      <sheetName val="Statutory Disclosure 2"/>
      <sheetName val="Statement of Responsibility"/>
      <sheetName val=" IS "/>
      <sheetName val="SCE"/>
      <sheetName val="Pg20"/>
      <sheetName val="Pg 21"/>
      <sheetName val="Pg 22"/>
      <sheetName val="Pg 23"/>
      <sheetName val="TB-Future"/>
      <sheetName val="Debtors-Creditors"/>
      <sheetName val="SAP Pivot-Current"/>
      <sheetName val="SAP TB-Current"/>
      <sheetName val="TB-Old"/>
      <sheetName val="SAP Pivot-Old"/>
      <sheetName val="SAP TB-Old"/>
      <sheetName val="TB-Compare"/>
      <sheetName val="SAP Pivot-Compare"/>
      <sheetName val="SAP TB-Current-Compare"/>
      <sheetName val="seccer"/>
      <sheetName val="Pg 3, 4, 7"/>
      <sheetName val="Pg5,6"/>
      <sheetName val="Pg 8-10"/>
      <sheetName val="pG 12"/>
      <sheetName val="Pg 13-15, 17-22"/>
      <sheetName val="Pg 16"/>
      <sheetName val="Pg 23-25"/>
      <sheetName val="U 5.2 - Payroll (2)"/>
      <sheetName val="U 5.2 - Payroll"/>
      <sheetName val="HIC150EOFFneu"/>
      <sheetName val="HIC150E"/>
      <sheetName val="HIC"/>
      <sheetName val="2.1 Demolitions"/>
      <sheetName val="2.2 Substructure"/>
      <sheetName val="2.3 Superstructure"/>
      <sheetName val="2.4 Walls"/>
      <sheetName val="2.5 Woodwork"/>
      <sheetName val="2.6 Doors and windows"/>
      <sheetName val="2.7 Roof"/>
      <sheetName val="2.8 Sanitary"/>
      <sheetName val="2.9 Finishes"/>
      <sheetName val="2.10 Services"/>
      <sheetName val="2.11 External Works"/>
      <sheetName val="3.1 PC Prov sums"/>
      <sheetName val="List of drawings"/>
      <sheetName val="CATO finishes"/>
      <sheetName val="CATO ROOF"/>
      <sheetName val="CATO SP"/>
      <sheetName val="CATO BW"/>
      <sheetName val="CATO W &amp; D"/>
      <sheetName val="Eigene D"/>
      <sheetName val="Option"/>
      <sheetName val="Hic_150EOffice"/>
      <sheetName val="Exchanger quotation"/>
      <sheetName val="yhc  (3)"/>
      <sheetName val="Singarpone"/>
      <sheetName val="TOTAL COST (3)"/>
      <sheetName val="Construction office"/>
      <sheetName val="Construction Quotion"/>
      <sheetName val="HIC150Ee"/>
      <sheetName val="XL4Poppy"/>
      <sheetName val="BLOCK MASONARY"/>
      <sheetName val="Balance Sheet Details CMC"/>
      <sheetName val="Openings "/>
      <sheetName val="Dep. during the year"/>
      <sheetName val="OFFICE EQ"/>
      <sheetName val="HVAC casu"/>
      <sheetName val="HVACmater."/>
      <sheetName val="HVACtreat"/>
      <sheetName val="HVAC serv"/>
      <sheetName val="hvac opd"/>
      <sheetName val="total abst.HVAC"/>
      <sheetName val="sec.adv.-19th HVAC"/>
      <sheetName val="sec.adv.-19TH ELEC.  (2)"/>
      <sheetName val="sec.adv.-19TH ELEC. "/>
      <sheetName val="External Item-Total Abstract "/>
      <sheetName val="CASUALTY m"/>
      <sheetName val="maternity M"/>
      <sheetName val="TREATMENT m "/>
      <sheetName val="block-3 m"/>
      <sheetName val="BLOCK-2m"/>
      <sheetName val="Total  ABSTRAC 20 TH"/>
      <sheetName val="Casualty"/>
      <sheetName val="Maternity"/>
      <sheetName val="Treatment"/>
      <sheetName val="service"/>
      <sheetName val="Block3"/>
      <sheetName val="Block2"/>
      <sheetName val="opd"/>
      <sheetName val=" INTERIM 17 TH-certified"/>
      <sheetName val=" INTERIM 17 TH-spec"/>
      <sheetName val="sec.adv.-17Int  "/>
      <sheetName val="CASUALTY "/>
      <sheetName val="TREATMENT "/>
      <sheetName val="SERVICE-4"/>
      <sheetName val="block-3"/>
      <sheetName val="O.P.D. "/>
      <sheetName val="Total Abstract17th"/>
      <sheetName val="BLOCK-2"/>
      <sheetName val="Org chart"/>
      <sheetName val="Org Jun06"/>
      <sheetName val="S Curve"/>
      <sheetName val="RA Summary"/>
      <sheetName val="Cumul Abstract"/>
      <sheetName val="Exp. Ded. 02"/>
      <sheetName val="Material- Infra"/>
      <sheetName val="Material- project"/>
      <sheetName val="MRS "/>
      <sheetName val="Monitoring of Resource"/>
      <sheetName val="Plan Bud - Apr06"/>
      <sheetName val="Achiev bud - Apr06"/>
      <sheetName val="Comparision of budget Apr06"/>
      <sheetName val="Plan budg - May06"/>
      <sheetName val="Labour reconsil"/>
      <sheetName val="WPR"/>
      <sheetName val="Flash report"/>
      <sheetName val="Planning_tender"/>
      <sheetName val="INFRA- budget"/>
      <sheetName val="Rolled budget_Jun06"/>
      <sheetName val="tender-exercise"/>
      <sheetName val="PLANNING"/>
      <sheetName val="plan-achieved"/>
      <sheetName val="BO-material-details"/>
      <sheetName val="p&amp;l-support"/>
      <sheetName val="P&amp;L-zero"/>
      <sheetName val="EARTH WORK 2"/>
      <sheetName val="EARTH WORK 1"/>
      <sheetName val="VFMP-Monthly-AB"/>
      <sheetName val="ACHIEVED"/>
      <sheetName val="MPR"/>
      <sheetName val="RA Bill summary"/>
      <sheetName val=" ABSTRACT  "/>
      <sheetName val="S T BILL"/>
      <sheetName val="BFP"/>
      <sheetName val="Neutralisation pit"/>
      <sheetName val="MCW piping"/>
      <sheetName val="Road crossing (2)"/>
      <sheetName val="Elecric &amp; Control"/>
      <sheetName val="Water "/>
      <sheetName val="Road crossing"/>
      <sheetName val="CW pump house"/>
      <sheetName val="DM builidng"/>
      <sheetName val="offset switch gear building"/>
      <sheetName val="Main stack"/>
      <sheetName val="Raw water fire water"/>
      <sheetName val="Switchyard"/>
      <sheetName val="Switch yard control building"/>
      <sheetName val="Duct Bank"/>
      <sheetName val="Desagged water storage tank"/>
      <sheetName val="Switch yard cable trench"/>
      <sheetName val="GT-ST Transformer"/>
      <sheetName val="Prerna Engg."/>
      <sheetName val="Bahuleyan"/>
      <sheetName val="Uday rai"/>
      <sheetName val="Manjur islam"/>
      <sheetName val="T Khan"/>
      <sheetName val="Sabir"/>
      <sheetName val="Mirror"/>
      <sheetName val="Ramachander"/>
      <sheetName val="Surendar"/>
      <sheetName val="Guddu"/>
      <sheetName val="Ramjeet"/>
      <sheetName val="Aalam"/>
      <sheetName val="Ashok"/>
      <sheetName val="Naushad"/>
      <sheetName val="Manager"/>
      <sheetName val="Faridabad Data"/>
      <sheetName val="Salary Export"/>
      <sheetName val="Pivot Table (2)"/>
      <sheetName val="NOIDA-29OCT"/>
      <sheetName val="September -Consolidated"/>
      <sheetName val="Manpoewr Nos."/>
      <sheetName val="New Joinees-August '07"/>
      <sheetName val="Resignees-August'07"/>
      <sheetName val="Changes-August07"/>
      <sheetName val="b.s.-p.l.-sch."/>
      <sheetName val="balance sheet variation"/>
      <sheetName val="balance sheet variation (2)"/>
      <sheetName val="Profit and loss variance (2)"/>
      <sheetName val="Profit and loss variance"/>
      <sheetName val="PREPAID - INSU"/>
      <sheetName val="Prepaid 03-04"/>
      <sheetName val="pay roll variance staff"/>
      <sheetName val="pay roll varaince workers"/>
      <sheetName val="OutstandingLiabilities"/>
      <sheetName val="dep logic"/>
      <sheetName val="deposits"/>
      <sheetName val="intt acc &amp; due"/>
      <sheetName val="Insurance datails"/>
      <sheetName val="Advance tax-TDS"/>
      <sheetName val="AT and PT disclosure"/>
      <sheetName val="Fixed Deposit"/>
      <sheetName val="consumption reconciliation"/>
      <sheetName val="WIP xxxx"/>
      <sheetName val="WIP (2)"/>
      <sheetName val="Production reconciliation"/>
      <sheetName val="Derived Purchase"/>
      <sheetName val="Purchase reconciliation"/>
      <sheetName val="FG inv variance"/>
      <sheetName val="Other inv var"/>
      <sheetName val="Sales var -final"/>
      <sheetName val="Sales var"/>
      <sheetName val="SALES  reco"/>
      <sheetName val="Excise Exp"/>
      <sheetName val="duty cl stock 31.03.04."/>
      <sheetName val="duty cl stock 31.03.04. RF ST"/>
      <sheetName val="Excise expense recos"/>
      <sheetName val="Dirs Rep"/>
      <sheetName val="Aud Rep"/>
      <sheetName val="audit rep caro"/>
      <sheetName val="Caro Working"/>
      <sheetName val="SCHBS"/>
      <sheetName val="SCHFA"/>
      <sheetName val="SCHPL"/>
      <sheetName val="AS-15"/>
      <sheetName val="Sub-Sch-BS"/>
      <sheetName val="Sub-Sch-P&amp;L"/>
      <sheetName val="S.Drs"/>
      <sheetName val="ANX"/>
      <sheetName val="soti1"/>
      <sheetName val="DepIT"/>
      <sheetName val="Mangement fees"/>
      <sheetName val="FBT working"/>
      <sheetName val="TB 31.03.09"/>
      <sheetName val="SUBFA"/>
      <sheetName val="Next 12 months installments"/>
      <sheetName val="AS 16"/>
      <sheetName val="Dirs_Rep"/>
      <sheetName val="Aud_Rep"/>
      <sheetName val="audit_rep_caro"/>
      <sheetName val="Caro_Working"/>
      <sheetName val="Qty_details"/>
      <sheetName val="S_Drs"/>
      <sheetName val="Mangement_fees"/>
      <sheetName val="FBT_working"/>
      <sheetName val="TB_31_03_09"/>
      <sheetName val="Next_12_months_installments"/>
      <sheetName val="AS_16"/>
      <sheetName val="Schedules_PL"/>
      <sheetName val="Schedules_BS"/>
      <sheetName val="Annexure_I"/>
      <sheetName val="_-P&amp;L_-ARP"/>
      <sheetName val="Deprn_-reasonability"/>
      <sheetName val="BS_Schedules"/>
      <sheetName val="FA_Schedule"/>
      <sheetName val="P&amp;L_Schedules"/>
      <sheetName val="TB_Dec_2003"/>
      <sheetName val="Audit_Entries"/>
      <sheetName val="TB_Dec_2002"/>
      <sheetName val="TB extract"/>
      <sheetName val="AK-Offertstammblatt"/>
      <sheetName val="ConsPL"/>
      <sheetName val="Pinv"/>
      <sheetName val="Receivables Zones"/>
      <sheetName val="OG Sales with VAT"/>
      <sheetName val="表1 银行存款明细表"/>
      <sheetName val="表2 应收票据"/>
      <sheetName val="表3-1 存货跌价损失准备计算表"/>
      <sheetName val="表3-2 存货倒推表"/>
      <sheetName val="表4-1 固定资产折旧表(上市)"/>
      <sheetName val="表4-2 固定资产折旧表  (非上市9A)"/>
      <sheetName val="表4-3 固定资产折旧表  (非上市9B)"/>
      <sheetName val="表5 固定资产清理明细表"/>
      <sheetName val="表6 工程合同汇总表"/>
      <sheetName val="表7 租赁合同汇总表"/>
      <sheetName val="表8-1 长期投资－长期股票投资"/>
      <sheetName val="表8-2 长期股权投资－未合并子公司"/>
      <sheetName val="表8-3 长期股权投资－合营公司"/>
      <sheetName val="表8-4 长期股权投资－联营公司"/>
      <sheetName val="表8-5 长期股权投资－参股公司"/>
      <sheetName val="表8-6 长期债权投资"/>
      <sheetName val="表8-7 其他债权投资"/>
      <sheetName val="表9 递延税款"/>
      <sheetName val="表10-1 长期借款明细"/>
      <sheetName val="表10-2 资本化利息计算表-中国准则 "/>
      <sheetName val="表10-3 资本化利息计算表-香港准则"/>
      <sheetName val="表10-4 资本化利率计算表 -香港准则"/>
      <sheetName val="表11 盈余公积"/>
      <sheetName val="表12 联合促销调查表"/>
      <sheetName val="表13-1 CDMA 收入调查表-用户使用积分消费 "/>
      <sheetName val="表13-2 CDMA 收入调查表-用积分换取有价通信卡及充值卡"/>
      <sheetName val="表13-3 CDMA 收入调查表-用积分购买CDMA手机或配件"/>
      <sheetName val="表13-4 CDMA公免收入及成本调查表"/>
      <sheetName val="表13-5 以押金租赁CDMA手机调查表"/>
      <sheetName val="表13-6 以预存话费租赁CDMA手机调查表"/>
      <sheetName val="表13-7 以担保租赁CDMA手机调查表"/>
      <sheetName val="表13-8 CDMA手机话费分成调查表"/>
      <sheetName val="表13-9 优惠套餐盈利能力测算表-1"/>
      <sheetName val="表13-10 优惠套餐盈利能力测算表-2"/>
      <sheetName val="表13-11 手机成本摊销测算表"/>
      <sheetName val="表14 从移动一次拨号转来的收入汇总"/>
      <sheetName val="表15 联通在信的内部收入调查表"/>
      <sheetName val="表16 有价通信卡打折情况调查表"/>
      <sheetName val="表17 寻呼专业与其他专业结算收入调查表"/>
      <sheetName val="表18 寻呼专业与其他电信运营商的往来"/>
      <sheetName val="表19 CDMA网络租赁费"/>
      <sheetName val="表20 净资产调节表"/>
      <sheetName val="表21 净利润调节表"/>
      <sheetName val="表22 长期资产现金流量测算表"/>
      <sheetName val="附件1 用户数"/>
      <sheetName val="附件2 业务成本预测 "/>
      <sheetName val="附件3 销售费用"/>
      <sheetName val="附件4 人工成本"/>
      <sheetName val="附件5 营业税金及附加 "/>
      <sheetName val="附件6 新业务收入-1-3"/>
      <sheetName val="附件6 新业务收入-4"/>
      <sheetName val="附件6 新业务收入-5-8"/>
      <sheetName val="表23 住房分配计划"/>
      <sheetName val="损益表汇总"/>
      <sheetName val="1.通信业务收入"/>
      <sheetName val="1.1本地固话收入"/>
      <sheetName val="1.2国内长途收入"/>
      <sheetName val="1.3国际长话收入"/>
      <sheetName val="1.4数据通信收入"/>
      <sheetName val="1.5无线寻呼收入"/>
      <sheetName val="补充资料－国内长途电话收入"/>
      <sheetName val="补充资料－网间结算收入及支出（1）"/>
      <sheetName val="补充资料－网间结算收入及支出（2）"/>
      <sheetName val="补充资料－出租电路月分析表-条数-本地"/>
      <sheetName val="补充资料－出租电路月分析表-条数-国际"/>
      <sheetName val="补充资料－出租电路月分析表-条数-国内"/>
      <sheetName val="补充资料－出租电路月分析表-本地"/>
      <sheetName val="补充资料－出租电路月分析表-国际"/>
      <sheetName val="补充资料－出租电路月分析表-国内"/>
      <sheetName val="补充资料－每月电话用户数"/>
      <sheetName val="补充资料－月租费收入月分析表"/>
      <sheetName val="2.通信业务成本"/>
      <sheetName val="3.主营业务税金及附加"/>
      <sheetName val="4.营业费用"/>
      <sheetName val="5.管理费用"/>
      <sheetName val="6.其他业务利润"/>
      <sheetName val="7.财务费用"/>
      <sheetName val="8.投资收益"/>
      <sheetName val="9.营业外收入及支出"/>
      <sheetName val="10.固定资产折旧"/>
      <sheetName val="营运资金预测"/>
      <sheetName val="现金流量表"/>
      <sheetName val="企业表一"/>
      <sheetName val="M-5C"/>
      <sheetName val="M-5A"/>
      <sheetName val="PTA"/>
      <sheetName val="DLD"/>
      <sheetName val="IDD"/>
      <sheetName val="VAS"/>
      <sheetName val="InterCon"/>
      <sheetName val="资本性支出参考，定稿前请勿删"/>
      <sheetName val="pending point"/>
      <sheetName val="BS _ PL"/>
      <sheetName val="RSM wausaukee"/>
      <sheetName val="1_4"/>
      <sheetName val="6_18"/>
      <sheetName val="TB012"/>
      <sheetName val="TB389S"/>
      <sheetName val="Results Q1 INR"/>
      <sheetName val="Results Q1"/>
      <sheetName val="Vendor Vea"/>
      <sheetName val="Customer vera"/>
      <sheetName val="Vera "/>
      <sheetName val="Vera OA"/>
      <sheetName val="Vendor"/>
      <sheetName val="Results Q3"/>
      <sheetName val="Results Q3 INR"/>
      <sheetName val="P&amp;L and BS"/>
      <sheetName val="mutual fund"/>
      <sheetName val="Shri Lekha Interest  (3)"/>
      <sheetName val="Sriram Chits (4)"/>
      <sheetName val="RGMS Interest (3)"/>
      <sheetName val="Syntokem"/>
      <sheetName val="Syntokem (2)"/>
      <sheetName val="Vera (2)"/>
      <sheetName val="Vera (3)"/>
      <sheetName val="FDCL"/>
      <sheetName val="vera"/>
      <sheetName val="FDCL (2)"/>
      <sheetName val="Sriram Chits"/>
      <sheetName val="Sriram Chits (2)"/>
      <sheetName val="RGMS Interest"/>
      <sheetName val="RGMS Interest (2)"/>
      <sheetName val="Shri Lekha Interest"/>
      <sheetName val="Shri Lekha Interest (2)"/>
      <sheetName val="pivot-books"/>
      <sheetName val="for insurance"/>
      <sheetName val="Accounting"/>
      <sheetName val="CWIP capitalised in SI"/>
      <sheetName val="booksvsvaluation"/>
      <sheetName val="CWIP-Inv"/>
      <sheetName val="Anx-A"/>
      <sheetName val="GB-Inv"/>
      <sheetName val="Rupee Schedule"/>
      <sheetName val="P&amp;M-Pipes"/>
      <sheetName val="Intangibles"/>
      <sheetName val="Anx-6-old"/>
      <sheetName val="piv"/>
      <sheetName val="trfs"/>
      <sheetName val="not found"/>
      <sheetName val="murty-format"/>
      <sheetName val="Profit Entry"/>
      <sheetName val="St.Audit"/>
      <sheetName val="Addl Items"/>
      <sheetName val="rm qty"/>
      <sheetName val="Note-1-2-3-4"/>
      <sheetName val="note 5 Emp. Benefit"/>
      <sheetName val="a. policies"/>
      <sheetName val="note 6-8"/>
      <sheetName val="note 9 Capacity"/>
      <sheetName val="DTL- DTA (2)"/>
      <sheetName val="note 10-11 DTL n EPS"/>
      <sheetName val="note 12 related party"/>
      <sheetName val="note 13 leases"/>
      <sheetName val="PAINT_old"/>
      <sheetName val="BS-1"/>
      <sheetName val="BS-2"/>
      <sheetName val="qty (2)"/>
      <sheetName val="salesplan0910 (2)"/>
      <sheetName val="Q1&amp;Q2_q3_analysis"/>
      <sheetName val="Summary_Jan'09&amp;feb09"/>
      <sheetName val="Pune _uptoFeb09"/>
      <sheetName val="Analysis_sales_"/>
      <sheetName val="Pune + nasik"/>
      <sheetName val="nasik_dec08"/>
      <sheetName val="setprices"/>
      <sheetName val="Party wise p +n net sales final"/>
      <sheetName val="salesplan0910"/>
      <sheetName val="Capex Phasing"/>
      <sheetName val="Funds Drawdown"/>
      <sheetName val="Debt Schedule"/>
      <sheetName val="Chennai-1"/>
      <sheetName val="Chennai-2"/>
      <sheetName val="Sohna"/>
      <sheetName val="Pithampur"/>
      <sheetName val="Report Sheet"/>
      <sheetName val="RSM USA"/>
      <sheetName val="KalolCSV "/>
      <sheetName val="PithampurCSV "/>
      <sheetName val="Chennai2CSV "/>
      <sheetName val="Chennai1CSV "/>
      <sheetName val="sohnaCSV "/>
      <sheetName val="nasikCSV "/>
      <sheetName val="mumbaiCSV "/>
      <sheetName val="puneCSV "/>
      <sheetName val="Draft Financials"/>
      <sheetName val="pds query"/>
      <sheetName val="Main Body Of Co."/>
      <sheetName val="Cashflow working"/>
      <sheetName val="COmpany 1-3"/>
      <sheetName val="Company 5-16"/>
      <sheetName val="Company 4 as per BS"/>
      <sheetName val="Company 4 with all assets"/>
      <sheetName val="pth_fa"/>
      <sheetName val="ch1_fa"/>
      <sheetName val="ch2_fa"/>
      <sheetName val="sohna_fa"/>
      <sheetName val="pune_fa"/>
      <sheetName val="nasik_fa"/>
      <sheetName val="kalol_fa"/>
      <sheetName val="mum_fa"/>
      <sheetName val="note 1-2-3-4"/>
      <sheetName val="note 3-4 cont.liab"/>
      <sheetName val="note 9 stock"/>
      <sheetName val="DTL- DTA"/>
      <sheetName val="note 12 RP Trans."/>
      <sheetName val="note 14 Segment"/>
      <sheetName val="stock vendor DEC 07"/>
      <sheetName val="other qtally"/>
      <sheetName val="RM  qtally"/>
      <sheetName val="Purchase-DEC 07 "/>
      <sheetName val="Finish Goods Final"/>
      <sheetName val="Party Master"/>
      <sheetName val="2a. 1804 "/>
      <sheetName val="e-1810_A"/>
      <sheetName val="Sintex1"/>
      <sheetName val="netsales &amp; other Income"/>
      <sheetName val="RM,Stores &amp; Spares"/>
      <sheetName val="other MFG Exp"/>
      <sheetName val="administrative EXp"/>
      <sheetName val="sellingOH"/>
      <sheetName val="Pune_Sch-P&amp;L_may08"/>
      <sheetName val="Pune_TB_cumu_may08"/>
      <sheetName val="pune_TB_07.12.07_31.03"/>
      <sheetName val="pune_TB_APR_08 (Cumm)"/>
      <sheetName val="pune_TB_MAY_08(Cumm)"/>
      <sheetName val="pune_P&amp;L_may08"/>
      <sheetName val="pune_Sch-BS_may08"/>
      <sheetName val="pune_BS_may08"/>
      <sheetName val="pune_Stock_may08"/>
      <sheetName val="Summ_Stock_May 08"/>
      <sheetName val="nsk_MIS_TB_Nsk_31.5.08"/>
      <sheetName val="nsk_Sch-P&amp;L_31.05.2008"/>
      <sheetName val="nsk_P&amp;L_31.05.08"/>
      <sheetName val="nsk_Tally_TB_31.05.08"/>
      <sheetName val="nsk_Sch-BS_may08"/>
      <sheetName val="nsk_BS_may08"/>
      <sheetName val="nsk_Stock_may08"/>
      <sheetName val="nsk_Other Requiremetn_may08"/>
      <sheetName val="nsk_Stock_30.04.08"/>
      <sheetName val="Pune_Stock_30.04.08"/>
      <sheetName val="nsk_Sch-P&amp;L_30.06.08"/>
      <sheetName val="nsk_Tally_TB_30.6.08"/>
      <sheetName val="NSK_MIS_TB_Nsk_30.6.08"/>
      <sheetName val="NSK_P&amp;L_30.06.08"/>
      <sheetName val="nsk_Sch-BS_30.06.08"/>
      <sheetName val="nsk_BS_30.06.08"/>
      <sheetName val="NSK_Stock_30.06.08"/>
      <sheetName val="nsk_Other Requiremetn_30.06.08"/>
      <sheetName val="Pune_Sch-P&amp;L_30.06.08"/>
      <sheetName val="Pune_TB_30.06.08"/>
      <sheetName val="Pune_TB_JUNE_08(Cumm)"/>
      <sheetName val="Pune_P&amp;L_30.06.08"/>
      <sheetName val="Pune_Sch-BS_30.06.08"/>
      <sheetName val="Pune_BS_30.06.08"/>
      <sheetName val="Summ_Stock_May 08 (2)"/>
      <sheetName val="CONS FINAL1"/>
      <sheetName val="Sales variance_Jan08_dec08"/>
      <sheetName val="M&amp;M Provision"/>
      <sheetName val="Summary_depn"/>
      <sheetName val="Statutory Liabilities"/>
      <sheetName val="Final (2)"/>
      <sheetName val="Plastics"/>
      <sheetName val="Textile"/>
      <sheetName val="Company as Whole"/>
      <sheetName val="zeppelin"/>
      <sheetName val="Wausaukee"/>
      <sheetName val="Bright"/>
      <sheetName val="Nief"/>
      <sheetName val="N Global"/>
      <sheetName val="W Global"/>
      <sheetName val="BV"/>
      <sheetName val="Oil"/>
      <sheetName val="Results Q3 cr"/>
      <sheetName val="BS &amp; PL - BV"/>
      <sheetName val="1-4 - BV"/>
      <sheetName val="6-18 -INR"/>
      <sheetName val="Contingent Liabilities"/>
      <sheetName val="Group company"/>
      <sheetName val="Key Mangt."/>
      <sheetName val="Movement-Reserves "/>
      <sheetName val="Acq. costs"/>
      <sheetName val="Loans Taken"/>
      <sheetName val="Investment details"/>
      <sheetName val="Loans Given"/>
      <sheetName val="Deferred Income"/>
      <sheetName val="Financial Instruments"/>
      <sheetName val="related party transactions"/>
      <sheetName val="1-5"/>
      <sheetName val="6-18"/>
      <sheetName val="csxlDESheet1"/>
      <sheetName val="csxlDESheet2"/>
      <sheetName val="CSXLStore"/>
      <sheetName val="Draft Financials (2)"/>
      <sheetName val="BSPL (new format)"/>
      <sheetName val="P&amp;L Schedules(new format)"/>
      <sheetName val="1-5 (new format)"/>
      <sheetName val="6-18 (new format)"/>
      <sheetName val="ImportSheet"/>
      <sheetName val="note 5 Emp. Benefit ayp"/>
      <sheetName val="a. policies - old"/>
      <sheetName val="Note-1-6"/>
      <sheetName val="note 7 Emp. Benefit"/>
      <sheetName val="note 8 Capacity"/>
      <sheetName val="note 9-10 DTL n EPS"/>
      <sheetName val="note 9-11"/>
      <sheetName val="note 12 leases-final"/>
      <sheetName val="Block 4th qt."/>
      <sheetName val="Expectation Developing"/>
      <sheetName val="fixed assets (2)"/>
      <sheetName val="Add Entry"/>
      <sheetName val="Increase and Decrease"/>
      <sheetName val="Results Q4 USD"/>
      <sheetName val="Results Q4 INR"/>
      <sheetName val="1-4"/>
      <sheetName val="Cash Flow (2) Final"/>
      <sheetName val="NOV'13 (2)"/>
      <sheetName val="MAR'2014"/>
      <sheetName val="MAR'14"/>
      <sheetName val="FEB'14"/>
      <sheetName val="FEB'2014"/>
      <sheetName val="JAN'14"/>
      <sheetName val="JAN'2014"/>
      <sheetName val="ADDITION DOLVI MAY'12"/>
      <sheetName val="Tangible Intangibl Asset DEC'14"/>
      <sheetName val="Tangible Assets Fair Value"/>
      <sheetName val="Intangible Assets Fair Value "/>
      <sheetName val="R-1 Lead"/>
      <sheetName val="R-2 Domestic Sales Invoicewise"/>
      <sheetName val="R 3 -Export Sales"/>
      <sheetName val="R 4- WTG Part Sales"/>
      <sheetName val="R -5 Steel Sales"/>
      <sheetName val="R -6 Lease Income"/>
      <sheetName val="R 7 - Scrap Sales"/>
      <sheetName val="R 8 O &amp; M Income "/>
      <sheetName val="R - 9 Sale of Electricity"/>
      <sheetName val="R 10 - Other Export sales"/>
      <sheetName val="export others"/>
      <sheetName val="R 11 - Cutoffs"/>
      <sheetName val="Audit Program-Mar'10"/>
      <sheetName val="Q-1  Lead sheet"/>
      <sheetName val="Q-1 A Sub-Lead-new"/>
      <sheetName val="Q-2 SBI TL"/>
      <sheetName val="Q-3 PNB TL"/>
      <sheetName val="Q-4 SBP TL"/>
      <sheetName val="Q-5 SBI CC"/>
      <sheetName val="Q-6 SBBJ CC"/>
      <sheetName val="Q-7 IDBI-3490"/>
      <sheetName val="Q-8 HDFC-977"/>
      <sheetName val="Q-7 Int. on SBI TL"/>
      <sheetName val="Q-8 Int. on PNB TL"/>
      <sheetName val="Q-9 Int. on SBP TL"/>
      <sheetName val="Q-10 Int. on SBI CC"/>
      <sheetName val="Q-11 Int.on SBBJ CC"/>
      <sheetName val="Q-12 Int on HDFC-cc"/>
      <sheetName val="Q-9 Unsecured Lead"/>
      <sheetName val="Q-10 Unsecured Sub-lead"/>
      <sheetName val="C-1 Cash &amp; Bank"/>
      <sheetName val="C-2 Cash Lead"/>
      <sheetName val="C-3 Cash Sub Lead"/>
      <sheetName val="C-4 Bank Lead"/>
      <sheetName val="C-5 Reco Summary"/>
      <sheetName val="C-6 IDBI-3490"/>
      <sheetName val="C-7 HDFC-015"/>
      <sheetName val="Cheques on Hold"/>
      <sheetName val="C-8 PNB Curr"/>
      <sheetName val="C-9 ING-4939"/>
      <sheetName val="C-10 HDFC-3631"/>
      <sheetName val="C-11 FD Lead"/>
      <sheetName val="C-14 Monthly Position"/>
      <sheetName val="C-12 Signing Authority"/>
      <sheetName val="C-13 Monthly Position"/>
    </sheetNames>
    <sheetDataSet>
      <sheetData sheetId="0">
        <row r="1">
          <cell r="A1" t="str">
            <v>Summary for New Clients</v>
          </cell>
        </row>
      </sheetData>
      <sheetData sheetId="1">
        <row r="2">
          <cell r="A2" t="str">
            <v>A101001</v>
          </cell>
        </row>
      </sheetData>
      <sheetData sheetId="2">
        <row r="10">
          <cell r="C10">
            <v>127060800.33999997</v>
          </cell>
        </row>
      </sheetData>
      <sheetData sheetId="3">
        <row r="4">
          <cell r="A4" t="str">
            <v>Sr.No.</v>
          </cell>
        </row>
      </sheetData>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5">
          <cell r="G5">
            <v>100000</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ow r="1">
          <cell r="A1" t="str">
            <v>CODE</v>
          </cell>
        </row>
      </sheetData>
      <sheetData sheetId="826">
        <row r="1">
          <cell r="A1" t="str">
            <v>CODE</v>
          </cell>
        </row>
      </sheetData>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ow r="1">
          <cell r="A1" t="str">
            <v>PARTICULARS</v>
          </cell>
        </row>
      </sheetData>
      <sheetData sheetId="855">
        <row r="1">
          <cell r="A1" t="str">
            <v>CODE</v>
          </cell>
        </row>
      </sheetData>
      <sheetData sheetId="856">
        <row r="1">
          <cell r="A1" t="str">
            <v>CODE</v>
          </cell>
        </row>
      </sheetData>
      <sheetData sheetId="857">
        <row r="1">
          <cell r="A1" t="str">
            <v>CODE</v>
          </cell>
        </row>
      </sheetData>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ow r="1">
          <cell r="A1" t="str">
            <v>CODE</v>
          </cell>
        </row>
      </sheetData>
      <sheetData sheetId="875" refreshError="1"/>
      <sheetData sheetId="876">
        <row r="1">
          <cell r="A1" t="str">
            <v>CODE</v>
          </cell>
        </row>
      </sheetData>
      <sheetData sheetId="877">
        <row r="1">
          <cell r="A1" t="str">
            <v>CODE</v>
          </cell>
        </row>
      </sheetData>
      <sheetData sheetId="878">
        <row r="1">
          <cell r="A1" t="str">
            <v>CODE</v>
          </cell>
        </row>
      </sheetData>
      <sheetData sheetId="879">
        <row r="1">
          <cell r="A1" t="str">
            <v>CODE</v>
          </cell>
        </row>
      </sheetData>
      <sheetData sheetId="880">
        <row r="1">
          <cell r="A1" t="str">
            <v>Customer Name</v>
          </cell>
        </row>
      </sheetData>
      <sheetData sheetId="881">
        <row r="1">
          <cell r="A1" t="str">
            <v>CODE</v>
          </cell>
        </row>
      </sheetData>
      <sheetData sheetId="882">
        <row r="1">
          <cell r="A1" t="str">
            <v>CODE</v>
          </cell>
        </row>
      </sheetData>
      <sheetData sheetId="883">
        <row r="1">
          <cell r="A1" t="str">
            <v>CODE</v>
          </cell>
        </row>
      </sheetData>
      <sheetData sheetId="884">
        <row r="1">
          <cell r="A1" t="str">
            <v>CODE</v>
          </cell>
        </row>
      </sheetData>
      <sheetData sheetId="885">
        <row r="1">
          <cell r="A1" t="str">
            <v>CODE</v>
          </cell>
        </row>
      </sheetData>
      <sheetData sheetId="886">
        <row r="1">
          <cell r="A1" t="str">
            <v>CODE</v>
          </cell>
        </row>
      </sheetData>
      <sheetData sheetId="887">
        <row r="1">
          <cell r="A1" t="str">
            <v>CODE</v>
          </cell>
        </row>
      </sheetData>
      <sheetData sheetId="888">
        <row r="1">
          <cell r="A1" t="str">
            <v>CODE</v>
          </cell>
        </row>
      </sheetData>
      <sheetData sheetId="889">
        <row r="1">
          <cell r="A1" t="str">
            <v>Customer Name</v>
          </cell>
        </row>
      </sheetData>
      <sheetData sheetId="890">
        <row r="1">
          <cell r="A1" t="str">
            <v>CODE</v>
          </cell>
        </row>
      </sheetData>
      <sheetData sheetId="891">
        <row r="1">
          <cell r="A1" t="str">
            <v>CODE</v>
          </cell>
        </row>
      </sheetData>
      <sheetData sheetId="892">
        <row r="1">
          <cell r="A1" t="str">
            <v>CODE</v>
          </cell>
        </row>
      </sheetData>
      <sheetData sheetId="893">
        <row r="1">
          <cell r="A1" t="str">
            <v>CODE</v>
          </cell>
        </row>
      </sheetData>
      <sheetData sheetId="894">
        <row r="1">
          <cell r="A1" t="str">
            <v>CODE</v>
          </cell>
        </row>
      </sheetData>
      <sheetData sheetId="895">
        <row r="1">
          <cell r="A1" t="str">
            <v>CODE</v>
          </cell>
        </row>
      </sheetData>
      <sheetData sheetId="896">
        <row r="1">
          <cell r="A1" t="str">
            <v>CODE</v>
          </cell>
        </row>
      </sheetData>
      <sheetData sheetId="897">
        <row r="1">
          <cell r="A1" t="str">
            <v>CODE</v>
          </cell>
        </row>
      </sheetData>
      <sheetData sheetId="898">
        <row r="1">
          <cell r="A1" t="str">
            <v>CODE</v>
          </cell>
        </row>
      </sheetData>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ow r="1">
          <cell r="A1" t="str">
            <v>CODE</v>
          </cell>
        </row>
      </sheetData>
      <sheetData sheetId="980">
        <row r="6">
          <cell r="I6" t="str">
            <v>2011</v>
          </cell>
        </row>
      </sheetData>
      <sheetData sheetId="981">
        <row r="6">
          <cell r="I6" t="str">
            <v>2011</v>
          </cell>
        </row>
      </sheetData>
      <sheetData sheetId="982">
        <row r="1">
          <cell r="A1" t="str">
            <v>CODE</v>
          </cell>
        </row>
      </sheetData>
      <sheetData sheetId="983">
        <row r="1">
          <cell r="A1" t="str">
            <v>CODE</v>
          </cell>
        </row>
      </sheetData>
      <sheetData sheetId="984"/>
      <sheetData sheetId="985"/>
      <sheetData sheetId="986"/>
      <sheetData sheetId="987"/>
      <sheetData sheetId="988">
        <row r="6">
          <cell r="I6" t="str">
            <v>2011</v>
          </cell>
        </row>
      </sheetData>
      <sheetData sheetId="989">
        <row r="6">
          <cell r="I6" t="str">
            <v>2011</v>
          </cell>
        </row>
      </sheetData>
      <sheetData sheetId="990">
        <row r="1">
          <cell r="A1" t="str">
            <v>CODE</v>
          </cell>
        </row>
      </sheetData>
      <sheetData sheetId="991">
        <row r="6">
          <cell r="I6" t="str">
            <v>2011</v>
          </cell>
        </row>
      </sheetData>
      <sheetData sheetId="992">
        <row r="6">
          <cell r="I6" t="str">
            <v>2011</v>
          </cell>
        </row>
      </sheetData>
      <sheetData sheetId="993">
        <row r="1">
          <cell r="A1" t="str">
            <v>CODE</v>
          </cell>
        </row>
      </sheetData>
      <sheetData sheetId="994">
        <row r="1">
          <cell r="A1" t="str">
            <v>CODE</v>
          </cell>
        </row>
      </sheetData>
      <sheetData sheetId="995"/>
      <sheetData sheetId="996"/>
      <sheetData sheetId="997"/>
      <sheetData sheetId="998"/>
      <sheetData sheetId="999">
        <row r="6">
          <cell r="I6" t="str">
            <v>2011</v>
          </cell>
        </row>
      </sheetData>
      <sheetData sheetId="1000">
        <row r="1">
          <cell r="A1" t="str">
            <v>CODE</v>
          </cell>
        </row>
      </sheetData>
      <sheetData sheetId="1001"/>
      <sheetData sheetId="1002">
        <row r="6">
          <cell r="I6" t="str">
            <v>2011</v>
          </cell>
        </row>
      </sheetData>
      <sheetData sheetId="1003">
        <row r="6">
          <cell r="I6" t="str">
            <v>2011</v>
          </cell>
        </row>
      </sheetData>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ow r="6">
          <cell r="I6" t="str">
            <v>2011</v>
          </cell>
        </row>
      </sheetData>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ow r="1">
          <cell r="A1" t="str">
            <v>CODE</v>
          </cell>
        </row>
      </sheetData>
      <sheetData sheetId="1841">
        <row r="1">
          <cell r="A1" t="str">
            <v>CODE</v>
          </cell>
        </row>
      </sheetData>
      <sheetData sheetId="1842">
        <row r="18">
          <cell r="I18" t="e">
            <v>#VALUE!</v>
          </cell>
        </row>
      </sheetData>
      <sheetData sheetId="1843">
        <row r="1">
          <cell r="A1" t="str">
            <v>CODE</v>
          </cell>
        </row>
      </sheetData>
      <sheetData sheetId="1844">
        <row r="1">
          <cell r="A1" t="str">
            <v>CODE</v>
          </cell>
        </row>
      </sheetData>
      <sheetData sheetId="1845"/>
      <sheetData sheetId="1846" refreshError="1"/>
      <sheetData sheetId="1847" refreshError="1"/>
      <sheetData sheetId="1848"/>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ow r="6">
          <cell r="I6" t="str">
            <v>2011</v>
          </cell>
        </row>
      </sheetData>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sheetData sheetId="2230" refreshError="1"/>
      <sheetData sheetId="2231" refreshError="1"/>
      <sheetData sheetId="2232" refreshError="1"/>
      <sheetData sheetId="2233" refreshError="1"/>
      <sheetData sheetId="2234" refreshError="1"/>
      <sheetData sheetId="2235" refreshError="1"/>
      <sheetData sheetId="2236" refreshError="1"/>
      <sheetData sheetId="2237"/>
      <sheetData sheetId="2238" refreshError="1"/>
      <sheetData sheetId="2239" refreshError="1"/>
      <sheetData sheetId="2240"/>
      <sheetData sheetId="224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ow r="1">
          <cell r="A1" t="str">
            <v>Customer Name</v>
          </cell>
        </row>
      </sheetData>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ow r="1">
          <cell r="A1" t="str">
            <v>Customer Name</v>
          </cell>
        </row>
      </sheetData>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ow r="5">
          <cell r="A5">
            <v>1</v>
          </cell>
        </row>
      </sheetData>
      <sheetData sheetId="2344">
        <row r="5">
          <cell r="A5">
            <v>1</v>
          </cell>
        </row>
      </sheetData>
      <sheetData sheetId="2345">
        <row r="1">
          <cell r="A1" t="str">
            <v>ASSET_NUMBER</v>
          </cell>
        </row>
      </sheetData>
      <sheetData sheetId="2346">
        <row r="5">
          <cell r="A5">
            <v>1</v>
          </cell>
        </row>
      </sheetData>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ow r="1">
          <cell r="A1" t="str">
            <v>ASSET_NUMBER</v>
          </cell>
        </row>
      </sheetData>
      <sheetData sheetId="2380">
        <row r="5">
          <cell r="A5">
            <v>1</v>
          </cell>
        </row>
      </sheetData>
      <sheetData sheetId="2381">
        <row r="5">
          <cell r="A5">
            <v>1</v>
          </cell>
        </row>
      </sheetData>
      <sheetData sheetId="2382">
        <row r="5">
          <cell r="A5">
            <v>1</v>
          </cell>
        </row>
      </sheetData>
      <sheetData sheetId="2383">
        <row r="5">
          <cell r="A5">
            <v>1</v>
          </cell>
        </row>
      </sheetData>
      <sheetData sheetId="2384">
        <row r="1">
          <cell r="A1" t="str">
            <v>ASSET_NUMBER</v>
          </cell>
        </row>
      </sheetData>
      <sheetData sheetId="2385">
        <row r="1">
          <cell r="A1" t="str">
            <v>ASSET_NUMBER</v>
          </cell>
        </row>
      </sheetData>
      <sheetData sheetId="2386">
        <row r="1">
          <cell r="A1" t="str">
            <v>PARTICULARS</v>
          </cell>
        </row>
      </sheetData>
      <sheetData sheetId="2387">
        <row r="1">
          <cell r="A1" t="str">
            <v>ASSET_NUMBER</v>
          </cell>
        </row>
      </sheetData>
      <sheetData sheetId="2388">
        <row r="1">
          <cell r="A1" t="str">
            <v>ASSET_NUMBER</v>
          </cell>
        </row>
      </sheetData>
      <sheetData sheetId="2389">
        <row r="1">
          <cell r="A1" t="str">
            <v>ASSET_NUMBER</v>
          </cell>
        </row>
      </sheetData>
      <sheetData sheetId="2390">
        <row r="1">
          <cell r="A1" t="str">
            <v>ASSET_NUMBER</v>
          </cell>
        </row>
      </sheetData>
      <sheetData sheetId="2391">
        <row r="1">
          <cell r="A1" t="str">
            <v>ASSET_NUMBER</v>
          </cell>
        </row>
      </sheetData>
      <sheetData sheetId="2392">
        <row r="1">
          <cell r="A1" t="str">
            <v>ASSET_NUMBER</v>
          </cell>
        </row>
      </sheetData>
      <sheetData sheetId="2393">
        <row r="1">
          <cell r="A1" t="str">
            <v>ASSET_NUMBER</v>
          </cell>
        </row>
      </sheetData>
      <sheetData sheetId="2394">
        <row r="1">
          <cell r="A1" t="str">
            <v>ASSET_NUMBER</v>
          </cell>
        </row>
      </sheetData>
      <sheetData sheetId="2395">
        <row r="1">
          <cell r="A1" t="str">
            <v>ASSET_NUMBER</v>
          </cell>
        </row>
      </sheetData>
      <sheetData sheetId="2396">
        <row r="1">
          <cell r="A1" t="str">
            <v>ASSET_NUMBER</v>
          </cell>
        </row>
      </sheetData>
      <sheetData sheetId="2397">
        <row r="1">
          <cell r="A1" t="str">
            <v>ASSET_NUMBER</v>
          </cell>
        </row>
      </sheetData>
      <sheetData sheetId="2398">
        <row r="1">
          <cell r="A1" t="str">
            <v>ASSET_NUMBER</v>
          </cell>
        </row>
      </sheetData>
      <sheetData sheetId="2399">
        <row r="1">
          <cell r="A1" t="str">
            <v>ASSET_NUMBER</v>
          </cell>
        </row>
      </sheetData>
      <sheetData sheetId="2400">
        <row r="1">
          <cell r="A1" t="str">
            <v>ASSET_NUMBER</v>
          </cell>
        </row>
      </sheetData>
      <sheetData sheetId="2401">
        <row r="1">
          <cell r="A1" t="str">
            <v>ASSET_NUMBER</v>
          </cell>
        </row>
      </sheetData>
      <sheetData sheetId="2402" refreshError="1"/>
      <sheetData sheetId="2403" refreshError="1"/>
      <sheetData sheetId="2404" refreshError="1"/>
      <sheetData sheetId="2405" refreshError="1"/>
      <sheetData sheetId="2406" refreshError="1"/>
      <sheetData sheetId="2407">
        <row r="1">
          <cell r="A1" t="str">
            <v>ASSET_NUMBER</v>
          </cell>
        </row>
      </sheetData>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ow r="1">
          <cell r="A1" t="str">
            <v>ASSET_NUMBER</v>
          </cell>
        </row>
      </sheetData>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ow r="1">
          <cell r="A1" t="str">
            <v>ASSET_NUMBER</v>
          </cell>
        </row>
      </sheetData>
      <sheetData sheetId="2459">
        <row r="1">
          <cell r="A1" t="str">
            <v>ASSET_NUMBER</v>
          </cell>
        </row>
      </sheetData>
      <sheetData sheetId="2460">
        <row r="1">
          <cell r="A1" t="str">
            <v>ASSET_NUMBER</v>
          </cell>
        </row>
      </sheetData>
      <sheetData sheetId="2461">
        <row r="1">
          <cell r="A1" t="str">
            <v>ASSET_NUMBER</v>
          </cell>
        </row>
      </sheetData>
      <sheetData sheetId="2462">
        <row r="1">
          <cell r="A1" t="str">
            <v>ASSET_NUMBER</v>
          </cell>
        </row>
      </sheetData>
      <sheetData sheetId="2463">
        <row r="5">
          <cell r="A5">
            <v>1</v>
          </cell>
        </row>
      </sheetData>
      <sheetData sheetId="2464">
        <row r="5">
          <cell r="A5">
            <v>1</v>
          </cell>
        </row>
      </sheetData>
      <sheetData sheetId="2465">
        <row r="5">
          <cell r="A5">
            <v>1</v>
          </cell>
        </row>
      </sheetData>
      <sheetData sheetId="2466">
        <row r="5">
          <cell r="A5">
            <v>1</v>
          </cell>
        </row>
      </sheetData>
      <sheetData sheetId="2467">
        <row r="1">
          <cell r="A1" t="str">
            <v>ASSET_NUMBER</v>
          </cell>
        </row>
      </sheetData>
      <sheetData sheetId="2468">
        <row r="1">
          <cell r="A1" t="str">
            <v>ASSET_NUMBER</v>
          </cell>
        </row>
      </sheetData>
      <sheetData sheetId="2469">
        <row r="1">
          <cell r="A1" t="str">
            <v>ASSET_NUMBER</v>
          </cell>
        </row>
      </sheetData>
      <sheetData sheetId="2470">
        <row r="1">
          <cell r="A1" t="str">
            <v>ASSET_NUMBER</v>
          </cell>
        </row>
      </sheetData>
      <sheetData sheetId="2471">
        <row r="1">
          <cell r="A1" t="str">
            <v>ASSET_NUMBER</v>
          </cell>
        </row>
      </sheetData>
      <sheetData sheetId="2472">
        <row r="1">
          <cell r="A1" t="str">
            <v>ASSET_NUMBER</v>
          </cell>
        </row>
      </sheetData>
      <sheetData sheetId="2473">
        <row r="5">
          <cell r="A5">
            <v>1</v>
          </cell>
        </row>
      </sheetData>
      <sheetData sheetId="2474">
        <row r="5">
          <cell r="A5">
            <v>1</v>
          </cell>
        </row>
      </sheetData>
      <sheetData sheetId="2475">
        <row r="5">
          <cell r="A5">
            <v>1</v>
          </cell>
        </row>
      </sheetData>
      <sheetData sheetId="2476">
        <row r="5">
          <cell r="A5">
            <v>1</v>
          </cell>
        </row>
      </sheetData>
      <sheetData sheetId="2477">
        <row r="1">
          <cell r="A1" t="str">
            <v>ASSET_NUMBER</v>
          </cell>
        </row>
      </sheetData>
      <sheetData sheetId="2478">
        <row r="1">
          <cell r="A1" t="str">
            <v>ASSET_NUMBER</v>
          </cell>
        </row>
      </sheetData>
      <sheetData sheetId="2479">
        <row r="1">
          <cell r="A1" t="str">
            <v>ASSET_NUMBER</v>
          </cell>
        </row>
      </sheetData>
      <sheetData sheetId="2480">
        <row r="1">
          <cell r="A1" t="str">
            <v>ASSET_NUMBER</v>
          </cell>
        </row>
      </sheetData>
      <sheetData sheetId="2481">
        <row r="1">
          <cell r="A1" t="str">
            <v>ASSET_NUMBER</v>
          </cell>
        </row>
      </sheetData>
      <sheetData sheetId="2482">
        <row r="1">
          <cell r="A1" t="str">
            <v>ASSET_NUMBER</v>
          </cell>
        </row>
      </sheetData>
      <sheetData sheetId="2483">
        <row r="1">
          <cell r="A1" t="str">
            <v>ASSET_NUMBER</v>
          </cell>
        </row>
      </sheetData>
      <sheetData sheetId="2484">
        <row r="1">
          <cell r="A1" t="str">
            <v>ASSET_NUMBER</v>
          </cell>
        </row>
      </sheetData>
      <sheetData sheetId="2485">
        <row r="1">
          <cell r="A1" t="str">
            <v>ASSET_NUMBER</v>
          </cell>
        </row>
      </sheetData>
      <sheetData sheetId="2486">
        <row r="5">
          <cell r="A5">
            <v>1</v>
          </cell>
        </row>
      </sheetData>
      <sheetData sheetId="2487">
        <row r="1">
          <cell r="A1" t="str">
            <v>ASSET_NUMBER</v>
          </cell>
        </row>
      </sheetData>
      <sheetData sheetId="2488">
        <row r="1">
          <cell r="A1" t="str">
            <v>ASSET_NUMBER</v>
          </cell>
        </row>
      </sheetData>
      <sheetData sheetId="2489">
        <row r="1">
          <cell r="A1" t="str">
            <v>ASSET_NUMBER</v>
          </cell>
        </row>
      </sheetData>
      <sheetData sheetId="2490">
        <row r="1">
          <cell r="A1" t="str">
            <v>ASSET_NUMBER</v>
          </cell>
        </row>
      </sheetData>
      <sheetData sheetId="2491">
        <row r="1">
          <cell r="A1" t="str">
            <v>ASSET_NUMBER</v>
          </cell>
        </row>
      </sheetData>
      <sheetData sheetId="2492">
        <row r="5">
          <cell r="A5">
            <v>1</v>
          </cell>
        </row>
      </sheetData>
      <sheetData sheetId="2493">
        <row r="1">
          <cell r="A1" t="str">
            <v>ASSET_NUMBER</v>
          </cell>
        </row>
      </sheetData>
      <sheetData sheetId="2494">
        <row r="1">
          <cell r="A1" t="str">
            <v>ASSET_NUMBER</v>
          </cell>
        </row>
      </sheetData>
      <sheetData sheetId="2495">
        <row r="1">
          <cell r="A1" t="str">
            <v>ASSET_NUMBER</v>
          </cell>
        </row>
      </sheetData>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ow r="1">
          <cell r="A1" t="str">
            <v>ASSET_NUMBER</v>
          </cell>
        </row>
      </sheetData>
      <sheetData sheetId="2509" refreshError="1"/>
      <sheetData sheetId="2510" refreshError="1"/>
      <sheetData sheetId="2511" refreshError="1"/>
      <sheetData sheetId="2512" refreshError="1"/>
      <sheetData sheetId="2513" refreshError="1"/>
      <sheetData sheetId="2514" refreshError="1"/>
      <sheetData sheetId="2515" refreshError="1"/>
      <sheetData sheetId="2516">
        <row r="1">
          <cell r="A1" t="str">
            <v>ASSET_NUMBER</v>
          </cell>
        </row>
      </sheetData>
      <sheetData sheetId="2517">
        <row r="1">
          <cell r="A1" t="str">
            <v>ASSET_NUMBER</v>
          </cell>
        </row>
      </sheetData>
      <sheetData sheetId="2518">
        <row r="1">
          <cell r="A1" t="str">
            <v>ASSET_NUMBER</v>
          </cell>
        </row>
      </sheetData>
      <sheetData sheetId="2519">
        <row r="1">
          <cell r="A1" t="str">
            <v>ASSET_NUMBER</v>
          </cell>
        </row>
      </sheetData>
      <sheetData sheetId="2520">
        <row r="1">
          <cell r="A1" t="str">
            <v>CODE</v>
          </cell>
        </row>
      </sheetData>
      <sheetData sheetId="2521" refreshError="1"/>
      <sheetData sheetId="2522" refreshError="1"/>
      <sheetData sheetId="2523" refreshError="1"/>
      <sheetData sheetId="2524" refreshError="1"/>
      <sheetData sheetId="2525" refreshError="1"/>
      <sheetData sheetId="2526" refreshError="1"/>
      <sheetData sheetId="2527">
        <row r="1">
          <cell r="A1" t="str">
            <v>ASSET_NUMBER</v>
          </cell>
        </row>
      </sheetData>
      <sheetData sheetId="2528" refreshError="1"/>
      <sheetData sheetId="2529" refreshError="1"/>
      <sheetData sheetId="2530" refreshError="1"/>
      <sheetData sheetId="2531" refreshError="1"/>
      <sheetData sheetId="2532">
        <row r="1">
          <cell r="A1" t="str">
            <v>ASSET_NUMBER</v>
          </cell>
        </row>
      </sheetData>
      <sheetData sheetId="2533">
        <row r="1">
          <cell r="A1" t="str">
            <v>ASSET_NUMBER</v>
          </cell>
        </row>
      </sheetData>
      <sheetData sheetId="2534">
        <row r="1">
          <cell r="A1" t="str">
            <v>ASSET_NUMBER</v>
          </cell>
        </row>
      </sheetData>
      <sheetData sheetId="2535">
        <row r="1">
          <cell r="A1" t="str">
            <v>ASSET_NUMBER</v>
          </cell>
        </row>
      </sheetData>
      <sheetData sheetId="2536" refreshError="1"/>
      <sheetData sheetId="2537" refreshError="1"/>
      <sheetData sheetId="2538" refreshError="1"/>
      <sheetData sheetId="2539" refreshError="1"/>
      <sheetData sheetId="2540">
        <row r="1">
          <cell r="A1" t="str">
            <v>ASSET_NUMBER</v>
          </cell>
        </row>
      </sheetData>
      <sheetData sheetId="2541">
        <row r="1">
          <cell r="A1" t="str">
            <v>ASSET_NUMBER</v>
          </cell>
        </row>
      </sheetData>
      <sheetData sheetId="2542">
        <row r="1">
          <cell r="A1" t="str">
            <v>ASSET_NUMBER</v>
          </cell>
        </row>
      </sheetData>
      <sheetData sheetId="2543">
        <row r="1">
          <cell r="A1" t="str">
            <v>ASSET_NUMBER</v>
          </cell>
        </row>
      </sheetData>
      <sheetData sheetId="2544">
        <row r="1">
          <cell r="A1" t="str">
            <v>ASSET_NUMBER</v>
          </cell>
        </row>
      </sheetData>
      <sheetData sheetId="2545">
        <row r="5">
          <cell r="A5">
            <v>1</v>
          </cell>
        </row>
      </sheetData>
      <sheetData sheetId="2546">
        <row r="1">
          <cell r="A1" t="str">
            <v>ASSET_NUMBER</v>
          </cell>
        </row>
      </sheetData>
      <sheetData sheetId="2547">
        <row r="1">
          <cell r="A1" t="str">
            <v>ASSET_NUMBER</v>
          </cell>
        </row>
      </sheetData>
      <sheetData sheetId="2548">
        <row r="1">
          <cell r="A1" t="str">
            <v>ASSET_NUMBER</v>
          </cell>
        </row>
      </sheetData>
      <sheetData sheetId="2549">
        <row r="1">
          <cell r="A1" t="str">
            <v>ASSET_NUMBER</v>
          </cell>
        </row>
      </sheetData>
      <sheetData sheetId="2550">
        <row r="1">
          <cell r="A1" t="str">
            <v>ASSET_NUMBER</v>
          </cell>
        </row>
      </sheetData>
      <sheetData sheetId="2551">
        <row r="1">
          <cell r="A1" t="str">
            <v>ASSET_NUMBER</v>
          </cell>
        </row>
      </sheetData>
      <sheetData sheetId="2552">
        <row r="1">
          <cell r="A1" t="str">
            <v>ASSET_NUMBER</v>
          </cell>
        </row>
      </sheetData>
      <sheetData sheetId="2553">
        <row r="1">
          <cell r="A1" t="str">
            <v>ASSET_NUMBER</v>
          </cell>
        </row>
      </sheetData>
      <sheetData sheetId="2554">
        <row r="1">
          <cell r="A1" t="str">
            <v>ASSET_NUMBER</v>
          </cell>
        </row>
      </sheetData>
      <sheetData sheetId="2555">
        <row r="1">
          <cell r="A1" t="str">
            <v>ASSET_NUMBER</v>
          </cell>
        </row>
      </sheetData>
      <sheetData sheetId="2556">
        <row r="1">
          <cell r="A1" t="str">
            <v>ASSET_NUMBER</v>
          </cell>
        </row>
      </sheetData>
      <sheetData sheetId="2557">
        <row r="1">
          <cell r="A1" t="str">
            <v>ASSET_NUMBER</v>
          </cell>
        </row>
      </sheetData>
      <sheetData sheetId="2558">
        <row r="1">
          <cell r="A1" t="str">
            <v>ASSET_NUMBER</v>
          </cell>
        </row>
      </sheetData>
      <sheetData sheetId="2559">
        <row r="1">
          <cell r="A1" t="str">
            <v>ASSET_NUMBER</v>
          </cell>
        </row>
      </sheetData>
      <sheetData sheetId="2560">
        <row r="5">
          <cell r="A5">
            <v>1</v>
          </cell>
        </row>
      </sheetData>
      <sheetData sheetId="2561">
        <row r="5">
          <cell r="A5">
            <v>1</v>
          </cell>
        </row>
      </sheetData>
      <sheetData sheetId="2562">
        <row r="1">
          <cell r="A1" t="str">
            <v>ASSET_NUMBER</v>
          </cell>
        </row>
      </sheetData>
      <sheetData sheetId="2563">
        <row r="1">
          <cell r="A1" t="str">
            <v>ASSET_NUMBER</v>
          </cell>
        </row>
      </sheetData>
      <sheetData sheetId="2564">
        <row r="5">
          <cell r="A5">
            <v>1</v>
          </cell>
        </row>
      </sheetData>
      <sheetData sheetId="2565">
        <row r="1">
          <cell r="A1" t="str">
            <v>ASSET_NUMBER</v>
          </cell>
        </row>
      </sheetData>
      <sheetData sheetId="2566">
        <row r="1">
          <cell r="A1" t="str">
            <v>ASSET_NUMBER</v>
          </cell>
        </row>
      </sheetData>
      <sheetData sheetId="2567">
        <row r="1">
          <cell r="A1" t="str">
            <v>ASSET_NUMBER</v>
          </cell>
        </row>
      </sheetData>
      <sheetData sheetId="2568">
        <row r="2">
          <cell r="H2" t="str">
            <v>India Countrywide</v>
          </cell>
        </row>
      </sheetData>
      <sheetData sheetId="2569">
        <row r="1">
          <cell r="A1" t="str">
            <v>ASSET_NUMBER</v>
          </cell>
        </row>
      </sheetData>
      <sheetData sheetId="2570">
        <row r="1">
          <cell r="A1" t="str">
            <v>ASSET_NUMBER</v>
          </cell>
        </row>
      </sheetData>
      <sheetData sheetId="2571">
        <row r="2">
          <cell r="H2" t="str">
            <v>India Countrywide</v>
          </cell>
        </row>
      </sheetData>
      <sheetData sheetId="2572">
        <row r="5">
          <cell r="A5">
            <v>1</v>
          </cell>
        </row>
      </sheetData>
      <sheetData sheetId="2573">
        <row r="1">
          <cell r="A1" t="str">
            <v>ASSET_NUMBER</v>
          </cell>
        </row>
      </sheetData>
      <sheetData sheetId="2574">
        <row r="1">
          <cell r="A1" t="str">
            <v>ASSET_NUMBER</v>
          </cell>
        </row>
      </sheetData>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ow r="5">
          <cell r="A5">
            <v>1</v>
          </cell>
        </row>
      </sheetData>
      <sheetData sheetId="2636">
        <row r="5">
          <cell r="A5">
            <v>1</v>
          </cell>
        </row>
      </sheetData>
      <sheetData sheetId="2637">
        <row r="5">
          <cell r="A5">
            <v>1</v>
          </cell>
        </row>
      </sheetData>
      <sheetData sheetId="2638">
        <row r="5">
          <cell r="A5">
            <v>1</v>
          </cell>
        </row>
      </sheetData>
      <sheetData sheetId="2639">
        <row r="5">
          <cell r="A5">
            <v>1</v>
          </cell>
        </row>
      </sheetData>
      <sheetData sheetId="2640">
        <row r="1">
          <cell r="A1" t="str">
            <v>ASSET_NUMBER</v>
          </cell>
        </row>
      </sheetData>
      <sheetData sheetId="2641">
        <row r="1">
          <cell r="A1" t="str">
            <v>ASSET_NUMBER</v>
          </cell>
        </row>
      </sheetData>
      <sheetData sheetId="2642" refreshError="1"/>
      <sheetData sheetId="2643">
        <row r="1">
          <cell r="A1" t="str">
            <v>ASSET_NUMBER</v>
          </cell>
        </row>
      </sheetData>
      <sheetData sheetId="2644">
        <row r="1">
          <cell r="A1" t="str">
            <v>ASSET_NUMBER</v>
          </cell>
        </row>
      </sheetData>
      <sheetData sheetId="2645">
        <row r="5">
          <cell r="A5">
            <v>1</v>
          </cell>
        </row>
      </sheetData>
      <sheetData sheetId="2646">
        <row r="5">
          <cell r="A5">
            <v>1</v>
          </cell>
        </row>
      </sheetData>
      <sheetData sheetId="2647" refreshError="1"/>
      <sheetData sheetId="2648" refreshError="1"/>
      <sheetData sheetId="2649">
        <row r="1">
          <cell r="A1" t="str">
            <v>ASSET_NUMBER</v>
          </cell>
        </row>
      </sheetData>
      <sheetData sheetId="2650">
        <row r="1">
          <cell r="A1" t="str">
            <v>ASSET_NUMBER</v>
          </cell>
        </row>
      </sheetData>
      <sheetData sheetId="2651">
        <row r="5">
          <cell r="A5">
            <v>1</v>
          </cell>
        </row>
      </sheetData>
      <sheetData sheetId="2652">
        <row r="5">
          <cell r="A5">
            <v>1</v>
          </cell>
        </row>
      </sheetData>
      <sheetData sheetId="2653">
        <row r="1">
          <cell r="A1" t="str">
            <v>CODE</v>
          </cell>
        </row>
      </sheetData>
      <sheetData sheetId="2654">
        <row r="5">
          <cell r="A5">
            <v>1</v>
          </cell>
        </row>
      </sheetData>
      <sheetData sheetId="2655">
        <row r="5">
          <cell r="A5">
            <v>1</v>
          </cell>
        </row>
      </sheetData>
      <sheetData sheetId="2656">
        <row r="5">
          <cell r="A5">
            <v>1</v>
          </cell>
        </row>
      </sheetData>
      <sheetData sheetId="2657">
        <row r="1">
          <cell r="A1" t="str">
            <v>ASSET_NUMBER</v>
          </cell>
        </row>
      </sheetData>
      <sheetData sheetId="2658">
        <row r="1">
          <cell r="A1" t="str">
            <v>ASSET_NUMBER</v>
          </cell>
        </row>
      </sheetData>
      <sheetData sheetId="2659">
        <row r="1">
          <cell r="A1" t="str">
            <v>ASSET_NUMBER</v>
          </cell>
        </row>
      </sheetData>
      <sheetData sheetId="2660">
        <row r="1">
          <cell r="A1" t="str">
            <v>ASSET_NUMBER</v>
          </cell>
        </row>
      </sheetData>
      <sheetData sheetId="2661">
        <row r="1">
          <cell r="A1" t="str">
            <v>ASSET_NUMBER</v>
          </cell>
        </row>
      </sheetData>
      <sheetData sheetId="2662">
        <row r="1">
          <cell r="A1" t="str">
            <v>ASSET_NUMBER</v>
          </cell>
        </row>
      </sheetData>
      <sheetData sheetId="2663">
        <row r="1">
          <cell r="A1" t="str">
            <v>ASSET_NUMBER</v>
          </cell>
        </row>
      </sheetData>
      <sheetData sheetId="2664">
        <row r="1">
          <cell r="A1" t="str">
            <v>ASSET_NUMBER</v>
          </cell>
        </row>
      </sheetData>
      <sheetData sheetId="2665">
        <row r="1">
          <cell r="A1" t="str">
            <v>ASSET_NUMBER</v>
          </cell>
        </row>
      </sheetData>
      <sheetData sheetId="2666">
        <row r="1">
          <cell r="A1" t="str">
            <v>ASSET_NUMBER</v>
          </cell>
        </row>
      </sheetData>
      <sheetData sheetId="2667">
        <row r="1">
          <cell r="A1" t="str">
            <v>ASSET_NUMBER</v>
          </cell>
        </row>
      </sheetData>
      <sheetData sheetId="2668">
        <row r="1">
          <cell r="A1" t="str">
            <v>ASSET_NUMBER</v>
          </cell>
        </row>
      </sheetData>
      <sheetData sheetId="2669">
        <row r="1">
          <cell r="A1" t="str">
            <v>ASSET_NUMBER</v>
          </cell>
        </row>
      </sheetData>
      <sheetData sheetId="2670">
        <row r="1">
          <cell r="A1" t="str">
            <v>ASSET_NUMBER</v>
          </cell>
        </row>
      </sheetData>
      <sheetData sheetId="2671">
        <row r="1">
          <cell r="A1" t="str">
            <v>ASSET_NUMBER</v>
          </cell>
        </row>
      </sheetData>
      <sheetData sheetId="2672">
        <row r="1">
          <cell r="A1" t="str">
            <v>ASSET_NUMBER</v>
          </cell>
        </row>
      </sheetData>
      <sheetData sheetId="2673">
        <row r="1">
          <cell r="A1" t="str">
            <v>ASSET_NUMBER</v>
          </cell>
        </row>
      </sheetData>
      <sheetData sheetId="2674">
        <row r="1">
          <cell r="A1" t="str">
            <v>ASSET_NUMBER</v>
          </cell>
        </row>
      </sheetData>
      <sheetData sheetId="2675">
        <row r="1">
          <cell r="A1" t="str">
            <v>ASSET_NUMBER</v>
          </cell>
        </row>
      </sheetData>
      <sheetData sheetId="2676">
        <row r="1">
          <cell r="A1" t="str">
            <v>CODE</v>
          </cell>
        </row>
      </sheetData>
      <sheetData sheetId="2677">
        <row r="1">
          <cell r="A1" t="str">
            <v>ASSET_NUMBER</v>
          </cell>
        </row>
      </sheetData>
      <sheetData sheetId="2678">
        <row r="1">
          <cell r="A1" t="str">
            <v>ASSET_NUMBER</v>
          </cell>
        </row>
      </sheetData>
      <sheetData sheetId="2679">
        <row r="1">
          <cell r="A1" t="str">
            <v>ASSET_NUMBER</v>
          </cell>
        </row>
      </sheetData>
      <sheetData sheetId="2680">
        <row r="1">
          <cell r="A1" t="str">
            <v>ASSET_NUMBER</v>
          </cell>
        </row>
      </sheetData>
      <sheetData sheetId="2681">
        <row r="1">
          <cell r="A1" t="str">
            <v>ASSET_NUMBER</v>
          </cell>
        </row>
      </sheetData>
      <sheetData sheetId="2682">
        <row r="1">
          <cell r="A1" t="str">
            <v>ASSET_NUMBER</v>
          </cell>
        </row>
      </sheetData>
      <sheetData sheetId="2683">
        <row r="1">
          <cell r="A1" t="str">
            <v>ASSET_NUMBER</v>
          </cell>
        </row>
      </sheetData>
      <sheetData sheetId="2684">
        <row r="1">
          <cell r="A1" t="str">
            <v>ASSET_NUMBER</v>
          </cell>
        </row>
      </sheetData>
      <sheetData sheetId="2685">
        <row r="1">
          <cell r="A1" t="str">
            <v>ASSET_NUMBER</v>
          </cell>
        </row>
      </sheetData>
      <sheetData sheetId="2686">
        <row r="5">
          <cell r="A5">
            <v>1</v>
          </cell>
        </row>
      </sheetData>
      <sheetData sheetId="2687">
        <row r="5">
          <cell r="A5">
            <v>1</v>
          </cell>
        </row>
      </sheetData>
      <sheetData sheetId="2688">
        <row r="5">
          <cell r="A5">
            <v>1</v>
          </cell>
        </row>
      </sheetData>
      <sheetData sheetId="2689">
        <row r="5">
          <cell r="A5">
            <v>1</v>
          </cell>
        </row>
      </sheetData>
      <sheetData sheetId="2690">
        <row r="5">
          <cell r="A5">
            <v>1</v>
          </cell>
        </row>
      </sheetData>
      <sheetData sheetId="2691">
        <row r="1">
          <cell r="A1" t="str">
            <v>ASSET_NUMBER</v>
          </cell>
        </row>
      </sheetData>
      <sheetData sheetId="2692">
        <row r="1">
          <cell r="A1" t="str">
            <v>ASSET_NUMBER</v>
          </cell>
        </row>
      </sheetData>
      <sheetData sheetId="2693">
        <row r="1">
          <cell r="A1" t="str">
            <v>ASSET_NUMBER</v>
          </cell>
        </row>
      </sheetData>
      <sheetData sheetId="2694">
        <row r="5">
          <cell r="A5">
            <v>1</v>
          </cell>
        </row>
      </sheetData>
      <sheetData sheetId="2695">
        <row r="5">
          <cell r="A5">
            <v>1</v>
          </cell>
        </row>
      </sheetData>
      <sheetData sheetId="2696">
        <row r="5">
          <cell r="A5">
            <v>1</v>
          </cell>
        </row>
      </sheetData>
      <sheetData sheetId="2697">
        <row r="5">
          <cell r="A5">
            <v>1</v>
          </cell>
        </row>
      </sheetData>
      <sheetData sheetId="2698">
        <row r="5">
          <cell r="A5">
            <v>1</v>
          </cell>
        </row>
      </sheetData>
      <sheetData sheetId="2699">
        <row r="5">
          <cell r="A5">
            <v>1</v>
          </cell>
        </row>
      </sheetData>
      <sheetData sheetId="2700">
        <row r="1">
          <cell r="A1" t="str">
            <v>ASSET_NUMBER</v>
          </cell>
        </row>
      </sheetData>
      <sheetData sheetId="2701">
        <row r="1">
          <cell r="A1" t="str">
            <v>ASSET_NUMBER</v>
          </cell>
        </row>
      </sheetData>
      <sheetData sheetId="2702" refreshError="1"/>
      <sheetData sheetId="2703">
        <row r="1">
          <cell r="A1" t="str">
            <v>ASSET_NUMBER</v>
          </cell>
        </row>
      </sheetData>
      <sheetData sheetId="2704">
        <row r="1">
          <cell r="A1" t="str">
            <v>ASSET_NUMBER</v>
          </cell>
        </row>
      </sheetData>
      <sheetData sheetId="2705">
        <row r="1">
          <cell r="A1" t="str">
            <v>ASSET_NUMBER</v>
          </cell>
        </row>
      </sheetData>
      <sheetData sheetId="2706">
        <row r="1">
          <cell r="A1" t="str">
            <v>ASSET_NUMBER</v>
          </cell>
        </row>
      </sheetData>
      <sheetData sheetId="2707">
        <row r="1">
          <cell r="A1" t="str">
            <v>Customer Name</v>
          </cell>
        </row>
      </sheetData>
      <sheetData sheetId="2708">
        <row r="1">
          <cell r="A1" t="str">
            <v>ASSET_NUMBER</v>
          </cell>
        </row>
      </sheetData>
      <sheetData sheetId="2709">
        <row r="1">
          <cell r="A1" t="str">
            <v>ASSET_NUMBER</v>
          </cell>
        </row>
      </sheetData>
      <sheetData sheetId="2710">
        <row r="1">
          <cell r="A1" t="str">
            <v>ASSET_NUMBER</v>
          </cell>
        </row>
      </sheetData>
      <sheetData sheetId="2711">
        <row r="1">
          <cell r="A1" t="str">
            <v>ASSET_NUMBER</v>
          </cell>
        </row>
      </sheetData>
      <sheetData sheetId="2712">
        <row r="1">
          <cell r="A1" t="str">
            <v>ASSET_NUMBER</v>
          </cell>
        </row>
      </sheetData>
      <sheetData sheetId="2713" refreshError="1"/>
      <sheetData sheetId="2714" refreshError="1"/>
      <sheetData sheetId="2715" refreshError="1"/>
      <sheetData sheetId="2716">
        <row r="5">
          <cell r="A5">
            <v>1</v>
          </cell>
        </row>
      </sheetData>
      <sheetData sheetId="2717" refreshError="1"/>
      <sheetData sheetId="2718" refreshError="1"/>
      <sheetData sheetId="2719">
        <row r="1">
          <cell r="A1" t="str">
            <v>ASSET_NUMBER</v>
          </cell>
        </row>
      </sheetData>
      <sheetData sheetId="2720">
        <row r="5">
          <cell r="A5">
            <v>1</v>
          </cell>
        </row>
      </sheetData>
      <sheetData sheetId="2721" refreshError="1"/>
      <sheetData sheetId="2722" refreshError="1"/>
      <sheetData sheetId="2723">
        <row r="5">
          <cell r="A5">
            <v>1</v>
          </cell>
        </row>
      </sheetData>
      <sheetData sheetId="2724">
        <row r="5">
          <cell r="A5">
            <v>1</v>
          </cell>
        </row>
      </sheetData>
      <sheetData sheetId="2725">
        <row r="5">
          <cell r="A5">
            <v>1</v>
          </cell>
        </row>
      </sheetData>
      <sheetData sheetId="2726">
        <row r="5">
          <cell r="A5">
            <v>1</v>
          </cell>
        </row>
      </sheetData>
      <sheetData sheetId="2727">
        <row r="5">
          <cell r="A5">
            <v>1</v>
          </cell>
        </row>
      </sheetData>
      <sheetData sheetId="2728">
        <row r="5">
          <cell r="A5">
            <v>1</v>
          </cell>
        </row>
      </sheetData>
      <sheetData sheetId="2729">
        <row r="5">
          <cell r="A5">
            <v>1</v>
          </cell>
        </row>
      </sheetData>
      <sheetData sheetId="2730" refreshError="1"/>
      <sheetData sheetId="2731">
        <row r="5">
          <cell r="A5">
            <v>1</v>
          </cell>
        </row>
      </sheetData>
      <sheetData sheetId="2732">
        <row r="5">
          <cell r="A5">
            <v>1</v>
          </cell>
        </row>
      </sheetData>
      <sheetData sheetId="2733" refreshError="1"/>
      <sheetData sheetId="2734" refreshError="1"/>
      <sheetData sheetId="2735">
        <row r="5">
          <cell r="A5">
            <v>1</v>
          </cell>
        </row>
      </sheetData>
      <sheetData sheetId="2736">
        <row r="5">
          <cell r="A5">
            <v>1</v>
          </cell>
        </row>
      </sheetData>
      <sheetData sheetId="2737">
        <row r="5">
          <cell r="A5">
            <v>1</v>
          </cell>
        </row>
      </sheetData>
      <sheetData sheetId="2738">
        <row r="5">
          <cell r="A5">
            <v>1</v>
          </cell>
        </row>
      </sheetData>
      <sheetData sheetId="2739">
        <row r="5">
          <cell r="A5">
            <v>1</v>
          </cell>
        </row>
      </sheetData>
      <sheetData sheetId="2740">
        <row r="5">
          <cell r="A5">
            <v>1</v>
          </cell>
        </row>
      </sheetData>
      <sheetData sheetId="2741">
        <row r="5">
          <cell r="A5">
            <v>1</v>
          </cell>
        </row>
      </sheetData>
      <sheetData sheetId="2742">
        <row r="5">
          <cell r="A5">
            <v>1</v>
          </cell>
        </row>
      </sheetData>
      <sheetData sheetId="2743">
        <row r="5">
          <cell r="A5">
            <v>1</v>
          </cell>
        </row>
      </sheetData>
      <sheetData sheetId="2744">
        <row r="5">
          <cell r="A5">
            <v>1</v>
          </cell>
        </row>
      </sheetData>
      <sheetData sheetId="2745">
        <row r="5">
          <cell r="A5">
            <v>1</v>
          </cell>
        </row>
      </sheetData>
      <sheetData sheetId="2746">
        <row r="5">
          <cell r="A5">
            <v>1</v>
          </cell>
        </row>
      </sheetData>
      <sheetData sheetId="2747" refreshError="1"/>
      <sheetData sheetId="2748">
        <row r="5">
          <cell r="A5">
            <v>1</v>
          </cell>
        </row>
      </sheetData>
      <sheetData sheetId="2749">
        <row r="5">
          <cell r="A5">
            <v>1</v>
          </cell>
        </row>
      </sheetData>
      <sheetData sheetId="2750">
        <row r="1">
          <cell r="A1" t="str">
            <v>ASSET_NUMBER</v>
          </cell>
        </row>
      </sheetData>
      <sheetData sheetId="2751">
        <row r="5">
          <cell r="A5">
            <v>1</v>
          </cell>
        </row>
      </sheetData>
      <sheetData sheetId="2752">
        <row r="5">
          <cell r="A5">
            <v>1</v>
          </cell>
        </row>
      </sheetData>
      <sheetData sheetId="2753">
        <row r="5">
          <cell r="A5">
            <v>1</v>
          </cell>
        </row>
      </sheetData>
      <sheetData sheetId="2754">
        <row r="5">
          <cell r="A5">
            <v>1</v>
          </cell>
        </row>
      </sheetData>
      <sheetData sheetId="2755">
        <row r="5">
          <cell r="A5">
            <v>1</v>
          </cell>
        </row>
      </sheetData>
      <sheetData sheetId="2756">
        <row r="5">
          <cell r="A5">
            <v>1</v>
          </cell>
        </row>
      </sheetData>
      <sheetData sheetId="2757">
        <row r="5">
          <cell r="A5">
            <v>1</v>
          </cell>
        </row>
      </sheetData>
      <sheetData sheetId="2758">
        <row r="5">
          <cell r="A5">
            <v>1</v>
          </cell>
        </row>
      </sheetData>
      <sheetData sheetId="2759">
        <row r="5">
          <cell r="A5">
            <v>1</v>
          </cell>
        </row>
      </sheetData>
      <sheetData sheetId="2760">
        <row r="5">
          <cell r="A5">
            <v>1</v>
          </cell>
        </row>
      </sheetData>
      <sheetData sheetId="2761">
        <row r="5">
          <cell r="A5">
            <v>1</v>
          </cell>
        </row>
      </sheetData>
      <sheetData sheetId="2762">
        <row r="5">
          <cell r="A5">
            <v>1</v>
          </cell>
        </row>
      </sheetData>
      <sheetData sheetId="2763">
        <row r="5">
          <cell r="A5">
            <v>1</v>
          </cell>
        </row>
      </sheetData>
      <sheetData sheetId="2764">
        <row r="5">
          <cell r="A5">
            <v>1</v>
          </cell>
        </row>
      </sheetData>
      <sheetData sheetId="2765" refreshError="1"/>
      <sheetData sheetId="2766">
        <row r="5">
          <cell r="A5">
            <v>1</v>
          </cell>
        </row>
      </sheetData>
      <sheetData sheetId="2767">
        <row r="5">
          <cell r="A5">
            <v>1</v>
          </cell>
        </row>
      </sheetData>
      <sheetData sheetId="2768">
        <row r="5">
          <cell r="A5">
            <v>1</v>
          </cell>
        </row>
      </sheetData>
      <sheetData sheetId="2769">
        <row r="5">
          <cell r="A5">
            <v>1</v>
          </cell>
        </row>
      </sheetData>
      <sheetData sheetId="2770">
        <row r="5">
          <cell r="A5">
            <v>1</v>
          </cell>
        </row>
      </sheetData>
      <sheetData sheetId="2771">
        <row r="5">
          <cell r="A5">
            <v>1</v>
          </cell>
        </row>
      </sheetData>
      <sheetData sheetId="2772">
        <row r="5">
          <cell r="A5">
            <v>1</v>
          </cell>
        </row>
      </sheetData>
      <sheetData sheetId="2773">
        <row r="5">
          <cell r="A5">
            <v>1</v>
          </cell>
        </row>
      </sheetData>
      <sheetData sheetId="2774">
        <row r="5">
          <cell r="A5">
            <v>1</v>
          </cell>
        </row>
      </sheetData>
      <sheetData sheetId="2775">
        <row r="5">
          <cell r="A5">
            <v>1</v>
          </cell>
        </row>
      </sheetData>
      <sheetData sheetId="2776">
        <row r="5">
          <cell r="A5">
            <v>1</v>
          </cell>
        </row>
      </sheetData>
      <sheetData sheetId="2777">
        <row r="5">
          <cell r="A5">
            <v>1</v>
          </cell>
        </row>
      </sheetData>
      <sheetData sheetId="2778">
        <row r="5">
          <cell r="A5">
            <v>1</v>
          </cell>
        </row>
      </sheetData>
      <sheetData sheetId="2779">
        <row r="5">
          <cell r="A5">
            <v>1</v>
          </cell>
        </row>
      </sheetData>
      <sheetData sheetId="2780">
        <row r="5">
          <cell r="A5">
            <v>1</v>
          </cell>
        </row>
      </sheetData>
      <sheetData sheetId="2781">
        <row r="5">
          <cell r="A5">
            <v>1</v>
          </cell>
        </row>
      </sheetData>
      <sheetData sheetId="2782">
        <row r="5">
          <cell r="A5">
            <v>1</v>
          </cell>
        </row>
      </sheetData>
      <sheetData sheetId="2783">
        <row r="5">
          <cell r="A5">
            <v>1</v>
          </cell>
        </row>
      </sheetData>
      <sheetData sheetId="2784">
        <row r="5">
          <cell r="A5">
            <v>1</v>
          </cell>
        </row>
      </sheetData>
      <sheetData sheetId="2785">
        <row r="5">
          <cell r="A5">
            <v>1</v>
          </cell>
        </row>
      </sheetData>
      <sheetData sheetId="2786">
        <row r="5">
          <cell r="A5">
            <v>1</v>
          </cell>
        </row>
      </sheetData>
      <sheetData sheetId="2787">
        <row r="5">
          <cell r="A5">
            <v>1</v>
          </cell>
        </row>
      </sheetData>
      <sheetData sheetId="2788">
        <row r="5">
          <cell r="A5">
            <v>1</v>
          </cell>
        </row>
      </sheetData>
      <sheetData sheetId="2789">
        <row r="5">
          <cell r="A5">
            <v>1</v>
          </cell>
        </row>
      </sheetData>
      <sheetData sheetId="2790">
        <row r="5">
          <cell r="A5">
            <v>1</v>
          </cell>
        </row>
      </sheetData>
      <sheetData sheetId="2791">
        <row r="5">
          <cell r="A5">
            <v>1</v>
          </cell>
        </row>
      </sheetData>
      <sheetData sheetId="2792">
        <row r="5">
          <cell r="A5">
            <v>1</v>
          </cell>
        </row>
      </sheetData>
      <sheetData sheetId="2793">
        <row r="5">
          <cell r="A5">
            <v>1</v>
          </cell>
        </row>
      </sheetData>
      <sheetData sheetId="2794">
        <row r="5">
          <cell r="A5">
            <v>1</v>
          </cell>
        </row>
      </sheetData>
      <sheetData sheetId="2795">
        <row r="5">
          <cell r="A5">
            <v>1</v>
          </cell>
        </row>
      </sheetData>
      <sheetData sheetId="2796">
        <row r="5">
          <cell r="A5">
            <v>1</v>
          </cell>
        </row>
      </sheetData>
      <sheetData sheetId="2797">
        <row r="5">
          <cell r="A5">
            <v>1</v>
          </cell>
        </row>
      </sheetData>
      <sheetData sheetId="2798">
        <row r="5">
          <cell r="A5">
            <v>1</v>
          </cell>
        </row>
      </sheetData>
      <sheetData sheetId="2799">
        <row r="5">
          <cell r="A5">
            <v>1</v>
          </cell>
        </row>
      </sheetData>
      <sheetData sheetId="2800">
        <row r="5">
          <cell r="A5">
            <v>1</v>
          </cell>
        </row>
      </sheetData>
      <sheetData sheetId="2801">
        <row r="5">
          <cell r="A5">
            <v>1</v>
          </cell>
        </row>
      </sheetData>
      <sheetData sheetId="2802">
        <row r="1">
          <cell r="A1" t="str">
            <v>ASSET_NUMBER</v>
          </cell>
        </row>
      </sheetData>
      <sheetData sheetId="2803">
        <row r="1">
          <cell r="A1" t="str">
            <v>ASSET_NUMBER</v>
          </cell>
        </row>
      </sheetData>
      <sheetData sheetId="2804">
        <row r="1">
          <cell r="A1" t="str">
            <v>ASSET_NUMBER</v>
          </cell>
        </row>
      </sheetData>
      <sheetData sheetId="2805">
        <row r="1">
          <cell r="A1" t="str">
            <v>ASSET_NUMBER</v>
          </cell>
        </row>
      </sheetData>
      <sheetData sheetId="2806">
        <row r="1">
          <cell r="A1" t="str">
            <v>ASSET_NUMBER</v>
          </cell>
        </row>
      </sheetData>
      <sheetData sheetId="2807">
        <row r="1">
          <cell r="A1" t="str">
            <v>ASSET_NUMBER</v>
          </cell>
        </row>
      </sheetData>
      <sheetData sheetId="2808">
        <row r="1">
          <cell r="A1" t="str">
            <v>ASSET_NUMBER</v>
          </cell>
        </row>
      </sheetData>
      <sheetData sheetId="2809">
        <row r="1">
          <cell r="A1" t="str">
            <v>ASSET_NUMBER</v>
          </cell>
        </row>
      </sheetData>
      <sheetData sheetId="2810">
        <row r="5">
          <cell r="A5">
            <v>1</v>
          </cell>
        </row>
      </sheetData>
      <sheetData sheetId="2811">
        <row r="5">
          <cell r="A5">
            <v>1</v>
          </cell>
        </row>
      </sheetData>
      <sheetData sheetId="2812">
        <row r="1">
          <cell r="A1" t="str">
            <v>ASSET_NUMBER</v>
          </cell>
        </row>
      </sheetData>
      <sheetData sheetId="2813">
        <row r="1">
          <cell r="A1" t="str">
            <v>ASSET_NUMBER</v>
          </cell>
        </row>
      </sheetData>
      <sheetData sheetId="2814">
        <row r="1">
          <cell r="A1" t="str">
            <v>ASSET_NUMBER</v>
          </cell>
        </row>
      </sheetData>
      <sheetData sheetId="2815">
        <row r="1">
          <cell r="A1" t="str">
            <v>ASSET_NUMBER</v>
          </cell>
        </row>
      </sheetData>
      <sheetData sheetId="2816">
        <row r="5">
          <cell r="A5">
            <v>1</v>
          </cell>
        </row>
      </sheetData>
      <sheetData sheetId="2817">
        <row r="5">
          <cell r="A5">
            <v>1</v>
          </cell>
        </row>
      </sheetData>
      <sheetData sheetId="2818">
        <row r="5">
          <cell r="A5">
            <v>1</v>
          </cell>
        </row>
      </sheetData>
      <sheetData sheetId="2819">
        <row r="1">
          <cell r="A1" t="str">
            <v>ASSET_NUMBER</v>
          </cell>
        </row>
      </sheetData>
      <sheetData sheetId="2820">
        <row r="1">
          <cell r="A1" t="str">
            <v>ASSET_NUMBER</v>
          </cell>
        </row>
      </sheetData>
      <sheetData sheetId="2821">
        <row r="1">
          <cell r="A1" t="str">
            <v>ASSET_NUMBER</v>
          </cell>
        </row>
      </sheetData>
      <sheetData sheetId="2822">
        <row r="1">
          <cell r="A1" t="str">
            <v>ASSET_NUMBER</v>
          </cell>
        </row>
      </sheetData>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ow r="1">
          <cell r="A1" t="str">
            <v>ASSET_NUMBER</v>
          </cell>
        </row>
      </sheetData>
      <sheetData sheetId="2836">
        <row r="1">
          <cell r="A1" t="str">
            <v>ASSET_NUMBER</v>
          </cell>
        </row>
      </sheetData>
      <sheetData sheetId="2837">
        <row r="1">
          <cell r="A1" t="str">
            <v>ASSET_NUMBER</v>
          </cell>
        </row>
      </sheetData>
      <sheetData sheetId="2838">
        <row r="1">
          <cell r="A1" t="str">
            <v>ASSET_NUMBER</v>
          </cell>
        </row>
      </sheetData>
      <sheetData sheetId="2839">
        <row r="1">
          <cell r="A1" t="str">
            <v>ASSET_NUMBER</v>
          </cell>
        </row>
      </sheetData>
      <sheetData sheetId="2840">
        <row r="1">
          <cell r="A1" t="str">
            <v>ASSET_NUMBER</v>
          </cell>
        </row>
      </sheetData>
      <sheetData sheetId="2841">
        <row r="1">
          <cell r="A1" t="str">
            <v>ASSET_NUMBER</v>
          </cell>
        </row>
      </sheetData>
      <sheetData sheetId="2842">
        <row r="1">
          <cell r="A1" t="str">
            <v>ASSET_NUMBER</v>
          </cell>
        </row>
      </sheetData>
      <sheetData sheetId="2843">
        <row r="1">
          <cell r="A1" t="str">
            <v>ASSET_NUMBER</v>
          </cell>
        </row>
      </sheetData>
      <sheetData sheetId="2844">
        <row r="1">
          <cell r="A1" t="str">
            <v>ASSET_NUMBER</v>
          </cell>
        </row>
      </sheetData>
      <sheetData sheetId="2845">
        <row r="1">
          <cell r="A1" t="str">
            <v>ASSET_NUMBER</v>
          </cell>
        </row>
      </sheetData>
      <sheetData sheetId="2846">
        <row r="1">
          <cell r="A1" t="str">
            <v>ASSET_NUMBER</v>
          </cell>
        </row>
      </sheetData>
      <sheetData sheetId="2847">
        <row r="1">
          <cell r="A1" t="str">
            <v>ASSET_NUMBER</v>
          </cell>
        </row>
      </sheetData>
      <sheetData sheetId="2848">
        <row r="1">
          <cell r="A1" t="str">
            <v>ASSET_NUMBER</v>
          </cell>
        </row>
      </sheetData>
      <sheetData sheetId="2849">
        <row r="1">
          <cell r="A1" t="str">
            <v>ASSET_NUMBER</v>
          </cell>
        </row>
      </sheetData>
      <sheetData sheetId="2850">
        <row r="1">
          <cell r="A1" t="str">
            <v>ASSET_NUMBER</v>
          </cell>
        </row>
      </sheetData>
      <sheetData sheetId="2851">
        <row r="1">
          <cell r="A1" t="str">
            <v>ASSET_NUMBER</v>
          </cell>
        </row>
      </sheetData>
      <sheetData sheetId="2852">
        <row r="1">
          <cell r="A1" t="str">
            <v>ASSET_NUMBER</v>
          </cell>
        </row>
      </sheetData>
      <sheetData sheetId="2853">
        <row r="1">
          <cell r="A1" t="str">
            <v>ASSET_NUMBER</v>
          </cell>
        </row>
      </sheetData>
      <sheetData sheetId="2854" refreshError="1"/>
      <sheetData sheetId="2855" refreshError="1"/>
      <sheetData sheetId="2856" refreshError="1"/>
      <sheetData sheetId="2857" refreshError="1"/>
      <sheetData sheetId="2858">
        <row r="1">
          <cell r="A1" t="str">
            <v>ASSET_NUMBER</v>
          </cell>
        </row>
      </sheetData>
      <sheetData sheetId="2859">
        <row r="1">
          <cell r="A1" t="str">
            <v>ASSET_NUMBER</v>
          </cell>
        </row>
      </sheetData>
      <sheetData sheetId="2860">
        <row r="2">
          <cell r="H2" t="str">
            <v>India Countrywide</v>
          </cell>
        </row>
      </sheetData>
      <sheetData sheetId="2861">
        <row r="1">
          <cell r="A1" t="str">
            <v>ASSET_NUMBER</v>
          </cell>
        </row>
      </sheetData>
      <sheetData sheetId="2862">
        <row r="1">
          <cell r="A1" t="str">
            <v>ASSET_NUMBER</v>
          </cell>
        </row>
      </sheetData>
      <sheetData sheetId="2863">
        <row r="1">
          <cell r="A1" t="str">
            <v>ASSET_NUMBER</v>
          </cell>
        </row>
      </sheetData>
      <sheetData sheetId="2864">
        <row r="1">
          <cell r="A1" t="str">
            <v>ASSET_NUMBER</v>
          </cell>
        </row>
      </sheetData>
      <sheetData sheetId="2865">
        <row r="1">
          <cell r="A1" t="str">
            <v>ASSET_NUMBER</v>
          </cell>
        </row>
      </sheetData>
      <sheetData sheetId="2866">
        <row r="2">
          <cell r="H2" t="str">
            <v>India Countrywide</v>
          </cell>
        </row>
      </sheetData>
      <sheetData sheetId="2867">
        <row r="1">
          <cell r="A1" t="str">
            <v>ASSET_NUMBER</v>
          </cell>
        </row>
      </sheetData>
      <sheetData sheetId="2868">
        <row r="1">
          <cell r="A1" t="str">
            <v>ASSET_NUMBER</v>
          </cell>
        </row>
      </sheetData>
      <sheetData sheetId="2869">
        <row r="1">
          <cell r="A1" t="str">
            <v>ASSET_NUMBER</v>
          </cell>
        </row>
      </sheetData>
      <sheetData sheetId="2870">
        <row r="1">
          <cell r="A1" t="str">
            <v>ASSET_NUMBER</v>
          </cell>
        </row>
      </sheetData>
      <sheetData sheetId="2871">
        <row r="1">
          <cell r="A1" t="str">
            <v>ASSET_NUMBER</v>
          </cell>
        </row>
      </sheetData>
      <sheetData sheetId="2872">
        <row r="2">
          <cell r="H2" t="str">
            <v>India Countrywide</v>
          </cell>
        </row>
      </sheetData>
      <sheetData sheetId="2873">
        <row r="5">
          <cell r="A5">
            <v>1</v>
          </cell>
        </row>
      </sheetData>
      <sheetData sheetId="2874">
        <row r="5">
          <cell r="A5">
            <v>1</v>
          </cell>
        </row>
      </sheetData>
      <sheetData sheetId="2875">
        <row r="1">
          <cell r="A1" t="str">
            <v>ASSET_NUMBER</v>
          </cell>
        </row>
      </sheetData>
      <sheetData sheetId="2876">
        <row r="1">
          <cell r="A1" t="str">
            <v>ASSET_NUMBER</v>
          </cell>
        </row>
      </sheetData>
      <sheetData sheetId="2877">
        <row r="1">
          <cell r="A1" t="str">
            <v>ASSET_NUMBER</v>
          </cell>
        </row>
      </sheetData>
      <sheetData sheetId="2878">
        <row r="1">
          <cell r="A1" t="str">
            <v>ASSET_NUMBER</v>
          </cell>
        </row>
      </sheetData>
      <sheetData sheetId="2879">
        <row r="1">
          <cell r="A1" t="str">
            <v>ASSET_NUMBER</v>
          </cell>
        </row>
      </sheetData>
      <sheetData sheetId="2880">
        <row r="1">
          <cell r="A1" t="str">
            <v>ASSET_NUMBER</v>
          </cell>
        </row>
      </sheetData>
      <sheetData sheetId="2881">
        <row r="1">
          <cell r="A1" t="str">
            <v>ASSET_NUMBER</v>
          </cell>
        </row>
      </sheetData>
      <sheetData sheetId="2882">
        <row r="1">
          <cell r="A1" t="str">
            <v>ASSET_NUMBER</v>
          </cell>
        </row>
      </sheetData>
      <sheetData sheetId="2883">
        <row r="1">
          <cell r="A1" t="str">
            <v>ASSET_NUMBER</v>
          </cell>
        </row>
      </sheetData>
      <sheetData sheetId="2884">
        <row r="1">
          <cell r="A1" t="str">
            <v>ASSET_NUMBER</v>
          </cell>
        </row>
      </sheetData>
      <sheetData sheetId="2885">
        <row r="1">
          <cell r="A1" t="str">
            <v>ASSET_NUMBER</v>
          </cell>
        </row>
      </sheetData>
      <sheetData sheetId="2886">
        <row r="5">
          <cell r="A5">
            <v>1</v>
          </cell>
        </row>
      </sheetData>
      <sheetData sheetId="2887">
        <row r="5">
          <cell r="A5">
            <v>1</v>
          </cell>
        </row>
      </sheetData>
      <sheetData sheetId="2888">
        <row r="5">
          <cell r="A5">
            <v>1</v>
          </cell>
        </row>
      </sheetData>
      <sheetData sheetId="2889">
        <row r="1">
          <cell r="A1" t="str">
            <v>ASSET_NUMBER</v>
          </cell>
        </row>
      </sheetData>
      <sheetData sheetId="2890">
        <row r="5">
          <cell r="A5">
            <v>1</v>
          </cell>
        </row>
      </sheetData>
      <sheetData sheetId="2891">
        <row r="1">
          <cell r="A1" t="str">
            <v>ASSET_NUMBER</v>
          </cell>
        </row>
      </sheetData>
      <sheetData sheetId="2892">
        <row r="1">
          <cell r="A1" t="str">
            <v>ASSET_NUMBER</v>
          </cell>
        </row>
      </sheetData>
      <sheetData sheetId="2893">
        <row r="5">
          <cell r="A5">
            <v>1</v>
          </cell>
        </row>
      </sheetData>
      <sheetData sheetId="2894">
        <row r="5">
          <cell r="A5">
            <v>1</v>
          </cell>
        </row>
      </sheetData>
      <sheetData sheetId="2895">
        <row r="1">
          <cell r="A1" t="str">
            <v>ASSET_NUMBER</v>
          </cell>
        </row>
      </sheetData>
      <sheetData sheetId="2896">
        <row r="1">
          <cell r="A1" t="str">
            <v>ASSET_NUMBER</v>
          </cell>
        </row>
      </sheetData>
      <sheetData sheetId="2897">
        <row r="1">
          <cell r="A1" t="str">
            <v>ASSET_NUMBER</v>
          </cell>
        </row>
      </sheetData>
      <sheetData sheetId="2898">
        <row r="1">
          <cell r="A1" t="str">
            <v>ASSET_NUMBER</v>
          </cell>
        </row>
      </sheetData>
      <sheetData sheetId="2899">
        <row r="1">
          <cell r="A1" t="str">
            <v>ASSET_NUMBER</v>
          </cell>
        </row>
      </sheetData>
      <sheetData sheetId="2900">
        <row r="5">
          <cell r="A5">
            <v>1</v>
          </cell>
        </row>
      </sheetData>
      <sheetData sheetId="2901">
        <row r="1">
          <cell r="A1" t="str">
            <v>ASSET_NUMBER</v>
          </cell>
        </row>
      </sheetData>
      <sheetData sheetId="2902">
        <row r="1">
          <cell r="A1" t="str">
            <v>ASSET_NUMBER</v>
          </cell>
        </row>
      </sheetData>
      <sheetData sheetId="2903">
        <row r="5">
          <cell r="A5">
            <v>1</v>
          </cell>
        </row>
      </sheetData>
      <sheetData sheetId="2904">
        <row r="1">
          <cell r="A1" t="str">
            <v>ASSET_NUMBER</v>
          </cell>
        </row>
      </sheetData>
      <sheetData sheetId="2905">
        <row r="1">
          <cell r="A1" t="str">
            <v>ASSET_NUMBER</v>
          </cell>
        </row>
      </sheetData>
      <sheetData sheetId="2906">
        <row r="5">
          <cell r="A5">
            <v>1</v>
          </cell>
        </row>
      </sheetData>
      <sheetData sheetId="2907">
        <row r="5">
          <cell r="A5">
            <v>1</v>
          </cell>
        </row>
      </sheetData>
      <sheetData sheetId="2908">
        <row r="1">
          <cell r="A1" t="str">
            <v>ASSET_NUMBER</v>
          </cell>
        </row>
      </sheetData>
      <sheetData sheetId="2909">
        <row r="1">
          <cell r="A1" t="str">
            <v>ASSET_NUMBER</v>
          </cell>
        </row>
      </sheetData>
      <sheetData sheetId="2910">
        <row r="1">
          <cell r="A1" t="str">
            <v>ASSET_NUMBER</v>
          </cell>
        </row>
      </sheetData>
      <sheetData sheetId="2911">
        <row r="1">
          <cell r="A1" t="str">
            <v>ASSET_NUMBER</v>
          </cell>
        </row>
      </sheetData>
      <sheetData sheetId="2912">
        <row r="5">
          <cell r="A5">
            <v>1</v>
          </cell>
        </row>
      </sheetData>
      <sheetData sheetId="2913">
        <row r="2">
          <cell r="A2" t="str">
            <v>A101001</v>
          </cell>
        </row>
      </sheetData>
      <sheetData sheetId="2914" refreshError="1"/>
      <sheetData sheetId="2915">
        <row r="1">
          <cell r="A1" t="str">
            <v>ASSET_NUMBER</v>
          </cell>
        </row>
      </sheetData>
      <sheetData sheetId="2916">
        <row r="1">
          <cell r="A1" t="str">
            <v>ASSET_NUMBER</v>
          </cell>
        </row>
      </sheetData>
      <sheetData sheetId="2917">
        <row r="1">
          <cell r="A1" t="str">
            <v>ASSET_NUMBER</v>
          </cell>
        </row>
      </sheetData>
      <sheetData sheetId="2918">
        <row r="5">
          <cell r="A5">
            <v>1</v>
          </cell>
        </row>
      </sheetData>
      <sheetData sheetId="2919">
        <row r="2">
          <cell r="A2" t="str">
            <v>A101001</v>
          </cell>
        </row>
      </sheetData>
      <sheetData sheetId="2920">
        <row r="5">
          <cell r="A5">
            <v>1</v>
          </cell>
        </row>
      </sheetData>
      <sheetData sheetId="2921">
        <row r="1">
          <cell r="A1" t="str">
            <v>ASSET_NUMBER</v>
          </cell>
        </row>
      </sheetData>
      <sheetData sheetId="2922">
        <row r="1">
          <cell r="A1" t="str">
            <v>ASSET_NUMBER</v>
          </cell>
        </row>
      </sheetData>
      <sheetData sheetId="2923">
        <row r="5">
          <cell r="A5">
            <v>1</v>
          </cell>
        </row>
      </sheetData>
      <sheetData sheetId="2924">
        <row r="5">
          <cell r="A5">
            <v>1</v>
          </cell>
        </row>
      </sheetData>
      <sheetData sheetId="2925">
        <row r="2">
          <cell r="A2" t="str">
            <v>A101001</v>
          </cell>
        </row>
      </sheetData>
      <sheetData sheetId="2926">
        <row r="1">
          <cell r="A1" t="str">
            <v>ASSET_NUMBER</v>
          </cell>
        </row>
      </sheetData>
      <sheetData sheetId="2927">
        <row r="5">
          <cell r="A5">
            <v>1</v>
          </cell>
        </row>
      </sheetData>
      <sheetData sheetId="2928">
        <row r="1">
          <cell r="A1" t="str">
            <v>ASSET_NUMBER</v>
          </cell>
        </row>
      </sheetData>
      <sheetData sheetId="2929">
        <row r="1">
          <cell r="A1" t="str">
            <v>ASSET_NUMBER</v>
          </cell>
        </row>
      </sheetData>
      <sheetData sheetId="2930">
        <row r="5">
          <cell r="A5">
            <v>1</v>
          </cell>
        </row>
      </sheetData>
      <sheetData sheetId="2931">
        <row r="1">
          <cell r="A1" t="str">
            <v>CODE</v>
          </cell>
        </row>
      </sheetData>
      <sheetData sheetId="2932">
        <row r="1">
          <cell r="A1" t="str">
            <v>ASSET_NUMBER</v>
          </cell>
        </row>
      </sheetData>
      <sheetData sheetId="2933">
        <row r="5">
          <cell r="A5">
            <v>1</v>
          </cell>
        </row>
      </sheetData>
      <sheetData sheetId="2934">
        <row r="1">
          <cell r="A1" t="str">
            <v>ASSET_NUMBER</v>
          </cell>
        </row>
      </sheetData>
      <sheetData sheetId="2935">
        <row r="5">
          <cell r="A5">
            <v>1</v>
          </cell>
        </row>
      </sheetData>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ow r="1">
          <cell r="A1" t="str">
            <v>ASSET_NUMBER</v>
          </cell>
        </row>
      </sheetData>
      <sheetData sheetId="2947">
        <row r="5">
          <cell r="A5">
            <v>1</v>
          </cell>
        </row>
      </sheetData>
      <sheetData sheetId="2948">
        <row r="5">
          <cell r="A5">
            <v>1</v>
          </cell>
        </row>
      </sheetData>
      <sheetData sheetId="2949">
        <row r="1">
          <cell r="A1" t="str">
            <v>ASSET_NUMBER</v>
          </cell>
        </row>
      </sheetData>
      <sheetData sheetId="2950">
        <row r="1">
          <cell r="A1" t="str">
            <v>ASSET_NUMBER</v>
          </cell>
        </row>
      </sheetData>
      <sheetData sheetId="2951">
        <row r="1">
          <cell r="A1" t="str">
            <v>ASSET_NUMBER</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ow r="1">
          <cell r="A1" t="str">
            <v>ASSET_NUMBER</v>
          </cell>
        </row>
      </sheetData>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ow r="2">
          <cell r="H2" t="str">
            <v>India Countrywide</v>
          </cell>
        </row>
      </sheetData>
      <sheetData sheetId="2978">
        <row r="1">
          <cell r="A1" t="str">
            <v>ASSET_NUMBER</v>
          </cell>
        </row>
      </sheetData>
      <sheetData sheetId="2979"/>
      <sheetData sheetId="2980">
        <row r="2">
          <cell r="A2" t="str">
            <v>F05-Jan</v>
          </cell>
        </row>
      </sheetData>
      <sheetData sheetId="2981"/>
      <sheetData sheetId="2982"/>
      <sheetData sheetId="2983">
        <row r="1">
          <cell r="E1">
            <v>3.7037037037037035E-2</v>
          </cell>
        </row>
      </sheetData>
      <sheetData sheetId="2984">
        <row r="2">
          <cell r="H2" t="str">
            <v>India Countrywide</v>
          </cell>
        </row>
      </sheetData>
      <sheetData sheetId="2985">
        <row r="2">
          <cell r="H2" t="str">
            <v>India Countrywide</v>
          </cell>
        </row>
      </sheetData>
      <sheetData sheetId="2986" refreshError="1"/>
      <sheetData sheetId="2987" refreshError="1"/>
      <sheetData sheetId="2988" refreshError="1"/>
      <sheetData sheetId="2989" refreshError="1"/>
      <sheetData sheetId="2990" refreshError="1"/>
      <sheetData sheetId="2991" refreshError="1"/>
      <sheetData sheetId="2992" refreshError="1"/>
      <sheetData sheetId="2993"/>
      <sheetData sheetId="2994">
        <row r="5">
          <cell r="A5">
            <v>1</v>
          </cell>
        </row>
      </sheetData>
      <sheetData sheetId="2995"/>
      <sheetData sheetId="2996"/>
      <sheetData sheetId="2997"/>
      <sheetData sheetId="2998" refreshError="1"/>
      <sheetData sheetId="2999"/>
      <sheetData sheetId="3000" refreshError="1"/>
      <sheetData sheetId="3001" refreshError="1"/>
      <sheetData sheetId="3002"/>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CODE</v>
          </cell>
        </row>
      </sheetData>
      <sheetData sheetId="3038" refreshError="1"/>
      <sheetData sheetId="3039">
        <row r="1">
          <cell r="A1" t="str">
            <v>ASSET_NUMBER</v>
          </cell>
        </row>
      </sheetData>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ow r="5">
          <cell r="A5">
            <v>1</v>
          </cell>
        </row>
      </sheetData>
      <sheetData sheetId="3059">
        <row r="5">
          <cell r="A5">
            <v>1</v>
          </cell>
        </row>
      </sheetData>
      <sheetData sheetId="3060">
        <row r="1">
          <cell r="A1" t="str">
            <v>ASSET_NUMBER</v>
          </cell>
        </row>
      </sheetData>
      <sheetData sheetId="3061">
        <row r="5">
          <cell r="A5">
            <v>1</v>
          </cell>
        </row>
      </sheetData>
      <sheetData sheetId="3062">
        <row r="1">
          <cell r="A1" t="str">
            <v>ASSET_NUMBER</v>
          </cell>
        </row>
      </sheetData>
      <sheetData sheetId="3063">
        <row r="5">
          <cell r="A5">
            <v>1</v>
          </cell>
        </row>
      </sheetData>
      <sheetData sheetId="3064">
        <row r="2">
          <cell r="B2" t="str">
            <v>SOLVAY SPECIALITIES INDIA PRIVATE LIMITED</v>
          </cell>
        </row>
      </sheetData>
      <sheetData sheetId="3065">
        <row r="1">
          <cell r="A1" t="str">
            <v>ASSET_NUMBER</v>
          </cell>
        </row>
      </sheetData>
      <sheetData sheetId="3066">
        <row r="1">
          <cell r="A1" t="str">
            <v>ASSET_NUMBER</v>
          </cell>
        </row>
      </sheetData>
      <sheetData sheetId="3067">
        <row r="2">
          <cell r="AJ2" t="str">
            <v>Ver 2.1.11  B 02-3-1</v>
          </cell>
        </row>
      </sheetData>
      <sheetData sheetId="3068">
        <row r="1">
          <cell r="A1" t="str">
            <v>ASSET_NUMBER</v>
          </cell>
        </row>
      </sheetData>
      <sheetData sheetId="3069">
        <row r="2">
          <cell r="B2" t="str">
            <v>SOLVAY SPECIALITIES INDIA PRIVATE LIMITED</v>
          </cell>
        </row>
      </sheetData>
      <sheetData sheetId="3070">
        <row r="5">
          <cell r="A5">
            <v>1</v>
          </cell>
        </row>
      </sheetData>
      <sheetData sheetId="3071">
        <row r="1">
          <cell r="A1" t="str">
            <v>ASSET_NUMBER</v>
          </cell>
        </row>
      </sheetData>
      <sheetData sheetId="3072">
        <row r="1">
          <cell r="A1" t="str">
            <v>ASSET_NUMBER</v>
          </cell>
        </row>
      </sheetData>
      <sheetData sheetId="3073">
        <row r="2">
          <cell r="AJ2" t="str">
            <v>Ver 2.1.11  B 02-3-1</v>
          </cell>
        </row>
      </sheetData>
      <sheetData sheetId="3074">
        <row r="1">
          <cell r="A1" t="str">
            <v>ASSET_NUMBER</v>
          </cell>
        </row>
      </sheetData>
      <sheetData sheetId="3075">
        <row r="2">
          <cell r="B2" t="str">
            <v>SOLVAY SPECIALITIES INDIA PRIVATE LIMITED</v>
          </cell>
        </row>
      </sheetData>
      <sheetData sheetId="3076">
        <row r="5">
          <cell r="A5">
            <v>1</v>
          </cell>
        </row>
      </sheetData>
      <sheetData sheetId="3077">
        <row r="5">
          <cell r="A5">
            <v>1</v>
          </cell>
        </row>
      </sheetData>
      <sheetData sheetId="3078">
        <row r="1">
          <cell r="A1" t="str">
            <v>ASSET_NUMBER</v>
          </cell>
        </row>
      </sheetData>
      <sheetData sheetId="3079">
        <row r="2">
          <cell r="AJ2" t="str">
            <v>Ver 2.1.11  B 02-3-1</v>
          </cell>
        </row>
      </sheetData>
      <sheetData sheetId="3080">
        <row r="5">
          <cell r="A5">
            <v>1</v>
          </cell>
        </row>
      </sheetData>
      <sheetData sheetId="3081">
        <row r="2">
          <cell r="B2" t="str">
            <v>SOLVAY SPECIALITIES INDIA PRIVATE LIMITED</v>
          </cell>
        </row>
      </sheetData>
      <sheetData sheetId="3082">
        <row r="2">
          <cell r="B2" t="str">
            <v>SOLVAY SPECIALITIES INDIA PRIVATE LIMITED</v>
          </cell>
        </row>
      </sheetData>
      <sheetData sheetId="3083">
        <row r="5">
          <cell r="A5">
            <v>1</v>
          </cell>
        </row>
      </sheetData>
      <sheetData sheetId="3084">
        <row r="5">
          <cell r="A5">
            <v>1</v>
          </cell>
        </row>
      </sheetData>
      <sheetData sheetId="3085">
        <row r="5">
          <cell r="A5">
            <v>1</v>
          </cell>
        </row>
      </sheetData>
      <sheetData sheetId="3086">
        <row r="5">
          <cell r="A5">
            <v>1</v>
          </cell>
        </row>
      </sheetData>
      <sheetData sheetId="3087">
        <row r="5">
          <cell r="A5">
            <v>1</v>
          </cell>
        </row>
      </sheetData>
      <sheetData sheetId="3088">
        <row r="2">
          <cell r="B2" t="str">
            <v>SOLVAY SPECIALITIES INDIA PRIVATE LIMITED</v>
          </cell>
        </row>
      </sheetData>
      <sheetData sheetId="3089" refreshError="1"/>
      <sheetData sheetId="3090" refreshError="1"/>
      <sheetData sheetId="3091" refreshError="1"/>
      <sheetData sheetId="3092" refreshError="1"/>
      <sheetData sheetId="3093" refreshError="1"/>
      <sheetData sheetId="3094" refreshError="1"/>
      <sheetData sheetId="3095">
        <row r="1">
          <cell r="A1" t="str">
            <v>ASSET_NUMBER</v>
          </cell>
        </row>
      </sheetData>
      <sheetData sheetId="3096" refreshError="1"/>
      <sheetData sheetId="3097" refreshError="1"/>
      <sheetData sheetId="3098">
        <row r="5">
          <cell r="A5">
            <v>1</v>
          </cell>
        </row>
      </sheetData>
      <sheetData sheetId="3099">
        <row r="1">
          <cell r="A1" t="str">
            <v>ASSET_NUMBER</v>
          </cell>
        </row>
      </sheetData>
      <sheetData sheetId="3100" refreshError="1"/>
      <sheetData sheetId="3101" refreshError="1"/>
      <sheetData sheetId="3102">
        <row r="1">
          <cell r="A1" t="str">
            <v>ASSET_NUMBER</v>
          </cell>
        </row>
      </sheetData>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sheetData sheetId="3134"/>
      <sheetData sheetId="3135"/>
      <sheetData sheetId="3136"/>
      <sheetData sheetId="3137"/>
      <sheetData sheetId="3138"/>
      <sheetData sheetId="3139"/>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ow r="5">
          <cell r="A5">
            <v>1</v>
          </cell>
        </row>
      </sheetData>
      <sheetData sheetId="3158" refreshError="1"/>
      <sheetData sheetId="3159" refreshError="1"/>
      <sheetData sheetId="3160">
        <row r="28">
          <cell r="M28">
            <v>25518769.103220712</v>
          </cell>
        </row>
      </sheetData>
      <sheetData sheetId="3161" refreshError="1"/>
      <sheetData sheetId="3162" refreshError="1"/>
      <sheetData sheetId="3163" refreshError="1"/>
      <sheetData sheetId="3164"/>
      <sheetData sheetId="3165"/>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ow r="28">
          <cell r="M28">
            <v>25518769.103220712</v>
          </cell>
        </row>
      </sheetData>
      <sheetData sheetId="3189"/>
      <sheetData sheetId="3190"/>
      <sheetData sheetId="3191"/>
      <sheetData sheetId="3192"/>
      <sheetData sheetId="3193" refreshError="1"/>
      <sheetData sheetId="3194">
        <row r="28">
          <cell r="M28">
            <v>25518769.103220712</v>
          </cell>
        </row>
      </sheetData>
      <sheetData sheetId="3195"/>
      <sheetData sheetId="3196">
        <row r="28">
          <cell r="M28">
            <v>25518769.103220712</v>
          </cell>
        </row>
      </sheetData>
      <sheetData sheetId="3197">
        <row r="28">
          <cell r="M28">
            <v>25518769.103220712</v>
          </cell>
        </row>
      </sheetData>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refreshError="1"/>
      <sheetData sheetId="3423"/>
      <sheetData sheetId="3424"/>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sheetData sheetId="3459" refreshError="1"/>
      <sheetData sheetId="3460"/>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ow r="2">
          <cell r="A2" t="str">
            <v>A101001</v>
          </cell>
        </row>
      </sheetData>
      <sheetData sheetId="3968">
        <row r="2">
          <cell r="A2" t="str">
            <v>A101001</v>
          </cell>
        </row>
      </sheetData>
      <sheetData sheetId="3969">
        <row r="1">
          <cell r="E1">
            <v>3.7037037037037035E-2</v>
          </cell>
        </row>
      </sheetData>
      <sheetData sheetId="3970">
        <row r="2">
          <cell r="A2" t="str">
            <v>A101001</v>
          </cell>
        </row>
      </sheetData>
      <sheetData sheetId="3971">
        <row r="2">
          <cell r="A2" t="str">
            <v>A101001</v>
          </cell>
        </row>
      </sheetData>
      <sheetData sheetId="3972"/>
      <sheetData sheetId="3973">
        <row r="1">
          <cell r="A1" t="str">
            <v>Transaction Amount</v>
          </cell>
        </row>
      </sheetData>
      <sheetData sheetId="3974">
        <row r="2">
          <cell r="A2" t="str">
            <v>A101001</v>
          </cell>
        </row>
      </sheetData>
      <sheetData sheetId="3975">
        <row r="1">
          <cell r="A1" t="str">
            <v>Customer Name</v>
          </cell>
        </row>
      </sheetData>
      <sheetData sheetId="3976">
        <row r="1">
          <cell r="B1" t="str">
            <v>Q101A</v>
          </cell>
        </row>
      </sheetData>
      <sheetData sheetId="3977">
        <row r="2">
          <cell r="A2" t="str">
            <v>A101001</v>
          </cell>
        </row>
      </sheetData>
      <sheetData sheetId="3978">
        <row r="1">
          <cell r="E1">
            <v>3.7037037037037035E-2</v>
          </cell>
        </row>
      </sheetData>
      <sheetData sheetId="3979">
        <row r="2">
          <cell r="A2" t="str">
            <v>A101001</v>
          </cell>
        </row>
      </sheetData>
      <sheetData sheetId="3980">
        <row r="2">
          <cell r="A2" t="str">
            <v>A101001</v>
          </cell>
        </row>
      </sheetData>
      <sheetData sheetId="3981"/>
      <sheetData sheetId="3982"/>
      <sheetData sheetId="3983">
        <row r="2">
          <cell r="A2" t="str">
            <v>A101001</v>
          </cell>
        </row>
      </sheetData>
      <sheetData sheetId="3984">
        <row r="1">
          <cell r="A1" t="str">
            <v>Customer Name</v>
          </cell>
        </row>
      </sheetData>
      <sheetData sheetId="3985">
        <row r="2">
          <cell r="A2" t="str">
            <v>A101001</v>
          </cell>
        </row>
      </sheetData>
      <sheetData sheetId="3986">
        <row r="2">
          <cell r="A2" t="str">
            <v>A101001</v>
          </cell>
        </row>
      </sheetData>
      <sheetData sheetId="3987">
        <row r="1">
          <cell r="E1">
            <v>3.7037037037037035E-2</v>
          </cell>
        </row>
      </sheetData>
      <sheetData sheetId="3988">
        <row r="2">
          <cell r="A2" t="str">
            <v>A101001</v>
          </cell>
        </row>
      </sheetData>
      <sheetData sheetId="3989">
        <row r="2">
          <cell r="A2" t="str">
            <v>A101001</v>
          </cell>
        </row>
      </sheetData>
      <sheetData sheetId="3990"/>
      <sheetData sheetId="3991"/>
      <sheetData sheetId="3992">
        <row r="2">
          <cell r="A2" t="str">
            <v>A101001</v>
          </cell>
        </row>
      </sheetData>
      <sheetData sheetId="3993">
        <row r="1">
          <cell r="A1" t="str">
            <v>Customer Name</v>
          </cell>
        </row>
      </sheetData>
      <sheetData sheetId="3994">
        <row r="2">
          <cell r="A2" t="str">
            <v>A101001</v>
          </cell>
        </row>
      </sheetData>
      <sheetData sheetId="3995">
        <row r="6">
          <cell r="I6" t="str">
            <v>2011</v>
          </cell>
        </row>
      </sheetData>
      <sheetData sheetId="3996"/>
      <sheetData sheetId="3997">
        <row r="2">
          <cell r="A2" t="str">
            <v>A101001</v>
          </cell>
        </row>
      </sheetData>
      <sheetData sheetId="3998">
        <row r="6">
          <cell r="I6" t="str">
            <v>2011</v>
          </cell>
        </row>
      </sheetData>
      <sheetData sheetId="3999"/>
      <sheetData sheetId="4000" refreshError="1"/>
      <sheetData sheetId="4001" refreshError="1"/>
      <sheetData sheetId="4002">
        <row r="8">
          <cell r="B8" t="str">
            <v>DPE002</v>
          </cell>
        </row>
      </sheetData>
      <sheetData sheetId="4003" refreshError="1"/>
      <sheetData sheetId="4004"/>
      <sheetData sheetId="4005"/>
      <sheetData sheetId="4006"/>
      <sheetData sheetId="4007" refreshError="1"/>
      <sheetData sheetId="4008" refreshError="1"/>
      <sheetData sheetId="4009">
        <row r="2">
          <cell r="B2" t="str">
            <v>NTN NEI Manufacturing India Pvt Ltd.</v>
          </cell>
        </row>
      </sheetData>
      <sheetData sheetId="4010">
        <row r="8">
          <cell r="C8" t="str">
            <v>CONTRACT</v>
          </cell>
        </row>
      </sheetData>
      <sheetData sheetId="4011">
        <row r="2">
          <cell r="H2" t="str">
            <v>India Countrywide</v>
          </cell>
        </row>
      </sheetData>
      <sheetData sheetId="4012">
        <row r="1">
          <cell r="E1">
            <v>3.7037037037037035E-2</v>
          </cell>
        </row>
      </sheetData>
      <sheetData sheetId="4013">
        <row r="2">
          <cell r="A2">
            <v>433969</v>
          </cell>
        </row>
      </sheetData>
      <sheetData sheetId="4014">
        <row r="6">
          <cell r="D6">
            <v>5500</v>
          </cell>
        </row>
      </sheetData>
      <sheetData sheetId="4015">
        <row r="2">
          <cell r="B2" t="str">
            <v>NTN NEI Manufacturing India Pvt Ltd.</v>
          </cell>
        </row>
      </sheetData>
      <sheetData sheetId="4016">
        <row r="3">
          <cell r="A3" t="str">
            <v>Balance Period Name:SEP-03</v>
          </cell>
        </row>
      </sheetData>
      <sheetData sheetId="4017">
        <row r="10">
          <cell r="E10">
            <v>0</v>
          </cell>
        </row>
      </sheetData>
      <sheetData sheetId="4018">
        <row r="1">
          <cell r="A1" t="str">
            <v>CODE</v>
          </cell>
        </row>
      </sheetData>
      <sheetData sheetId="4019">
        <row r="1">
          <cell r="A1" t="str">
            <v>CODE</v>
          </cell>
        </row>
      </sheetData>
      <sheetData sheetId="4020">
        <row r="1">
          <cell r="A1" t="str">
            <v>CODE</v>
          </cell>
        </row>
      </sheetData>
      <sheetData sheetId="4021">
        <row r="1">
          <cell r="A1" t="str">
            <v>CODE</v>
          </cell>
        </row>
      </sheetData>
      <sheetData sheetId="4022">
        <row r="1">
          <cell r="E1">
            <v>3.7037037037037035E-2</v>
          </cell>
        </row>
      </sheetData>
      <sheetData sheetId="4023">
        <row r="1">
          <cell r="A1" t="str">
            <v>CODE</v>
          </cell>
        </row>
      </sheetData>
      <sheetData sheetId="4024">
        <row r="1">
          <cell r="A1" t="str">
            <v>CODE</v>
          </cell>
        </row>
      </sheetData>
      <sheetData sheetId="4025">
        <row r="1">
          <cell r="A1" t="str">
            <v>Customer Name</v>
          </cell>
        </row>
      </sheetData>
      <sheetData sheetId="4026">
        <row r="1">
          <cell r="A1" t="str">
            <v>CODE</v>
          </cell>
        </row>
      </sheetData>
      <sheetData sheetId="4027">
        <row r="1">
          <cell r="A1" t="str">
            <v>ASSET_NUMBER</v>
          </cell>
        </row>
      </sheetData>
      <sheetData sheetId="4028">
        <row r="1">
          <cell r="A1" t="str">
            <v>CODE</v>
          </cell>
        </row>
      </sheetData>
      <sheetData sheetId="4029">
        <row r="1">
          <cell r="A1" t="str">
            <v>CODE</v>
          </cell>
        </row>
      </sheetData>
      <sheetData sheetId="4030">
        <row r="1">
          <cell r="A1" t="str">
            <v>CODE</v>
          </cell>
        </row>
      </sheetData>
      <sheetData sheetId="4031">
        <row r="1">
          <cell r="A1" t="str">
            <v>CODE</v>
          </cell>
        </row>
      </sheetData>
      <sheetData sheetId="4032">
        <row r="1">
          <cell r="A1" t="str">
            <v>ASSET_NUMBER</v>
          </cell>
        </row>
      </sheetData>
      <sheetData sheetId="4033">
        <row r="1">
          <cell r="A1" t="str">
            <v>ASSET_NUMBER</v>
          </cell>
        </row>
      </sheetData>
      <sheetData sheetId="4034">
        <row r="1">
          <cell r="A1" t="str">
            <v>ASSET_NUMBER</v>
          </cell>
        </row>
      </sheetData>
      <sheetData sheetId="4035">
        <row r="1">
          <cell r="A1" t="str">
            <v>ASSET_NUMBER</v>
          </cell>
        </row>
      </sheetData>
      <sheetData sheetId="4036">
        <row r="1">
          <cell r="A1" t="str">
            <v>ASSET_NUMBER</v>
          </cell>
        </row>
      </sheetData>
      <sheetData sheetId="4037">
        <row r="1">
          <cell r="A1" t="str">
            <v>ASSET_NUMBER</v>
          </cell>
        </row>
      </sheetData>
      <sheetData sheetId="4038">
        <row r="1">
          <cell r="A1" t="str">
            <v>ASSET_NUMBER</v>
          </cell>
        </row>
      </sheetData>
      <sheetData sheetId="4039">
        <row r="1">
          <cell r="A1" t="str">
            <v>CODE</v>
          </cell>
        </row>
      </sheetData>
      <sheetData sheetId="4040">
        <row r="1">
          <cell r="A1" t="str">
            <v>ASSET_NUMBER</v>
          </cell>
        </row>
      </sheetData>
      <sheetData sheetId="4041">
        <row r="1">
          <cell r="A1" t="str">
            <v>ASSET_NUMBER</v>
          </cell>
        </row>
      </sheetData>
      <sheetData sheetId="4042">
        <row r="1">
          <cell r="A1" t="str">
            <v>ASSET_NUMBER</v>
          </cell>
        </row>
      </sheetData>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ow r="1">
          <cell r="B1" t="str">
            <v>Q101A</v>
          </cell>
        </row>
      </sheetData>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ow r="1">
          <cell r="A1" t="str">
            <v>CODE</v>
          </cell>
        </row>
      </sheetData>
      <sheetData sheetId="4106">
        <row r="1">
          <cell r="E1">
            <v>3.7037037037037035E-2</v>
          </cell>
        </row>
      </sheetData>
      <sheetData sheetId="4107">
        <row r="1">
          <cell r="B1" t="str">
            <v>Q101A</v>
          </cell>
        </row>
      </sheetData>
      <sheetData sheetId="4108" refreshError="1"/>
      <sheetData sheetId="4109" refreshError="1"/>
      <sheetData sheetId="4110" refreshError="1"/>
      <sheetData sheetId="4111" refreshError="1"/>
      <sheetData sheetId="4112" refreshError="1"/>
      <sheetData sheetId="4113" refreshError="1"/>
      <sheetData sheetId="4114">
        <row r="1">
          <cell r="B1" t="str">
            <v>Q101A</v>
          </cell>
        </row>
      </sheetData>
      <sheetData sheetId="4115">
        <row r="3">
          <cell r="A3" t="str">
            <v>Balance Period Name:SEP-03</v>
          </cell>
        </row>
      </sheetData>
      <sheetData sheetId="4116">
        <row r="10">
          <cell r="E10">
            <v>0</v>
          </cell>
        </row>
      </sheetData>
      <sheetData sheetId="4117">
        <row r="2">
          <cell r="H2" t="str">
            <v>India Countrywide</v>
          </cell>
        </row>
      </sheetData>
      <sheetData sheetId="4118">
        <row r="1">
          <cell r="A1" t="str">
            <v>CODE</v>
          </cell>
        </row>
      </sheetData>
      <sheetData sheetId="4119">
        <row r="1">
          <cell r="B1" t="str">
            <v>Q101A</v>
          </cell>
        </row>
      </sheetData>
      <sheetData sheetId="4120">
        <row r="1">
          <cell r="B1" t="str">
            <v>Q101A</v>
          </cell>
        </row>
      </sheetData>
      <sheetData sheetId="4121">
        <row r="2">
          <cell r="H2" t="str">
            <v>India Countrywide</v>
          </cell>
        </row>
      </sheetData>
      <sheetData sheetId="4122">
        <row r="2">
          <cell r="H2" t="str">
            <v>India Countrywide</v>
          </cell>
        </row>
      </sheetData>
      <sheetData sheetId="4123">
        <row r="1">
          <cell r="B1" t="str">
            <v>Q101A</v>
          </cell>
        </row>
      </sheetData>
      <sheetData sheetId="4124">
        <row r="8">
          <cell r="C8" t="str">
            <v>CONTRACT</v>
          </cell>
        </row>
      </sheetData>
      <sheetData sheetId="4125">
        <row r="8">
          <cell r="C8" t="str">
            <v>CONTRACT</v>
          </cell>
        </row>
      </sheetData>
      <sheetData sheetId="4126">
        <row r="10">
          <cell r="E10">
            <v>0</v>
          </cell>
        </row>
      </sheetData>
      <sheetData sheetId="4127">
        <row r="2">
          <cell r="K2">
            <v>0</v>
          </cell>
        </row>
      </sheetData>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ow r="5">
          <cell r="C5">
            <v>0</v>
          </cell>
        </row>
      </sheetData>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sheetData sheetId="4188"/>
      <sheetData sheetId="4189"/>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sheetData sheetId="4538"/>
      <sheetData sheetId="4539" refreshError="1"/>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sheetData sheetId="4631">
        <row r="1">
          <cell r="A1" t="str">
            <v>Customer Name</v>
          </cell>
        </row>
      </sheetData>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ow r="23">
          <cell r="A23" t="str">
            <v>D115</v>
          </cell>
        </row>
      </sheetData>
      <sheetData sheetId="4739">
        <row r="1">
          <cell r="B1" t="str">
            <v>D115</v>
          </cell>
        </row>
      </sheetData>
      <sheetData sheetId="4740">
        <row r="1">
          <cell r="B1" t="str">
            <v>D115</v>
          </cell>
        </row>
      </sheetData>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refreshError="1"/>
      <sheetData sheetId="4831" refreshError="1"/>
      <sheetData sheetId="4832" refreshError="1"/>
      <sheetData sheetId="4833" refreshError="1"/>
      <sheetData sheetId="4834" refreshError="1"/>
      <sheetData sheetId="4835" refreshError="1"/>
      <sheetData sheetId="4836"/>
      <sheetData sheetId="4837">
        <row r="23">
          <cell r="E23">
            <v>190015296.30999899</v>
          </cell>
        </row>
      </sheetData>
      <sheetData sheetId="4838">
        <row r="108">
          <cell r="M108">
            <v>10157487.206534987</v>
          </cell>
        </row>
      </sheetData>
      <sheetData sheetId="4839">
        <row r="17">
          <cell r="C17">
            <v>43023199.910000011</v>
          </cell>
        </row>
      </sheetData>
      <sheetData sheetId="4840"/>
      <sheetData sheetId="4841"/>
      <sheetData sheetId="4842"/>
      <sheetData sheetId="4843">
        <row r="23">
          <cell r="E23">
            <v>190015296.30999899</v>
          </cell>
        </row>
      </sheetData>
      <sheetData sheetId="4844"/>
      <sheetData sheetId="4845"/>
      <sheetData sheetId="4846"/>
      <sheetData sheetId="4847"/>
      <sheetData sheetId="4848">
        <row r="2">
          <cell r="A2" t="str">
            <v>ANND NISHIKAWA CO. LTD LALRU UNIT - II</v>
          </cell>
        </row>
      </sheetData>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ow r="131">
          <cell r="A131" t="str">
            <v>40000</v>
          </cell>
        </row>
      </sheetData>
      <sheetData sheetId="4900">
        <row r="131">
          <cell r="A131" t="str">
            <v>40000</v>
          </cell>
        </row>
      </sheetData>
      <sheetData sheetId="4901">
        <row r="131">
          <cell r="A131" t="str">
            <v>40000</v>
          </cell>
        </row>
      </sheetData>
      <sheetData sheetId="4902">
        <row r="131">
          <cell r="A131" t="str">
            <v>40000</v>
          </cell>
        </row>
      </sheetData>
      <sheetData sheetId="4903">
        <row r="131">
          <cell r="A131" t="str">
            <v>40000</v>
          </cell>
        </row>
      </sheetData>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sheetData sheetId="4988"/>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sheetData sheetId="5002" refreshError="1"/>
      <sheetData sheetId="5003"/>
      <sheetData sheetId="5004"/>
      <sheetData sheetId="5005"/>
      <sheetData sheetId="5006"/>
      <sheetData sheetId="5007"/>
      <sheetData sheetId="5008"/>
      <sheetData sheetId="5009" refreshError="1"/>
      <sheetData sheetId="5010" refreshError="1"/>
      <sheetData sheetId="5011"/>
      <sheetData sheetId="5012"/>
      <sheetData sheetId="5013"/>
      <sheetData sheetId="5014"/>
      <sheetData sheetId="5015"/>
      <sheetData sheetId="5016" refreshError="1"/>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ow r="6">
          <cell r="B6" t="str">
            <v>As at 31.03.2003</v>
          </cell>
        </row>
      </sheetData>
      <sheetData sheetId="5103">
        <row r="2">
          <cell r="B2" t="str">
            <v>HUGHES ESCORTS COMMUNICATIONS LIMITED</v>
          </cell>
        </row>
      </sheetData>
      <sheetData sheetId="5104">
        <row r="1">
          <cell r="D1">
            <v>3</v>
          </cell>
        </row>
      </sheetData>
      <sheetData sheetId="5105"/>
      <sheetData sheetId="5106"/>
      <sheetData sheetId="5107"/>
      <sheetData sheetId="5108">
        <row r="4">
          <cell r="D4">
            <v>0.19</v>
          </cell>
        </row>
      </sheetData>
      <sheetData sheetId="5109">
        <row r="5">
          <cell r="A5" t="str">
            <v>- Power plant</v>
          </cell>
        </row>
      </sheetData>
      <sheetData sheetId="5110">
        <row r="5">
          <cell r="A5" t="str">
            <v>- Power plant</v>
          </cell>
        </row>
      </sheetData>
      <sheetData sheetId="5111">
        <row r="4">
          <cell r="D4">
            <v>0.19</v>
          </cell>
        </row>
      </sheetData>
      <sheetData sheetId="5112">
        <row r="5">
          <cell r="A5" t="str">
            <v>- Power plant</v>
          </cell>
        </row>
      </sheetData>
      <sheetData sheetId="5113">
        <row r="5">
          <cell r="A5" t="str">
            <v>- Power plant</v>
          </cell>
        </row>
      </sheetData>
      <sheetData sheetId="5114">
        <row r="5">
          <cell r="A5" t="str">
            <v>- Power plant</v>
          </cell>
        </row>
      </sheetData>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ow r="12">
          <cell r="B12">
            <v>48.302064999999999</v>
          </cell>
        </row>
      </sheetData>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sheetData sheetId="5314"/>
      <sheetData sheetId="5315"/>
      <sheetData sheetId="5316"/>
      <sheetData sheetId="5317">
        <row r="10">
          <cell r="C10">
            <v>127060800.33999997</v>
          </cell>
        </row>
      </sheetData>
      <sheetData sheetId="5318">
        <row r="433">
          <cell r="F433">
            <v>0</v>
          </cell>
        </row>
      </sheetData>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row r="10">
          <cell r="C10">
            <v>127060800.33999997</v>
          </cell>
        </row>
      </sheetData>
      <sheetData sheetId="5332">
        <row r="433">
          <cell r="F433">
            <v>0</v>
          </cell>
        </row>
      </sheetData>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sheetData sheetId="5432"/>
      <sheetData sheetId="5433"/>
      <sheetData sheetId="5434"/>
      <sheetData sheetId="5435"/>
      <sheetData sheetId="5436"/>
      <sheetData sheetId="5437"/>
      <sheetData sheetId="5438">
        <row r="2">
          <cell r="A2" t="str">
            <v>A101001</v>
          </cell>
        </row>
      </sheetData>
      <sheetData sheetId="5439">
        <row r="2">
          <cell r="A2" t="str">
            <v>A101001</v>
          </cell>
        </row>
      </sheetData>
      <sheetData sheetId="5440">
        <row r="2">
          <cell r="A2" t="str">
            <v>A101001</v>
          </cell>
        </row>
      </sheetData>
      <sheetData sheetId="5441">
        <row r="2">
          <cell r="A2" t="str">
            <v>A101001</v>
          </cell>
        </row>
      </sheetData>
      <sheetData sheetId="5442">
        <row r="6">
          <cell r="I6" t="str">
            <v>2011</v>
          </cell>
        </row>
      </sheetData>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sheetData sheetId="5492"/>
      <sheetData sheetId="5493"/>
      <sheetData sheetId="5494"/>
      <sheetData sheetId="5495"/>
      <sheetData sheetId="5496"/>
      <sheetData sheetId="5497"/>
      <sheetData sheetId="5498"/>
      <sheetData sheetId="5499"/>
      <sheetData sheetId="5500"/>
      <sheetData sheetId="5501"/>
      <sheetData sheetId="5502"/>
      <sheetData sheetId="5503"/>
      <sheetData sheetId="5504"/>
      <sheetData sheetId="5505"/>
      <sheetData sheetId="5506"/>
      <sheetData sheetId="5507"/>
      <sheetData sheetId="5508"/>
      <sheetData sheetId="5509"/>
      <sheetData sheetId="5510"/>
      <sheetData sheetId="5511"/>
      <sheetData sheetId="5512"/>
      <sheetData sheetId="5513"/>
      <sheetData sheetId="5514"/>
      <sheetData sheetId="5515"/>
      <sheetData sheetId="5516"/>
      <sheetData sheetId="5517"/>
      <sheetData sheetId="5518"/>
      <sheetData sheetId="5519"/>
      <sheetData sheetId="5520"/>
      <sheetData sheetId="5521"/>
      <sheetData sheetId="5522"/>
      <sheetData sheetId="5523"/>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sheetData sheetId="5537"/>
      <sheetData sheetId="5538"/>
      <sheetData sheetId="5539" refreshError="1"/>
      <sheetData sheetId="5540"/>
      <sheetData sheetId="5541"/>
      <sheetData sheetId="5542"/>
      <sheetData sheetId="5543"/>
      <sheetData sheetId="5544"/>
      <sheetData sheetId="5545"/>
      <sheetData sheetId="5546"/>
      <sheetData sheetId="5547"/>
      <sheetData sheetId="5548"/>
      <sheetData sheetId="5549">
        <row r="1">
          <cell r="A1" t="str">
            <v>A/C NO.</v>
          </cell>
        </row>
      </sheetData>
      <sheetData sheetId="5550"/>
      <sheetData sheetId="5551"/>
      <sheetData sheetId="5552"/>
      <sheetData sheetId="5553"/>
      <sheetData sheetId="5554" refreshError="1"/>
      <sheetData sheetId="5555"/>
      <sheetData sheetId="5556" refreshError="1"/>
      <sheetData sheetId="5557"/>
      <sheetData sheetId="5558"/>
      <sheetData sheetId="5559" refreshError="1"/>
      <sheetData sheetId="5560" refreshError="1"/>
      <sheetData sheetId="5561"/>
      <sheetData sheetId="5562"/>
      <sheetData sheetId="5563"/>
      <sheetData sheetId="5564"/>
      <sheetData sheetId="5565" refreshError="1"/>
      <sheetData sheetId="5566" refreshError="1"/>
      <sheetData sheetId="5567" refreshError="1"/>
      <sheetData sheetId="5568">
        <row r="11">
          <cell r="Q11" t="str">
            <v>ORDER#</v>
          </cell>
        </row>
      </sheetData>
      <sheetData sheetId="5569" refreshError="1"/>
      <sheetData sheetId="5570" refreshError="1"/>
      <sheetData sheetId="5571" refreshError="1"/>
      <sheetData sheetId="5572" refreshError="1"/>
      <sheetData sheetId="5573" refreshError="1"/>
      <sheetData sheetId="5574" refreshError="1"/>
      <sheetData sheetId="5575" refreshError="1"/>
      <sheetData sheetId="5576">
        <row r="7">
          <cell r="C7" t="str">
            <v>Match Key</v>
          </cell>
        </row>
      </sheetData>
      <sheetData sheetId="5577" refreshError="1"/>
      <sheetData sheetId="5578" refreshError="1"/>
      <sheetData sheetId="5579" refreshError="1"/>
      <sheetData sheetId="5580" refreshError="1"/>
      <sheetData sheetId="5581" refreshError="1"/>
      <sheetData sheetId="5582" refreshError="1"/>
      <sheetData sheetId="5583" refreshError="1"/>
      <sheetData sheetId="5584">
        <row r="2">
          <cell r="O2" t="str">
            <v>データ</v>
          </cell>
        </row>
      </sheetData>
      <sheetData sheetId="5585"/>
      <sheetData sheetId="5586" refreshError="1"/>
      <sheetData sheetId="5587" refreshError="1"/>
      <sheetData sheetId="5588" refreshError="1"/>
      <sheetData sheetId="5589" refreshError="1"/>
      <sheetData sheetId="5590"/>
      <sheetData sheetId="5591"/>
      <sheetData sheetId="5592"/>
      <sheetData sheetId="5593"/>
      <sheetData sheetId="5594"/>
      <sheetData sheetId="5595"/>
      <sheetData sheetId="5596">
        <row r="5">
          <cell r="A5" t="str">
            <v>MATCHKEY</v>
          </cell>
        </row>
      </sheetData>
      <sheetData sheetId="5597">
        <row r="4">
          <cell r="Y4" t="str">
            <v>MATCH-KEY-YACCS</v>
          </cell>
        </row>
      </sheetData>
      <sheetData sheetId="5598" refreshError="1"/>
      <sheetData sheetId="5599" refreshError="1"/>
      <sheetData sheetId="5600"/>
      <sheetData sheetId="5601">
        <row r="7">
          <cell r="A7" t="str">
            <v>MATCH KEY</v>
          </cell>
        </row>
      </sheetData>
      <sheetData sheetId="5602"/>
      <sheetData sheetId="5603"/>
      <sheetData sheetId="5604"/>
      <sheetData sheetId="5605"/>
      <sheetData sheetId="5606"/>
      <sheetData sheetId="5607"/>
      <sheetData sheetId="5608"/>
      <sheetData sheetId="5609"/>
      <sheetData sheetId="5610"/>
      <sheetData sheetId="5611"/>
      <sheetData sheetId="5612"/>
      <sheetData sheetId="5613"/>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sheetData sheetId="5646"/>
      <sheetData sheetId="5647"/>
      <sheetData sheetId="5648"/>
      <sheetData sheetId="5649"/>
      <sheetData sheetId="5650"/>
      <sheetData sheetId="5651"/>
      <sheetData sheetId="5652">
        <row r="2">
          <cell r="C2" t="str">
            <v>LOCATION</v>
          </cell>
        </row>
      </sheetData>
      <sheetData sheetId="5653"/>
      <sheetData sheetId="5654" refreshError="1"/>
      <sheetData sheetId="5655"/>
      <sheetData sheetId="5656"/>
      <sheetData sheetId="5657"/>
      <sheetData sheetId="5658"/>
      <sheetData sheetId="5659"/>
      <sheetData sheetId="5660"/>
      <sheetData sheetId="5661">
        <row r="8">
          <cell r="AB8" t="str">
            <v>Order-No</v>
          </cell>
        </row>
      </sheetData>
      <sheetData sheetId="5662"/>
      <sheetData sheetId="5663"/>
      <sheetData sheetId="5664"/>
      <sheetData sheetId="5665"/>
      <sheetData sheetId="5666"/>
      <sheetData sheetId="5667"/>
      <sheetData sheetId="5668"/>
      <sheetData sheetId="5669"/>
      <sheetData sheetId="5670"/>
      <sheetData sheetId="5671"/>
      <sheetData sheetId="5672">
        <row r="59">
          <cell r="F59">
            <v>22</v>
          </cell>
        </row>
      </sheetData>
      <sheetData sheetId="5673" refreshError="1"/>
      <sheetData sheetId="5674" refreshError="1"/>
      <sheetData sheetId="5675"/>
      <sheetData sheetId="5676" refreshError="1"/>
      <sheetData sheetId="5677" refreshError="1"/>
      <sheetData sheetId="5678"/>
      <sheetData sheetId="5679" refreshError="1"/>
      <sheetData sheetId="5680" refreshError="1"/>
      <sheetData sheetId="5681" refreshError="1"/>
      <sheetData sheetId="5682" refreshError="1"/>
      <sheetData sheetId="5683" refreshError="1"/>
      <sheetData sheetId="5684"/>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sheetData sheetId="5698"/>
      <sheetData sheetId="5699"/>
      <sheetData sheetId="5700"/>
      <sheetData sheetId="5701"/>
      <sheetData sheetId="5702"/>
      <sheetData sheetId="5703"/>
      <sheetData sheetId="5704"/>
      <sheetData sheetId="5705"/>
      <sheetData sheetId="5706"/>
      <sheetData sheetId="5707" refreshError="1"/>
      <sheetData sheetId="5708" refreshError="1"/>
      <sheetData sheetId="5709" refreshError="1"/>
      <sheetData sheetId="5710" refreshError="1"/>
      <sheetData sheetId="5711" refreshError="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sheetData sheetId="5726"/>
      <sheetData sheetId="5727"/>
      <sheetData sheetId="5728"/>
      <sheetData sheetId="5729"/>
      <sheetData sheetId="5730"/>
      <sheetData sheetId="5731"/>
      <sheetData sheetId="5732"/>
      <sheetData sheetId="5733"/>
      <sheetData sheetId="5734"/>
      <sheetData sheetId="5735"/>
      <sheetData sheetId="5736"/>
      <sheetData sheetId="5737"/>
      <sheetData sheetId="5738"/>
      <sheetData sheetId="5739">
        <row r="5">
          <cell r="J5" t="str">
            <v>Delay in days</v>
          </cell>
        </row>
      </sheetData>
      <sheetData sheetId="5740"/>
      <sheetData sheetId="5741"/>
      <sheetData sheetId="5742"/>
      <sheetData sheetId="5743"/>
      <sheetData sheetId="5744"/>
      <sheetData sheetId="5745"/>
      <sheetData sheetId="5746"/>
      <sheetData sheetId="5747"/>
      <sheetData sheetId="5748"/>
      <sheetData sheetId="5749"/>
      <sheetData sheetId="5750"/>
      <sheetData sheetId="5751"/>
      <sheetData sheetId="5752"/>
      <sheetData sheetId="5753"/>
      <sheetData sheetId="5754"/>
      <sheetData sheetId="5755"/>
      <sheetData sheetId="5756"/>
      <sheetData sheetId="5757"/>
      <sheetData sheetId="5758"/>
      <sheetData sheetId="5759"/>
      <sheetData sheetId="5760"/>
      <sheetData sheetId="5761"/>
      <sheetData sheetId="5762"/>
      <sheetData sheetId="5763"/>
      <sheetData sheetId="5764"/>
      <sheetData sheetId="5765"/>
      <sheetData sheetId="5766"/>
      <sheetData sheetId="5767"/>
      <sheetData sheetId="5768"/>
      <sheetData sheetId="5769"/>
      <sheetData sheetId="5770"/>
      <sheetData sheetId="5771"/>
      <sheetData sheetId="5772"/>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sheetData sheetId="5801">
        <row r="50">
          <cell r="A50" t="str">
            <v>SHIPARA TECHNOLOGIES LIMITED</v>
          </cell>
        </row>
      </sheetData>
      <sheetData sheetId="5802"/>
      <sheetData sheetId="5803"/>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sheetData sheetId="5846"/>
      <sheetData sheetId="5847">
        <row r="7">
          <cell r="C7" t="str">
            <v>Match Key</v>
          </cell>
        </row>
      </sheetData>
      <sheetData sheetId="5848"/>
      <sheetData sheetId="5849"/>
      <sheetData sheetId="5850">
        <row r="7">
          <cell r="C7" t="str">
            <v>Match Key</v>
          </cell>
        </row>
      </sheetData>
      <sheetData sheetId="5851">
        <row r="2">
          <cell r="O2" t="str">
            <v>データ</v>
          </cell>
        </row>
      </sheetData>
      <sheetData sheetId="5852"/>
      <sheetData sheetId="5853"/>
      <sheetData sheetId="5854">
        <row r="2">
          <cell r="O2" t="str">
            <v>データ</v>
          </cell>
        </row>
      </sheetData>
      <sheetData sheetId="5855"/>
      <sheetData sheetId="5856">
        <row r="11">
          <cell r="Q11" t="str">
            <v>ORDER#</v>
          </cell>
        </row>
      </sheetData>
      <sheetData sheetId="5857">
        <row r="2">
          <cell r="O2" t="str">
            <v>データ</v>
          </cell>
        </row>
      </sheetData>
      <sheetData sheetId="5858"/>
      <sheetData sheetId="5859">
        <row r="7">
          <cell r="A7" t="str">
            <v>MATCH KEY</v>
          </cell>
        </row>
      </sheetData>
      <sheetData sheetId="5860"/>
      <sheetData sheetId="5861"/>
      <sheetData sheetId="5862">
        <row r="5">
          <cell r="A5" t="str">
            <v>MATCHKEY</v>
          </cell>
        </row>
      </sheetData>
      <sheetData sheetId="5863"/>
      <sheetData sheetId="5864">
        <row r="4">
          <cell r="Y4" t="str">
            <v>MATCH-KEY-YACCS</v>
          </cell>
        </row>
      </sheetData>
      <sheetData sheetId="5865"/>
      <sheetData sheetId="5866">
        <row r="5">
          <cell r="A5" t="str">
            <v>MATCHKEY</v>
          </cell>
        </row>
      </sheetData>
      <sheetData sheetId="5867">
        <row r="4">
          <cell r="Y4" t="str">
            <v>MATCH-KEY-YACCS</v>
          </cell>
        </row>
      </sheetData>
      <sheetData sheetId="5868">
        <row r="7">
          <cell r="A7" t="str">
            <v>MATCH KEY</v>
          </cell>
        </row>
      </sheetData>
      <sheetData sheetId="5869">
        <row r="5">
          <cell r="A5" t="str">
            <v>MATCHKEY</v>
          </cell>
        </row>
      </sheetData>
      <sheetData sheetId="5870">
        <row r="4">
          <cell r="Y4" t="str">
            <v>MATCH-KEY-YACCS</v>
          </cell>
        </row>
      </sheetData>
      <sheetData sheetId="5871">
        <row r="1">
          <cell r="A1" t="str">
            <v>03</v>
          </cell>
        </row>
      </sheetData>
      <sheetData sheetId="5872"/>
      <sheetData sheetId="5873"/>
      <sheetData sheetId="5874"/>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sheetData sheetId="5886"/>
      <sheetData sheetId="5887"/>
      <sheetData sheetId="5888"/>
      <sheetData sheetId="5889"/>
      <sheetData sheetId="5890"/>
      <sheetData sheetId="5891"/>
      <sheetData sheetId="5892"/>
      <sheetData sheetId="5893"/>
      <sheetData sheetId="5894"/>
      <sheetData sheetId="5895"/>
      <sheetData sheetId="5896"/>
      <sheetData sheetId="5897"/>
      <sheetData sheetId="5898"/>
      <sheetData sheetId="5899"/>
      <sheetData sheetId="5900"/>
      <sheetData sheetId="5901"/>
      <sheetData sheetId="5902"/>
      <sheetData sheetId="5903"/>
      <sheetData sheetId="5904"/>
      <sheetData sheetId="5905"/>
      <sheetData sheetId="5906"/>
      <sheetData sheetId="5907"/>
      <sheetData sheetId="5908"/>
      <sheetData sheetId="5909"/>
      <sheetData sheetId="5910"/>
      <sheetData sheetId="5911"/>
      <sheetData sheetId="5912"/>
      <sheetData sheetId="5913"/>
      <sheetData sheetId="5914"/>
      <sheetData sheetId="5915"/>
      <sheetData sheetId="5916"/>
      <sheetData sheetId="5917"/>
      <sheetData sheetId="5918"/>
      <sheetData sheetId="5919"/>
      <sheetData sheetId="5920"/>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sheetData sheetId="5949">
        <row r="1">
          <cell r="A1" t="str">
            <v>CODE</v>
          </cell>
        </row>
      </sheetData>
      <sheetData sheetId="5950"/>
      <sheetData sheetId="5951"/>
      <sheetData sheetId="5952"/>
      <sheetData sheetId="5953"/>
      <sheetData sheetId="5954"/>
      <sheetData sheetId="5955"/>
      <sheetData sheetId="5956"/>
      <sheetData sheetId="5957"/>
      <sheetData sheetId="5958"/>
      <sheetData sheetId="5959"/>
      <sheetData sheetId="5960"/>
      <sheetData sheetId="5961"/>
      <sheetData sheetId="5962"/>
      <sheetData sheetId="5963"/>
      <sheetData sheetId="5964"/>
      <sheetData sheetId="5965"/>
      <sheetData sheetId="5966"/>
      <sheetData sheetId="5967"/>
      <sheetData sheetId="5968"/>
      <sheetData sheetId="5969"/>
      <sheetData sheetId="5970"/>
      <sheetData sheetId="5971"/>
      <sheetData sheetId="5972"/>
      <sheetData sheetId="5973"/>
      <sheetData sheetId="5974"/>
      <sheetData sheetId="5975"/>
      <sheetData sheetId="5976"/>
      <sheetData sheetId="5977"/>
      <sheetData sheetId="5978"/>
      <sheetData sheetId="5979"/>
      <sheetData sheetId="5980"/>
      <sheetData sheetId="5981"/>
      <sheetData sheetId="5982"/>
      <sheetData sheetId="5983"/>
      <sheetData sheetId="5984"/>
      <sheetData sheetId="5985"/>
      <sheetData sheetId="5986"/>
      <sheetData sheetId="5987"/>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sheetData sheetId="6023"/>
      <sheetData sheetId="6024"/>
      <sheetData sheetId="6025"/>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sheetData sheetId="6276" refreshError="1"/>
      <sheetData sheetId="6277">
        <row r="5">
          <cell r="G5">
            <v>48</v>
          </cell>
        </row>
      </sheetData>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sheetData sheetId="6290" refreshError="1"/>
      <sheetData sheetId="6291" refreshError="1"/>
      <sheetData sheetId="6292" refreshError="1"/>
      <sheetData sheetId="6293" refreshError="1"/>
      <sheetData sheetId="6294"/>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sheetData sheetId="6387"/>
      <sheetData sheetId="6388"/>
      <sheetData sheetId="6389"/>
      <sheetData sheetId="6390"/>
      <sheetData sheetId="6391"/>
      <sheetData sheetId="6392"/>
      <sheetData sheetId="6393" refreshError="1"/>
      <sheetData sheetId="6394" refreshError="1"/>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sheetData sheetId="6451" refreshError="1"/>
      <sheetData sheetId="6452"/>
      <sheetData sheetId="6453"/>
      <sheetData sheetId="6454" refreshError="1"/>
      <sheetData sheetId="6455"/>
      <sheetData sheetId="6456" refreshError="1"/>
      <sheetData sheetId="6457"/>
      <sheetData sheetId="6458" refreshError="1"/>
      <sheetData sheetId="6459"/>
      <sheetData sheetId="6460" refreshError="1"/>
      <sheetData sheetId="6461" refreshError="1"/>
      <sheetData sheetId="6462" refreshError="1"/>
      <sheetData sheetId="6463"/>
      <sheetData sheetId="6464" refreshError="1"/>
      <sheetData sheetId="6465" refreshError="1"/>
      <sheetData sheetId="6466" refreshError="1"/>
      <sheetData sheetId="6467"/>
      <sheetData sheetId="6468"/>
      <sheetData sheetId="6469"/>
      <sheetData sheetId="6470" refreshError="1"/>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refreshError="1"/>
      <sheetData sheetId="6497" refreshError="1"/>
      <sheetData sheetId="6498" refreshError="1"/>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refreshError="1"/>
      <sheetData sheetId="6550" refreshError="1"/>
      <sheetData sheetId="6551" refreshError="1"/>
      <sheetData sheetId="6552" refreshError="1"/>
      <sheetData sheetId="6553" refreshError="1"/>
      <sheetData sheetId="6554" refreshError="1"/>
      <sheetData sheetId="6555" refreshError="1"/>
      <sheetData sheetId="6556" refreshError="1"/>
      <sheetData sheetId="6557" refreshError="1"/>
      <sheetData sheetId="6558" refreshError="1"/>
      <sheetData sheetId="6559" refreshError="1"/>
      <sheetData sheetId="6560" refreshError="1"/>
      <sheetData sheetId="6561" refreshError="1"/>
      <sheetData sheetId="6562" refreshError="1"/>
      <sheetData sheetId="6563" refreshError="1"/>
      <sheetData sheetId="6564" refreshError="1"/>
      <sheetData sheetId="6565" refreshError="1"/>
      <sheetData sheetId="6566" refreshError="1"/>
      <sheetData sheetId="6567" refreshError="1"/>
      <sheetData sheetId="6568" refreshError="1"/>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sheetData sheetId="6584"/>
      <sheetData sheetId="6585" refreshError="1"/>
      <sheetData sheetId="6586"/>
      <sheetData sheetId="6587" refreshError="1"/>
      <sheetData sheetId="6588" refreshError="1"/>
      <sheetData sheetId="6589" refreshError="1"/>
      <sheetData sheetId="6590" refreshError="1"/>
      <sheetData sheetId="659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refreshError="1"/>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refreshError="1"/>
      <sheetData sheetId="6661" refreshError="1"/>
      <sheetData sheetId="6662" refreshError="1"/>
      <sheetData sheetId="6663" refreshError="1"/>
      <sheetData sheetId="6664" refreshError="1"/>
      <sheetData sheetId="6665" refreshError="1"/>
      <sheetData sheetId="6666" refreshError="1"/>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efreshError="1"/>
      <sheetData sheetId="6678" refreshError="1"/>
      <sheetData sheetId="6679" refreshError="1"/>
      <sheetData sheetId="6680" refreshError="1"/>
      <sheetData sheetId="6681" refreshError="1"/>
      <sheetData sheetId="6682" refreshError="1"/>
      <sheetData sheetId="6683" refreshError="1"/>
      <sheetData sheetId="6684" refreshError="1"/>
      <sheetData sheetId="6685" refreshError="1"/>
      <sheetData sheetId="6686" refreshError="1"/>
      <sheetData sheetId="6687" refreshError="1"/>
      <sheetData sheetId="6688" refreshError="1"/>
      <sheetData sheetId="6689" refreshError="1"/>
      <sheetData sheetId="6690" refreshError="1"/>
      <sheetData sheetId="6691" refreshError="1"/>
      <sheetData sheetId="6692" refreshError="1"/>
      <sheetData sheetId="6693" refreshError="1"/>
      <sheetData sheetId="6694" refreshError="1"/>
      <sheetData sheetId="6695" refreshError="1"/>
      <sheetData sheetId="6696" refreshError="1"/>
      <sheetData sheetId="6697" refreshError="1"/>
      <sheetData sheetId="6698" refreshError="1"/>
      <sheetData sheetId="6699" refreshError="1"/>
      <sheetData sheetId="6700" refreshError="1"/>
      <sheetData sheetId="6701" refreshError="1"/>
      <sheetData sheetId="6702" refreshError="1"/>
      <sheetData sheetId="6703" refreshError="1"/>
      <sheetData sheetId="6704" refreshError="1"/>
      <sheetData sheetId="6705" refreshError="1"/>
      <sheetData sheetId="6706" refreshError="1"/>
      <sheetData sheetId="6707" refreshError="1"/>
      <sheetData sheetId="6708" refreshError="1"/>
      <sheetData sheetId="6709" refreshError="1"/>
      <sheetData sheetId="6710" refreshError="1"/>
      <sheetData sheetId="6711" refreshError="1"/>
      <sheetData sheetId="6712" refreshError="1"/>
      <sheetData sheetId="6713" refreshError="1"/>
      <sheetData sheetId="6714" refreshError="1"/>
      <sheetData sheetId="6715" refreshError="1"/>
      <sheetData sheetId="6716" refreshError="1"/>
      <sheetData sheetId="6717" refreshError="1"/>
      <sheetData sheetId="6718" refreshError="1"/>
      <sheetData sheetId="6719" refreshError="1"/>
      <sheetData sheetId="6720" refreshError="1"/>
      <sheetData sheetId="6721" refreshError="1"/>
      <sheetData sheetId="6722" refreshError="1"/>
      <sheetData sheetId="6723" refreshError="1"/>
      <sheetData sheetId="6724" refreshError="1"/>
      <sheetData sheetId="6725"/>
      <sheetData sheetId="6726"/>
      <sheetData sheetId="6727" refreshError="1"/>
      <sheetData sheetId="6728" refreshError="1"/>
      <sheetData sheetId="6729" refreshError="1"/>
      <sheetData sheetId="6730" refreshError="1"/>
      <sheetData sheetId="6731" refreshError="1"/>
      <sheetData sheetId="6732">
        <row r="3">
          <cell r="A3">
            <v>100501</v>
          </cell>
        </row>
      </sheetData>
      <sheetData sheetId="6733">
        <row r="1">
          <cell r="B1" t="str">
            <v>Q101A</v>
          </cell>
        </row>
      </sheetData>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refreshError="1"/>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row r="1">
          <cell r="A1" t="str">
            <v>CODE</v>
          </cell>
        </row>
      </sheetData>
      <sheetData sheetId="6798">
        <row r="1">
          <cell r="A1" t="str">
            <v>CODE</v>
          </cell>
        </row>
      </sheetData>
      <sheetData sheetId="6799">
        <row r="1">
          <cell r="A1" t="str">
            <v>CODE</v>
          </cell>
        </row>
      </sheetData>
      <sheetData sheetId="6800" refreshError="1"/>
      <sheetData sheetId="6801">
        <row r="1">
          <cell r="A1" t="str">
            <v>CODE</v>
          </cell>
        </row>
      </sheetData>
      <sheetData sheetId="6802"/>
      <sheetData sheetId="6803" refreshError="1"/>
      <sheetData sheetId="6804">
        <row r="1">
          <cell r="A1" t="str">
            <v>CODE</v>
          </cell>
        </row>
      </sheetData>
      <sheetData sheetId="6805">
        <row r="1">
          <cell r="A1" t="str">
            <v>CODE</v>
          </cell>
        </row>
      </sheetData>
      <sheetData sheetId="6806">
        <row r="1">
          <cell r="A1" t="str">
            <v>CODE</v>
          </cell>
        </row>
      </sheetData>
      <sheetData sheetId="6807">
        <row r="1">
          <cell r="A1" t="str">
            <v>CODE</v>
          </cell>
        </row>
      </sheetData>
      <sheetData sheetId="6808">
        <row r="1">
          <cell r="A1" t="str">
            <v>CODE</v>
          </cell>
        </row>
      </sheetData>
      <sheetData sheetId="6809">
        <row r="1">
          <cell r="A1" t="str">
            <v>CODE</v>
          </cell>
        </row>
      </sheetData>
      <sheetData sheetId="6810">
        <row r="1">
          <cell r="A1" t="str">
            <v>CODE</v>
          </cell>
        </row>
      </sheetData>
      <sheetData sheetId="6811"/>
      <sheetData sheetId="6812">
        <row r="1">
          <cell r="A1" t="str">
            <v>CODE</v>
          </cell>
        </row>
      </sheetData>
      <sheetData sheetId="6813" refreshError="1"/>
      <sheetData sheetId="6814"/>
      <sheetData sheetId="6815"/>
      <sheetData sheetId="6816"/>
      <sheetData sheetId="6817">
        <row r="2">
          <cell r="A2" t="str">
            <v>A101001</v>
          </cell>
        </row>
      </sheetData>
      <sheetData sheetId="6818"/>
      <sheetData sheetId="6819">
        <row r="1">
          <cell r="A1" t="str">
            <v>CODE</v>
          </cell>
        </row>
      </sheetData>
      <sheetData sheetId="6820">
        <row r="1">
          <cell r="A1" t="str">
            <v>CODE</v>
          </cell>
        </row>
      </sheetData>
      <sheetData sheetId="6821">
        <row r="1">
          <cell r="A1" t="str">
            <v>Customer Name</v>
          </cell>
        </row>
      </sheetData>
      <sheetData sheetId="6822"/>
      <sheetData sheetId="6823">
        <row r="1">
          <cell r="A1" t="str">
            <v>CODE</v>
          </cell>
        </row>
      </sheetData>
      <sheetData sheetId="6824"/>
      <sheetData sheetId="6825">
        <row r="2">
          <cell r="F2" t="str">
            <v>Color Printer</v>
          </cell>
        </row>
      </sheetData>
      <sheetData sheetId="6826"/>
      <sheetData sheetId="6827">
        <row r="6">
          <cell r="I6" t="str">
            <v>2011</v>
          </cell>
        </row>
      </sheetData>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row r="1">
          <cell r="A1" t="str">
            <v>CODE</v>
          </cell>
        </row>
      </sheetData>
      <sheetData sheetId="6851"/>
      <sheetData sheetId="6852"/>
      <sheetData sheetId="6853"/>
      <sheetData sheetId="6854"/>
      <sheetData sheetId="6855"/>
      <sheetData sheetId="6856"/>
      <sheetData sheetId="6857">
        <row r="2">
          <cell r="A2" t="str">
            <v>A101001</v>
          </cell>
        </row>
      </sheetData>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refreshError="1"/>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sheetData sheetId="6888"/>
      <sheetData sheetId="6889"/>
      <sheetData sheetId="6890"/>
      <sheetData sheetId="6891"/>
      <sheetData sheetId="6892"/>
      <sheetData sheetId="6893"/>
      <sheetData sheetId="6894"/>
      <sheetData sheetId="6895"/>
      <sheetData sheetId="6896"/>
      <sheetData sheetId="6897"/>
      <sheetData sheetId="6898"/>
      <sheetData sheetId="6899"/>
      <sheetData sheetId="6900"/>
      <sheetData sheetId="6901"/>
      <sheetData sheetId="6902"/>
      <sheetData sheetId="6903"/>
      <sheetData sheetId="6904"/>
      <sheetData sheetId="6905"/>
      <sheetData sheetId="6906"/>
      <sheetData sheetId="6907"/>
      <sheetData sheetId="6908">
        <row r="2">
          <cell r="C2">
            <v>3.93</v>
          </cell>
        </row>
      </sheetData>
      <sheetData sheetId="6909"/>
      <sheetData sheetId="6910"/>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efreshError="1"/>
      <sheetData sheetId="6941" refreshError="1"/>
      <sheetData sheetId="6942" refreshError="1"/>
      <sheetData sheetId="6943" refreshError="1"/>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efreshError="1"/>
      <sheetData sheetId="7000" refreshError="1"/>
      <sheetData sheetId="7001" refreshError="1"/>
      <sheetData sheetId="7002" refreshError="1"/>
      <sheetData sheetId="7003" refreshError="1"/>
      <sheetData sheetId="7004" refreshError="1"/>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row r="1">
          <cell r="A1" t="str">
            <v>CODE</v>
          </cell>
        </row>
      </sheetData>
      <sheetData sheetId="7044">
        <row r="1">
          <cell r="A1" t="str">
            <v>CODE</v>
          </cell>
        </row>
      </sheetData>
      <sheetData sheetId="7045">
        <row r="1">
          <cell r="A1" t="str">
            <v>CODE</v>
          </cell>
        </row>
      </sheetData>
      <sheetData sheetId="7046" refreshError="1"/>
      <sheetData sheetId="7047">
        <row r="1">
          <cell r="A1" t="str">
            <v>CODE</v>
          </cell>
        </row>
      </sheetData>
      <sheetData sheetId="7048">
        <row r="1">
          <cell r="A1" t="str">
            <v>CODE</v>
          </cell>
        </row>
      </sheetData>
      <sheetData sheetId="7049">
        <row r="1">
          <cell r="A1" t="str">
            <v>CODE</v>
          </cell>
        </row>
      </sheetData>
      <sheetData sheetId="7050"/>
      <sheetData sheetId="7051">
        <row r="1">
          <cell r="A1" t="str">
            <v>CODE</v>
          </cell>
        </row>
      </sheetData>
      <sheetData sheetId="7052">
        <row r="1">
          <cell r="A1" t="str">
            <v>CODE</v>
          </cell>
        </row>
      </sheetData>
      <sheetData sheetId="7053"/>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sheetData sheetId="7076"/>
      <sheetData sheetId="7077"/>
      <sheetData sheetId="7078"/>
      <sheetData sheetId="7079"/>
      <sheetData sheetId="7080"/>
      <sheetData sheetId="7081"/>
      <sheetData sheetId="7082"/>
      <sheetData sheetId="7083"/>
      <sheetData sheetId="7084"/>
      <sheetData sheetId="7085" refreshError="1"/>
      <sheetData sheetId="7086">
        <row r="1">
          <cell r="E1" t="str">
            <v>digital code</v>
          </cell>
        </row>
      </sheetData>
      <sheetData sheetId="7087">
        <row r="1">
          <cell r="A1" t="str">
            <v>CODE</v>
          </cell>
        </row>
      </sheetData>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efreshError="1"/>
      <sheetData sheetId="7113" refreshError="1"/>
      <sheetData sheetId="7114" refreshError="1"/>
      <sheetData sheetId="7115" refreshError="1"/>
      <sheetData sheetId="7116" refreshError="1"/>
      <sheetData sheetId="7117" refreshError="1"/>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efreshError="1"/>
      <sheetData sheetId="7129" refreshError="1"/>
      <sheetData sheetId="7130" refreshError="1"/>
      <sheetData sheetId="7131" refreshError="1"/>
      <sheetData sheetId="7132" refreshError="1"/>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sheetData sheetId="7143"/>
      <sheetData sheetId="7144">
        <row r="2">
          <cell r="F2" t="str">
            <v>Color Printer</v>
          </cell>
        </row>
      </sheetData>
      <sheetData sheetId="7145">
        <row r="1">
          <cell r="A1" t="str">
            <v>CODE</v>
          </cell>
        </row>
      </sheetData>
      <sheetData sheetId="7146">
        <row r="1">
          <cell r="A1" t="str">
            <v>CODE</v>
          </cell>
        </row>
      </sheetData>
      <sheetData sheetId="7147"/>
      <sheetData sheetId="7148"/>
      <sheetData sheetId="7149">
        <row r="1">
          <cell r="A1" t="str">
            <v>CODE</v>
          </cell>
        </row>
      </sheetData>
      <sheetData sheetId="7150">
        <row r="1">
          <cell r="A1" t="str">
            <v>CODE</v>
          </cell>
        </row>
      </sheetData>
      <sheetData sheetId="7151">
        <row r="1">
          <cell r="A1" t="str">
            <v>CODE</v>
          </cell>
        </row>
      </sheetData>
      <sheetData sheetId="7152">
        <row r="1">
          <cell r="A1" t="str">
            <v>CODE</v>
          </cell>
        </row>
      </sheetData>
      <sheetData sheetId="7153">
        <row r="1">
          <cell r="A1" t="str">
            <v>CODE</v>
          </cell>
        </row>
      </sheetData>
      <sheetData sheetId="7154"/>
      <sheetData sheetId="7155">
        <row r="1">
          <cell r="A1" t="str">
            <v>CODE</v>
          </cell>
        </row>
      </sheetData>
      <sheetData sheetId="7156">
        <row r="1">
          <cell r="A1" t="str">
            <v>CODE</v>
          </cell>
        </row>
      </sheetData>
      <sheetData sheetId="7157"/>
      <sheetData sheetId="7158"/>
      <sheetData sheetId="7159"/>
      <sheetData sheetId="7160"/>
      <sheetData sheetId="7161"/>
      <sheetData sheetId="7162"/>
      <sheetData sheetId="7163">
        <row r="1">
          <cell r="A1" t="str">
            <v>CODE</v>
          </cell>
        </row>
      </sheetData>
      <sheetData sheetId="7164"/>
      <sheetData sheetId="7165"/>
      <sheetData sheetId="7166"/>
      <sheetData sheetId="7167">
        <row r="433">
          <cell r="F433">
            <v>0</v>
          </cell>
        </row>
      </sheetData>
      <sheetData sheetId="7168"/>
      <sheetData sheetId="7169"/>
      <sheetData sheetId="7170"/>
      <sheetData sheetId="7171"/>
      <sheetData sheetId="7172"/>
      <sheetData sheetId="7173"/>
      <sheetData sheetId="7174"/>
      <sheetData sheetId="7175"/>
      <sheetData sheetId="7176">
        <row r="1">
          <cell r="A1" t="str">
            <v>CODE</v>
          </cell>
        </row>
      </sheetData>
      <sheetData sheetId="7177">
        <row r="1">
          <cell r="A1" t="str">
            <v>CODE</v>
          </cell>
        </row>
      </sheetData>
      <sheetData sheetId="7178">
        <row r="1">
          <cell r="A1" t="str">
            <v>CODE</v>
          </cell>
        </row>
      </sheetData>
      <sheetData sheetId="7179">
        <row r="1">
          <cell r="A1" t="str">
            <v>CODE</v>
          </cell>
        </row>
      </sheetData>
      <sheetData sheetId="7180"/>
      <sheetData sheetId="7181"/>
      <sheetData sheetId="7182"/>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sheetData sheetId="7202"/>
      <sheetData sheetId="7203" refreshError="1"/>
      <sheetData sheetId="7204" refreshError="1"/>
      <sheetData sheetId="7205" refreshError="1"/>
      <sheetData sheetId="7206"/>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refreshError="1"/>
      <sheetData sheetId="7232" refreshError="1"/>
      <sheetData sheetId="7233" refreshError="1"/>
      <sheetData sheetId="7234" refreshError="1"/>
      <sheetData sheetId="7235" refreshError="1"/>
      <sheetData sheetId="7236" refreshError="1"/>
      <sheetData sheetId="7237"/>
      <sheetData sheetId="7238"/>
      <sheetData sheetId="7239"/>
      <sheetData sheetId="7240"/>
      <sheetData sheetId="7241"/>
      <sheetData sheetId="7242"/>
      <sheetData sheetId="7243"/>
      <sheetData sheetId="7244"/>
      <sheetData sheetId="7245"/>
      <sheetData sheetId="7246" refreshError="1"/>
      <sheetData sheetId="7247"/>
      <sheetData sheetId="7248"/>
      <sheetData sheetId="7249" refreshError="1"/>
      <sheetData sheetId="7250" refreshError="1"/>
      <sheetData sheetId="7251" refreshError="1"/>
      <sheetData sheetId="7252" refreshError="1"/>
      <sheetData sheetId="7253" refreshError="1"/>
      <sheetData sheetId="7254" refreshError="1"/>
      <sheetData sheetId="7255" refreshError="1"/>
      <sheetData sheetId="7256" refreshError="1"/>
      <sheetData sheetId="7257" refreshError="1"/>
      <sheetData sheetId="7258" refreshError="1"/>
      <sheetData sheetId="7259" refreshError="1"/>
      <sheetData sheetId="7260" refreshError="1"/>
      <sheetData sheetId="7261" refreshError="1"/>
      <sheetData sheetId="7262" refreshError="1"/>
      <sheetData sheetId="7263" refreshError="1"/>
      <sheetData sheetId="7264" refreshError="1"/>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refreshError="1"/>
      <sheetData sheetId="7276" refreshError="1"/>
      <sheetData sheetId="7277" refreshError="1"/>
      <sheetData sheetId="7278"/>
      <sheetData sheetId="7279"/>
      <sheetData sheetId="7280"/>
      <sheetData sheetId="7281"/>
      <sheetData sheetId="7282" refreshError="1"/>
      <sheetData sheetId="7283"/>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efreshError="1"/>
      <sheetData sheetId="7294" refreshError="1"/>
      <sheetData sheetId="7295" refreshError="1"/>
      <sheetData sheetId="7296" refreshError="1"/>
      <sheetData sheetId="7297" refreshError="1"/>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efreshError="1"/>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efreshError="1"/>
      <sheetData sheetId="7329" refreshError="1"/>
      <sheetData sheetId="7330" refreshError="1"/>
      <sheetData sheetId="7331" refreshError="1"/>
      <sheetData sheetId="7332"/>
      <sheetData sheetId="7333"/>
      <sheetData sheetId="7334"/>
      <sheetData sheetId="7335"/>
      <sheetData sheetId="7336" refreshError="1"/>
      <sheetData sheetId="7337" refreshError="1"/>
      <sheetData sheetId="7338" refreshError="1"/>
      <sheetData sheetId="7339"/>
      <sheetData sheetId="7340" refreshError="1"/>
      <sheetData sheetId="7341" refreshError="1"/>
      <sheetData sheetId="7342" refreshError="1"/>
      <sheetData sheetId="7343" refreshError="1"/>
      <sheetData sheetId="7344" refreshError="1"/>
      <sheetData sheetId="7345" refreshError="1"/>
      <sheetData sheetId="7346" refreshError="1"/>
      <sheetData sheetId="7347" refreshError="1"/>
      <sheetData sheetId="7348" refreshError="1"/>
      <sheetData sheetId="7349" refreshError="1"/>
      <sheetData sheetId="7350" refreshError="1"/>
      <sheetData sheetId="7351" refreshError="1"/>
      <sheetData sheetId="7352" refreshError="1"/>
      <sheetData sheetId="7353" refreshError="1"/>
      <sheetData sheetId="7354" refreshError="1"/>
      <sheetData sheetId="7355" refreshError="1"/>
      <sheetData sheetId="7356" refreshError="1"/>
      <sheetData sheetId="7357" refreshError="1"/>
      <sheetData sheetId="7358" refreshError="1"/>
      <sheetData sheetId="7359" refreshError="1"/>
      <sheetData sheetId="7360" refreshError="1"/>
      <sheetData sheetId="7361" refreshError="1"/>
      <sheetData sheetId="7362" refreshError="1"/>
      <sheetData sheetId="7363" refreshError="1"/>
      <sheetData sheetId="7364" refreshError="1"/>
      <sheetData sheetId="7365" refreshError="1"/>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efreshError="1"/>
      <sheetData sheetId="7395" refreshError="1"/>
      <sheetData sheetId="7396" refreshError="1"/>
      <sheetData sheetId="7397" refreshError="1"/>
      <sheetData sheetId="7398" refreshError="1"/>
      <sheetData sheetId="7399" refreshError="1"/>
      <sheetData sheetId="7400" refreshError="1"/>
      <sheetData sheetId="740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refreshError="1"/>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refreshError="1"/>
      <sheetData sheetId="7468" refreshError="1"/>
      <sheetData sheetId="7469" refreshError="1"/>
      <sheetData sheetId="7470" refreshError="1"/>
      <sheetData sheetId="7471" refreshError="1"/>
      <sheetData sheetId="7472" refreshError="1"/>
      <sheetData sheetId="7473" refreshError="1"/>
      <sheetData sheetId="7474" refreshError="1"/>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sheetData sheetId="7497"/>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refreshError="1"/>
      <sheetData sheetId="7510" refreshError="1"/>
      <sheetData sheetId="7511"/>
      <sheetData sheetId="7512"/>
      <sheetData sheetId="7513"/>
      <sheetData sheetId="7514"/>
      <sheetData sheetId="7515"/>
      <sheetData sheetId="7516" refreshError="1"/>
      <sheetData sheetId="7517"/>
      <sheetData sheetId="7518" refreshError="1"/>
      <sheetData sheetId="7519" refreshError="1"/>
      <sheetData sheetId="7520" refreshError="1"/>
      <sheetData sheetId="7521" refreshError="1"/>
      <sheetData sheetId="7522" refreshError="1"/>
      <sheetData sheetId="7523" refreshError="1"/>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sheetData sheetId="7548"/>
      <sheetData sheetId="7549"/>
      <sheetData sheetId="7550"/>
      <sheetData sheetId="7551"/>
      <sheetData sheetId="7552"/>
      <sheetData sheetId="7553"/>
      <sheetData sheetId="7554"/>
      <sheetData sheetId="7555"/>
      <sheetData sheetId="7556"/>
      <sheetData sheetId="7557" refreshError="1"/>
      <sheetData sheetId="7558" refreshError="1"/>
      <sheetData sheetId="7559" refreshError="1"/>
      <sheetData sheetId="7560"/>
      <sheetData sheetId="7561" refreshError="1"/>
      <sheetData sheetId="7562" refreshError="1"/>
      <sheetData sheetId="7563" refreshError="1"/>
      <sheetData sheetId="7564" refreshError="1"/>
      <sheetData sheetId="7565" refreshError="1"/>
      <sheetData sheetId="7566" refreshError="1"/>
      <sheetData sheetId="7567"/>
      <sheetData sheetId="7568" refreshError="1"/>
      <sheetData sheetId="7569" refreshError="1"/>
      <sheetData sheetId="7570" refreshError="1"/>
      <sheetData sheetId="7571" refreshError="1"/>
      <sheetData sheetId="7572" refreshError="1"/>
      <sheetData sheetId="7573" refreshError="1"/>
      <sheetData sheetId="7574" refreshError="1"/>
      <sheetData sheetId="7575" refreshError="1"/>
      <sheetData sheetId="7576" refreshError="1"/>
      <sheetData sheetId="7577" refreshError="1"/>
      <sheetData sheetId="7578" refreshError="1"/>
      <sheetData sheetId="7579" refreshError="1"/>
      <sheetData sheetId="7580" refreshError="1"/>
      <sheetData sheetId="7581" refreshError="1"/>
      <sheetData sheetId="7582" refreshError="1"/>
      <sheetData sheetId="7583" refreshError="1"/>
      <sheetData sheetId="7584"/>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sheetData sheetId="7594" refreshError="1"/>
      <sheetData sheetId="7595" refreshError="1"/>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refreshError="1"/>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sheetData sheetId="7616"/>
      <sheetData sheetId="7617"/>
      <sheetData sheetId="7618"/>
      <sheetData sheetId="7619"/>
      <sheetData sheetId="7620"/>
      <sheetData sheetId="7621"/>
      <sheetData sheetId="7622"/>
      <sheetData sheetId="7623"/>
      <sheetData sheetId="7624" refreshError="1"/>
      <sheetData sheetId="7625"/>
      <sheetData sheetId="7626" refreshError="1"/>
      <sheetData sheetId="7627"/>
      <sheetData sheetId="7628"/>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sheetData sheetId="7638" refreshError="1"/>
      <sheetData sheetId="7639" refreshError="1"/>
      <sheetData sheetId="7640" refreshError="1"/>
      <sheetData sheetId="7641" refreshError="1"/>
      <sheetData sheetId="7642" refreshError="1"/>
      <sheetData sheetId="7643"/>
      <sheetData sheetId="7644"/>
      <sheetData sheetId="7645"/>
      <sheetData sheetId="7646"/>
      <sheetData sheetId="7647"/>
      <sheetData sheetId="7648"/>
      <sheetData sheetId="7649"/>
      <sheetData sheetId="7650"/>
      <sheetData sheetId="7651"/>
      <sheetData sheetId="7652"/>
      <sheetData sheetId="7653"/>
      <sheetData sheetId="7654" refreshError="1"/>
      <sheetData sheetId="7655" refreshError="1"/>
      <sheetData sheetId="7656" refreshError="1"/>
      <sheetData sheetId="7657" refreshError="1"/>
      <sheetData sheetId="7658" refreshError="1"/>
      <sheetData sheetId="7659"/>
      <sheetData sheetId="7660" refreshError="1"/>
      <sheetData sheetId="7661" refreshError="1"/>
      <sheetData sheetId="7662" refreshError="1"/>
      <sheetData sheetId="7663" refreshError="1"/>
      <sheetData sheetId="7664" refreshError="1"/>
      <sheetData sheetId="7665" refreshError="1"/>
      <sheetData sheetId="7666" refreshError="1"/>
      <sheetData sheetId="7667" refreshError="1"/>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efreshError="1"/>
      <sheetData sheetId="7689" refreshError="1"/>
      <sheetData sheetId="7690" refreshError="1"/>
      <sheetData sheetId="7691" refreshError="1"/>
      <sheetData sheetId="7692" refreshError="1"/>
      <sheetData sheetId="7693" refreshError="1"/>
      <sheetData sheetId="7694" refreshError="1"/>
      <sheetData sheetId="7695" refreshError="1"/>
      <sheetData sheetId="7696" refreshError="1"/>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efreshError="1"/>
      <sheetData sheetId="7706" refreshError="1"/>
      <sheetData sheetId="7707" refreshError="1"/>
      <sheetData sheetId="7708" refreshError="1"/>
      <sheetData sheetId="7709" refreshError="1"/>
      <sheetData sheetId="7710" refreshError="1"/>
      <sheetData sheetId="7711" refreshError="1"/>
      <sheetData sheetId="7712" refreshError="1"/>
      <sheetData sheetId="7713" refreshError="1"/>
      <sheetData sheetId="7714" refreshError="1"/>
      <sheetData sheetId="7715" refreshError="1"/>
      <sheetData sheetId="7716" refreshError="1"/>
      <sheetData sheetId="7717" refreshError="1"/>
      <sheetData sheetId="7718" refreshError="1"/>
      <sheetData sheetId="7719" refreshError="1"/>
      <sheetData sheetId="7720" refreshError="1"/>
      <sheetData sheetId="7721" refreshError="1"/>
      <sheetData sheetId="7722" refreshError="1"/>
      <sheetData sheetId="7723" refreshError="1"/>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 sheetId="7751" refreshError="1"/>
      <sheetData sheetId="7752" refreshError="1"/>
      <sheetData sheetId="7753" refreshError="1"/>
      <sheetData sheetId="7754" refreshError="1"/>
      <sheetData sheetId="7755"/>
      <sheetData sheetId="7756" refreshError="1"/>
      <sheetData sheetId="7757" refreshError="1"/>
      <sheetData sheetId="7758" refreshError="1"/>
      <sheetData sheetId="7759" refreshError="1"/>
      <sheetData sheetId="7760" refreshError="1"/>
      <sheetData sheetId="7761" refreshError="1"/>
      <sheetData sheetId="7762" refreshError="1"/>
      <sheetData sheetId="7763" refreshError="1"/>
      <sheetData sheetId="7764">
        <row r="3">
          <cell r="B3">
            <v>10013000</v>
          </cell>
        </row>
      </sheetData>
      <sheetData sheetId="7765" refreshError="1"/>
      <sheetData sheetId="7766" refreshError="1"/>
      <sheetData sheetId="7767" refreshError="1"/>
      <sheetData sheetId="7768" refreshError="1"/>
      <sheetData sheetId="7769">
        <row r="1">
          <cell r="A1" t="str">
            <v>GACC</v>
          </cell>
        </row>
      </sheetData>
      <sheetData sheetId="7770">
        <row r="1">
          <cell r="A1" t="str">
            <v>GACC</v>
          </cell>
        </row>
      </sheetData>
      <sheetData sheetId="7771">
        <row r="1">
          <cell r="B1" t="str">
            <v>CFPROD</v>
          </cell>
        </row>
      </sheetData>
      <sheetData sheetId="7772" refreshError="1"/>
      <sheetData sheetId="7773" refreshError="1"/>
      <sheetData sheetId="7774">
        <row r="1">
          <cell r="A1" t="str">
            <v>GACC</v>
          </cell>
        </row>
      </sheetData>
      <sheetData sheetId="7775">
        <row r="1">
          <cell r="A1" t="str">
            <v>GACC</v>
          </cell>
        </row>
      </sheetData>
      <sheetData sheetId="7776">
        <row r="2">
          <cell r="A2">
            <v>433969</v>
          </cell>
        </row>
      </sheetData>
      <sheetData sheetId="7777">
        <row r="2">
          <cell r="A2">
            <v>433969</v>
          </cell>
        </row>
      </sheetData>
      <sheetData sheetId="7778">
        <row r="3">
          <cell r="B3">
            <v>10013000</v>
          </cell>
        </row>
      </sheetData>
      <sheetData sheetId="7779">
        <row r="1">
          <cell r="H1" t="str">
            <v>Syngenta New Zealand</v>
          </cell>
        </row>
      </sheetData>
      <sheetData sheetId="7780">
        <row r="1">
          <cell r="A1" t="str">
            <v>GACC</v>
          </cell>
        </row>
      </sheetData>
      <sheetData sheetId="7781">
        <row r="2">
          <cell r="A2" t="str">
            <v>GSAP COST CENTRES- 1 AUGUST 2005</v>
          </cell>
        </row>
      </sheetData>
      <sheetData sheetId="7782" refreshError="1"/>
      <sheetData sheetId="7783" refreshError="1"/>
      <sheetData sheetId="7784">
        <row r="1">
          <cell r="A1" t="str">
            <v>FIN.Transaction Amount</v>
          </cell>
        </row>
      </sheetData>
      <sheetData sheetId="7785" refreshError="1"/>
      <sheetData sheetId="7786" refreshError="1"/>
      <sheetData sheetId="7787" refreshError="1"/>
      <sheetData sheetId="7788" refreshError="1"/>
      <sheetData sheetId="7789" refreshError="1"/>
      <sheetData sheetId="7790" refreshError="1"/>
      <sheetData sheetId="7791">
        <row r="2">
          <cell r="A2" t="str">
            <v>GSAP COST CENTRES- 1 AUGUST 2005</v>
          </cell>
        </row>
      </sheetData>
      <sheetData sheetId="7792" refreshError="1"/>
      <sheetData sheetId="7793" refreshError="1"/>
      <sheetData sheetId="7794" refreshError="1"/>
      <sheetData sheetId="7795">
        <row r="1">
          <cell r="B1" t="str">
            <v>CFPROD</v>
          </cell>
        </row>
      </sheetData>
      <sheetData sheetId="7796">
        <row r="1">
          <cell r="B1" t="str">
            <v>CFPROD</v>
          </cell>
        </row>
      </sheetData>
      <sheetData sheetId="7797">
        <row r="3">
          <cell r="A3">
            <v>70556</v>
          </cell>
        </row>
      </sheetData>
      <sheetData sheetId="7798">
        <row r="3">
          <cell r="A3">
            <v>70556</v>
          </cell>
        </row>
      </sheetData>
      <sheetData sheetId="7799"/>
      <sheetData sheetId="7800">
        <row r="3">
          <cell r="A3">
            <v>70556</v>
          </cell>
        </row>
      </sheetData>
      <sheetData sheetId="7801" refreshError="1"/>
      <sheetData sheetId="7802" refreshError="1"/>
      <sheetData sheetId="7803" refreshError="1"/>
      <sheetData sheetId="7804" refreshError="1"/>
      <sheetData sheetId="7805">
        <row r="3">
          <cell r="A3">
            <v>70556</v>
          </cell>
        </row>
      </sheetData>
      <sheetData sheetId="7806"/>
      <sheetData sheetId="7807">
        <row r="3">
          <cell r="A3">
            <v>70556</v>
          </cell>
        </row>
      </sheetData>
      <sheetData sheetId="7808"/>
      <sheetData sheetId="7809">
        <row r="2">
          <cell r="C2" t="str">
            <v>China</v>
          </cell>
        </row>
      </sheetData>
      <sheetData sheetId="7810" refreshError="1"/>
      <sheetData sheetId="7811" refreshError="1"/>
      <sheetData sheetId="7812" refreshError="1"/>
      <sheetData sheetId="7813" refreshError="1"/>
      <sheetData sheetId="7814" refreshError="1"/>
      <sheetData sheetId="7815" refreshError="1"/>
      <sheetData sheetId="7816" refreshError="1"/>
      <sheetData sheetId="7817" refreshError="1"/>
      <sheetData sheetId="7818" refreshError="1"/>
      <sheetData sheetId="7819" refreshError="1"/>
      <sheetData sheetId="7820" refreshError="1"/>
      <sheetData sheetId="7821" refreshError="1"/>
      <sheetData sheetId="7822">
        <row r="1">
          <cell r="A1" t="str">
            <v>FIN.Transaction Amount</v>
          </cell>
        </row>
      </sheetData>
      <sheetData sheetId="7823" refreshError="1"/>
      <sheetData sheetId="7824">
        <row r="1">
          <cell r="A1" t="str">
            <v>SYNGENTA CROP PROTECTION AUSTRALIA BORROWINGS ($ Mio.)</v>
          </cell>
        </row>
      </sheetData>
      <sheetData sheetId="7825" refreshError="1"/>
      <sheetData sheetId="7826"/>
      <sheetData sheetId="7827" refreshError="1"/>
      <sheetData sheetId="7828"/>
      <sheetData sheetId="7829" refreshError="1"/>
      <sheetData sheetId="7830" refreshError="1"/>
      <sheetData sheetId="7831" refreshError="1"/>
      <sheetData sheetId="7832" refreshError="1"/>
      <sheetData sheetId="7833" refreshError="1"/>
      <sheetData sheetId="7834" refreshError="1"/>
      <sheetData sheetId="7835" refreshError="1"/>
      <sheetData sheetId="7836" refreshError="1"/>
      <sheetData sheetId="7837" refreshError="1"/>
      <sheetData sheetId="7838" refreshError="1"/>
      <sheetData sheetId="7839" refreshError="1"/>
      <sheetData sheetId="7840" refreshError="1"/>
      <sheetData sheetId="7841" refreshError="1"/>
      <sheetData sheetId="7842" refreshError="1"/>
      <sheetData sheetId="7843"/>
      <sheetData sheetId="7844" refreshError="1"/>
      <sheetData sheetId="7845" refreshError="1"/>
      <sheetData sheetId="7846" refreshError="1"/>
      <sheetData sheetId="7847" refreshError="1"/>
      <sheetData sheetId="7848" refreshError="1"/>
      <sheetData sheetId="7849" refreshError="1"/>
      <sheetData sheetId="7850" refreshError="1"/>
      <sheetData sheetId="7851" refreshError="1"/>
      <sheetData sheetId="7852" refreshError="1"/>
      <sheetData sheetId="7853" refreshError="1"/>
      <sheetData sheetId="7854" refreshError="1"/>
      <sheetData sheetId="7855" refreshError="1"/>
      <sheetData sheetId="7856" refreshError="1"/>
      <sheetData sheetId="7857" refreshError="1"/>
      <sheetData sheetId="7858">
        <row r="1">
          <cell r="A1" t="str">
            <v>Transaction Amount</v>
          </cell>
        </row>
      </sheetData>
      <sheetData sheetId="7859" refreshError="1"/>
      <sheetData sheetId="7860" refreshError="1"/>
      <sheetData sheetId="7861" refreshError="1"/>
      <sheetData sheetId="7862">
        <row r="1">
          <cell r="B1" t="str">
            <v>CFPROD</v>
          </cell>
        </row>
      </sheetData>
      <sheetData sheetId="7863">
        <row r="1">
          <cell r="B1" t="str">
            <v>CFPROD</v>
          </cell>
        </row>
      </sheetData>
      <sheetData sheetId="7864"/>
      <sheetData sheetId="7865"/>
      <sheetData sheetId="7866"/>
      <sheetData sheetId="7867"/>
      <sheetData sheetId="7868"/>
      <sheetData sheetId="7869"/>
      <sheetData sheetId="7870">
        <row r="1">
          <cell r="B1" t="str">
            <v>CFPROD</v>
          </cell>
        </row>
      </sheetData>
      <sheetData sheetId="7871">
        <row r="1">
          <cell r="B1" t="str">
            <v>CFPROD</v>
          </cell>
        </row>
      </sheetData>
      <sheetData sheetId="7872"/>
      <sheetData sheetId="7873"/>
      <sheetData sheetId="7874" refreshError="1"/>
      <sheetData sheetId="7875" refreshError="1"/>
      <sheetData sheetId="7876" refreshError="1"/>
      <sheetData sheetId="7877" refreshError="1"/>
      <sheetData sheetId="7878" refreshError="1"/>
      <sheetData sheetId="7879" refreshError="1"/>
      <sheetData sheetId="7880" refreshError="1"/>
      <sheetData sheetId="7881">
        <row r="1">
          <cell r="B1" t="str">
            <v>CFPROD</v>
          </cell>
        </row>
      </sheetData>
      <sheetData sheetId="7882" refreshError="1"/>
      <sheetData sheetId="7883" refreshError="1"/>
      <sheetData sheetId="7884" refreshError="1"/>
      <sheetData sheetId="7885">
        <row r="1">
          <cell r="B1" t="str">
            <v>CFPROD</v>
          </cell>
        </row>
      </sheetData>
      <sheetData sheetId="7886">
        <row r="1">
          <cell r="B1" t="str">
            <v>CFPROD</v>
          </cell>
        </row>
      </sheetData>
      <sheetData sheetId="7887">
        <row r="1">
          <cell r="A1" t="str">
            <v>CODE</v>
          </cell>
        </row>
      </sheetData>
      <sheetData sheetId="7888"/>
      <sheetData sheetId="7889" refreshError="1"/>
      <sheetData sheetId="7890"/>
      <sheetData sheetId="7891">
        <row r="1">
          <cell r="B1" t="str">
            <v>CFPROD</v>
          </cell>
        </row>
      </sheetData>
      <sheetData sheetId="7892"/>
      <sheetData sheetId="7893"/>
      <sheetData sheetId="7894"/>
      <sheetData sheetId="7895"/>
      <sheetData sheetId="7896"/>
      <sheetData sheetId="7897"/>
      <sheetData sheetId="7898"/>
      <sheetData sheetId="7899">
        <row r="1">
          <cell r="B1" t="str">
            <v>CFPROD</v>
          </cell>
        </row>
      </sheetData>
      <sheetData sheetId="7900"/>
      <sheetData sheetId="7901"/>
      <sheetData sheetId="7902"/>
      <sheetData sheetId="7903"/>
      <sheetData sheetId="7904"/>
      <sheetData sheetId="7905"/>
      <sheetData sheetId="7906"/>
      <sheetData sheetId="7907"/>
      <sheetData sheetId="7908"/>
      <sheetData sheetId="7909"/>
      <sheetData sheetId="7910"/>
      <sheetData sheetId="7911"/>
      <sheetData sheetId="7912"/>
      <sheetData sheetId="7913"/>
      <sheetData sheetId="7914"/>
      <sheetData sheetId="7915"/>
      <sheetData sheetId="7916"/>
      <sheetData sheetId="7917"/>
      <sheetData sheetId="7918"/>
      <sheetData sheetId="7919"/>
      <sheetData sheetId="7920" refreshError="1"/>
      <sheetData sheetId="7921" refreshError="1"/>
      <sheetData sheetId="7922" refreshError="1"/>
      <sheetData sheetId="7923" refreshError="1"/>
      <sheetData sheetId="7924" refreshError="1"/>
      <sheetData sheetId="7925" refreshError="1"/>
      <sheetData sheetId="7926" refreshError="1"/>
      <sheetData sheetId="7927" refreshError="1"/>
      <sheetData sheetId="7928" refreshError="1"/>
      <sheetData sheetId="7929" refreshError="1"/>
      <sheetData sheetId="7930" refreshError="1"/>
      <sheetData sheetId="7931" refreshError="1"/>
      <sheetData sheetId="7932" refreshError="1"/>
      <sheetData sheetId="7933" refreshError="1"/>
      <sheetData sheetId="7934" refreshError="1"/>
      <sheetData sheetId="7935" refreshError="1"/>
      <sheetData sheetId="7936" refreshError="1"/>
      <sheetData sheetId="7937" refreshError="1"/>
      <sheetData sheetId="7938" refreshError="1"/>
      <sheetData sheetId="7939" refreshError="1"/>
      <sheetData sheetId="7940" refreshError="1"/>
      <sheetData sheetId="7941" refreshError="1"/>
      <sheetData sheetId="7942" refreshError="1"/>
      <sheetData sheetId="7943" refreshError="1"/>
      <sheetData sheetId="7944" refreshError="1"/>
      <sheetData sheetId="7945" refreshError="1"/>
      <sheetData sheetId="7946" refreshError="1"/>
      <sheetData sheetId="7947" refreshError="1"/>
      <sheetData sheetId="7948" refreshError="1"/>
      <sheetData sheetId="7949" refreshError="1"/>
      <sheetData sheetId="7950"/>
      <sheetData sheetId="7951" refreshError="1"/>
      <sheetData sheetId="7952" refreshError="1"/>
      <sheetData sheetId="7953" refreshError="1"/>
      <sheetData sheetId="7954" refreshError="1"/>
      <sheetData sheetId="7955"/>
      <sheetData sheetId="7956" refreshError="1"/>
      <sheetData sheetId="7957"/>
      <sheetData sheetId="7958"/>
      <sheetData sheetId="7959"/>
      <sheetData sheetId="7960" refreshError="1"/>
      <sheetData sheetId="7961" refreshError="1"/>
      <sheetData sheetId="7962" refreshError="1"/>
      <sheetData sheetId="7963"/>
      <sheetData sheetId="7964"/>
      <sheetData sheetId="7965"/>
      <sheetData sheetId="7966"/>
      <sheetData sheetId="7967"/>
      <sheetData sheetId="7968"/>
      <sheetData sheetId="7969"/>
      <sheetData sheetId="7970"/>
      <sheetData sheetId="7971"/>
      <sheetData sheetId="7972"/>
      <sheetData sheetId="7973"/>
      <sheetData sheetId="7974"/>
      <sheetData sheetId="7975"/>
      <sheetData sheetId="7976"/>
      <sheetData sheetId="7977"/>
      <sheetData sheetId="7978"/>
      <sheetData sheetId="7979"/>
      <sheetData sheetId="7980"/>
      <sheetData sheetId="7981"/>
      <sheetData sheetId="7982"/>
      <sheetData sheetId="7983"/>
      <sheetData sheetId="7984"/>
      <sheetData sheetId="7985"/>
      <sheetData sheetId="7986"/>
      <sheetData sheetId="7987"/>
      <sheetData sheetId="7988"/>
      <sheetData sheetId="7989"/>
      <sheetData sheetId="7990"/>
      <sheetData sheetId="7991"/>
      <sheetData sheetId="7992"/>
      <sheetData sheetId="7993"/>
      <sheetData sheetId="7994"/>
      <sheetData sheetId="7995"/>
      <sheetData sheetId="7996"/>
      <sheetData sheetId="7997"/>
      <sheetData sheetId="7998"/>
      <sheetData sheetId="7999"/>
      <sheetData sheetId="8000"/>
      <sheetData sheetId="8001"/>
      <sheetData sheetId="8002"/>
      <sheetData sheetId="8003"/>
      <sheetData sheetId="8004"/>
      <sheetData sheetId="8005"/>
      <sheetData sheetId="8006"/>
      <sheetData sheetId="8007"/>
      <sheetData sheetId="8008"/>
      <sheetData sheetId="8009"/>
      <sheetData sheetId="8010"/>
      <sheetData sheetId="8011"/>
      <sheetData sheetId="8012"/>
      <sheetData sheetId="8013"/>
      <sheetData sheetId="8014"/>
      <sheetData sheetId="8015"/>
      <sheetData sheetId="8016"/>
      <sheetData sheetId="8017"/>
      <sheetData sheetId="8018"/>
      <sheetData sheetId="8019"/>
      <sheetData sheetId="8020"/>
      <sheetData sheetId="8021"/>
      <sheetData sheetId="8022"/>
      <sheetData sheetId="8023"/>
      <sheetData sheetId="8024"/>
      <sheetData sheetId="8025"/>
      <sheetData sheetId="8026"/>
      <sheetData sheetId="8027"/>
      <sheetData sheetId="8028"/>
      <sheetData sheetId="8029"/>
      <sheetData sheetId="8030"/>
      <sheetData sheetId="8031"/>
      <sheetData sheetId="8032"/>
      <sheetData sheetId="8033"/>
      <sheetData sheetId="8034">
        <row r="1">
          <cell r="A1" t="str">
            <v>GACC</v>
          </cell>
        </row>
      </sheetData>
      <sheetData sheetId="8035" refreshError="1"/>
      <sheetData sheetId="8036"/>
      <sheetData sheetId="8037" refreshError="1"/>
      <sheetData sheetId="8038" refreshError="1"/>
      <sheetData sheetId="8039" refreshError="1"/>
      <sheetData sheetId="8040" refreshError="1"/>
      <sheetData sheetId="8041" refreshError="1"/>
      <sheetData sheetId="8042" refreshError="1"/>
      <sheetData sheetId="8043" refreshError="1"/>
      <sheetData sheetId="8044" refreshError="1"/>
      <sheetData sheetId="8045" refreshError="1"/>
      <sheetData sheetId="8046" refreshError="1"/>
      <sheetData sheetId="8047" refreshError="1"/>
      <sheetData sheetId="8048" refreshError="1"/>
      <sheetData sheetId="8049" refreshError="1"/>
      <sheetData sheetId="8050" refreshError="1"/>
      <sheetData sheetId="8051" refreshError="1"/>
      <sheetData sheetId="8052" refreshError="1"/>
      <sheetData sheetId="8053" refreshError="1"/>
      <sheetData sheetId="8054" refreshError="1"/>
      <sheetData sheetId="8055" refreshError="1"/>
      <sheetData sheetId="8056" refreshError="1"/>
      <sheetData sheetId="8057" refreshError="1"/>
      <sheetData sheetId="8058" refreshError="1"/>
      <sheetData sheetId="8059" refreshError="1"/>
      <sheetData sheetId="8060" refreshError="1"/>
      <sheetData sheetId="8061" refreshError="1"/>
      <sheetData sheetId="8062" refreshError="1"/>
      <sheetData sheetId="8063" refreshError="1"/>
      <sheetData sheetId="8064" refreshError="1"/>
      <sheetData sheetId="8065" refreshError="1"/>
      <sheetData sheetId="8066" refreshError="1"/>
      <sheetData sheetId="8067" refreshError="1"/>
      <sheetData sheetId="8068" refreshError="1"/>
      <sheetData sheetId="8069" refreshError="1"/>
      <sheetData sheetId="8070" refreshError="1"/>
      <sheetData sheetId="8071" refreshError="1"/>
      <sheetData sheetId="8072" refreshError="1"/>
      <sheetData sheetId="8073" refreshError="1"/>
      <sheetData sheetId="8074" refreshError="1"/>
      <sheetData sheetId="8075" refreshError="1"/>
      <sheetData sheetId="8076" refreshError="1"/>
      <sheetData sheetId="8077" refreshError="1"/>
      <sheetData sheetId="8078" refreshError="1"/>
      <sheetData sheetId="8079" refreshError="1"/>
      <sheetData sheetId="8080" refreshError="1"/>
      <sheetData sheetId="8081" refreshError="1"/>
      <sheetData sheetId="8082" refreshError="1"/>
      <sheetData sheetId="8083" refreshError="1"/>
      <sheetData sheetId="8084" refreshError="1"/>
      <sheetData sheetId="8085" refreshError="1"/>
      <sheetData sheetId="8086" refreshError="1"/>
      <sheetData sheetId="8087" refreshError="1"/>
      <sheetData sheetId="8088" refreshError="1"/>
      <sheetData sheetId="8089" refreshError="1"/>
      <sheetData sheetId="8090" refreshError="1"/>
      <sheetData sheetId="8091" refreshError="1"/>
      <sheetData sheetId="8092" refreshError="1"/>
      <sheetData sheetId="8093" refreshError="1"/>
      <sheetData sheetId="8094" refreshError="1"/>
      <sheetData sheetId="8095" refreshError="1"/>
      <sheetData sheetId="8096" refreshError="1"/>
      <sheetData sheetId="8097" refreshError="1"/>
      <sheetData sheetId="8098" refreshError="1"/>
      <sheetData sheetId="8099" refreshError="1"/>
      <sheetData sheetId="8100" refreshError="1"/>
      <sheetData sheetId="8101" refreshError="1"/>
      <sheetData sheetId="8102" refreshError="1"/>
      <sheetData sheetId="8103" refreshError="1"/>
      <sheetData sheetId="8104" refreshError="1"/>
      <sheetData sheetId="8105" refreshError="1"/>
      <sheetData sheetId="8106" refreshError="1"/>
      <sheetData sheetId="8107" refreshError="1"/>
      <sheetData sheetId="8108" refreshError="1"/>
      <sheetData sheetId="8109" refreshError="1"/>
      <sheetData sheetId="8110" refreshError="1"/>
      <sheetData sheetId="8111" refreshError="1"/>
      <sheetData sheetId="8112" refreshError="1"/>
      <sheetData sheetId="8113" refreshError="1"/>
      <sheetData sheetId="8114" refreshError="1"/>
      <sheetData sheetId="8115" refreshError="1"/>
      <sheetData sheetId="8116" refreshError="1"/>
      <sheetData sheetId="8117" refreshError="1"/>
      <sheetData sheetId="8118" refreshError="1"/>
      <sheetData sheetId="8119" refreshError="1"/>
      <sheetData sheetId="8120" refreshError="1"/>
      <sheetData sheetId="8121" refreshError="1"/>
      <sheetData sheetId="8122" refreshError="1"/>
      <sheetData sheetId="8123" refreshError="1"/>
      <sheetData sheetId="8124" refreshError="1"/>
      <sheetData sheetId="8125" refreshError="1"/>
      <sheetData sheetId="8126" refreshError="1"/>
      <sheetData sheetId="8127" refreshError="1"/>
      <sheetData sheetId="8128" refreshError="1"/>
      <sheetData sheetId="8129" refreshError="1"/>
      <sheetData sheetId="8130" refreshError="1"/>
      <sheetData sheetId="8131" refreshError="1"/>
      <sheetData sheetId="8132" refreshError="1"/>
      <sheetData sheetId="8133" refreshError="1"/>
      <sheetData sheetId="8134" refreshError="1"/>
      <sheetData sheetId="8135" refreshError="1"/>
      <sheetData sheetId="8136" refreshError="1"/>
      <sheetData sheetId="8137" refreshError="1"/>
      <sheetData sheetId="8138" refreshError="1"/>
      <sheetData sheetId="8139" refreshError="1"/>
      <sheetData sheetId="8140" refreshError="1"/>
      <sheetData sheetId="8141" refreshError="1"/>
      <sheetData sheetId="8142" refreshError="1"/>
      <sheetData sheetId="8143" refreshError="1"/>
      <sheetData sheetId="8144" refreshError="1"/>
      <sheetData sheetId="8145" refreshError="1"/>
      <sheetData sheetId="8146" refreshError="1"/>
      <sheetData sheetId="8147">
        <row r="1">
          <cell r="A1" t="str">
            <v>Sheet Index:</v>
          </cell>
        </row>
      </sheetData>
      <sheetData sheetId="8148">
        <row r="2">
          <cell r="O2" t="str">
            <v>データ</v>
          </cell>
        </row>
      </sheetData>
      <sheetData sheetId="8149">
        <row r="2">
          <cell r="O2" t="str">
            <v>データ</v>
          </cell>
        </row>
      </sheetData>
      <sheetData sheetId="8150"/>
      <sheetData sheetId="8151"/>
      <sheetData sheetId="8152"/>
      <sheetData sheetId="8153"/>
      <sheetData sheetId="8154">
        <row r="7">
          <cell r="A7" t="str">
            <v>MATCH KEY</v>
          </cell>
        </row>
      </sheetData>
      <sheetData sheetId="8155">
        <row r="7">
          <cell r="A7" t="str">
            <v>MATCH KEY</v>
          </cell>
        </row>
      </sheetData>
      <sheetData sheetId="8156">
        <row r="1">
          <cell r="A1" t="str">
            <v>Sheet Index:</v>
          </cell>
        </row>
      </sheetData>
      <sheetData sheetId="8157">
        <row r="4">
          <cell r="D4">
            <v>0.19</v>
          </cell>
        </row>
      </sheetData>
      <sheetData sheetId="8158">
        <row r="2">
          <cell r="H2" t="str">
            <v>India Countrywide</v>
          </cell>
        </row>
      </sheetData>
      <sheetData sheetId="8159"/>
      <sheetData sheetId="8160"/>
      <sheetData sheetId="8161"/>
      <sheetData sheetId="8162"/>
      <sheetData sheetId="8163"/>
      <sheetData sheetId="8164"/>
      <sheetData sheetId="8165"/>
      <sheetData sheetId="8166"/>
      <sheetData sheetId="8167"/>
      <sheetData sheetId="8168"/>
      <sheetData sheetId="8169"/>
      <sheetData sheetId="8170"/>
      <sheetData sheetId="8171"/>
      <sheetData sheetId="8172"/>
      <sheetData sheetId="8173"/>
      <sheetData sheetId="8174"/>
      <sheetData sheetId="8175"/>
      <sheetData sheetId="8176"/>
      <sheetData sheetId="8177"/>
      <sheetData sheetId="8178"/>
      <sheetData sheetId="8179"/>
      <sheetData sheetId="8180">
        <row r="3">
          <cell r="B3">
            <v>10013000</v>
          </cell>
        </row>
      </sheetData>
      <sheetData sheetId="8181"/>
      <sheetData sheetId="8182"/>
      <sheetData sheetId="8183">
        <row r="8">
          <cell r="B8">
            <v>22303773</v>
          </cell>
        </row>
      </sheetData>
      <sheetData sheetId="8184"/>
      <sheetData sheetId="8185">
        <row r="1">
          <cell r="A1" t="str">
            <v>GACC</v>
          </cell>
        </row>
      </sheetData>
      <sheetData sheetId="8186">
        <row r="2">
          <cell r="A2">
            <v>433969</v>
          </cell>
        </row>
      </sheetData>
      <sheetData sheetId="8187">
        <row r="2">
          <cell r="A2">
            <v>433969</v>
          </cell>
        </row>
      </sheetData>
      <sheetData sheetId="8188">
        <row r="3">
          <cell r="B3">
            <v>10013000</v>
          </cell>
        </row>
      </sheetData>
      <sheetData sheetId="8189">
        <row r="1">
          <cell r="A1" t="str">
            <v>GACC</v>
          </cell>
        </row>
      </sheetData>
      <sheetData sheetId="8190">
        <row r="1">
          <cell r="A1" t="str">
            <v>GACC</v>
          </cell>
        </row>
      </sheetData>
      <sheetData sheetId="8191">
        <row r="2">
          <cell r="A2" t="str">
            <v>GSAP COST CENTRES- 1 AUGUST 2005</v>
          </cell>
        </row>
      </sheetData>
      <sheetData sheetId="8192"/>
      <sheetData sheetId="8193"/>
      <sheetData sheetId="8194">
        <row r="1">
          <cell r="A1" t="str">
            <v>GACC</v>
          </cell>
        </row>
      </sheetData>
      <sheetData sheetId="8195">
        <row r="1">
          <cell r="A1" t="str">
            <v>GACC</v>
          </cell>
        </row>
      </sheetData>
      <sheetData sheetId="8196">
        <row r="2">
          <cell r="A2">
            <v>433969</v>
          </cell>
        </row>
      </sheetData>
      <sheetData sheetId="8197">
        <row r="2">
          <cell r="A2">
            <v>433969</v>
          </cell>
        </row>
      </sheetData>
      <sheetData sheetId="8198">
        <row r="3">
          <cell r="B3">
            <v>10013000</v>
          </cell>
        </row>
      </sheetData>
      <sheetData sheetId="8199">
        <row r="1">
          <cell r="H1" t="str">
            <v>Syngenta New Zealand</v>
          </cell>
        </row>
      </sheetData>
      <sheetData sheetId="8200">
        <row r="1">
          <cell r="A1" t="str">
            <v>GACC</v>
          </cell>
        </row>
      </sheetData>
      <sheetData sheetId="8201">
        <row r="2">
          <cell r="A2" t="str">
            <v>GSAP COST CENTRES- 1 AUGUST 2005</v>
          </cell>
        </row>
      </sheetData>
      <sheetData sheetId="8202"/>
      <sheetData sheetId="8203"/>
      <sheetData sheetId="8204">
        <row r="1">
          <cell r="A1" t="str">
            <v>FIN.Transaction Amount</v>
          </cell>
        </row>
      </sheetData>
      <sheetData sheetId="8205"/>
      <sheetData sheetId="8206"/>
      <sheetData sheetId="8207"/>
      <sheetData sheetId="8208"/>
      <sheetData sheetId="8209"/>
      <sheetData sheetId="8210" refreshError="1"/>
      <sheetData sheetId="8211" refreshError="1"/>
      <sheetData sheetId="8212" refreshError="1"/>
      <sheetData sheetId="8213" refreshError="1"/>
      <sheetData sheetId="8214" refreshError="1"/>
      <sheetData sheetId="8215" refreshError="1"/>
      <sheetData sheetId="8216" refreshError="1"/>
      <sheetData sheetId="8217" refreshError="1"/>
      <sheetData sheetId="8218" refreshError="1"/>
      <sheetData sheetId="8219" refreshError="1"/>
      <sheetData sheetId="8220" refreshError="1"/>
      <sheetData sheetId="8221" refreshError="1"/>
      <sheetData sheetId="8222" refreshError="1"/>
      <sheetData sheetId="8223" refreshError="1"/>
      <sheetData sheetId="8224" refreshError="1"/>
      <sheetData sheetId="8225" refreshError="1"/>
      <sheetData sheetId="8226" refreshError="1"/>
      <sheetData sheetId="8227" refreshError="1"/>
      <sheetData sheetId="8228" refreshError="1"/>
      <sheetData sheetId="8229" refreshError="1"/>
      <sheetData sheetId="8230" refreshError="1"/>
      <sheetData sheetId="8231" refreshError="1"/>
      <sheetData sheetId="8232" refreshError="1"/>
      <sheetData sheetId="8233" refreshError="1"/>
      <sheetData sheetId="8234" refreshError="1"/>
      <sheetData sheetId="8235" refreshError="1"/>
      <sheetData sheetId="8236" refreshError="1"/>
      <sheetData sheetId="8237" refreshError="1"/>
      <sheetData sheetId="8238" refreshError="1"/>
      <sheetData sheetId="8239" refreshError="1"/>
      <sheetData sheetId="8240" refreshError="1"/>
      <sheetData sheetId="8241" refreshError="1"/>
      <sheetData sheetId="8242" refreshError="1"/>
      <sheetData sheetId="8243" refreshError="1"/>
      <sheetData sheetId="8244" refreshError="1"/>
      <sheetData sheetId="8245" refreshError="1"/>
      <sheetData sheetId="8246" refreshError="1"/>
      <sheetData sheetId="8247" refreshError="1"/>
      <sheetData sheetId="8248" refreshError="1"/>
      <sheetData sheetId="8249" refreshError="1"/>
      <sheetData sheetId="8250"/>
      <sheetData sheetId="8251"/>
      <sheetData sheetId="8252"/>
      <sheetData sheetId="8253"/>
      <sheetData sheetId="8254"/>
      <sheetData sheetId="8255"/>
      <sheetData sheetId="8256" refreshError="1"/>
      <sheetData sheetId="8257"/>
      <sheetData sheetId="8258"/>
      <sheetData sheetId="8259"/>
      <sheetData sheetId="8260"/>
      <sheetData sheetId="8261"/>
      <sheetData sheetId="8262"/>
      <sheetData sheetId="8263"/>
      <sheetData sheetId="8264"/>
      <sheetData sheetId="8265"/>
      <sheetData sheetId="8266"/>
      <sheetData sheetId="8267"/>
      <sheetData sheetId="8268"/>
      <sheetData sheetId="8269"/>
      <sheetData sheetId="8270"/>
      <sheetData sheetId="8271"/>
      <sheetData sheetId="8272"/>
      <sheetData sheetId="8273"/>
      <sheetData sheetId="8274"/>
      <sheetData sheetId="8275"/>
      <sheetData sheetId="8276" refreshError="1"/>
      <sheetData sheetId="8277"/>
      <sheetData sheetId="8278" refreshError="1"/>
      <sheetData sheetId="8279" refreshError="1"/>
      <sheetData sheetId="8280" refreshError="1"/>
      <sheetData sheetId="8281"/>
      <sheetData sheetId="8282" refreshError="1"/>
      <sheetData sheetId="8283" refreshError="1"/>
      <sheetData sheetId="8284" refreshError="1"/>
      <sheetData sheetId="8285" refreshError="1"/>
      <sheetData sheetId="8286" refreshError="1"/>
      <sheetData sheetId="8287"/>
      <sheetData sheetId="8288"/>
      <sheetData sheetId="8289"/>
      <sheetData sheetId="8290" refreshError="1"/>
      <sheetData sheetId="8291" refreshError="1"/>
      <sheetData sheetId="8292" refreshError="1"/>
      <sheetData sheetId="8293"/>
      <sheetData sheetId="8294" refreshError="1"/>
      <sheetData sheetId="8295" refreshError="1"/>
      <sheetData sheetId="8296" refreshError="1"/>
      <sheetData sheetId="8297" refreshError="1"/>
      <sheetData sheetId="8298" refreshError="1"/>
      <sheetData sheetId="8299" refreshError="1"/>
      <sheetData sheetId="8300" refreshError="1"/>
      <sheetData sheetId="8301"/>
      <sheetData sheetId="8302"/>
      <sheetData sheetId="8303"/>
      <sheetData sheetId="8304"/>
      <sheetData sheetId="8305"/>
      <sheetData sheetId="8306"/>
      <sheetData sheetId="8307"/>
      <sheetData sheetId="8308"/>
      <sheetData sheetId="8309"/>
      <sheetData sheetId="8310"/>
      <sheetData sheetId="8311"/>
      <sheetData sheetId="8312"/>
      <sheetData sheetId="8313"/>
      <sheetData sheetId="8314"/>
      <sheetData sheetId="8315"/>
      <sheetData sheetId="8316"/>
      <sheetData sheetId="8317"/>
      <sheetData sheetId="8318"/>
      <sheetData sheetId="8319"/>
      <sheetData sheetId="8320"/>
      <sheetData sheetId="8321"/>
      <sheetData sheetId="8322" refreshError="1"/>
      <sheetData sheetId="8323" refreshError="1"/>
      <sheetData sheetId="8324" refreshError="1"/>
      <sheetData sheetId="8325" refreshError="1"/>
      <sheetData sheetId="8326" refreshError="1"/>
      <sheetData sheetId="8327" refreshError="1"/>
      <sheetData sheetId="8328" refreshError="1"/>
      <sheetData sheetId="8329">
        <row r="1">
          <cell r="A1" t="str">
            <v>CODE</v>
          </cell>
        </row>
      </sheetData>
      <sheetData sheetId="8330" refreshError="1"/>
      <sheetData sheetId="8331" refreshError="1"/>
      <sheetData sheetId="8332" refreshError="1"/>
      <sheetData sheetId="8333" refreshError="1"/>
      <sheetData sheetId="8334" refreshError="1"/>
      <sheetData sheetId="8335" refreshError="1"/>
      <sheetData sheetId="8336" refreshError="1"/>
      <sheetData sheetId="8337" refreshError="1"/>
      <sheetData sheetId="8338" refreshError="1"/>
      <sheetData sheetId="8339" refreshError="1"/>
      <sheetData sheetId="8340" refreshError="1"/>
      <sheetData sheetId="8341" refreshError="1"/>
      <sheetData sheetId="8342"/>
      <sheetData sheetId="8343" refreshError="1"/>
      <sheetData sheetId="8344" refreshError="1"/>
      <sheetData sheetId="8345" refreshError="1"/>
      <sheetData sheetId="8346" refreshError="1"/>
      <sheetData sheetId="8347" refreshError="1"/>
      <sheetData sheetId="8348" refreshError="1"/>
      <sheetData sheetId="8349" refreshError="1"/>
      <sheetData sheetId="8350" refreshError="1"/>
      <sheetData sheetId="8351" refreshError="1"/>
      <sheetData sheetId="8352" refreshError="1"/>
      <sheetData sheetId="8353" refreshError="1"/>
      <sheetData sheetId="8354" refreshError="1"/>
      <sheetData sheetId="8355" refreshError="1"/>
      <sheetData sheetId="8356" refreshError="1"/>
      <sheetData sheetId="8357" refreshError="1"/>
      <sheetData sheetId="8358" refreshError="1"/>
      <sheetData sheetId="8359" refreshError="1"/>
      <sheetData sheetId="8360" refreshError="1"/>
      <sheetData sheetId="8361" refreshError="1"/>
      <sheetData sheetId="8362" refreshError="1"/>
      <sheetData sheetId="8363" refreshError="1"/>
      <sheetData sheetId="8364" refreshError="1"/>
      <sheetData sheetId="8365" refreshError="1"/>
      <sheetData sheetId="8366" refreshError="1"/>
      <sheetData sheetId="8367" refreshError="1"/>
      <sheetData sheetId="8368" refreshError="1"/>
      <sheetData sheetId="8369" refreshError="1"/>
      <sheetData sheetId="8370" refreshError="1"/>
      <sheetData sheetId="8371"/>
      <sheetData sheetId="8372"/>
      <sheetData sheetId="8373" refreshError="1"/>
      <sheetData sheetId="8374"/>
      <sheetData sheetId="8375"/>
      <sheetData sheetId="8376" refreshError="1"/>
      <sheetData sheetId="8377"/>
      <sheetData sheetId="8378" refreshError="1"/>
      <sheetData sheetId="8379"/>
      <sheetData sheetId="8380"/>
      <sheetData sheetId="8381"/>
      <sheetData sheetId="8382" refreshError="1"/>
      <sheetData sheetId="8383" refreshError="1"/>
      <sheetData sheetId="8384" refreshError="1"/>
      <sheetData sheetId="8385" refreshError="1"/>
      <sheetData sheetId="8386" refreshError="1"/>
      <sheetData sheetId="8387" refreshError="1"/>
      <sheetData sheetId="8388" refreshError="1"/>
      <sheetData sheetId="8389" refreshError="1"/>
      <sheetData sheetId="8390" refreshError="1"/>
      <sheetData sheetId="8391" refreshError="1"/>
      <sheetData sheetId="8392" refreshError="1"/>
      <sheetData sheetId="8393" refreshError="1"/>
      <sheetData sheetId="8394" refreshError="1"/>
      <sheetData sheetId="8395" refreshError="1"/>
      <sheetData sheetId="8396" refreshError="1"/>
      <sheetData sheetId="8397" refreshError="1"/>
      <sheetData sheetId="8398"/>
      <sheetData sheetId="8399"/>
      <sheetData sheetId="8400"/>
      <sheetData sheetId="8401" refreshError="1"/>
      <sheetData sheetId="8402" refreshError="1"/>
      <sheetData sheetId="8403" refreshError="1"/>
      <sheetData sheetId="8404" refreshError="1"/>
      <sheetData sheetId="8405" refreshError="1"/>
      <sheetData sheetId="8406" refreshError="1"/>
      <sheetData sheetId="8407" refreshError="1"/>
      <sheetData sheetId="8408" refreshError="1"/>
      <sheetData sheetId="8409" refreshError="1"/>
      <sheetData sheetId="8410" refreshError="1"/>
      <sheetData sheetId="8411" refreshError="1"/>
      <sheetData sheetId="8412" refreshError="1"/>
      <sheetData sheetId="8413" refreshError="1"/>
      <sheetData sheetId="8414" refreshError="1"/>
      <sheetData sheetId="8415" refreshError="1"/>
      <sheetData sheetId="8416" refreshError="1"/>
      <sheetData sheetId="8417" refreshError="1"/>
      <sheetData sheetId="8418" refreshError="1"/>
      <sheetData sheetId="8419" refreshError="1"/>
      <sheetData sheetId="8420" refreshError="1"/>
      <sheetData sheetId="8421" refreshError="1"/>
      <sheetData sheetId="8422" refreshError="1"/>
      <sheetData sheetId="8423" refreshError="1"/>
      <sheetData sheetId="8424" refreshError="1"/>
      <sheetData sheetId="8425" refreshError="1"/>
      <sheetData sheetId="8426" refreshError="1"/>
      <sheetData sheetId="8427" refreshError="1"/>
      <sheetData sheetId="8428" refreshError="1"/>
      <sheetData sheetId="8429" refreshError="1"/>
      <sheetData sheetId="8430" refreshError="1"/>
      <sheetData sheetId="8431" refreshError="1"/>
      <sheetData sheetId="8432" refreshError="1"/>
      <sheetData sheetId="8433" refreshError="1"/>
      <sheetData sheetId="8434" refreshError="1"/>
      <sheetData sheetId="8435" refreshError="1"/>
      <sheetData sheetId="8436" refreshError="1"/>
      <sheetData sheetId="8437" refreshError="1"/>
      <sheetData sheetId="8438" refreshError="1"/>
      <sheetData sheetId="8439" refreshError="1"/>
      <sheetData sheetId="8440" refreshError="1"/>
      <sheetData sheetId="8441" refreshError="1"/>
      <sheetData sheetId="8442" refreshError="1"/>
      <sheetData sheetId="8443" refreshError="1"/>
      <sheetData sheetId="8444" refreshError="1"/>
      <sheetData sheetId="8445">
        <row r="1">
          <cell r="A1" t="str">
            <v>ASSET_NUMBER</v>
          </cell>
        </row>
      </sheetData>
      <sheetData sheetId="8446">
        <row r="1">
          <cell r="A1" t="str">
            <v>ASSET_NUMBER</v>
          </cell>
        </row>
      </sheetData>
      <sheetData sheetId="8447">
        <row r="2">
          <cell r="A2" t="str">
            <v>F05-Jan</v>
          </cell>
        </row>
      </sheetData>
      <sheetData sheetId="8448">
        <row r="1">
          <cell r="A1" t="str">
            <v>ASSET_NUMBER</v>
          </cell>
        </row>
      </sheetData>
      <sheetData sheetId="8449">
        <row r="1">
          <cell r="A1" t="str">
            <v>ASSET_NUMBER</v>
          </cell>
        </row>
      </sheetData>
      <sheetData sheetId="8450">
        <row r="626">
          <cell r="D626">
            <v>-7005925</v>
          </cell>
        </row>
      </sheetData>
      <sheetData sheetId="8451">
        <row r="1">
          <cell r="A1" t="str">
            <v>ASSET_NUMBER</v>
          </cell>
        </row>
      </sheetData>
      <sheetData sheetId="8452" refreshError="1"/>
      <sheetData sheetId="8453" refreshError="1"/>
      <sheetData sheetId="8454"/>
      <sheetData sheetId="8455">
        <row r="4">
          <cell r="A4" t="str">
            <v>__Actuals_for_total_of_12_Time_selections_Ledger_1</v>
          </cell>
        </row>
      </sheetData>
      <sheetData sheetId="8456">
        <row r="5">
          <cell r="A5">
            <v>1</v>
          </cell>
        </row>
      </sheetData>
      <sheetData sheetId="8457">
        <row r="1">
          <cell r="A1" t="str">
            <v>ASSET_NUMBER</v>
          </cell>
        </row>
      </sheetData>
      <sheetData sheetId="8458">
        <row r="4">
          <cell r="A4" t="str">
            <v>__Actuals_for_total_of_12_Time_selections_Ledger_1</v>
          </cell>
        </row>
      </sheetData>
      <sheetData sheetId="8459">
        <row r="3">
          <cell r="B3" t="str">
            <v>600000005</v>
          </cell>
        </row>
      </sheetData>
      <sheetData sheetId="8460">
        <row r="4">
          <cell r="A4" t="str">
            <v>__Actuals_for_total_of_12_Time_selections_Ledger_1</v>
          </cell>
        </row>
      </sheetData>
      <sheetData sheetId="8461">
        <row r="2">
          <cell r="K2">
            <v>0</v>
          </cell>
        </row>
      </sheetData>
      <sheetData sheetId="8462">
        <row r="140">
          <cell r="E140">
            <v>63913884</v>
          </cell>
        </row>
      </sheetData>
      <sheetData sheetId="8463">
        <row r="4">
          <cell r="A4" t="str">
            <v>__Actuals_for_total_of_12_Time_selections_Ledger_1</v>
          </cell>
        </row>
      </sheetData>
      <sheetData sheetId="8464">
        <row r="3">
          <cell r="B3" t="str">
            <v>600000005</v>
          </cell>
        </row>
      </sheetData>
      <sheetData sheetId="8465"/>
      <sheetData sheetId="8466">
        <row r="4">
          <cell r="A4" t="str">
            <v>__Actuals_for_total_of_12_Time_selections_Ledger_1</v>
          </cell>
        </row>
      </sheetData>
      <sheetData sheetId="8467">
        <row r="4">
          <cell r="A4" t="str">
            <v>__Actuals_for_total_of_12_Time_selections_Ledger_1</v>
          </cell>
        </row>
      </sheetData>
      <sheetData sheetId="8468"/>
      <sheetData sheetId="8469"/>
      <sheetData sheetId="8470">
        <row r="4">
          <cell r="A4" t="str">
            <v>__Actuals_for_total_of_12_Time_selections_Ledger_1</v>
          </cell>
        </row>
      </sheetData>
      <sheetData sheetId="8471">
        <row r="2">
          <cell r="K2">
            <v>0</v>
          </cell>
        </row>
      </sheetData>
      <sheetData sheetId="8472"/>
      <sheetData sheetId="8473">
        <row r="4">
          <cell r="A4" t="str">
            <v>__Actuals_for_total_of_12_Time_selections_Ledger_1</v>
          </cell>
        </row>
      </sheetData>
      <sheetData sheetId="8474">
        <row r="140">
          <cell r="E140">
            <v>63913884</v>
          </cell>
        </row>
      </sheetData>
      <sheetData sheetId="8475"/>
      <sheetData sheetId="8476" refreshError="1"/>
      <sheetData sheetId="8477" refreshError="1"/>
      <sheetData sheetId="8478" refreshError="1"/>
      <sheetData sheetId="8479">
        <row r="140">
          <cell r="E140">
            <v>63913884</v>
          </cell>
        </row>
      </sheetData>
      <sheetData sheetId="8480" refreshError="1"/>
      <sheetData sheetId="8481" refreshError="1"/>
      <sheetData sheetId="8482" refreshError="1"/>
      <sheetData sheetId="8483" refreshError="1"/>
      <sheetData sheetId="8484" refreshError="1"/>
      <sheetData sheetId="8485" refreshError="1"/>
      <sheetData sheetId="8486" refreshError="1"/>
      <sheetData sheetId="8487" refreshError="1"/>
      <sheetData sheetId="8488" refreshError="1"/>
      <sheetData sheetId="8489"/>
      <sheetData sheetId="8490" refreshError="1"/>
      <sheetData sheetId="8491">
        <row r="22">
          <cell r="H22">
            <v>2160015.370000001</v>
          </cell>
        </row>
      </sheetData>
      <sheetData sheetId="8492">
        <row r="2">
          <cell r="A2" t="str">
            <v>F05-Jan</v>
          </cell>
        </row>
      </sheetData>
      <sheetData sheetId="8493"/>
      <sheetData sheetId="8494" refreshError="1"/>
      <sheetData sheetId="8495" refreshError="1"/>
      <sheetData sheetId="8496" refreshError="1"/>
      <sheetData sheetId="8497" refreshError="1"/>
      <sheetData sheetId="8498" refreshError="1"/>
      <sheetData sheetId="8499" refreshError="1"/>
      <sheetData sheetId="8500" refreshError="1"/>
      <sheetData sheetId="8501" refreshError="1"/>
      <sheetData sheetId="8502" refreshError="1"/>
      <sheetData sheetId="8503" refreshError="1"/>
      <sheetData sheetId="8504" refreshError="1"/>
      <sheetData sheetId="8505" refreshError="1"/>
      <sheetData sheetId="8506" refreshError="1"/>
      <sheetData sheetId="8507" refreshError="1"/>
      <sheetData sheetId="8508" refreshError="1"/>
      <sheetData sheetId="8509" refreshError="1"/>
      <sheetData sheetId="8510" refreshError="1"/>
      <sheetData sheetId="8511" refreshError="1"/>
      <sheetData sheetId="8512" refreshError="1"/>
      <sheetData sheetId="8513" refreshError="1"/>
      <sheetData sheetId="8514" refreshError="1"/>
      <sheetData sheetId="8515" refreshError="1"/>
      <sheetData sheetId="8516" refreshError="1"/>
      <sheetData sheetId="8517" refreshError="1"/>
      <sheetData sheetId="8518" refreshError="1"/>
      <sheetData sheetId="8519">
        <row r="1">
          <cell r="A1" t="str">
            <v>CODE</v>
          </cell>
        </row>
      </sheetData>
      <sheetData sheetId="8520" refreshError="1"/>
      <sheetData sheetId="8521" refreshError="1"/>
      <sheetData sheetId="8522" refreshError="1"/>
      <sheetData sheetId="8523" refreshError="1"/>
      <sheetData sheetId="8524" refreshError="1"/>
      <sheetData sheetId="8525" refreshError="1"/>
      <sheetData sheetId="8526" refreshError="1"/>
      <sheetData sheetId="8527" refreshError="1"/>
      <sheetData sheetId="8528" refreshError="1"/>
      <sheetData sheetId="8529" refreshError="1"/>
      <sheetData sheetId="8530" refreshError="1"/>
      <sheetData sheetId="8531" refreshError="1"/>
      <sheetData sheetId="8532" refreshError="1"/>
      <sheetData sheetId="8533" refreshError="1"/>
      <sheetData sheetId="8534" refreshError="1"/>
      <sheetData sheetId="8535" refreshError="1"/>
      <sheetData sheetId="8536" refreshError="1"/>
      <sheetData sheetId="8537" refreshError="1"/>
      <sheetData sheetId="8538" refreshError="1"/>
      <sheetData sheetId="8539" refreshError="1"/>
      <sheetData sheetId="8540" refreshError="1"/>
      <sheetData sheetId="8541" refreshError="1"/>
      <sheetData sheetId="8542" refreshError="1"/>
      <sheetData sheetId="8543" refreshError="1"/>
      <sheetData sheetId="8544" refreshError="1"/>
      <sheetData sheetId="8545" refreshError="1"/>
      <sheetData sheetId="8546" refreshError="1"/>
      <sheetData sheetId="8547" refreshError="1"/>
      <sheetData sheetId="8548" refreshError="1"/>
      <sheetData sheetId="8549" refreshError="1"/>
      <sheetData sheetId="8550" refreshError="1"/>
      <sheetData sheetId="8551" refreshError="1"/>
      <sheetData sheetId="8552" refreshError="1"/>
      <sheetData sheetId="8553" refreshError="1"/>
      <sheetData sheetId="8554" refreshError="1"/>
      <sheetData sheetId="8555" refreshError="1"/>
      <sheetData sheetId="8556">
        <row r="2">
          <cell r="A2" t="str">
            <v>F05-Jan</v>
          </cell>
        </row>
      </sheetData>
      <sheetData sheetId="8557"/>
      <sheetData sheetId="8558"/>
      <sheetData sheetId="8559">
        <row r="140">
          <cell r="E140">
            <v>63913884</v>
          </cell>
        </row>
      </sheetData>
      <sheetData sheetId="8560">
        <row r="36">
          <cell r="B36">
            <v>43</v>
          </cell>
        </row>
      </sheetData>
      <sheetData sheetId="8561"/>
      <sheetData sheetId="8562">
        <row r="2">
          <cell r="A2" t="str">
            <v>F05-Jan</v>
          </cell>
        </row>
      </sheetData>
      <sheetData sheetId="8563"/>
      <sheetData sheetId="8564"/>
      <sheetData sheetId="8565" refreshError="1"/>
      <sheetData sheetId="8566" refreshError="1"/>
      <sheetData sheetId="8567" refreshError="1"/>
      <sheetData sheetId="8568" refreshError="1"/>
      <sheetData sheetId="8569" refreshError="1"/>
      <sheetData sheetId="8570" refreshError="1"/>
      <sheetData sheetId="8571" refreshError="1"/>
      <sheetData sheetId="8572" refreshError="1"/>
      <sheetData sheetId="8573" refreshError="1"/>
      <sheetData sheetId="8574" refreshError="1"/>
      <sheetData sheetId="8575" refreshError="1"/>
      <sheetData sheetId="8576" refreshError="1"/>
      <sheetData sheetId="8577" refreshError="1"/>
      <sheetData sheetId="8578" refreshError="1"/>
      <sheetData sheetId="8579" refreshError="1"/>
      <sheetData sheetId="8580" refreshError="1"/>
      <sheetData sheetId="8581" refreshError="1"/>
      <sheetData sheetId="8582" refreshError="1"/>
      <sheetData sheetId="8583" refreshError="1"/>
      <sheetData sheetId="8584" refreshError="1"/>
      <sheetData sheetId="8585" refreshError="1"/>
      <sheetData sheetId="8586" refreshError="1"/>
      <sheetData sheetId="8587" refreshError="1"/>
      <sheetData sheetId="8588" refreshError="1"/>
      <sheetData sheetId="8589" refreshError="1"/>
      <sheetData sheetId="8590" refreshError="1"/>
      <sheetData sheetId="8591" refreshError="1"/>
      <sheetData sheetId="8592" refreshError="1"/>
      <sheetData sheetId="8593" refreshError="1"/>
      <sheetData sheetId="8594" refreshError="1"/>
      <sheetData sheetId="8595" refreshError="1"/>
      <sheetData sheetId="8596" refreshError="1"/>
      <sheetData sheetId="8597" refreshError="1"/>
      <sheetData sheetId="8598" refreshError="1"/>
      <sheetData sheetId="8599" refreshError="1"/>
      <sheetData sheetId="8600" refreshError="1"/>
      <sheetData sheetId="8601" refreshError="1"/>
      <sheetData sheetId="8602" refreshError="1"/>
      <sheetData sheetId="8603" refreshError="1"/>
      <sheetData sheetId="8604" refreshError="1"/>
      <sheetData sheetId="8605" refreshError="1"/>
      <sheetData sheetId="8606" refreshError="1"/>
      <sheetData sheetId="8607" refreshError="1"/>
      <sheetData sheetId="8608" refreshError="1"/>
      <sheetData sheetId="8609" refreshError="1"/>
      <sheetData sheetId="8610" refreshError="1"/>
      <sheetData sheetId="8611" refreshError="1"/>
      <sheetData sheetId="8612" refreshError="1"/>
      <sheetData sheetId="8613" refreshError="1"/>
      <sheetData sheetId="8614" refreshError="1"/>
      <sheetData sheetId="8615" refreshError="1"/>
      <sheetData sheetId="8616" refreshError="1"/>
      <sheetData sheetId="8617" refreshError="1"/>
      <sheetData sheetId="8618" refreshError="1"/>
      <sheetData sheetId="8619" refreshError="1"/>
      <sheetData sheetId="8620" refreshError="1"/>
      <sheetData sheetId="8621" refreshError="1"/>
      <sheetData sheetId="8622" refreshError="1"/>
      <sheetData sheetId="8623" refreshError="1"/>
      <sheetData sheetId="8624" refreshError="1"/>
      <sheetData sheetId="8625" refreshError="1"/>
      <sheetData sheetId="8626" refreshError="1"/>
      <sheetData sheetId="8627" refreshError="1"/>
      <sheetData sheetId="8628" refreshError="1"/>
      <sheetData sheetId="8629" refreshError="1"/>
      <sheetData sheetId="8630" refreshError="1"/>
      <sheetData sheetId="8631" refreshError="1"/>
      <sheetData sheetId="8632" refreshError="1"/>
      <sheetData sheetId="8633" refreshError="1"/>
      <sheetData sheetId="8634" refreshError="1"/>
      <sheetData sheetId="8635" refreshError="1"/>
      <sheetData sheetId="8636" refreshError="1"/>
      <sheetData sheetId="8637" refreshError="1"/>
      <sheetData sheetId="8638" refreshError="1"/>
      <sheetData sheetId="8639" refreshError="1"/>
      <sheetData sheetId="8640" refreshError="1"/>
      <sheetData sheetId="8641" refreshError="1"/>
      <sheetData sheetId="8642" refreshError="1"/>
      <sheetData sheetId="8643" refreshError="1"/>
      <sheetData sheetId="8644" refreshError="1"/>
      <sheetData sheetId="8645" refreshError="1"/>
      <sheetData sheetId="8646" refreshError="1"/>
      <sheetData sheetId="8647" refreshError="1"/>
      <sheetData sheetId="8648" refreshError="1"/>
      <sheetData sheetId="8649" refreshError="1"/>
      <sheetData sheetId="8650" refreshError="1"/>
      <sheetData sheetId="8651" refreshError="1"/>
      <sheetData sheetId="8652" refreshError="1"/>
      <sheetData sheetId="8653" refreshError="1"/>
      <sheetData sheetId="8654" refreshError="1"/>
      <sheetData sheetId="8655" refreshError="1"/>
      <sheetData sheetId="8656" refreshError="1"/>
      <sheetData sheetId="8657" refreshError="1"/>
      <sheetData sheetId="8658" refreshError="1"/>
      <sheetData sheetId="8659" refreshError="1"/>
      <sheetData sheetId="8660" refreshError="1"/>
      <sheetData sheetId="8661" refreshError="1"/>
      <sheetData sheetId="8662" refreshError="1"/>
      <sheetData sheetId="8663" refreshError="1"/>
      <sheetData sheetId="8664" refreshError="1"/>
      <sheetData sheetId="8665" refreshError="1"/>
      <sheetData sheetId="8666" refreshError="1"/>
      <sheetData sheetId="8667" refreshError="1"/>
      <sheetData sheetId="8668" refreshError="1"/>
      <sheetData sheetId="8669" refreshError="1"/>
      <sheetData sheetId="8670" refreshError="1"/>
      <sheetData sheetId="8671" refreshError="1"/>
      <sheetData sheetId="8672" refreshError="1"/>
      <sheetData sheetId="8673" refreshError="1"/>
      <sheetData sheetId="8674" refreshError="1"/>
      <sheetData sheetId="8675" refreshError="1"/>
      <sheetData sheetId="8676" refreshError="1"/>
      <sheetData sheetId="8677" refreshError="1"/>
      <sheetData sheetId="8678" refreshError="1"/>
      <sheetData sheetId="8679" refreshError="1"/>
      <sheetData sheetId="8680" refreshError="1"/>
      <sheetData sheetId="8681" refreshError="1"/>
      <sheetData sheetId="8682" refreshError="1"/>
      <sheetData sheetId="8683" refreshError="1"/>
      <sheetData sheetId="8684" refreshError="1"/>
      <sheetData sheetId="8685" refreshError="1"/>
      <sheetData sheetId="8686" refreshError="1"/>
      <sheetData sheetId="8687" refreshError="1"/>
      <sheetData sheetId="8688" refreshError="1"/>
      <sheetData sheetId="8689" refreshError="1"/>
      <sheetData sheetId="8690" refreshError="1"/>
      <sheetData sheetId="8691" refreshError="1"/>
      <sheetData sheetId="8692" refreshError="1"/>
      <sheetData sheetId="8693" refreshError="1"/>
      <sheetData sheetId="8694" refreshError="1"/>
      <sheetData sheetId="8695" refreshError="1"/>
      <sheetData sheetId="8696" refreshError="1"/>
      <sheetData sheetId="8697" refreshError="1"/>
      <sheetData sheetId="8698" refreshError="1"/>
      <sheetData sheetId="8699" refreshError="1"/>
      <sheetData sheetId="8700" refreshError="1"/>
      <sheetData sheetId="8701" refreshError="1"/>
      <sheetData sheetId="8702" refreshError="1"/>
      <sheetData sheetId="8703" refreshError="1"/>
      <sheetData sheetId="8704" refreshError="1"/>
      <sheetData sheetId="8705" refreshError="1"/>
      <sheetData sheetId="8706" refreshError="1"/>
      <sheetData sheetId="8707" refreshError="1"/>
      <sheetData sheetId="8708" refreshError="1"/>
      <sheetData sheetId="8709" refreshError="1"/>
      <sheetData sheetId="8710" refreshError="1"/>
      <sheetData sheetId="8711" refreshError="1"/>
      <sheetData sheetId="8712" refreshError="1"/>
      <sheetData sheetId="8713" refreshError="1"/>
      <sheetData sheetId="8714" refreshError="1"/>
      <sheetData sheetId="8715" refreshError="1"/>
      <sheetData sheetId="8716" refreshError="1"/>
      <sheetData sheetId="8717" refreshError="1"/>
      <sheetData sheetId="8718" refreshError="1"/>
      <sheetData sheetId="8719" refreshError="1"/>
      <sheetData sheetId="8720" refreshError="1"/>
      <sheetData sheetId="8721" refreshError="1"/>
      <sheetData sheetId="8722" refreshError="1"/>
      <sheetData sheetId="8723" refreshError="1"/>
      <sheetData sheetId="8724" refreshError="1"/>
      <sheetData sheetId="8725" refreshError="1"/>
      <sheetData sheetId="8726" refreshError="1"/>
      <sheetData sheetId="8727" refreshError="1"/>
      <sheetData sheetId="8728" refreshError="1"/>
      <sheetData sheetId="8729" refreshError="1"/>
      <sheetData sheetId="8730" refreshError="1"/>
      <sheetData sheetId="8731" refreshError="1"/>
      <sheetData sheetId="8732" refreshError="1"/>
      <sheetData sheetId="8733" refreshError="1"/>
      <sheetData sheetId="8734" refreshError="1"/>
      <sheetData sheetId="8735" refreshError="1"/>
      <sheetData sheetId="8736" refreshError="1"/>
      <sheetData sheetId="8737" refreshError="1"/>
      <sheetData sheetId="8738" refreshError="1"/>
      <sheetData sheetId="8739" refreshError="1"/>
      <sheetData sheetId="8740" refreshError="1"/>
      <sheetData sheetId="8741" refreshError="1"/>
      <sheetData sheetId="8742" refreshError="1"/>
      <sheetData sheetId="8743" refreshError="1"/>
      <sheetData sheetId="8744" refreshError="1"/>
      <sheetData sheetId="8745" refreshError="1"/>
      <sheetData sheetId="8746" refreshError="1"/>
      <sheetData sheetId="8747" refreshError="1"/>
      <sheetData sheetId="8748" refreshError="1"/>
      <sheetData sheetId="8749" refreshError="1"/>
      <sheetData sheetId="8750" refreshError="1"/>
      <sheetData sheetId="8751" refreshError="1"/>
      <sheetData sheetId="8752" refreshError="1"/>
      <sheetData sheetId="8753" refreshError="1"/>
      <sheetData sheetId="8754" refreshError="1"/>
      <sheetData sheetId="8755" refreshError="1"/>
      <sheetData sheetId="8756" refreshError="1"/>
      <sheetData sheetId="8757" refreshError="1"/>
      <sheetData sheetId="8758" refreshError="1"/>
      <sheetData sheetId="8759" refreshError="1"/>
      <sheetData sheetId="8760" refreshError="1"/>
      <sheetData sheetId="8761" refreshError="1"/>
      <sheetData sheetId="8762" refreshError="1"/>
      <sheetData sheetId="8763" refreshError="1"/>
      <sheetData sheetId="8764" refreshError="1"/>
      <sheetData sheetId="8765" refreshError="1"/>
      <sheetData sheetId="8766" refreshError="1"/>
      <sheetData sheetId="8767" refreshError="1"/>
      <sheetData sheetId="8768" refreshError="1"/>
      <sheetData sheetId="8769" refreshError="1"/>
      <sheetData sheetId="8770" refreshError="1"/>
      <sheetData sheetId="8771" refreshError="1"/>
      <sheetData sheetId="8772" refreshError="1"/>
      <sheetData sheetId="8773" refreshError="1"/>
      <sheetData sheetId="8774" refreshError="1"/>
      <sheetData sheetId="8775" refreshError="1"/>
      <sheetData sheetId="8776" refreshError="1"/>
      <sheetData sheetId="8777" refreshError="1"/>
      <sheetData sheetId="8778" refreshError="1"/>
      <sheetData sheetId="8779" refreshError="1"/>
      <sheetData sheetId="8780" refreshError="1"/>
      <sheetData sheetId="8781" refreshError="1"/>
      <sheetData sheetId="8782" refreshError="1"/>
      <sheetData sheetId="8783" refreshError="1"/>
      <sheetData sheetId="8784" refreshError="1"/>
      <sheetData sheetId="8785" refreshError="1"/>
      <sheetData sheetId="8786" refreshError="1"/>
      <sheetData sheetId="8787" refreshError="1"/>
      <sheetData sheetId="8788" refreshError="1"/>
      <sheetData sheetId="8789" refreshError="1"/>
      <sheetData sheetId="8790" refreshError="1"/>
      <sheetData sheetId="8791" refreshError="1"/>
      <sheetData sheetId="8792" refreshError="1"/>
      <sheetData sheetId="8793" refreshError="1"/>
      <sheetData sheetId="8794" refreshError="1"/>
      <sheetData sheetId="8795" refreshError="1"/>
      <sheetData sheetId="8796" refreshError="1"/>
      <sheetData sheetId="8797" refreshError="1"/>
      <sheetData sheetId="8798" refreshError="1"/>
      <sheetData sheetId="8799" refreshError="1"/>
      <sheetData sheetId="8800" refreshError="1"/>
      <sheetData sheetId="8801" refreshError="1"/>
      <sheetData sheetId="8802">
        <row r="5">
          <cell r="J5" t="str">
            <v>Delay in days</v>
          </cell>
        </row>
      </sheetData>
      <sheetData sheetId="8803"/>
      <sheetData sheetId="8804">
        <row r="2">
          <cell r="A2" t="str">
            <v>F05-Jan</v>
          </cell>
        </row>
      </sheetData>
      <sheetData sheetId="8805">
        <row r="2">
          <cell r="AJ2" t="str">
            <v>Ver 2.1.11  B 02-3-1</v>
          </cell>
        </row>
      </sheetData>
      <sheetData sheetId="8806">
        <row r="2">
          <cell r="AJ2" t="str">
            <v>Ver 2.1.11  B 02-3-1</v>
          </cell>
        </row>
      </sheetData>
      <sheetData sheetId="8807"/>
      <sheetData sheetId="8808">
        <row r="5">
          <cell r="J5" t="str">
            <v>Delay in days</v>
          </cell>
        </row>
      </sheetData>
      <sheetData sheetId="8809">
        <row r="2">
          <cell r="B2" t="str">
            <v>SOLVAY SPECIALITIES INDIA PRIVATE LIMITED</v>
          </cell>
        </row>
      </sheetData>
      <sheetData sheetId="8810">
        <row r="5">
          <cell r="J5" t="str">
            <v>Delay in days</v>
          </cell>
        </row>
      </sheetData>
      <sheetData sheetId="8811"/>
      <sheetData sheetId="8812">
        <row r="2">
          <cell r="AJ2" t="str">
            <v>Ver 2.1.11  B 02-3-1</v>
          </cell>
        </row>
      </sheetData>
      <sheetData sheetId="8813"/>
      <sheetData sheetId="8814"/>
      <sheetData sheetId="8815">
        <row r="2">
          <cell r="B2" t="str">
            <v>SOLVAY SPECIALITIES INDIA PRIVATE LIMITED</v>
          </cell>
        </row>
      </sheetData>
      <sheetData sheetId="8816">
        <row r="5">
          <cell r="J5" t="str">
            <v>Delay in days</v>
          </cell>
        </row>
      </sheetData>
      <sheetData sheetId="8817">
        <row r="2">
          <cell r="AJ2" t="str">
            <v>Ver 2.1.11  B 02-3-1</v>
          </cell>
        </row>
      </sheetData>
      <sheetData sheetId="8818"/>
      <sheetData sheetId="8819">
        <row r="2">
          <cell r="B2" t="str">
            <v>SOLVAY SPECIALITIES INDIA PRIVATE LIMITED</v>
          </cell>
        </row>
      </sheetData>
      <sheetData sheetId="8820">
        <row r="2">
          <cell r="B2" t="str">
            <v>SOLVAY SPECIALITIES INDIA PRIVATE LIMITED</v>
          </cell>
        </row>
      </sheetData>
      <sheetData sheetId="8821"/>
      <sheetData sheetId="8822"/>
      <sheetData sheetId="8823">
        <row r="2">
          <cell r="AJ2" t="str">
            <v>Ver 2.1.11  B 02-3-1</v>
          </cell>
        </row>
      </sheetData>
      <sheetData sheetId="8824"/>
      <sheetData sheetId="8825"/>
      <sheetData sheetId="8826">
        <row r="2">
          <cell r="B2" t="str">
            <v>SOLVAY SPECIALITIES INDIA PRIVATE LIMITED</v>
          </cell>
        </row>
      </sheetData>
      <sheetData sheetId="8827">
        <row r="4">
          <cell r="B4" t="str">
            <v>*** DO NOT INSERT ROW ABOVE THIS ***</v>
          </cell>
        </row>
      </sheetData>
      <sheetData sheetId="8828" refreshError="1"/>
      <sheetData sheetId="8829" refreshError="1"/>
      <sheetData sheetId="8830" refreshError="1"/>
      <sheetData sheetId="8831" refreshError="1"/>
      <sheetData sheetId="8832" refreshError="1"/>
      <sheetData sheetId="8833">
        <row r="2">
          <cell r="AJ2" t="str">
            <v>Ver 2.1.11  B 02-3-1</v>
          </cell>
        </row>
      </sheetData>
      <sheetData sheetId="8834" refreshError="1"/>
      <sheetData sheetId="8835"/>
      <sheetData sheetId="8836">
        <row r="5">
          <cell r="J5" t="str">
            <v>Delay in days</v>
          </cell>
        </row>
      </sheetData>
      <sheetData sheetId="8837"/>
      <sheetData sheetId="8838">
        <row r="2">
          <cell r="B2" t="str">
            <v>SOLVAY SPECIALITIES INDIA PRIVATE LIMITED</v>
          </cell>
        </row>
      </sheetData>
      <sheetData sheetId="8839">
        <row r="2">
          <cell r="AJ2" t="str">
            <v>Ver 2.1.11  B 02-3-1</v>
          </cell>
        </row>
      </sheetData>
      <sheetData sheetId="8840" refreshError="1"/>
      <sheetData sheetId="8841" refreshError="1"/>
      <sheetData sheetId="8842" refreshError="1"/>
      <sheetData sheetId="8843" refreshError="1"/>
      <sheetData sheetId="8844" refreshError="1"/>
      <sheetData sheetId="8845" refreshError="1"/>
      <sheetData sheetId="8846" refreshError="1"/>
      <sheetData sheetId="8847"/>
      <sheetData sheetId="8848">
        <row r="2">
          <cell r="AJ2" t="str">
            <v>Ver 2.1.11  B 02-3-1</v>
          </cell>
        </row>
      </sheetData>
      <sheetData sheetId="8849"/>
      <sheetData sheetId="8850">
        <row r="2">
          <cell r="B2" t="str">
            <v>SOLVAY SPECIALITIES INDIA PRIVATE LIMITED</v>
          </cell>
        </row>
      </sheetData>
      <sheetData sheetId="8851" refreshError="1"/>
      <sheetData sheetId="8852" refreshError="1"/>
      <sheetData sheetId="8853" refreshError="1"/>
      <sheetData sheetId="8854" refreshError="1"/>
      <sheetData sheetId="8855" refreshError="1"/>
      <sheetData sheetId="8856" refreshError="1"/>
      <sheetData sheetId="8857" refreshError="1"/>
      <sheetData sheetId="8858" refreshError="1"/>
      <sheetData sheetId="8859" refreshError="1"/>
      <sheetData sheetId="8860" refreshError="1"/>
      <sheetData sheetId="8861" refreshError="1"/>
      <sheetData sheetId="8862" refreshError="1"/>
      <sheetData sheetId="8863" refreshError="1"/>
      <sheetData sheetId="8864">
        <row r="2">
          <cell r="B2" t="str">
            <v>SOLVAY SPECIALITIES INDIA PRIVATE LIMITED</v>
          </cell>
        </row>
      </sheetData>
      <sheetData sheetId="8865">
        <row r="5">
          <cell r="J5" t="str">
            <v>Delay in days</v>
          </cell>
        </row>
      </sheetData>
      <sheetData sheetId="8866">
        <row r="1">
          <cell r="A1" t="str">
            <v>CODE</v>
          </cell>
        </row>
      </sheetData>
      <sheetData sheetId="8867">
        <row r="3">
          <cell r="B3" t="str">
            <v>600000005</v>
          </cell>
        </row>
      </sheetData>
      <sheetData sheetId="8868"/>
      <sheetData sheetId="8869">
        <row r="5">
          <cell r="J5" t="str">
            <v>Delay in days</v>
          </cell>
        </row>
      </sheetData>
      <sheetData sheetId="8870">
        <row r="2">
          <cell r="B2" t="str">
            <v>SOLVAY SPECIALITIES INDIA PRIVATE LIMITED</v>
          </cell>
        </row>
      </sheetData>
      <sheetData sheetId="8871">
        <row r="3">
          <cell r="B3" t="str">
            <v>600000005</v>
          </cell>
        </row>
      </sheetData>
      <sheetData sheetId="8872">
        <row r="1">
          <cell r="A1" t="str">
            <v>CODE</v>
          </cell>
        </row>
      </sheetData>
      <sheetData sheetId="8873">
        <row r="3">
          <cell r="B3" t="str">
            <v>600000005</v>
          </cell>
        </row>
      </sheetData>
      <sheetData sheetId="8874">
        <row r="2">
          <cell r="B2" t="str">
            <v>SOLVAY SPECIALITIES INDIA PRIVATE LIMITED</v>
          </cell>
        </row>
      </sheetData>
      <sheetData sheetId="8875">
        <row r="5">
          <cell r="J5" t="str">
            <v>Delay in days</v>
          </cell>
        </row>
      </sheetData>
      <sheetData sheetId="8876">
        <row r="2">
          <cell r="B2" t="str">
            <v>SOLVAY SPECIALITIES INDIA PRIVATE LIMITED</v>
          </cell>
        </row>
      </sheetData>
      <sheetData sheetId="8877">
        <row r="3">
          <cell r="B3" t="str">
            <v>600000005</v>
          </cell>
        </row>
      </sheetData>
      <sheetData sheetId="8878">
        <row r="2">
          <cell r="AJ2" t="str">
            <v>Ver 2.1.11  B 02-3-1</v>
          </cell>
        </row>
      </sheetData>
      <sheetData sheetId="8879"/>
      <sheetData sheetId="8880">
        <row r="2">
          <cell r="B2" t="str">
            <v>SOLVAY SPECIALITIES INDIA PRIVATE LIMITED</v>
          </cell>
        </row>
      </sheetData>
      <sheetData sheetId="8881" refreshError="1"/>
      <sheetData sheetId="8882" refreshError="1"/>
      <sheetData sheetId="8883" refreshError="1"/>
      <sheetData sheetId="8884" refreshError="1"/>
      <sheetData sheetId="8885" refreshError="1"/>
      <sheetData sheetId="8886" refreshError="1"/>
      <sheetData sheetId="8887" refreshError="1"/>
      <sheetData sheetId="8888" refreshError="1"/>
      <sheetData sheetId="8889" refreshError="1"/>
      <sheetData sheetId="8890" refreshError="1"/>
      <sheetData sheetId="8891" refreshError="1"/>
      <sheetData sheetId="8892" refreshError="1"/>
      <sheetData sheetId="8893" refreshError="1"/>
      <sheetData sheetId="8894" refreshError="1"/>
      <sheetData sheetId="8895" refreshError="1"/>
      <sheetData sheetId="8896" refreshError="1"/>
      <sheetData sheetId="8897" refreshError="1"/>
      <sheetData sheetId="8898" refreshError="1"/>
      <sheetData sheetId="8899" refreshError="1"/>
      <sheetData sheetId="8900" refreshError="1"/>
      <sheetData sheetId="8901" refreshError="1"/>
      <sheetData sheetId="8902" refreshError="1"/>
      <sheetData sheetId="8903" refreshError="1"/>
      <sheetData sheetId="8904" refreshError="1"/>
      <sheetData sheetId="8905" refreshError="1"/>
      <sheetData sheetId="8906" refreshError="1"/>
      <sheetData sheetId="8907" refreshError="1"/>
      <sheetData sheetId="8908" refreshError="1"/>
      <sheetData sheetId="8909" refreshError="1"/>
      <sheetData sheetId="8910" refreshError="1"/>
      <sheetData sheetId="8911" refreshError="1"/>
      <sheetData sheetId="8912" refreshError="1"/>
      <sheetData sheetId="8913" refreshError="1"/>
      <sheetData sheetId="8914"/>
      <sheetData sheetId="8915">
        <row r="18">
          <cell r="D18">
            <v>0.15</v>
          </cell>
        </row>
      </sheetData>
      <sheetData sheetId="8916"/>
      <sheetData sheetId="8917">
        <row r="1">
          <cell r="A1" t="str">
            <v>CODE</v>
          </cell>
        </row>
      </sheetData>
      <sheetData sheetId="8918" refreshError="1"/>
      <sheetData sheetId="8919">
        <row r="140">
          <cell r="E140">
            <v>63913884</v>
          </cell>
        </row>
      </sheetData>
      <sheetData sheetId="8920"/>
      <sheetData sheetId="8921">
        <row r="18">
          <cell r="D18">
            <v>0.15</v>
          </cell>
        </row>
      </sheetData>
      <sheetData sheetId="8922">
        <row r="2">
          <cell r="AJ2" t="str">
            <v>Ver 2.1.11  B 02-3-1</v>
          </cell>
        </row>
      </sheetData>
      <sheetData sheetId="8923">
        <row r="18">
          <cell r="D18">
            <v>0.15</v>
          </cell>
        </row>
      </sheetData>
      <sheetData sheetId="8924"/>
      <sheetData sheetId="8925"/>
      <sheetData sheetId="8926"/>
      <sheetData sheetId="8927">
        <row r="1">
          <cell r="A1" t="str">
            <v>CODE</v>
          </cell>
        </row>
      </sheetData>
      <sheetData sheetId="8928">
        <row r="2">
          <cell r="AJ2" t="str">
            <v>Ver 2.1.11  B 02-3-1</v>
          </cell>
        </row>
      </sheetData>
      <sheetData sheetId="8929">
        <row r="18">
          <cell r="D18">
            <v>0.15</v>
          </cell>
        </row>
      </sheetData>
      <sheetData sheetId="8930"/>
      <sheetData sheetId="8931"/>
      <sheetData sheetId="8932"/>
      <sheetData sheetId="8933">
        <row r="3">
          <cell r="B3" t="str">
            <v>600000005</v>
          </cell>
        </row>
      </sheetData>
      <sheetData sheetId="8934">
        <row r="2">
          <cell r="AJ2" t="str">
            <v>Ver 2.1.11  B 02-3-1</v>
          </cell>
        </row>
      </sheetData>
      <sheetData sheetId="8935">
        <row r="18">
          <cell r="D18">
            <v>0.15</v>
          </cell>
        </row>
      </sheetData>
      <sheetData sheetId="8936" refreshError="1"/>
      <sheetData sheetId="8937"/>
      <sheetData sheetId="8938">
        <row r="2">
          <cell r="B2" t="str">
            <v>SOLVAY SPECIALITIES INDIA PRIVATE LIMITED</v>
          </cell>
        </row>
      </sheetData>
      <sheetData sheetId="8939">
        <row r="3">
          <cell r="B3" t="str">
            <v>600000005</v>
          </cell>
        </row>
      </sheetData>
      <sheetData sheetId="8940"/>
      <sheetData sheetId="8941"/>
      <sheetData sheetId="8942">
        <row r="140">
          <cell r="E140">
            <v>63913884</v>
          </cell>
        </row>
      </sheetData>
      <sheetData sheetId="8943"/>
      <sheetData sheetId="8944">
        <row r="2">
          <cell r="B2" t="str">
            <v>SOLVAY SPECIALITIES INDIA PRIVATE LIMITED</v>
          </cell>
        </row>
      </sheetData>
      <sheetData sheetId="8945"/>
      <sheetData sheetId="8946"/>
      <sheetData sheetId="8947"/>
      <sheetData sheetId="8948">
        <row r="140">
          <cell r="E140">
            <v>63913884</v>
          </cell>
        </row>
      </sheetData>
      <sheetData sheetId="8949" refreshError="1"/>
      <sheetData sheetId="8950" refreshError="1"/>
      <sheetData sheetId="8951" refreshError="1"/>
      <sheetData sheetId="8952" refreshError="1"/>
      <sheetData sheetId="8953" refreshError="1"/>
      <sheetData sheetId="8954" refreshError="1"/>
      <sheetData sheetId="8955">
        <row r="18">
          <cell r="D18">
            <v>0.15</v>
          </cell>
        </row>
      </sheetData>
      <sheetData sheetId="8956"/>
      <sheetData sheetId="8957" refreshError="1"/>
      <sheetData sheetId="8958"/>
      <sheetData sheetId="8959"/>
      <sheetData sheetId="8960">
        <row r="2">
          <cell r="B2" t="str">
            <v>SOLVAY SPECIALITIES INDIA PRIVATE LIMITED</v>
          </cell>
        </row>
      </sheetData>
      <sheetData sheetId="8961">
        <row r="18">
          <cell r="D18">
            <v>0.15</v>
          </cell>
        </row>
      </sheetData>
      <sheetData sheetId="8962" refreshError="1"/>
      <sheetData sheetId="8963" refreshError="1"/>
      <sheetData sheetId="8964" refreshError="1"/>
      <sheetData sheetId="8965"/>
      <sheetData sheetId="8966" refreshError="1"/>
      <sheetData sheetId="8967"/>
      <sheetData sheetId="8968" refreshError="1"/>
      <sheetData sheetId="8969" refreshError="1"/>
      <sheetData sheetId="8970" refreshError="1"/>
      <sheetData sheetId="8971" refreshError="1"/>
      <sheetData sheetId="8972" refreshError="1"/>
      <sheetData sheetId="8973" refreshError="1"/>
      <sheetData sheetId="8974"/>
      <sheetData sheetId="8975">
        <row r="3">
          <cell r="B3" t="str">
            <v>600000005</v>
          </cell>
        </row>
      </sheetData>
      <sheetData sheetId="8976">
        <row r="22">
          <cell r="H22">
            <v>2160015.370000001</v>
          </cell>
        </row>
      </sheetData>
      <sheetData sheetId="8977" refreshError="1"/>
      <sheetData sheetId="8978" refreshError="1"/>
      <sheetData sheetId="8979" refreshError="1"/>
      <sheetData sheetId="8980" refreshError="1"/>
      <sheetData sheetId="8981" refreshError="1"/>
      <sheetData sheetId="8982" refreshError="1"/>
      <sheetData sheetId="8983" refreshError="1"/>
      <sheetData sheetId="8984" refreshError="1"/>
      <sheetData sheetId="8985" refreshError="1"/>
      <sheetData sheetId="8986" refreshError="1"/>
      <sheetData sheetId="8987">
        <row r="3">
          <cell r="B3" t="str">
            <v>600000005</v>
          </cell>
        </row>
      </sheetData>
      <sheetData sheetId="8988"/>
      <sheetData sheetId="8989">
        <row r="140">
          <cell r="E140">
            <v>63913884</v>
          </cell>
        </row>
      </sheetData>
      <sheetData sheetId="8990">
        <row r="1">
          <cell r="A1" t="str">
            <v>CODE</v>
          </cell>
        </row>
      </sheetData>
      <sheetData sheetId="8991">
        <row r="140">
          <cell r="E140">
            <v>63913884</v>
          </cell>
        </row>
      </sheetData>
      <sheetData sheetId="8992">
        <row r="3">
          <cell r="B3" t="str">
            <v>600000005</v>
          </cell>
        </row>
      </sheetData>
      <sheetData sheetId="8993"/>
      <sheetData sheetId="8994">
        <row r="140">
          <cell r="E140">
            <v>63913884</v>
          </cell>
        </row>
      </sheetData>
      <sheetData sheetId="8995"/>
      <sheetData sheetId="8996">
        <row r="22">
          <cell r="H22">
            <v>2160015.370000001</v>
          </cell>
        </row>
      </sheetData>
      <sheetData sheetId="8997">
        <row r="140">
          <cell r="E140">
            <v>63913884</v>
          </cell>
        </row>
      </sheetData>
      <sheetData sheetId="8998" refreshError="1"/>
      <sheetData sheetId="8999" refreshError="1"/>
      <sheetData sheetId="9000" refreshError="1"/>
      <sheetData sheetId="9001" refreshError="1"/>
      <sheetData sheetId="9002" refreshError="1"/>
      <sheetData sheetId="9003" refreshError="1"/>
      <sheetData sheetId="9004" refreshError="1"/>
      <sheetData sheetId="9005" refreshError="1"/>
      <sheetData sheetId="9006" refreshError="1"/>
      <sheetData sheetId="9007" refreshError="1"/>
      <sheetData sheetId="9008" refreshError="1"/>
      <sheetData sheetId="9009" refreshError="1"/>
      <sheetData sheetId="9010" refreshError="1"/>
      <sheetData sheetId="9011" refreshError="1"/>
      <sheetData sheetId="9012">
        <row r="3">
          <cell r="B3" t="str">
            <v>600000005</v>
          </cell>
        </row>
      </sheetData>
      <sheetData sheetId="9013" refreshError="1"/>
      <sheetData sheetId="9014" refreshError="1"/>
      <sheetData sheetId="9015" refreshError="1"/>
      <sheetData sheetId="9016" refreshError="1"/>
      <sheetData sheetId="9017" refreshError="1"/>
      <sheetData sheetId="9018" refreshError="1"/>
      <sheetData sheetId="9019" refreshError="1"/>
      <sheetData sheetId="9020" refreshError="1"/>
      <sheetData sheetId="9021" refreshError="1"/>
      <sheetData sheetId="9022" refreshError="1"/>
      <sheetData sheetId="9023" refreshError="1"/>
      <sheetData sheetId="9024" refreshError="1"/>
      <sheetData sheetId="9025" refreshError="1"/>
      <sheetData sheetId="9026" refreshError="1"/>
      <sheetData sheetId="9027" refreshError="1"/>
      <sheetData sheetId="9028" refreshError="1"/>
      <sheetData sheetId="9029" refreshError="1"/>
      <sheetData sheetId="9030" refreshError="1"/>
      <sheetData sheetId="9031" refreshError="1"/>
      <sheetData sheetId="9032" refreshError="1"/>
      <sheetData sheetId="9033" refreshError="1"/>
      <sheetData sheetId="9034" refreshError="1"/>
      <sheetData sheetId="9035" refreshError="1"/>
      <sheetData sheetId="9036" refreshError="1"/>
      <sheetData sheetId="9037" refreshError="1"/>
      <sheetData sheetId="9038" refreshError="1"/>
      <sheetData sheetId="9039" refreshError="1"/>
      <sheetData sheetId="9040" refreshError="1"/>
      <sheetData sheetId="9041" refreshError="1"/>
      <sheetData sheetId="9042" refreshError="1"/>
      <sheetData sheetId="9043" refreshError="1"/>
      <sheetData sheetId="9044" refreshError="1"/>
      <sheetData sheetId="9045" refreshError="1"/>
      <sheetData sheetId="9046" refreshError="1"/>
      <sheetData sheetId="9047" refreshError="1"/>
      <sheetData sheetId="9048" refreshError="1"/>
      <sheetData sheetId="9049" refreshError="1"/>
      <sheetData sheetId="9050" refreshError="1"/>
      <sheetData sheetId="9051" refreshError="1"/>
      <sheetData sheetId="9052" refreshError="1"/>
      <sheetData sheetId="9053" refreshError="1"/>
      <sheetData sheetId="9054" refreshError="1"/>
      <sheetData sheetId="9055" refreshError="1"/>
      <sheetData sheetId="9056" refreshError="1"/>
      <sheetData sheetId="9057" refreshError="1"/>
      <sheetData sheetId="9058" refreshError="1"/>
      <sheetData sheetId="9059" refreshError="1"/>
      <sheetData sheetId="9060" refreshError="1"/>
      <sheetData sheetId="9061" refreshError="1"/>
      <sheetData sheetId="9062" refreshError="1"/>
      <sheetData sheetId="9063" refreshError="1"/>
      <sheetData sheetId="9064" refreshError="1"/>
      <sheetData sheetId="9065" refreshError="1"/>
      <sheetData sheetId="9066" refreshError="1"/>
      <sheetData sheetId="9067" refreshError="1"/>
      <sheetData sheetId="9068" refreshError="1"/>
      <sheetData sheetId="9069" refreshError="1"/>
      <sheetData sheetId="9070" refreshError="1"/>
      <sheetData sheetId="9071" refreshError="1"/>
      <sheetData sheetId="9072" refreshError="1"/>
      <sheetData sheetId="9073" refreshError="1"/>
      <sheetData sheetId="9074" refreshError="1"/>
      <sheetData sheetId="9075" refreshError="1"/>
      <sheetData sheetId="9076" refreshError="1"/>
      <sheetData sheetId="9077" refreshError="1"/>
      <sheetData sheetId="9078" refreshError="1"/>
      <sheetData sheetId="9079" refreshError="1"/>
      <sheetData sheetId="9080" refreshError="1"/>
      <sheetData sheetId="9081" refreshError="1"/>
      <sheetData sheetId="9082">
        <row r="41">
          <cell r="D41">
            <v>6675083</v>
          </cell>
        </row>
      </sheetData>
      <sheetData sheetId="9083" refreshError="1"/>
      <sheetData sheetId="9084" refreshError="1"/>
      <sheetData sheetId="9085" refreshError="1"/>
      <sheetData sheetId="9086" refreshError="1"/>
      <sheetData sheetId="9087" refreshError="1"/>
      <sheetData sheetId="9088" refreshError="1"/>
      <sheetData sheetId="9089" refreshError="1"/>
      <sheetData sheetId="9090" refreshError="1"/>
      <sheetData sheetId="9091" refreshError="1"/>
      <sheetData sheetId="9092" refreshError="1"/>
      <sheetData sheetId="9093" refreshError="1"/>
      <sheetData sheetId="9094" refreshError="1"/>
      <sheetData sheetId="9095" refreshError="1"/>
      <sheetData sheetId="9096" refreshError="1"/>
      <sheetData sheetId="9097" refreshError="1"/>
      <sheetData sheetId="9098" refreshError="1"/>
      <sheetData sheetId="9099" refreshError="1"/>
      <sheetData sheetId="9100" refreshError="1"/>
      <sheetData sheetId="9101" refreshError="1"/>
      <sheetData sheetId="9102" refreshError="1"/>
      <sheetData sheetId="9103" refreshError="1"/>
      <sheetData sheetId="9104" refreshError="1"/>
      <sheetData sheetId="9105" refreshError="1"/>
      <sheetData sheetId="9106" refreshError="1"/>
      <sheetData sheetId="9107" refreshError="1"/>
      <sheetData sheetId="9108" refreshError="1"/>
      <sheetData sheetId="9109" refreshError="1"/>
      <sheetData sheetId="9110" refreshError="1"/>
      <sheetData sheetId="9111" refreshError="1"/>
      <sheetData sheetId="9112" refreshError="1"/>
      <sheetData sheetId="9113"/>
      <sheetData sheetId="9114"/>
      <sheetData sheetId="9115"/>
      <sheetData sheetId="9116"/>
      <sheetData sheetId="9117"/>
      <sheetData sheetId="9118"/>
      <sheetData sheetId="9119"/>
      <sheetData sheetId="9120"/>
      <sheetData sheetId="9121"/>
      <sheetData sheetId="9122"/>
      <sheetData sheetId="9123"/>
      <sheetData sheetId="9124"/>
      <sheetData sheetId="9125"/>
      <sheetData sheetId="9126"/>
      <sheetData sheetId="9127"/>
      <sheetData sheetId="9128"/>
      <sheetData sheetId="9129"/>
      <sheetData sheetId="9130"/>
      <sheetData sheetId="9131"/>
      <sheetData sheetId="9132"/>
      <sheetData sheetId="9133"/>
      <sheetData sheetId="9134"/>
      <sheetData sheetId="9135"/>
      <sheetData sheetId="9136" refreshError="1"/>
      <sheetData sheetId="9137" refreshError="1"/>
      <sheetData sheetId="9138" refreshError="1"/>
      <sheetData sheetId="9139" refreshError="1"/>
      <sheetData sheetId="9140" refreshError="1"/>
      <sheetData sheetId="9141" refreshError="1"/>
      <sheetData sheetId="9142" refreshError="1"/>
      <sheetData sheetId="9143" refreshError="1"/>
      <sheetData sheetId="9144" refreshError="1"/>
      <sheetData sheetId="9145" refreshError="1"/>
      <sheetData sheetId="9146" refreshError="1"/>
      <sheetData sheetId="9147" refreshError="1"/>
      <sheetData sheetId="9148" refreshError="1"/>
      <sheetData sheetId="9149" refreshError="1"/>
      <sheetData sheetId="9150" refreshError="1"/>
      <sheetData sheetId="9151" refreshError="1"/>
      <sheetData sheetId="9152" refreshError="1"/>
      <sheetData sheetId="9153" refreshError="1"/>
      <sheetData sheetId="9154" refreshError="1"/>
      <sheetData sheetId="9155" refreshError="1"/>
      <sheetData sheetId="9156" refreshError="1"/>
      <sheetData sheetId="9157" refreshError="1"/>
      <sheetData sheetId="9158" refreshError="1"/>
      <sheetData sheetId="9159" refreshError="1"/>
      <sheetData sheetId="9160" refreshError="1"/>
      <sheetData sheetId="9161" refreshError="1"/>
      <sheetData sheetId="9162" refreshError="1"/>
      <sheetData sheetId="9163" refreshError="1"/>
      <sheetData sheetId="9164" refreshError="1"/>
      <sheetData sheetId="9165" refreshError="1"/>
      <sheetData sheetId="9166" refreshError="1"/>
      <sheetData sheetId="9167" refreshError="1"/>
      <sheetData sheetId="9168" refreshError="1"/>
      <sheetData sheetId="9169" refreshError="1"/>
      <sheetData sheetId="9170" refreshError="1"/>
      <sheetData sheetId="9171" refreshError="1"/>
      <sheetData sheetId="9172" refreshError="1"/>
      <sheetData sheetId="9173" refreshError="1"/>
      <sheetData sheetId="9174" refreshError="1"/>
      <sheetData sheetId="9175" refreshError="1"/>
      <sheetData sheetId="9176" refreshError="1"/>
      <sheetData sheetId="9177" refreshError="1"/>
      <sheetData sheetId="9178" refreshError="1"/>
      <sheetData sheetId="9179" refreshError="1"/>
      <sheetData sheetId="9180" refreshError="1"/>
      <sheetData sheetId="9181" refreshError="1"/>
      <sheetData sheetId="9182" refreshError="1"/>
      <sheetData sheetId="9183" refreshError="1"/>
      <sheetData sheetId="9184" refreshError="1"/>
      <sheetData sheetId="9185" refreshError="1"/>
      <sheetData sheetId="9186" refreshError="1"/>
      <sheetData sheetId="9187" refreshError="1"/>
      <sheetData sheetId="9188" refreshError="1"/>
      <sheetData sheetId="9189" refreshError="1"/>
      <sheetData sheetId="9190" refreshError="1"/>
      <sheetData sheetId="9191" refreshError="1"/>
      <sheetData sheetId="9192" refreshError="1"/>
      <sheetData sheetId="9193" refreshError="1"/>
      <sheetData sheetId="9194" refreshError="1"/>
      <sheetData sheetId="9195" refreshError="1"/>
      <sheetData sheetId="9196" refreshError="1"/>
      <sheetData sheetId="9197" refreshError="1"/>
      <sheetData sheetId="9198" refreshError="1"/>
      <sheetData sheetId="9199" refreshError="1"/>
      <sheetData sheetId="9200" refreshError="1"/>
      <sheetData sheetId="9201" refreshError="1"/>
      <sheetData sheetId="9202" refreshError="1"/>
      <sheetData sheetId="9203" refreshError="1"/>
      <sheetData sheetId="9204" refreshError="1"/>
      <sheetData sheetId="9205" refreshError="1"/>
      <sheetData sheetId="9206" refreshError="1"/>
      <sheetData sheetId="9207" refreshError="1"/>
      <sheetData sheetId="9208" refreshError="1"/>
      <sheetData sheetId="9209" refreshError="1"/>
      <sheetData sheetId="9210" refreshError="1"/>
      <sheetData sheetId="9211" refreshError="1"/>
      <sheetData sheetId="9212" refreshError="1"/>
      <sheetData sheetId="9213" refreshError="1"/>
      <sheetData sheetId="9214" refreshError="1"/>
      <sheetData sheetId="9215" refreshError="1"/>
      <sheetData sheetId="9216" refreshError="1"/>
      <sheetData sheetId="9217" refreshError="1"/>
      <sheetData sheetId="9218" refreshError="1"/>
      <sheetData sheetId="9219" refreshError="1"/>
      <sheetData sheetId="9220" refreshError="1"/>
      <sheetData sheetId="9221" refreshError="1"/>
      <sheetData sheetId="9222" refreshError="1"/>
      <sheetData sheetId="9223" refreshError="1"/>
      <sheetData sheetId="9224" refreshError="1"/>
      <sheetData sheetId="9225" refreshError="1"/>
      <sheetData sheetId="9226" refreshError="1"/>
      <sheetData sheetId="9227" refreshError="1"/>
      <sheetData sheetId="9228" refreshError="1"/>
      <sheetData sheetId="9229" refreshError="1"/>
      <sheetData sheetId="9230" refreshError="1"/>
      <sheetData sheetId="9231" refreshError="1"/>
      <sheetData sheetId="9232" refreshError="1"/>
      <sheetData sheetId="9233" refreshError="1"/>
      <sheetData sheetId="9234"/>
      <sheetData sheetId="9235"/>
      <sheetData sheetId="9236"/>
      <sheetData sheetId="9237"/>
      <sheetData sheetId="9238">
        <row r="55">
          <cell r="F55">
            <v>176853002</v>
          </cell>
        </row>
      </sheetData>
      <sheetData sheetId="9239"/>
      <sheetData sheetId="9240"/>
      <sheetData sheetId="9241"/>
      <sheetData sheetId="9242"/>
      <sheetData sheetId="9243">
        <row r="55">
          <cell r="F55">
            <v>176853002</v>
          </cell>
        </row>
      </sheetData>
      <sheetData sheetId="9244"/>
      <sheetData sheetId="9245"/>
      <sheetData sheetId="9246"/>
      <sheetData sheetId="9247"/>
      <sheetData sheetId="9248"/>
      <sheetData sheetId="9249"/>
      <sheetData sheetId="9250">
        <row r="1">
          <cell r="A1" t="str">
            <v>ASSET_NUMBER</v>
          </cell>
        </row>
      </sheetData>
      <sheetData sheetId="9251"/>
      <sheetData sheetId="9252"/>
      <sheetData sheetId="9253"/>
      <sheetData sheetId="9254"/>
      <sheetData sheetId="9255"/>
      <sheetData sheetId="9256"/>
      <sheetData sheetId="9257"/>
      <sheetData sheetId="9258">
        <row r="1">
          <cell r="A1" t="str">
            <v>ASSET_NUMBER</v>
          </cell>
        </row>
      </sheetData>
      <sheetData sheetId="9259"/>
      <sheetData sheetId="9260"/>
      <sheetData sheetId="9261"/>
      <sheetData sheetId="9262"/>
      <sheetData sheetId="9263" refreshError="1"/>
      <sheetData sheetId="9264" refreshError="1"/>
      <sheetData sheetId="9265" refreshError="1"/>
      <sheetData sheetId="9266" refreshError="1"/>
      <sheetData sheetId="9267" refreshError="1"/>
      <sheetData sheetId="9268" refreshError="1"/>
      <sheetData sheetId="9269">
        <row r="73">
          <cell r="F73">
            <v>39021</v>
          </cell>
        </row>
      </sheetData>
      <sheetData sheetId="9270"/>
      <sheetData sheetId="9271"/>
      <sheetData sheetId="9272"/>
      <sheetData sheetId="9273">
        <row r="73">
          <cell r="F73">
            <v>39021</v>
          </cell>
        </row>
      </sheetData>
      <sheetData sheetId="9274"/>
      <sheetData sheetId="9275"/>
      <sheetData sheetId="9276"/>
      <sheetData sheetId="9277"/>
      <sheetData sheetId="9278">
        <row r="73">
          <cell r="F73">
            <v>39021</v>
          </cell>
        </row>
      </sheetData>
      <sheetData sheetId="9279"/>
      <sheetData sheetId="9280"/>
      <sheetData sheetId="9281"/>
      <sheetData sheetId="9282"/>
      <sheetData sheetId="9283"/>
      <sheetData sheetId="9284"/>
      <sheetData sheetId="9285"/>
      <sheetData sheetId="9286">
        <row r="5">
          <cell r="J5" t="str">
            <v>Delay in days</v>
          </cell>
        </row>
      </sheetData>
      <sheetData sheetId="9287" refreshError="1"/>
      <sheetData sheetId="9288"/>
      <sheetData sheetId="9289" refreshError="1"/>
      <sheetData sheetId="9290"/>
      <sheetData sheetId="9291">
        <row r="5">
          <cell r="J5" t="str">
            <v>Delay in days</v>
          </cell>
        </row>
      </sheetData>
      <sheetData sheetId="9292">
        <row r="22">
          <cell r="H22">
            <v>2160015.370000001</v>
          </cell>
        </row>
      </sheetData>
      <sheetData sheetId="9293"/>
      <sheetData sheetId="9294">
        <row r="5">
          <cell r="J5" t="str">
            <v>Delay in days</v>
          </cell>
        </row>
      </sheetData>
      <sheetData sheetId="9295" refreshError="1"/>
      <sheetData sheetId="9296" refreshError="1"/>
      <sheetData sheetId="9297">
        <row r="5">
          <cell r="J5" t="str">
            <v>Delay in days</v>
          </cell>
        </row>
      </sheetData>
      <sheetData sheetId="9298"/>
      <sheetData sheetId="9299">
        <row r="2">
          <cell r="AJ2" t="str">
            <v>Ver 2.1.11  B 02-3-1</v>
          </cell>
        </row>
      </sheetData>
      <sheetData sheetId="9300"/>
      <sheetData sheetId="9301"/>
      <sheetData sheetId="9302">
        <row r="5">
          <cell r="J5" t="str">
            <v>Delay in days</v>
          </cell>
        </row>
      </sheetData>
      <sheetData sheetId="9303"/>
      <sheetData sheetId="9304">
        <row r="2">
          <cell r="AJ2" t="str">
            <v>Ver 2.1.11  B 02-3-1</v>
          </cell>
        </row>
      </sheetData>
      <sheetData sheetId="9305"/>
      <sheetData sheetId="9306"/>
      <sheetData sheetId="9307">
        <row r="5">
          <cell r="J5" t="str">
            <v>Delay in days</v>
          </cell>
        </row>
      </sheetData>
      <sheetData sheetId="9308"/>
      <sheetData sheetId="9309">
        <row r="2">
          <cell r="AJ2" t="str">
            <v>Ver 2.1.11  B 02-3-1</v>
          </cell>
        </row>
      </sheetData>
      <sheetData sheetId="9310">
        <row r="1">
          <cell r="A1" t="str">
            <v>CODE</v>
          </cell>
        </row>
      </sheetData>
      <sheetData sheetId="9311"/>
      <sheetData sheetId="9312">
        <row r="5">
          <cell r="J5" t="str">
            <v>Delay in days</v>
          </cell>
        </row>
      </sheetData>
      <sheetData sheetId="9313" refreshError="1"/>
      <sheetData sheetId="9314" refreshError="1"/>
      <sheetData sheetId="9315"/>
      <sheetData sheetId="9316" refreshError="1"/>
      <sheetData sheetId="9317" refreshError="1"/>
      <sheetData sheetId="9318" refreshError="1"/>
      <sheetData sheetId="9319" refreshError="1"/>
      <sheetData sheetId="9320" refreshError="1"/>
      <sheetData sheetId="9321" refreshError="1"/>
      <sheetData sheetId="9322" refreshError="1"/>
      <sheetData sheetId="9323" refreshError="1"/>
      <sheetData sheetId="9324" refreshError="1"/>
      <sheetData sheetId="9325" refreshError="1"/>
      <sheetData sheetId="9326" refreshError="1"/>
      <sheetData sheetId="9327" refreshError="1"/>
      <sheetData sheetId="9328" refreshError="1"/>
      <sheetData sheetId="9329" refreshError="1"/>
      <sheetData sheetId="9330" refreshError="1"/>
      <sheetData sheetId="9331" refreshError="1"/>
      <sheetData sheetId="9332" refreshError="1"/>
      <sheetData sheetId="9333" refreshError="1"/>
      <sheetData sheetId="9334" refreshError="1"/>
      <sheetData sheetId="9335" refreshError="1"/>
      <sheetData sheetId="9336" refreshError="1"/>
      <sheetData sheetId="9337" refreshError="1"/>
      <sheetData sheetId="9338" refreshError="1"/>
      <sheetData sheetId="9339" refreshError="1"/>
      <sheetData sheetId="9340"/>
      <sheetData sheetId="9341" refreshError="1"/>
      <sheetData sheetId="9342" refreshError="1"/>
      <sheetData sheetId="9343" refreshError="1"/>
      <sheetData sheetId="9344" refreshError="1"/>
      <sheetData sheetId="9345" refreshError="1"/>
      <sheetData sheetId="9346" refreshError="1"/>
      <sheetData sheetId="9347" refreshError="1"/>
      <sheetData sheetId="9348" refreshError="1"/>
      <sheetData sheetId="9349" refreshError="1"/>
      <sheetData sheetId="9350" refreshError="1"/>
      <sheetData sheetId="9351" refreshError="1"/>
      <sheetData sheetId="9352" refreshError="1"/>
      <sheetData sheetId="9353" refreshError="1"/>
      <sheetData sheetId="9354" refreshError="1"/>
      <sheetData sheetId="9355" refreshError="1"/>
      <sheetData sheetId="9356">
        <row r="5">
          <cell r="A5">
            <v>1</v>
          </cell>
        </row>
      </sheetData>
      <sheetData sheetId="9357"/>
      <sheetData sheetId="9358"/>
      <sheetData sheetId="9359"/>
      <sheetData sheetId="9360" refreshError="1"/>
      <sheetData sheetId="9361">
        <row r="5">
          <cell r="A5">
            <v>1</v>
          </cell>
        </row>
      </sheetData>
      <sheetData sheetId="9362" refreshError="1"/>
      <sheetData sheetId="9363" refreshError="1"/>
      <sheetData sheetId="9364">
        <row r="3">
          <cell r="B3" t="str">
            <v>600000005</v>
          </cell>
        </row>
      </sheetData>
      <sheetData sheetId="9365">
        <row r="5">
          <cell r="A5">
            <v>1</v>
          </cell>
        </row>
      </sheetData>
      <sheetData sheetId="9366"/>
      <sheetData sheetId="9367">
        <row r="4">
          <cell r="B4" t="str">
            <v>*** DO NOT INSERT ROW ABOVE THIS ***</v>
          </cell>
        </row>
      </sheetData>
      <sheetData sheetId="9368">
        <row r="3">
          <cell r="B3" t="str">
            <v>600000005</v>
          </cell>
        </row>
      </sheetData>
      <sheetData sheetId="9369"/>
      <sheetData sheetId="9370"/>
      <sheetData sheetId="9371" refreshError="1"/>
      <sheetData sheetId="9372">
        <row r="3">
          <cell r="B3" t="str">
            <v>600000005</v>
          </cell>
        </row>
      </sheetData>
      <sheetData sheetId="9373">
        <row r="3">
          <cell r="B3" t="str">
            <v>600000005</v>
          </cell>
        </row>
      </sheetData>
      <sheetData sheetId="9374"/>
      <sheetData sheetId="9375" refreshError="1"/>
      <sheetData sheetId="9376">
        <row r="4">
          <cell r="B4" t="str">
            <v>*** DO NOT INSERT ROW ABOVE THIS ***</v>
          </cell>
        </row>
      </sheetData>
      <sheetData sheetId="9377">
        <row r="3">
          <cell r="B3" t="str">
            <v>600000005</v>
          </cell>
        </row>
      </sheetData>
      <sheetData sheetId="9378"/>
      <sheetData sheetId="9379" refreshError="1"/>
      <sheetData sheetId="9380" refreshError="1"/>
      <sheetData sheetId="9381" refreshError="1"/>
      <sheetData sheetId="9382" refreshError="1"/>
      <sheetData sheetId="9383" refreshError="1"/>
      <sheetData sheetId="9384" refreshError="1"/>
      <sheetData sheetId="9385" refreshError="1"/>
      <sheetData sheetId="9386" refreshError="1"/>
      <sheetData sheetId="9387" refreshError="1"/>
      <sheetData sheetId="9388"/>
      <sheetData sheetId="9389" refreshError="1"/>
      <sheetData sheetId="9390" refreshError="1"/>
      <sheetData sheetId="9391" refreshError="1"/>
      <sheetData sheetId="9392" refreshError="1"/>
      <sheetData sheetId="9393" refreshError="1"/>
      <sheetData sheetId="9394" refreshError="1"/>
      <sheetData sheetId="9395" refreshError="1"/>
      <sheetData sheetId="9396" refreshError="1"/>
      <sheetData sheetId="9397" refreshError="1"/>
      <sheetData sheetId="9398" refreshError="1"/>
      <sheetData sheetId="9399" refreshError="1"/>
      <sheetData sheetId="9400" refreshError="1"/>
      <sheetData sheetId="9401"/>
      <sheetData sheetId="9402"/>
      <sheetData sheetId="9403"/>
      <sheetData sheetId="9404" refreshError="1"/>
      <sheetData sheetId="9405" refreshError="1"/>
      <sheetData sheetId="9406" refreshError="1"/>
      <sheetData sheetId="9407"/>
      <sheetData sheetId="9408" refreshError="1"/>
      <sheetData sheetId="9409" refreshError="1"/>
      <sheetData sheetId="9410" refreshError="1"/>
      <sheetData sheetId="9411" refreshError="1"/>
      <sheetData sheetId="9412" refreshError="1"/>
      <sheetData sheetId="9413" refreshError="1"/>
      <sheetData sheetId="9414" refreshError="1"/>
      <sheetData sheetId="9415" refreshError="1"/>
      <sheetData sheetId="9416" refreshError="1"/>
      <sheetData sheetId="9417" refreshError="1"/>
      <sheetData sheetId="9418" refreshError="1"/>
      <sheetData sheetId="9419" refreshError="1"/>
      <sheetData sheetId="9420" refreshError="1"/>
      <sheetData sheetId="9421" refreshError="1"/>
      <sheetData sheetId="9422"/>
      <sheetData sheetId="9423"/>
      <sheetData sheetId="9424" refreshError="1"/>
      <sheetData sheetId="9425" refreshError="1"/>
      <sheetData sheetId="9426"/>
      <sheetData sheetId="9427" refreshError="1"/>
      <sheetData sheetId="9428" refreshError="1"/>
      <sheetData sheetId="9429" refreshError="1"/>
      <sheetData sheetId="9430" refreshError="1"/>
      <sheetData sheetId="9431" refreshError="1"/>
      <sheetData sheetId="9432" refreshError="1"/>
      <sheetData sheetId="9433" refreshError="1"/>
      <sheetData sheetId="9434"/>
      <sheetData sheetId="9435"/>
      <sheetData sheetId="9436">
        <row r="2">
          <cell r="B2" t="str">
            <v>SOLVAY SPECIALITIES INDIA PRIVATE LIMITED</v>
          </cell>
        </row>
      </sheetData>
      <sheetData sheetId="9437"/>
      <sheetData sheetId="9438"/>
      <sheetData sheetId="9439">
        <row r="2">
          <cell r="B2" t="str">
            <v>SOLVAY SPECIALITIES INDIA PRIVATE LIMITED</v>
          </cell>
        </row>
      </sheetData>
      <sheetData sheetId="9440"/>
      <sheetData sheetId="9441"/>
      <sheetData sheetId="9442">
        <row r="2">
          <cell r="B2" t="str">
            <v>SOLVAY SPECIALITIES INDIA PRIVATE LIMITED</v>
          </cell>
        </row>
      </sheetData>
      <sheetData sheetId="9443"/>
      <sheetData sheetId="9444"/>
      <sheetData sheetId="9445" refreshError="1"/>
      <sheetData sheetId="9446" refreshError="1"/>
      <sheetData sheetId="9447" refreshError="1"/>
      <sheetData sheetId="9448" refreshError="1"/>
      <sheetData sheetId="9449" refreshError="1"/>
      <sheetData sheetId="9450" refreshError="1"/>
      <sheetData sheetId="9451" refreshError="1"/>
      <sheetData sheetId="9452" refreshError="1"/>
      <sheetData sheetId="9453" refreshError="1"/>
      <sheetData sheetId="9454" refreshError="1"/>
      <sheetData sheetId="9455" refreshError="1"/>
      <sheetData sheetId="9456" refreshError="1"/>
      <sheetData sheetId="9457" refreshError="1"/>
      <sheetData sheetId="9458" refreshError="1"/>
      <sheetData sheetId="9459" refreshError="1"/>
      <sheetData sheetId="9460" refreshError="1"/>
      <sheetData sheetId="9461" refreshError="1"/>
      <sheetData sheetId="9462" refreshError="1"/>
      <sheetData sheetId="9463" refreshError="1"/>
      <sheetData sheetId="9464" refreshError="1"/>
      <sheetData sheetId="9465" refreshError="1"/>
      <sheetData sheetId="9466" refreshError="1"/>
      <sheetData sheetId="9467" refreshError="1"/>
      <sheetData sheetId="9468" refreshError="1"/>
      <sheetData sheetId="9469" refreshError="1"/>
      <sheetData sheetId="9470" refreshError="1"/>
      <sheetData sheetId="9471" refreshError="1"/>
      <sheetData sheetId="9472" refreshError="1"/>
      <sheetData sheetId="9473" refreshError="1"/>
      <sheetData sheetId="9474" refreshError="1"/>
      <sheetData sheetId="9475" refreshError="1"/>
      <sheetData sheetId="9476" refreshError="1"/>
      <sheetData sheetId="9477" refreshError="1"/>
      <sheetData sheetId="9478"/>
      <sheetData sheetId="9479" refreshError="1"/>
      <sheetData sheetId="9480" refreshError="1"/>
      <sheetData sheetId="9481" refreshError="1"/>
      <sheetData sheetId="9482" refreshError="1"/>
      <sheetData sheetId="9483"/>
      <sheetData sheetId="9484">
        <row r="3">
          <cell r="B3" t="str">
            <v>600000005</v>
          </cell>
        </row>
      </sheetData>
      <sheetData sheetId="9485"/>
      <sheetData sheetId="9486"/>
      <sheetData sheetId="9487">
        <row r="2">
          <cell r="B2" t="str">
            <v>SOLVAY SPECIALITIES INDIA PRIVATE LIMITED</v>
          </cell>
        </row>
      </sheetData>
      <sheetData sheetId="9488"/>
      <sheetData sheetId="9489"/>
      <sheetData sheetId="9490">
        <row r="2">
          <cell r="B2" t="str">
            <v>SOLVAY SPECIALITIES INDIA PRIVATE LIMITED</v>
          </cell>
        </row>
      </sheetData>
      <sheetData sheetId="9491"/>
      <sheetData sheetId="9492"/>
      <sheetData sheetId="9493">
        <row r="2">
          <cell r="B2" t="str">
            <v>SOLVAY SPECIALITIES INDIA PRIVATE LIMITED</v>
          </cell>
        </row>
      </sheetData>
      <sheetData sheetId="9494"/>
      <sheetData sheetId="9495"/>
      <sheetData sheetId="9496" refreshError="1"/>
      <sheetData sheetId="9497">
        <row r="22">
          <cell r="H22">
            <v>2160015.370000001</v>
          </cell>
        </row>
      </sheetData>
      <sheetData sheetId="9498"/>
      <sheetData sheetId="9499"/>
      <sheetData sheetId="9500">
        <row r="22">
          <cell r="H22">
            <v>2160015.370000001</v>
          </cell>
        </row>
      </sheetData>
      <sheetData sheetId="9501"/>
      <sheetData sheetId="9502"/>
      <sheetData sheetId="9503">
        <row r="22">
          <cell r="H22">
            <v>2160015.370000001</v>
          </cell>
        </row>
      </sheetData>
      <sheetData sheetId="9504"/>
      <sheetData sheetId="9505"/>
      <sheetData sheetId="9506">
        <row r="140">
          <cell r="E140">
            <v>63913884</v>
          </cell>
        </row>
      </sheetData>
      <sheetData sheetId="9507"/>
      <sheetData sheetId="9508" refreshError="1"/>
      <sheetData sheetId="9509"/>
      <sheetData sheetId="9510"/>
      <sheetData sheetId="9511"/>
      <sheetData sheetId="9512"/>
      <sheetData sheetId="9513"/>
      <sheetData sheetId="9514"/>
      <sheetData sheetId="9515">
        <row r="3">
          <cell r="B3" t="str">
            <v>600000005</v>
          </cell>
        </row>
      </sheetData>
      <sheetData sheetId="9516"/>
      <sheetData sheetId="9517" refreshError="1"/>
      <sheetData sheetId="9518">
        <row r="3">
          <cell r="B3" t="str">
            <v>600000005</v>
          </cell>
        </row>
      </sheetData>
      <sheetData sheetId="9519"/>
      <sheetData sheetId="9520"/>
      <sheetData sheetId="9521" refreshError="1"/>
      <sheetData sheetId="9522" refreshError="1"/>
      <sheetData sheetId="9523" refreshError="1"/>
      <sheetData sheetId="9524" refreshError="1"/>
      <sheetData sheetId="9525" refreshError="1"/>
      <sheetData sheetId="9526" refreshError="1"/>
      <sheetData sheetId="9527" refreshError="1"/>
      <sheetData sheetId="9528" refreshError="1"/>
      <sheetData sheetId="9529" refreshError="1"/>
      <sheetData sheetId="9530" refreshError="1"/>
      <sheetData sheetId="9531" refreshError="1"/>
      <sheetData sheetId="9532" refreshError="1"/>
      <sheetData sheetId="9533" refreshError="1"/>
      <sheetData sheetId="9534" refreshError="1"/>
      <sheetData sheetId="9535" refreshError="1"/>
      <sheetData sheetId="9536" refreshError="1"/>
      <sheetData sheetId="9537" refreshError="1"/>
      <sheetData sheetId="9538" refreshError="1"/>
      <sheetData sheetId="9539" refreshError="1"/>
      <sheetData sheetId="9540" refreshError="1"/>
      <sheetData sheetId="9541" refreshError="1"/>
      <sheetData sheetId="9542" refreshError="1"/>
      <sheetData sheetId="9543" refreshError="1"/>
      <sheetData sheetId="9544" refreshError="1"/>
      <sheetData sheetId="9545" refreshError="1"/>
      <sheetData sheetId="9546" refreshError="1"/>
      <sheetData sheetId="9547" refreshError="1"/>
      <sheetData sheetId="9548" refreshError="1"/>
      <sheetData sheetId="9549" refreshError="1"/>
      <sheetData sheetId="9550" refreshError="1"/>
      <sheetData sheetId="9551" refreshError="1"/>
      <sheetData sheetId="9552" refreshError="1"/>
      <sheetData sheetId="9553" refreshError="1"/>
      <sheetData sheetId="9554" refreshError="1"/>
      <sheetData sheetId="9555" refreshError="1"/>
      <sheetData sheetId="9556" refreshError="1"/>
      <sheetData sheetId="9557" refreshError="1"/>
      <sheetData sheetId="9558" refreshError="1"/>
      <sheetData sheetId="9559" refreshError="1"/>
      <sheetData sheetId="9560" refreshError="1"/>
      <sheetData sheetId="9561" refreshError="1"/>
      <sheetData sheetId="9562" refreshError="1"/>
      <sheetData sheetId="9563" refreshError="1"/>
      <sheetData sheetId="9564" refreshError="1"/>
      <sheetData sheetId="9565" refreshError="1"/>
      <sheetData sheetId="9566" refreshError="1"/>
      <sheetData sheetId="9567" refreshError="1"/>
      <sheetData sheetId="9568" refreshError="1"/>
      <sheetData sheetId="9569" refreshError="1"/>
      <sheetData sheetId="9570" refreshError="1"/>
      <sheetData sheetId="9571" refreshError="1"/>
      <sheetData sheetId="9572" refreshError="1"/>
      <sheetData sheetId="9573" refreshError="1"/>
      <sheetData sheetId="9574" refreshError="1"/>
      <sheetData sheetId="9575" refreshError="1"/>
      <sheetData sheetId="9576" refreshError="1"/>
      <sheetData sheetId="9577" refreshError="1"/>
      <sheetData sheetId="9578" refreshError="1"/>
      <sheetData sheetId="9579" refreshError="1"/>
      <sheetData sheetId="9580" refreshError="1"/>
      <sheetData sheetId="9581" refreshError="1"/>
      <sheetData sheetId="9582" refreshError="1"/>
      <sheetData sheetId="9583" refreshError="1"/>
      <sheetData sheetId="9584" refreshError="1"/>
      <sheetData sheetId="9585" refreshError="1"/>
      <sheetData sheetId="9586" refreshError="1"/>
      <sheetData sheetId="9587" refreshError="1"/>
      <sheetData sheetId="9588" refreshError="1"/>
      <sheetData sheetId="9589" refreshError="1"/>
      <sheetData sheetId="9590" refreshError="1"/>
      <sheetData sheetId="9591" refreshError="1"/>
      <sheetData sheetId="9592" refreshError="1"/>
      <sheetData sheetId="9593" refreshError="1"/>
      <sheetData sheetId="9594" refreshError="1"/>
      <sheetData sheetId="9595" refreshError="1"/>
      <sheetData sheetId="9596" refreshError="1"/>
      <sheetData sheetId="9597" refreshError="1"/>
      <sheetData sheetId="9598" refreshError="1"/>
      <sheetData sheetId="9599" refreshError="1"/>
      <sheetData sheetId="9600" refreshError="1"/>
      <sheetData sheetId="9601" refreshError="1"/>
      <sheetData sheetId="9602" refreshError="1"/>
      <sheetData sheetId="9603" refreshError="1"/>
      <sheetData sheetId="9604" refreshError="1"/>
      <sheetData sheetId="9605" refreshError="1"/>
      <sheetData sheetId="9606" refreshError="1"/>
      <sheetData sheetId="9607" refreshError="1"/>
      <sheetData sheetId="9608" refreshError="1"/>
      <sheetData sheetId="9609" refreshError="1"/>
      <sheetData sheetId="9610" refreshError="1"/>
      <sheetData sheetId="9611" refreshError="1"/>
      <sheetData sheetId="9612" refreshError="1"/>
      <sheetData sheetId="9613" refreshError="1"/>
      <sheetData sheetId="9614" refreshError="1"/>
      <sheetData sheetId="9615" refreshError="1"/>
      <sheetData sheetId="9616" refreshError="1"/>
      <sheetData sheetId="9617" refreshError="1"/>
      <sheetData sheetId="9618" refreshError="1"/>
      <sheetData sheetId="9619" refreshError="1"/>
      <sheetData sheetId="9620" refreshError="1"/>
      <sheetData sheetId="9621" refreshError="1"/>
      <sheetData sheetId="9622" refreshError="1"/>
      <sheetData sheetId="9623" refreshError="1"/>
      <sheetData sheetId="9624" refreshError="1"/>
      <sheetData sheetId="9625" refreshError="1"/>
      <sheetData sheetId="9626" refreshError="1"/>
      <sheetData sheetId="9627" refreshError="1"/>
      <sheetData sheetId="9628" refreshError="1"/>
      <sheetData sheetId="9629" refreshError="1"/>
      <sheetData sheetId="9630" refreshError="1"/>
      <sheetData sheetId="9631" refreshError="1"/>
      <sheetData sheetId="9632" refreshError="1"/>
      <sheetData sheetId="9633" refreshError="1"/>
      <sheetData sheetId="9634" refreshError="1"/>
      <sheetData sheetId="9635" refreshError="1"/>
      <sheetData sheetId="9636" refreshError="1"/>
      <sheetData sheetId="9637" refreshError="1"/>
      <sheetData sheetId="9638" refreshError="1"/>
      <sheetData sheetId="9639" refreshError="1"/>
      <sheetData sheetId="9640" refreshError="1"/>
      <sheetData sheetId="9641" refreshError="1"/>
      <sheetData sheetId="9642" refreshError="1"/>
      <sheetData sheetId="9643" refreshError="1"/>
      <sheetData sheetId="9644" refreshError="1"/>
      <sheetData sheetId="9645" refreshError="1"/>
      <sheetData sheetId="9646" refreshError="1"/>
      <sheetData sheetId="9647" refreshError="1"/>
      <sheetData sheetId="9648" refreshError="1"/>
      <sheetData sheetId="9649" refreshError="1"/>
      <sheetData sheetId="9650" refreshError="1"/>
      <sheetData sheetId="9651" refreshError="1"/>
      <sheetData sheetId="9652" refreshError="1"/>
      <sheetData sheetId="9653" refreshError="1"/>
      <sheetData sheetId="9654" refreshError="1"/>
      <sheetData sheetId="9655" refreshError="1"/>
      <sheetData sheetId="9656" refreshError="1"/>
      <sheetData sheetId="9657" refreshError="1"/>
      <sheetData sheetId="9658" refreshError="1"/>
      <sheetData sheetId="9659" refreshError="1"/>
      <sheetData sheetId="9660" refreshError="1"/>
      <sheetData sheetId="9661" refreshError="1"/>
      <sheetData sheetId="9662" refreshError="1"/>
      <sheetData sheetId="9663" refreshError="1"/>
      <sheetData sheetId="9664" refreshError="1"/>
      <sheetData sheetId="9665" refreshError="1"/>
      <sheetData sheetId="9666" refreshError="1"/>
      <sheetData sheetId="9667" refreshError="1"/>
      <sheetData sheetId="9668" refreshError="1"/>
      <sheetData sheetId="9669" refreshError="1"/>
      <sheetData sheetId="9670" refreshError="1"/>
      <sheetData sheetId="9671" refreshError="1"/>
      <sheetData sheetId="9672" refreshError="1"/>
      <sheetData sheetId="9673" refreshError="1"/>
      <sheetData sheetId="9674" refreshError="1"/>
      <sheetData sheetId="9675" refreshError="1"/>
      <sheetData sheetId="9676" refreshError="1"/>
      <sheetData sheetId="9677" refreshError="1"/>
      <sheetData sheetId="9678" refreshError="1"/>
      <sheetData sheetId="9679" refreshError="1"/>
      <sheetData sheetId="9680" refreshError="1"/>
      <sheetData sheetId="9681" refreshError="1"/>
      <sheetData sheetId="9682" refreshError="1"/>
      <sheetData sheetId="9683" refreshError="1"/>
      <sheetData sheetId="9684" refreshError="1"/>
      <sheetData sheetId="9685" refreshError="1"/>
      <sheetData sheetId="9686" refreshError="1"/>
      <sheetData sheetId="9687" refreshError="1"/>
      <sheetData sheetId="9688" refreshError="1"/>
      <sheetData sheetId="9689" refreshError="1"/>
      <sheetData sheetId="9690" refreshError="1"/>
      <sheetData sheetId="9691" refreshError="1"/>
      <sheetData sheetId="9692" refreshError="1"/>
      <sheetData sheetId="9693" refreshError="1"/>
      <sheetData sheetId="9694" refreshError="1"/>
      <sheetData sheetId="9695" refreshError="1"/>
      <sheetData sheetId="9696" refreshError="1"/>
      <sheetData sheetId="9697" refreshError="1"/>
      <sheetData sheetId="9698" refreshError="1"/>
      <sheetData sheetId="9699" refreshError="1"/>
      <sheetData sheetId="9700"/>
      <sheetData sheetId="9701" refreshError="1"/>
      <sheetData sheetId="9702" refreshError="1"/>
      <sheetData sheetId="9703" refreshError="1"/>
      <sheetData sheetId="9704" refreshError="1"/>
      <sheetData sheetId="9705" refreshError="1"/>
      <sheetData sheetId="9706" refreshError="1"/>
      <sheetData sheetId="9707" refreshError="1"/>
      <sheetData sheetId="9708" refreshError="1"/>
      <sheetData sheetId="9709" refreshError="1"/>
      <sheetData sheetId="9710" refreshError="1"/>
      <sheetData sheetId="9711" refreshError="1"/>
      <sheetData sheetId="9712" refreshError="1"/>
      <sheetData sheetId="9713" refreshError="1"/>
      <sheetData sheetId="9714" refreshError="1"/>
      <sheetData sheetId="9715" refreshError="1"/>
      <sheetData sheetId="9716" refreshError="1"/>
      <sheetData sheetId="9717" refreshError="1"/>
      <sheetData sheetId="9718" refreshError="1"/>
      <sheetData sheetId="9719" refreshError="1"/>
      <sheetData sheetId="9720" refreshError="1"/>
      <sheetData sheetId="9721" refreshError="1"/>
      <sheetData sheetId="9722" refreshError="1"/>
      <sheetData sheetId="9723" refreshError="1"/>
      <sheetData sheetId="9724" refreshError="1"/>
      <sheetData sheetId="9725" refreshError="1"/>
      <sheetData sheetId="9726" refreshError="1"/>
      <sheetData sheetId="9727" refreshError="1"/>
      <sheetData sheetId="9728" refreshError="1"/>
      <sheetData sheetId="9729" refreshError="1"/>
      <sheetData sheetId="9730" refreshError="1"/>
      <sheetData sheetId="9731" refreshError="1"/>
      <sheetData sheetId="9732" refreshError="1"/>
      <sheetData sheetId="9733" refreshError="1"/>
      <sheetData sheetId="9734" refreshError="1"/>
      <sheetData sheetId="9735" refreshError="1"/>
      <sheetData sheetId="9736" refreshError="1"/>
      <sheetData sheetId="9737" refreshError="1"/>
      <sheetData sheetId="9738" refreshError="1"/>
      <sheetData sheetId="9739" refreshError="1"/>
      <sheetData sheetId="9740" refreshError="1"/>
      <sheetData sheetId="9741" refreshError="1"/>
      <sheetData sheetId="9742" refreshError="1"/>
      <sheetData sheetId="9743" refreshError="1"/>
      <sheetData sheetId="9744" refreshError="1"/>
      <sheetData sheetId="9745" refreshError="1"/>
      <sheetData sheetId="9746" refreshError="1"/>
      <sheetData sheetId="9747" refreshError="1"/>
      <sheetData sheetId="9748" refreshError="1"/>
      <sheetData sheetId="9749" refreshError="1"/>
      <sheetData sheetId="9750" refreshError="1"/>
      <sheetData sheetId="9751" refreshError="1"/>
      <sheetData sheetId="9752" refreshError="1"/>
      <sheetData sheetId="9753" refreshError="1"/>
      <sheetData sheetId="9754" refreshError="1"/>
      <sheetData sheetId="9755" refreshError="1"/>
      <sheetData sheetId="9756" refreshError="1"/>
      <sheetData sheetId="9757" refreshError="1"/>
      <sheetData sheetId="9758" refreshError="1"/>
      <sheetData sheetId="9759" refreshError="1"/>
      <sheetData sheetId="9760" refreshError="1"/>
      <sheetData sheetId="9761" refreshError="1"/>
      <sheetData sheetId="9762" refreshError="1"/>
      <sheetData sheetId="9763" refreshError="1"/>
      <sheetData sheetId="9764" refreshError="1"/>
      <sheetData sheetId="9765" refreshError="1"/>
      <sheetData sheetId="9766" refreshError="1"/>
      <sheetData sheetId="9767" refreshError="1"/>
      <sheetData sheetId="9768" refreshError="1"/>
      <sheetData sheetId="9769" refreshError="1"/>
      <sheetData sheetId="9770" refreshError="1"/>
      <sheetData sheetId="9771" refreshError="1"/>
      <sheetData sheetId="9772" refreshError="1"/>
      <sheetData sheetId="9773" refreshError="1"/>
      <sheetData sheetId="9774" refreshError="1"/>
      <sheetData sheetId="9775" refreshError="1"/>
      <sheetData sheetId="9776" refreshError="1"/>
      <sheetData sheetId="9777" refreshError="1"/>
      <sheetData sheetId="9778" refreshError="1"/>
      <sheetData sheetId="9779" refreshError="1"/>
      <sheetData sheetId="9780" refreshError="1"/>
      <sheetData sheetId="9781" refreshError="1"/>
      <sheetData sheetId="9782">
        <row r="5">
          <cell r="A5">
            <v>1</v>
          </cell>
        </row>
      </sheetData>
      <sheetData sheetId="9783" refreshError="1"/>
      <sheetData sheetId="9784" refreshError="1"/>
      <sheetData sheetId="9785" refreshError="1"/>
      <sheetData sheetId="9786" refreshError="1"/>
      <sheetData sheetId="9787" refreshError="1"/>
      <sheetData sheetId="9788" refreshError="1"/>
      <sheetData sheetId="9789">
        <row r="13">
          <cell r="G13">
            <v>3012794.5205479502</v>
          </cell>
        </row>
      </sheetData>
      <sheetData sheetId="9790" refreshError="1"/>
      <sheetData sheetId="9791"/>
      <sheetData sheetId="9792" refreshError="1"/>
      <sheetData sheetId="9793" refreshError="1"/>
      <sheetData sheetId="9794" refreshError="1"/>
      <sheetData sheetId="9795" refreshError="1"/>
      <sheetData sheetId="9796" refreshError="1"/>
      <sheetData sheetId="9797" refreshError="1"/>
      <sheetData sheetId="9798" refreshError="1"/>
      <sheetData sheetId="9799" refreshError="1"/>
      <sheetData sheetId="9800" refreshError="1"/>
      <sheetData sheetId="9801" refreshError="1"/>
      <sheetData sheetId="9802" refreshError="1"/>
      <sheetData sheetId="9803" refreshError="1"/>
      <sheetData sheetId="9804" refreshError="1"/>
      <sheetData sheetId="9805" refreshError="1"/>
      <sheetData sheetId="9806" refreshError="1"/>
      <sheetData sheetId="9807" refreshError="1"/>
      <sheetData sheetId="9808" refreshError="1"/>
      <sheetData sheetId="9809" refreshError="1"/>
      <sheetData sheetId="9810" refreshError="1"/>
      <sheetData sheetId="9811" refreshError="1"/>
      <sheetData sheetId="9812" refreshError="1"/>
      <sheetData sheetId="9813"/>
      <sheetData sheetId="9814" refreshError="1"/>
      <sheetData sheetId="9815" refreshError="1"/>
      <sheetData sheetId="9816" refreshError="1"/>
      <sheetData sheetId="9817" refreshError="1"/>
      <sheetData sheetId="9818" refreshError="1"/>
      <sheetData sheetId="9819" refreshError="1"/>
      <sheetData sheetId="9820" refreshError="1"/>
      <sheetData sheetId="9821" refreshError="1"/>
      <sheetData sheetId="9822" refreshError="1"/>
      <sheetData sheetId="9823" refreshError="1"/>
      <sheetData sheetId="9824" refreshError="1"/>
      <sheetData sheetId="9825" refreshError="1"/>
      <sheetData sheetId="9826" refreshError="1"/>
      <sheetData sheetId="9827" refreshError="1"/>
      <sheetData sheetId="9828" refreshError="1"/>
      <sheetData sheetId="9829" refreshError="1"/>
      <sheetData sheetId="9830" refreshError="1"/>
      <sheetData sheetId="9831" refreshError="1"/>
      <sheetData sheetId="9832" refreshError="1"/>
      <sheetData sheetId="9833" refreshError="1"/>
      <sheetData sheetId="9834"/>
      <sheetData sheetId="9835" refreshError="1"/>
      <sheetData sheetId="9836" refreshError="1"/>
      <sheetData sheetId="9837" refreshError="1"/>
      <sheetData sheetId="9838" refreshError="1"/>
      <sheetData sheetId="9839" refreshError="1"/>
      <sheetData sheetId="9840" refreshError="1"/>
      <sheetData sheetId="9841" refreshError="1"/>
      <sheetData sheetId="9842" refreshError="1"/>
      <sheetData sheetId="9843" refreshError="1"/>
      <sheetData sheetId="9844" refreshError="1"/>
      <sheetData sheetId="9845" refreshError="1"/>
      <sheetData sheetId="9846" refreshError="1"/>
      <sheetData sheetId="9847" refreshError="1"/>
      <sheetData sheetId="9848" refreshError="1"/>
      <sheetData sheetId="9849" refreshError="1"/>
      <sheetData sheetId="9850" refreshError="1"/>
      <sheetData sheetId="9851" refreshError="1"/>
      <sheetData sheetId="9852" refreshError="1"/>
      <sheetData sheetId="9853" refreshError="1"/>
      <sheetData sheetId="9854" refreshError="1"/>
      <sheetData sheetId="9855" refreshError="1"/>
      <sheetData sheetId="9856" refreshError="1"/>
      <sheetData sheetId="9857" refreshError="1"/>
      <sheetData sheetId="9858" refreshError="1"/>
      <sheetData sheetId="9859" refreshError="1"/>
      <sheetData sheetId="9860" refreshError="1"/>
      <sheetData sheetId="9861" refreshError="1"/>
      <sheetData sheetId="9862" refreshError="1"/>
      <sheetData sheetId="9863">
        <row r="5">
          <cell r="C5">
            <v>0</v>
          </cell>
        </row>
      </sheetData>
      <sheetData sheetId="9864" refreshError="1"/>
      <sheetData sheetId="9865" refreshError="1"/>
      <sheetData sheetId="9866" refreshError="1"/>
      <sheetData sheetId="9867" refreshError="1"/>
      <sheetData sheetId="9868" refreshError="1"/>
      <sheetData sheetId="9869" refreshError="1"/>
      <sheetData sheetId="9870" refreshError="1"/>
      <sheetData sheetId="9871" refreshError="1"/>
      <sheetData sheetId="9872" refreshError="1"/>
      <sheetData sheetId="9873" refreshError="1"/>
      <sheetData sheetId="9874" refreshError="1"/>
      <sheetData sheetId="9875" refreshError="1"/>
      <sheetData sheetId="9876" refreshError="1"/>
      <sheetData sheetId="9877" refreshError="1"/>
      <sheetData sheetId="9878" refreshError="1"/>
      <sheetData sheetId="9879" refreshError="1"/>
      <sheetData sheetId="9880" refreshError="1"/>
      <sheetData sheetId="9881" refreshError="1"/>
      <sheetData sheetId="9882" refreshError="1"/>
      <sheetData sheetId="9883" refreshError="1"/>
      <sheetData sheetId="9884" refreshError="1"/>
      <sheetData sheetId="9885" refreshError="1"/>
      <sheetData sheetId="9886" refreshError="1"/>
      <sheetData sheetId="9887" refreshError="1"/>
      <sheetData sheetId="9888" refreshError="1"/>
      <sheetData sheetId="9889" refreshError="1"/>
      <sheetData sheetId="9890" refreshError="1"/>
      <sheetData sheetId="9891" refreshError="1"/>
      <sheetData sheetId="9892" refreshError="1"/>
      <sheetData sheetId="9893" refreshError="1"/>
      <sheetData sheetId="9894" refreshError="1"/>
      <sheetData sheetId="9895" refreshError="1"/>
      <sheetData sheetId="9896" refreshError="1"/>
      <sheetData sheetId="9897" refreshError="1"/>
      <sheetData sheetId="9898" refreshError="1"/>
      <sheetData sheetId="9899" refreshError="1"/>
      <sheetData sheetId="9900" refreshError="1"/>
      <sheetData sheetId="9901" refreshError="1"/>
      <sheetData sheetId="9902" refreshError="1"/>
      <sheetData sheetId="9903" refreshError="1"/>
      <sheetData sheetId="9904" refreshError="1"/>
      <sheetData sheetId="9905" refreshError="1"/>
      <sheetData sheetId="9906" refreshError="1"/>
      <sheetData sheetId="9907" refreshError="1"/>
      <sheetData sheetId="9908" refreshError="1"/>
      <sheetData sheetId="9909" refreshError="1"/>
      <sheetData sheetId="9910" refreshError="1"/>
      <sheetData sheetId="9911" refreshError="1"/>
      <sheetData sheetId="9912" refreshError="1"/>
      <sheetData sheetId="9913" refreshError="1"/>
      <sheetData sheetId="9914" refreshError="1"/>
      <sheetData sheetId="9915" refreshError="1"/>
      <sheetData sheetId="9916" refreshError="1"/>
      <sheetData sheetId="9917" refreshError="1"/>
      <sheetData sheetId="9918" refreshError="1"/>
      <sheetData sheetId="9919" refreshError="1"/>
      <sheetData sheetId="9920" refreshError="1"/>
      <sheetData sheetId="9921" refreshError="1"/>
      <sheetData sheetId="9922" refreshError="1"/>
      <sheetData sheetId="9923" refreshError="1"/>
      <sheetData sheetId="9924" refreshError="1"/>
      <sheetData sheetId="9925" refreshError="1"/>
      <sheetData sheetId="9926" refreshError="1"/>
      <sheetData sheetId="9927" refreshError="1"/>
      <sheetData sheetId="9928" refreshError="1"/>
      <sheetData sheetId="9929" refreshError="1"/>
      <sheetData sheetId="9930" refreshError="1"/>
      <sheetData sheetId="9931" refreshError="1"/>
      <sheetData sheetId="9932" refreshError="1"/>
      <sheetData sheetId="9933" refreshError="1"/>
      <sheetData sheetId="9934" refreshError="1"/>
      <sheetData sheetId="9935" refreshError="1"/>
      <sheetData sheetId="9936" refreshError="1"/>
      <sheetData sheetId="9937" refreshError="1"/>
      <sheetData sheetId="9938" refreshError="1"/>
      <sheetData sheetId="9939" refreshError="1"/>
      <sheetData sheetId="9940" refreshError="1"/>
      <sheetData sheetId="9941" refreshError="1"/>
      <sheetData sheetId="9942" refreshError="1"/>
      <sheetData sheetId="9943" refreshError="1"/>
      <sheetData sheetId="9944" refreshError="1"/>
      <sheetData sheetId="9945" refreshError="1"/>
      <sheetData sheetId="9946" refreshError="1"/>
      <sheetData sheetId="9947" refreshError="1"/>
      <sheetData sheetId="9948" refreshError="1"/>
      <sheetData sheetId="9949" refreshError="1"/>
      <sheetData sheetId="9950" refreshError="1"/>
      <sheetData sheetId="9951" refreshError="1"/>
      <sheetData sheetId="9952" refreshError="1"/>
      <sheetData sheetId="9953" refreshError="1"/>
      <sheetData sheetId="9954" refreshError="1"/>
      <sheetData sheetId="9955" refreshError="1"/>
      <sheetData sheetId="9956" refreshError="1"/>
      <sheetData sheetId="9957" refreshError="1"/>
      <sheetData sheetId="9958" refreshError="1"/>
      <sheetData sheetId="9959" refreshError="1"/>
      <sheetData sheetId="9960" refreshError="1"/>
      <sheetData sheetId="9961" refreshError="1"/>
      <sheetData sheetId="9962" refreshError="1"/>
      <sheetData sheetId="9963" refreshError="1"/>
      <sheetData sheetId="9964" refreshError="1"/>
      <sheetData sheetId="9965" refreshError="1"/>
      <sheetData sheetId="9966" refreshError="1"/>
      <sheetData sheetId="9967" refreshError="1"/>
      <sheetData sheetId="9968" refreshError="1"/>
      <sheetData sheetId="9969" refreshError="1"/>
      <sheetData sheetId="9970" refreshError="1"/>
      <sheetData sheetId="9971" refreshError="1"/>
      <sheetData sheetId="9972" refreshError="1"/>
      <sheetData sheetId="9973" refreshError="1"/>
      <sheetData sheetId="9974" refreshError="1"/>
      <sheetData sheetId="9975" refreshError="1"/>
      <sheetData sheetId="9976" refreshError="1"/>
      <sheetData sheetId="9977" refreshError="1"/>
      <sheetData sheetId="9978" refreshError="1"/>
      <sheetData sheetId="9979" refreshError="1"/>
      <sheetData sheetId="9980" refreshError="1"/>
      <sheetData sheetId="9981" refreshError="1"/>
      <sheetData sheetId="9982" refreshError="1"/>
      <sheetData sheetId="9983" refreshError="1"/>
      <sheetData sheetId="9984" refreshError="1"/>
      <sheetData sheetId="9985" refreshError="1"/>
      <sheetData sheetId="9986" refreshError="1"/>
      <sheetData sheetId="9987" refreshError="1"/>
      <sheetData sheetId="9988" refreshError="1"/>
      <sheetData sheetId="9989" refreshError="1"/>
      <sheetData sheetId="9990" refreshError="1"/>
      <sheetData sheetId="9991" refreshError="1"/>
      <sheetData sheetId="9992" refreshError="1"/>
      <sheetData sheetId="9993" refreshError="1"/>
      <sheetData sheetId="9994" refreshError="1"/>
      <sheetData sheetId="9995" refreshError="1"/>
      <sheetData sheetId="9996" refreshError="1"/>
      <sheetData sheetId="9997" refreshError="1"/>
      <sheetData sheetId="9998" refreshError="1"/>
      <sheetData sheetId="9999" refreshError="1"/>
      <sheetData sheetId="10000" refreshError="1"/>
      <sheetData sheetId="10001" refreshError="1"/>
      <sheetData sheetId="10002" refreshError="1"/>
      <sheetData sheetId="10003" refreshError="1"/>
      <sheetData sheetId="10004" refreshError="1"/>
      <sheetData sheetId="10005" refreshError="1"/>
      <sheetData sheetId="10006" refreshError="1"/>
      <sheetData sheetId="10007" refreshError="1"/>
      <sheetData sheetId="10008" refreshError="1"/>
      <sheetData sheetId="10009" refreshError="1"/>
      <sheetData sheetId="10010" refreshError="1"/>
      <sheetData sheetId="10011" refreshError="1"/>
      <sheetData sheetId="10012" refreshError="1"/>
      <sheetData sheetId="10013" refreshError="1"/>
      <sheetData sheetId="10014" refreshError="1"/>
      <sheetData sheetId="10015" refreshError="1"/>
      <sheetData sheetId="10016" refreshError="1"/>
      <sheetData sheetId="10017" refreshError="1"/>
      <sheetData sheetId="10018" refreshError="1"/>
      <sheetData sheetId="10019" refreshError="1"/>
      <sheetData sheetId="10020" refreshError="1"/>
      <sheetData sheetId="10021" refreshError="1"/>
      <sheetData sheetId="10022" refreshError="1"/>
      <sheetData sheetId="10023" refreshError="1"/>
      <sheetData sheetId="10024" refreshError="1"/>
      <sheetData sheetId="10025" refreshError="1"/>
      <sheetData sheetId="10026" refreshError="1"/>
      <sheetData sheetId="10027" refreshError="1"/>
      <sheetData sheetId="10028" refreshError="1"/>
      <sheetData sheetId="10029" refreshError="1"/>
      <sheetData sheetId="10030" refreshError="1"/>
      <sheetData sheetId="10031" refreshError="1"/>
      <sheetData sheetId="10032" refreshError="1"/>
      <sheetData sheetId="10033" refreshError="1"/>
      <sheetData sheetId="10034" refreshError="1"/>
      <sheetData sheetId="10035" refreshError="1"/>
      <sheetData sheetId="10036" refreshError="1"/>
      <sheetData sheetId="10037" refreshError="1"/>
      <sheetData sheetId="10038" refreshError="1"/>
      <sheetData sheetId="10039" refreshError="1"/>
      <sheetData sheetId="10040" refreshError="1"/>
      <sheetData sheetId="10041" refreshError="1"/>
      <sheetData sheetId="10042" refreshError="1"/>
      <sheetData sheetId="10043" refreshError="1"/>
      <sheetData sheetId="10044" refreshError="1"/>
      <sheetData sheetId="10045" refreshError="1"/>
      <sheetData sheetId="10046" refreshError="1"/>
      <sheetData sheetId="10047" refreshError="1"/>
      <sheetData sheetId="10048" refreshError="1"/>
      <sheetData sheetId="10049" refreshError="1"/>
      <sheetData sheetId="10050" refreshError="1"/>
      <sheetData sheetId="10051" refreshError="1"/>
      <sheetData sheetId="10052" refreshError="1"/>
      <sheetData sheetId="10053" refreshError="1"/>
      <sheetData sheetId="10054" refreshError="1"/>
      <sheetData sheetId="10055" refreshError="1"/>
      <sheetData sheetId="10056" refreshError="1"/>
      <sheetData sheetId="10057" refreshError="1"/>
      <sheetData sheetId="10058" refreshError="1"/>
      <sheetData sheetId="10059" refreshError="1"/>
      <sheetData sheetId="10060" refreshError="1"/>
      <sheetData sheetId="10061" refreshError="1"/>
      <sheetData sheetId="10062" refreshError="1"/>
      <sheetData sheetId="10063" refreshError="1"/>
      <sheetData sheetId="10064" refreshError="1"/>
      <sheetData sheetId="10065" refreshError="1"/>
      <sheetData sheetId="10066" refreshError="1"/>
      <sheetData sheetId="10067" refreshError="1"/>
      <sheetData sheetId="10068" refreshError="1"/>
      <sheetData sheetId="10069" refreshError="1"/>
      <sheetData sheetId="10070" refreshError="1"/>
      <sheetData sheetId="10071" refreshError="1"/>
      <sheetData sheetId="10072" refreshError="1"/>
      <sheetData sheetId="10073" refreshError="1"/>
      <sheetData sheetId="10074" refreshError="1"/>
      <sheetData sheetId="10075" refreshError="1"/>
      <sheetData sheetId="10076" refreshError="1"/>
      <sheetData sheetId="10077" refreshError="1"/>
      <sheetData sheetId="10078" refreshError="1"/>
      <sheetData sheetId="10079" refreshError="1"/>
      <sheetData sheetId="10080" refreshError="1"/>
      <sheetData sheetId="10081" refreshError="1"/>
      <sheetData sheetId="10082" refreshError="1"/>
      <sheetData sheetId="10083" refreshError="1"/>
      <sheetData sheetId="10084" refreshError="1"/>
      <sheetData sheetId="10085" refreshError="1"/>
      <sheetData sheetId="10086" refreshError="1"/>
      <sheetData sheetId="10087" refreshError="1"/>
      <sheetData sheetId="10088" refreshError="1"/>
      <sheetData sheetId="10089" refreshError="1"/>
      <sheetData sheetId="10090" refreshError="1"/>
      <sheetData sheetId="10091" refreshError="1"/>
      <sheetData sheetId="10092" refreshError="1"/>
      <sheetData sheetId="10093" refreshError="1"/>
      <sheetData sheetId="10094" refreshError="1"/>
      <sheetData sheetId="10095" refreshError="1"/>
      <sheetData sheetId="10096" refreshError="1"/>
      <sheetData sheetId="10097" refreshError="1"/>
      <sheetData sheetId="10098" refreshError="1"/>
      <sheetData sheetId="10099" refreshError="1"/>
      <sheetData sheetId="10100" refreshError="1"/>
      <sheetData sheetId="10101" refreshError="1"/>
      <sheetData sheetId="10102" refreshError="1"/>
      <sheetData sheetId="10103" refreshError="1"/>
      <sheetData sheetId="10104" refreshError="1"/>
      <sheetData sheetId="10105" refreshError="1"/>
      <sheetData sheetId="10106" refreshError="1"/>
      <sheetData sheetId="10107" refreshError="1"/>
      <sheetData sheetId="10108" refreshError="1"/>
      <sheetData sheetId="10109" refreshError="1"/>
      <sheetData sheetId="10110" refreshError="1"/>
      <sheetData sheetId="10111" refreshError="1"/>
      <sheetData sheetId="10112" refreshError="1"/>
      <sheetData sheetId="10113" refreshError="1"/>
      <sheetData sheetId="10114" refreshError="1"/>
      <sheetData sheetId="10115" refreshError="1"/>
      <sheetData sheetId="10116" refreshError="1"/>
      <sheetData sheetId="10117" refreshError="1"/>
      <sheetData sheetId="10118" refreshError="1"/>
      <sheetData sheetId="10119" refreshError="1"/>
      <sheetData sheetId="10120" refreshError="1"/>
      <sheetData sheetId="10121" refreshError="1"/>
      <sheetData sheetId="10122" refreshError="1"/>
      <sheetData sheetId="10123" refreshError="1"/>
      <sheetData sheetId="10124" refreshError="1"/>
      <sheetData sheetId="10125" refreshError="1"/>
      <sheetData sheetId="10126" refreshError="1"/>
      <sheetData sheetId="10127" refreshError="1"/>
      <sheetData sheetId="10128" refreshError="1"/>
      <sheetData sheetId="10129" refreshError="1"/>
      <sheetData sheetId="10130" refreshError="1"/>
      <sheetData sheetId="10131" refreshError="1"/>
      <sheetData sheetId="10132" refreshError="1"/>
      <sheetData sheetId="10133" refreshError="1"/>
      <sheetData sheetId="10134" refreshError="1"/>
      <sheetData sheetId="10135" refreshError="1"/>
      <sheetData sheetId="10136" refreshError="1"/>
      <sheetData sheetId="10137" refreshError="1"/>
      <sheetData sheetId="10138" refreshError="1"/>
      <sheetData sheetId="10139" refreshError="1"/>
      <sheetData sheetId="10140" refreshError="1"/>
      <sheetData sheetId="10141" refreshError="1"/>
      <sheetData sheetId="10142" refreshError="1"/>
      <sheetData sheetId="10143" refreshError="1"/>
      <sheetData sheetId="10144" refreshError="1"/>
      <sheetData sheetId="10145" refreshError="1"/>
      <sheetData sheetId="10146" refreshError="1"/>
      <sheetData sheetId="10147" refreshError="1"/>
      <sheetData sheetId="10148" refreshError="1"/>
      <sheetData sheetId="10149" refreshError="1"/>
      <sheetData sheetId="10150" refreshError="1"/>
      <sheetData sheetId="10151" refreshError="1"/>
      <sheetData sheetId="10152" refreshError="1"/>
      <sheetData sheetId="10153" refreshError="1"/>
      <sheetData sheetId="10154" refreshError="1"/>
      <sheetData sheetId="10155" refreshError="1"/>
      <sheetData sheetId="10156" refreshError="1"/>
      <sheetData sheetId="10157" refreshError="1"/>
      <sheetData sheetId="10158" refreshError="1"/>
      <sheetData sheetId="10159" refreshError="1"/>
      <sheetData sheetId="10160" refreshError="1"/>
      <sheetData sheetId="10161" refreshError="1"/>
      <sheetData sheetId="10162" refreshError="1"/>
      <sheetData sheetId="10163" refreshError="1"/>
      <sheetData sheetId="10164" refreshError="1"/>
      <sheetData sheetId="10165" refreshError="1"/>
      <sheetData sheetId="10166" refreshError="1"/>
      <sheetData sheetId="10167" refreshError="1"/>
      <sheetData sheetId="10168" refreshError="1"/>
      <sheetData sheetId="10169" refreshError="1"/>
      <sheetData sheetId="10170" refreshError="1"/>
      <sheetData sheetId="10171" refreshError="1"/>
      <sheetData sheetId="10172" refreshError="1"/>
      <sheetData sheetId="10173" refreshError="1"/>
      <sheetData sheetId="10174" refreshError="1"/>
      <sheetData sheetId="10175" refreshError="1"/>
      <sheetData sheetId="10176" refreshError="1"/>
      <sheetData sheetId="10177" refreshError="1"/>
      <sheetData sheetId="10178" refreshError="1"/>
      <sheetData sheetId="10179" refreshError="1"/>
      <sheetData sheetId="10180" refreshError="1"/>
      <sheetData sheetId="10181" refreshError="1"/>
      <sheetData sheetId="10182" refreshError="1"/>
      <sheetData sheetId="10183" refreshError="1"/>
      <sheetData sheetId="10184" refreshError="1"/>
      <sheetData sheetId="10185" refreshError="1"/>
      <sheetData sheetId="10186" refreshError="1"/>
      <sheetData sheetId="10187" refreshError="1"/>
      <sheetData sheetId="10188" refreshError="1"/>
      <sheetData sheetId="10189" refreshError="1"/>
      <sheetData sheetId="10190" refreshError="1"/>
      <sheetData sheetId="10191" refreshError="1"/>
      <sheetData sheetId="10192" refreshError="1"/>
      <sheetData sheetId="10193" refreshError="1"/>
      <sheetData sheetId="10194" refreshError="1"/>
      <sheetData sheetId="10195" refreshError="1"/>
      <sheetData sheetId="10196" refreshError="1"/>
      <sheetData sheetId="10197" refreshError="1"/>
      <sheetData sheetId="10198" refreshError="1"/>
      <sheetData sheetId="10199" refreshError="1"/>
      <sheetData sheetId="10200" refreshError="1"/>
      <sheetData sheetId="10201" refreshError="1"/>
      <sheetData sheetId="10202" refreshError="1"/>
      <sheetData sheetId="10203" refreshError="1"/>
      <sheetData sheetId="10204" refreshError="1"/>
      <sheetData sheetId="10205" refreshError="1"/>
      <sheetData sheetId="10206" refreshError="1"/>
      <sheetData sheetId="10207" refreshError="1"/>
      <sheetData sheetId="10208" refreshError="1"/>
      <sheetData sheetId="10209" refreshError="1"/>
      <sheetData sheetId="10210" refreshError="1"/>
      <sheetData sheetId="10211" refreshError="1"/>
      <sheetData sheetId="10212" refreshError="1"/>
      <sheetData sheetId="10213" refreshError="1"/>
      <sheetData sheetId="10214" refreshError="1"/>
      <sheetData sheetId="10215" refreshError="1"/>
      <sheetData sheetId="10216" refreshError="1"/>
      <sheetData sheetId="10217" refreshError="1"/>
      <sheetData sheetId="10218" refreshError="1"/>
      <sheetData sheetId="10219" refreshError="1"/>
      <sheetData sheetId="10220" refreshError="1"/>
      <sheetData sheetId="10221" refreshError="1"/>
      <sheetData sheetId="10222" refreshError="1"/>
      <sheetData sheetId="10223" refreshError="1"/>
      <sheetData sheetId="10224" refreshError="1"/>
      <sheetData sheetId="10225" refreshError="1"/>
      <sheetData sheetId="10226" refreshError="1"/>
      <sheetData sheetId="10227" refreshError="1"/>
      <sheetData sheetId="10228" refreshError="1"/>
      <sheetData sheetId="10229" refreshError="1"/>
      <sheetData sheetId="10230" refreshError="1"/>
      <sheetData sheetId="10231" refreshError="1"/>
      <sheetData sheetId="10232" refreshError="1"/>
      <sheetData sheetId="10233" refreshError="1"/>
      <sheetData sheetId="10234" refreshError="1"/>
      <sheetData sheetId="10235" refreshError="1"/>
      <sheetData sheetId="10236" refreshError="1"/>
      <sheetData sheetId="10237" refreshError="1"/>
      <sheetData sheetId="10238" refreshError="1"/>
      <sheetData sheetId="10239" refreshError="1"/>
      <sheetData sheetId="10240" refreshError="1"/>
      <sheetData sheetId="10241" refreshError="1"/>
      <sheetData sheetId="10242" refreshError="1"/>
      <sheetData sheetId="10243" refreshError="1"/>
      <sheetData sheetId="10244" refreshError="1"/>
      <sheetData sheetId="10245" refreshError="1"/>
      <sheetData sheetId="10246" refreshError="1"/>
      <sheetData sheetId="10247" refreshError="1"/>
      <sheetData sheetId="10248" refreshError="1"/>
      <sheetData sheetId="10249" refreshError="1"/>
      <sheetData sheetId="10250" refreshError="1"/>
      <sheetData sheetId="10251" refreshError="1"/>
      <sheetData sheetId="10252" refreshError="1"/>
      <sheetData sheetId="10253" refreshError="1"/>
      <sheetData sheetId="10254" refreshError="1"/>
      <sheetData sheetId="10255" refreshError="1"/>
      <sheetData sheetId="10256" refreshError="1"/>
      <sheetData sheetId="10257" refreshError="1"/>
      <sheetData sheetId="10258" refreshError="1"/>
      <sheetData sheetId="10259" refreshError="1"/>
      <sheetData sheetId="10260" refreshError="1"/>
      <sheetData sheetId="10261" refreshError="1"/>
      <sheetData sheetId="10262" refreshError="1"/>
      <sheetData sheetId="10263" refreshError="1"/>
      <sheetData sheetId="10264" refreshError="1"/>
      <sheetData sheetId="10265" refreshError="1"/>
      <sheetData sheetId="10266" refreshError="1"/>
      <sheetData sheetId="10267" refreshError="1"/>
      <sheetData sheetId="10268" refreshError="1"/>
      <sheetData sheetId="10269" refreshError="1"/>
      <sheetData sheetId="10270" refreshError="1"/>
      <sheetData sheetId="10271" refreshError="1"/>
      <sheetData sheetId="10272" refreshError="1"/>
      <sheetData sheetId="10273" refreshError="1"/>
      <sheetData sheetId="10274" refreshError="1"/>
      <sheetData sheetId="10275" refreshError="1"/>
      <sheetData sheetId="10276" refreshError="1"/>
      <sheetData sheetId="10277" refreshError="1"/>
      <sheetData sheetId="10278" refreshError="1"/>
      <sheetData sheetId="10279" refreshError="1"/>
      <sheetData sheetId="10280" refreshError="1"/>
      <sheetData sheetId="10281" refreshError="1"/>
      <sheetData sheetId="10282" refreshError="1"/>
      <sheetData sheetId="10283" refreshError="1"/>
      <sheetData sheetId="10284" refreshError="1"/>
      <sheetData sheetId="10285" refreshError="1"/>
      <sheetData sheetId="10286" refreshError="1"/>
      <sheetData sheetId="10287" refreshError="1"/>
      <sheetData sheetId="10288" refreshError="1"/>
      <sheetData sheetId="10289" refreshError="1"/>
      <sheetData sheetId="10290" refreshError="1"/>
      <sheetData sheetId="10291" refreshError="1"/>
      <sheetData sheetId="10292" refreshError="1"/>
      <sheetData sheetId="10293" refreshError="1"/>
      <sheetData sheetId="10294" refreshError="1"/>
      <sheetData sheetId="10295" refreshError="1"/>
      <sheetData sheetId="10296" refreshError="1"/>
      <sheetData sheetId="10297" refreshError="1"/>
      <sheetData sheetId="10298" refreshError="1"/>
      <sheetData sheetId="10299" refreshError="1"/>
      <sheetData sheetId="10300" refreshError="1"/>
      <sheetData sheetId="10301" refreshError="1"/>
      <sheetData sheetId="10302" refreshError="1"/>
      <sheetData sheetId="10303" refreshError="1"/>
      <sheetData sheetId="10304" refreshError="1"/>
      <sheetData sheetId="10305" refreshError="1"/>
      <sheetData sheetId="10306" refreshError="1"/>
      <sheetData sheetId="10307" refreshError="1"/>
      <sheetData sheetId="10308" refreshError="1"/>
      <sheetData sheetId="10309" refreshError="1"/>
      <sheetData sheetId="10310" refreshError="1"/>
      <sheetData sheetId="10311" refreshError="1"/>
      <sheetData sheetId="10312" refreshError="1"/>
      <sheetData sheetId="10313" refreshError="1"/>
      <sheetData sheetId="10314" refreshError="1"/>
      <sheetData sheetId="10315" refreshError="1"/>
      <sheetData sheetId="10316" refreshError="1"/>
      <sheetData sheetId="10317" refreshError="1"/>
      <sheetData sheetId="10318" refreshError="1"/>
      <sheetData sheetId="10319" refreshError="1"/>
      <sheetData sheetId="10320" refreshError="1"/>
      <sheetData sheetId="10321" refreshError="1"/>
      <sheetData sheetId="10322" refreshError="1"/>
      <sheetData sheetId="10323" refreshError="1"/>
      <sheetData sheetId="10324" refreshError="1"/>
      <sheetData sheetId="10325" refreshError="1"/>
      <sheetData sheetId="10326" refreshError="1"/>
      <sheetData sheetId="10327" refreshError="1"/>
      <sheetData sheetId="10328" refreshError="1"/>
      <sheetData sheetId="10329" refreshError="1"/>
      <sheetData sheetId="10330" refreshError="1"/>
      <sheetData sheetId="10331" refreshError="1"/>
      <sheetData sheetId="10332" refreshError="1"/>
      <sheetData sheetId="10333" refreshError="1"/>
      <sheetData sheetId="10334" refreshError="1"/>
      <sheetData sheetId="10335" refreshError="1"/>
      <sheetData sheetId="10336" refreshError="1"/>
      <sheetData sheetId="10337" refreshError="1"/>
      <sheetData sheetId="10338" refreshError="1"/>
      <sheetData sheetId="10339" refreshError="1"/>
      <sheetData sheetId="10340" refreshError="1"/>
      <sheetData sheetId="10341" refreshError="1"/>
      <sheetData sheetId="10342" refreshError="1"/>
      <sheetData sheetId="10343" refreshError="1"/>
      <sheetData sheetId="10344" refreshError="1"/>
      <sheetData sheetId="10345" refreshError="1"/>
      <sheetData sheetId="10346" refreshError="1"/>
      <sheetData sheetId="10347" refreshError="1"/>
      <sheetData sheetId="10348" refreshError="1"/>
      <sheetData sheetId="10349" refreshError="1"/>
      <sheetData sheetId="10350" refreshError="1"/>
      <sheetData sheetId="10351" refreshError="1"/>
      <sheetData sheetId="10352" refreshError="1"/>
      <sheetData sheetId="10353" refreshError="1"/>
      <sheetData sheetId="10354" refreshError="1"/>
      <sheetData sheetId="10355" refreshError="1"/>
      <sheetData sheetId="10356" refreshError="1"/>
      <sheetData sheetId="10357" refreshError="1"/>
      <sheetData sheetId="10358" refreshError="1"/>
      <sheetData sheetId="10359" refreshError="1"/>
      <sheetData sheetId="10360" refreshError="1"/>
      <sheetData sheetId="10361" refreshError="1"/>
      <sheetData sheetId="10362" refreshError="1"/>
      <sheetData sheetId="10363" refreshError="1"/>
      <sheetData sheetId="10364" refreshError="1"/>
      <sheetData sheetId="10365" refreshError="1"/>
      <sheetData sheetId="10366" refreshError="1"/>
      <sheetData sheetId="10367" refreshError="1"/>
      <sheetData sheetId="10368" refreshError="1"/>
      <sheetData sheetId="10369" refreshError="1"/>
      <sheetData sheetId="10370" refreshError="1"/>
      <sheetData sheetId="10371" refreshError="1"/>
      <sheetData sheetId="10372" refreshError="1"/>
      <sheetData sheetId="10373" refreshError="1"/>
      <sheetData sheetId="10374" refreshError="1"/>
      <sheetData sheetId="10375" refreshError="1"/>
      <sheetData sheetId="10376" refreshError="1"/>
      <sheetData sheetId="10377" refreshError="1"/>
      <sheetData sheetId="10378" refreshError="1"/>
      <sheetData sheetId="10379" refreshError="1"/>
      <sheetData sheetId="10380" refreshError="1"/>
      <sheetData sheetId="10381" refreshError="1"/>
      <sheetData sheetId="10382" refreshError="1"/>
      <sheetData sheetId="10383" refreshError="1"/>
      <sheetData sheetId="10384" refreshError="1"/>
      <sheetData sheetId="10385" refreshError="1"/>
      <sheetData sheetId="10386" refreshError="1"/>
      <sheetData sheetId="10387" refreshError="1"/>
      <sheetData sheetId="10388" refreshError="1"/>
      <sheetData sheetId="10389" refreshError="1"/>
      <sheetData sheetId="10390" refreshError="1"/>
      <sheetData sheetId="10391" refreshError="1"/>
      <sheetData sheetId="10392" refreshError="1"/>
      <sheetData sheetId="10393" refreshError="1"/>
      <sheetData sheetId="10394" refreshError="1"/>
      <sheetData sheetId="10395" refreshError="1"/>
      <sheetData sheetId="10396" refreshError="1"/>
      <sheetData sheetId="10397" refreshError="1"/>
      <sheetData sheetId="10398" refreshError="1"/>
      <sheetData sheetId="10399" refreshError="1"/>
      <sheetData sheetId="10400" refreshError="1"/>
      <sheetData sheetId="10401" refreshError="1"/>
      <sheetData sheetId="10402" refreshError="1"/>
      <sheetData sheetId="10403" refreshError="1"/>
      <sheetData sheetId="10404" refreshError="1"/>
      <sheetData sheetId="10405" refreshError="1"/>
      <sheetData sheetId="10406" refreshError="1"/>
      <sheetData sheetId="10407" refreshError="1"/>
      <sheetData sheetId="10408" refreshError="1"/>
      <sheetData sheetId="10409" refreshError="1"/>
      <sheetData sheetId="10410" refreshError="1"/>
      <sheetData sheetId="10411" refreshError="1"/>
      <sheetData sheetId="10412" refreshError="1"/>
      <sheetData sheetId="10413" refreshError="1"/>
      <sheetData sheetId="10414" refreshError="1"/>
      <sheetData sheetId="10415" refreshError="1"/>
      <sheetData sheetId="10416" refreshError="1"/>
      <sheetData sheetId="10417" refreshError="1"/>
      <sheetData sheetId="10418" refreshError="1"/>
      <sheetData sheetId="10419" refreshError="1"/>
      <sheetData sheetId="10420" refreshError="1"/>
      <sheetData sheetId="10421" refreshError="1"/>
      <sheetData sheetId="10422" refreshError="1"/>
      <sheetData sheetId="10423" refreshError="1"/>
      <sheetData sheetId="10424" refreshError="1"/>
      <sheetData sheetId="10425" refreshError="1"/>
      <sheetData sheetId="10426" refreshError="1"/>
      <sheetData sheetId="10427" refreshError="1"/>
      <sheetData sheetId="10428" refreshError="1"/>
      <sheetData sheetId="10429" refreshError="1"/>
      <sheetData sheetId="10430" refreshError="1"/>
      <sheetData sheetId="10431" refreshError="1"/>
      <sheetData sheetId="10432" refreshError="1"/>
      <sheetData sheetId="10433" refreshError="1"/>
      <sheetData sheetId="10434" refreshError="1"/>
      <sheetData sheetId="10435" refreshError="1"/>
      <sheetData sheetId="10436" refreshError="1"/>
      <sheetData sheetId="10437" refreshError="1"/>
      <sheetData sheetId="10438" refreshError="1"/>
      <sheetData sheetId="10439" refreshError="1"/>
      <sheetData sheetId="10440" refreshError="1"/>
      <sheetData sheetId="10441" refreshError="1"/>
      <sheetData sheetId="10442" refreshError="1"/>
      <sheetData sheetId="10443" refreshError="1"/>
      <sheetData sheetId="10444" refreshError="1"/>
      <sheetData sheetId="10445" refreshError="1"/>
      <sheetData sheetId="10446" refreshError="1"/>
      <sheetData sheetId="10447" refreshError="1"/>
      <sheetData sheetId="10448" refreshError="1"/>
      <sheetData sheetId="10449" refreshError="1"/>
      <sheetData sheetId="10450" refreshError="1"/>
      <sheetData sheetId="10451" refreshError="1"/>
      <sheetData sheetId="10452" refreshError="1"/>
      <sheetData sheetId="10453" refreshError="1"/>
      <sheetData sheetId="10454" refreshError="1"/>
      <sheetData sheetId="10455" refreshError="1"/>
      <sheetData sheetId="10456" refreshError="1"/>
      <sheetData sheetId="10457" refreshError="1"/>
      <sheetData sheetId="10458" refreshError="1"/>
      <sheetData sheetId="10459" refreshError="1"/>
      <sheetData sheetId="10460" refreshError="1"/>
      <sheetData sheetId="10461" refreshError="1"/>
      <sheetData sheetId="10462" refreshError="1"/>
      <sheetData sheetId="10463" refreshError="1"/>
      <sheetData sheetId="10464" refreshError="1"/>
      <sheetData sheetId="10465" refreshError="1"/>
      <sheetData sheetId="10466" refreshError="1"/>
      <sheetData sheetId="10467" refreshError="1"/>
      <sheetData sheetId="10468" refreshError="1"/>
      <sheetData sheetId="10469" refreshError="1"/>
      <sheetData sheetId="10470" refreshError="1"/>
      <sheetData sheetId="10471" refreshError="1"/>
      <sheetData sheetId="10472" refreshError="1"/>
      <sheetData sheetId="10473" refreshError="1"/>
      <sheetData sheetId="10474" refreshError="1"/>
      <sheetData sheetId="10475" refreshError="1"/>
      <sheetData sheetId="10476" refreshError="1"/>
      <sheetData sheetId="10477" refreshError="1"/>
      <sheetData sheetId="10478" refreshError="1"/>
      <sheetData sheetId="10479" refreshError="1"/>
      <sheetData sheetId="10480" refreshError="1"/>
      <sheetData sheetId="10481" refreshError="1"/>
      <sheetData sheetId="10482" refreshError="1"/>
      <sheetData sheetId="10483" refreshError="1"/>
      <sheetData sheetId="10484" refreshError="1"/>
      <sheetData sheetId="10485" refreshError="1"/>
      <sheetData sheetId="10486" refreshError="1"/>
      <sheetData sheetId="10487" refreshError="1"/>
      <sheetData sheetId="10488" refreshError="1"/>
      <sheetData sheetId="10489" refreshError="1"/>
      <sheetData sheetId="10490" refreshError="1"/>
      <sheetData sheetId="10491" refreshError="1"/>
      <sheetData sheetId="10492" refreshError="1"/>
      <sheetData sheetId="10493" refreshError="1"/>
      <sheetData sheetId="10494" refreshError="1"/>
      <sheetData sheetId="10495" refreshError="1"/>
      <sheetData sheetId="10496" refreshError="1"/>
      <sheetData sheetId="10497" refreshError="1"/>
      <sheetData sheetId="10498" refreshError="1"/>
      <sheetData sheetId="10499" refreshError="1"/>
      <sheetData sheetId="10500" refreshError="1"/>
      <sheetData sheetId="10501" refreshError="1"/>
      <sheetData sheetId="10502" refreshError="1"/>
      <sheetData sheetId="10503" refreshError="1"/>
      <sheetData sheetId="10504" refreshError="1"/>
      <sheetData sheetId="10505" refreshError="1"/>
      <sheetData sheetId="10506" refreshError="1"/>
      <sheetData sheetId="10507" refreshError="1"/>
      <sheetData sheetId="10508" refreshError="1"/>
      <sheetData sheetId="10509" refreshError="1"/>
      <sheetData sheetId="10510" refreshError="1"/>
      <sheetData sheetId="10511" refreshError="1"/>
      <sheetData sheetId="10512" refreshError="1"/>
      <sheetData sheetId="10513" refreshError="1"/>
      <sheetData sheetId="10514" refreshError="1"/>
      <sheetData sheetId="10515" refreshError="1"/>
      <sheetData sheetId="10516" refreshError="1"/>
      <sheetData sheetId="10517" refreshError="1"/>
      <sheetData sheetId="10518" refreshError="1"/>
      <sheetData sheetId="10519" refreshError="1"/>
      <sheetData sheetId="10520" refreshError="1"/>
      <sheetData sheetId="10521" refreshError="1"/>
      <sheetData sheetId="10522" refreshError="1"/>
      <sheetData sheetId="10523" refreshError="1"/>
      <sheetData sheetId="10524" refreshError="1"/>
      <sheetData sheetId="10525" refreshError="1"/>
      <sheetData sheetId="10526" refreshError="1"/>
      <sheetData sheetId="10527" refreshError="1"/>
      <sheetData sheetId="10528" refreshError="1"/>
      <sheetData sheetId="10529" refreshError="1"/>
      <sheetData sheetId="10530" refreshError="1"/>
      <sheetData sheetId="10531" refreshError="1"/>
      <sheetData sheetId="10532" refreshError="1"/>
      <sheetData sheetId="10533" refreshError="1"/>
      <sheetData sheetId="10534" refreshError="1"/>
      <sheetData sheetId="10535" refreshError="1"/>
      <sheetData sheetId="10536" refreshError="1"/>
      <sheetData sheetId="10537" refreshError="1"/>
      <sheetData sheetId="10538" refreshError="1"/>
      <sheetData sheetId="10539" refreshError="1"/>
      <sheetData sheetId="10540" refreshError="1"/>
      <sheetData sheetId="10541" refreshError="1"/>
      <sheetData sheetId="10542" refreshError="1"/>
      <sheetData sheetId="10543" refreshError="1"/>
      <sheetData sheetId="10544" refreshError="1"/>
      <sheetData sheetId="10545" refreshError="1"/>
      <sheetData sheetId="10546" refreshError="1"/>
      <sheetData sheetId="10547" refreshError="1"/>
      <sheetData sheetId="10548" refreshError="1"/>
      <sheetData sheetId="10549" refreshError="1"/>
      <sheetData sheetId="10550" refreshError="1"/>
      <sheetData sheetId="10551" refreshError="1"/>
      <sheetData sheetId="10552" refreshError="1"/>
      <sheetData sheetId="10553" refreshError="1"/>
      <sheetData sheetId="10554" refreshError="1"/>
      <sheetData sheetId="10555" refreshError="1"/>
      <sheetData sheetId="10556" refreshError="1"/>
      <sheetData sheetId="10557" refreshError="1"/>
      <sheetData sheetId="10558" refreshError="1"/>
      <sheetData sheetId="10559" refreshError="1"/>
      <sheetData sheetId="10560" refreshError="1"/>
      <sheetData sheetId="10561" refreshError="1"/>
      <sheetData sheetId="10562" refreshError="1"/>
      <sheetData sheetId="10563" refreshError="1"/>
      <sheetData sheetId="10564" refreshError="1"/>
      <sheetData sheetId="10565" refreshError="1"/>
      <sheetData sheetId="10566" refreshError="1"/>
      <sheetData sheetId="10567" refreshError="1"/>
      <sheetData sheetId="10568" refreshError="1"/>
      <sheetData sheetId="10569" refreshError="1"/>
      <sheetData sheetId="10570" refreshError="1"/>
      <sheetData sheetId="10571" refreshError="1"/>
      <sheetData sheetId="10572" refreshError="1"/>
      <sheetData sheetId="10573" refreshError="1"/>
      <sheetData sheetId="10574" refreshError="1"/>
      <sheetData sheetId="10575" refreshError="1"/>
      <sheetData sheetId="10576" refreshError="1"/>
      <sheetData sheetId="10577" refreshError="1"/>
      <sheetData sheetId="10578" refreshError="1"/>
      <sheetData sheetId="10579" refreshError="1"/>
      <sheetData sheetId="10580" refreshError="1"/>
      <sheetData sheetId="10581" refreshError="1"/>
      <sheetData sheetId="10582" refreshError="1"/>
      <sheetData sheetId="10583" refreshError="1"/>
      <sheetData sheetId="10584" refreshError="1"/>
      <sheetData sheetId="10585" refreshError="1"/>
      <sheetData sheetId="10586" refreshError="1"/>
      <sheetData sheetId="10587" refreshError="1"/>
      <sheetData sheetId="10588" refreshError="1"/>
      <sheetData sheetId="10589" refreshError="1"/>
      <sheetData sheetId="10590" refreshError="1"/>
      <sheetData sheetId="10591" refreshError="1"/>
      <sheetData sheetId="10592" refreshError="1"/>
      <sheetData sheetId="10593" refreshError="1"/>
      <sheetData sheetId="10594" refreshError="1"/>
      <sheetData sheetId="10595" refreshError="1"/>
      <sheetData sheetId="10596" refreshError="1"/>
      <sheetData sheetId="10597" refreshError="1"/>
      <sheetData sheetId="10598" refreshError="1"/>
      <sheetData sheetId="10599" refreshError="1"/>
      <sheetData sheetId="10600" refreshError="1"/>
      <sheetData sheetId="10601" refreshError="1"/>
      <sheetData sheetId="10602" refreshError="1"/>
      <sheetData sheetId="10603" refreshError="1"/>
      <sheetData sheetId="10604" refreshError="1"/>
      <sheetData sheetId="10605" refreshError="1"/>
      <sheetData sheetId="10606" refreshError="1"/>
      <sheetData sheetId="10607" refreshError="1"/>
      <sheetData sheetId="10608" refreshError="1"/>
      <sheetData sheetId="10609" refreshError="1"/>
      <sheetData sheetId="10610" refreshError="1"/>
      <sheetData sheetId="10611" refreshError="1"/>
      <sheetData sheetId="10612" refreshError="1"/>
      <sheetData sheetId="10613" refreshError="1"/>
      <sheetData sheetId="10614" refreshError="1"/>
      <sheetData sheetId="10615" refreshError="1"/>
      <sheetData sheetId="10616" refreshError="1"/>
      <sheetData sheetId="10617" refreshError="1"/>
      <sheetData sheetId="10618" refreshError="1"/>
      <sheetData sheetId="10619" refreshError="1"/>
      <sheetData sheetId="10620" refreshError="1"/>
      <sheetData sheetId="10621" refreshError="1"/>
      <sheetData sheetId="10622" refreshError="1"/>
      <sheetData sheetId="10623" refreshError="1"/>
      <sheetData sheetId="10624" refreshError="1"/>
      <sheetData sheetId="10625" refreshError="1"/>
      <sheetData sheetId="10626" refreshError="1"/>
      <sheetData sheetId="10627" refreshError="1"/>
      <sheetData sheetId="10628" refreshError="1"/>
      <sheetData sheetId="10629" refreshError="1"/>
      <sheetData sheetId="10630" refreshError="1"/>
      <sheetData sheetId="10631" refreshError="1"/>
      <sheetData sheetId="10632" refreshError="1"/>
      <sheetData sheetId="10633" refreshError="1"/>
      <sheetData sheetId="10634" refreshError="1"/>
      <sheetData sheetId="10635" refreshError="1"/>
      <sheetData sheetId="10636" refreshError="1"/>
      <sheetData sheetId="10637" refreshError="1"/>
      <sheetData sheetId="10638" refreshError="1"/>
      <sheetData sheetId="10639" refreshError="1"/>
      <sheetData sheetId="10640" refreshError="1"/>
      <sheetData sheetId="10641" refreshError="1"/>
      <sheetData sheetId="10642" refreshError="1"/>
      <sheetData sheetId="10643" refreshError="1"/>
      <sheetData sheetId="10644" refreshError="1"/>
      <sheetData sheetId="10645" refreshError="1"/>
      <sheetData sheetId="10646" refreshError="1"/>
      <sheetData sheetId="10647" refreshError="1"/>
      <sheetData sheetId="10648" refreshError="1"/>
      <sheetData sheetId="10649" refreshError="1"/>
      <sheetData sheetId="10650" refreshError="1"/>
      <sheetData sheetId="10651" refreshError="1"/>
      <sheetData sheetId="10652" refreshError="1"/>
      <sheetData sheetId="10653" refreshError="1"/>
      <sheetData sheetId="10654" refreshError="1"/>
      <sheetData sheetId="10655" refreshError="1"/>
      <sheetData sheetId="10656" refreshError="1"/>
      <sheetData sheetId="10657" refreshError="1"/>
      <sheetData sheetId="10658" refreshError="1"/>
      <sheetData sheetId="10659" refreshError="1"/>
      <sheetData sheetId="10660" refreshError="1"/>
      <sheetData sheetId="10661" refreshError="1"/>
      <sheetData sheetId="10662" refreshError="1"/>
      <sheetData sheetId="10663" refreshError="1"/>
      <sheetData sheetId="10664" refreshError="1"/>
      <sheetData sheetId="10665" refreshError="1"/>
      <sheetData sheetId="10666" refreshError="1"/>
      <sheetData sheetId="10667" refreshError="1"/>
      <sheetData sheetId="10668" refreshError="1"/>
      <sheetData sheetId="10669" refreshError="1"/>
      <sheetData sheetId="10670" refreshError="1"/>
      <sheetData sheetId="10671" refreshError="1"/>
      <sheetData sheetId="10672" refreshError="1"/>
      <sheetData sheetId="10673" refreshError="1"/>
      <sheetData sheetId="10674" refreshError="1"/>
      <sheetData sheetId="10675" refreshError="1"/>
      <sheetData sheetId="10676" refreshError="1"/>
      <sheetData sheetId="10677" refreshError="1"/>
      <sheetData sheetId="10678" refreshError="1"/>
      <sheetData sheetId="10679" refreshError="1"/>
      <sheetData sheetId="10680" refreshError="1"/>
      <sheetData sheetId="10681" refreshError="1"/>
      <sheetData sheetId="10682" refreshError="1"/>
      <sheetData sheetId="10683" refreshError="1"/>
      <sheetData sheetId="10684" refreshError="1"/>
      <sheetData sheetId="10685" refreshError="1"/>
      <sheetData sheetId="10686" refreshError="1"/>
      <sheetData sheetId="10687" refreshError="1"/>
      <sheetData sheetId="10688" refreshError="1"/>
      <sheetData sheetId="10689" refreshError="1"/>
      <sheetData sheetId="10690" refreshError="1"/>
      <sheetData sheetId="10691" refreshError="1"/>
      <sheetData sheetId="10692" refreshError="1"/>
      <sheetData sheetId="10693" refreshError="1"/>
      <sheetData sheetId="10694" refreshError="1"/>
      <sheetData sheetId="10695" refreshError="1"/>
      <sheetData sheetId="10696" refreshError="1"/>
      <sheetData sheetId="10697" refreshError="1"/>
      <sheetData sheetId="10698" refreshError="1"/>
      <sheetData sheetId="10699" refreshError="1"/>
      <sheetData sheetId="10700" refreshError="1"/>
      <sheetData sheetId="10701" refreshError="1"/>
      <sheetData sheetId="10702" refreshError="1"/>
      <sheetData sheetId="10703" refreshError="1"/>
      <sheetData sheetId="10704" refreshError="1"/>
      <sheetData sheetId="10705" refreshError="1"/>
      <sheetData sheetId="10706" refreshError="1"/>
      <sheetData sheetId="10707" refreshError="1"/>
      <sheetData sheetId="10708" refreshError="1"/>
      <sheetData sheetId="10709" refreshError="1"/>
      <sheetData sheetId="10710" refreshError="1"/>
      <sheetData sheetId="10711" refreshError="1"/>
      <sheetData sheetId="10712" refreshError="1"/>
      <sheetData sheetId="10713" refreshError="1"/>
      <sheetData sheetId="10714" refreshError="1"/>
      <sheetData sheetId="10715" refreshError="1"/>
      <sheetData sheetId="10716" refreshError="1"/>
      <sheetData sheetId="10717" refreshError="1"/>
      <sheetData sheetId="10718" refreshError="1"/>
      <sheetData sheetId="10719" refreshError="1"/>
      <sheetData sheetId="10720" refreshError="1"/>
      <sheetData sheetId="10721" refreshError="1"/>
      <sheetData sheetId="10722" refreshError="1"/>
      <sheetData sheetId="10723" refreshError="1"/>
      <sheetData sheetId="10724" refreshError="1"/>
      <sheetData sheetId="10725" refreshError="1"/>
      <sheetData sheetId="10726" refreshError="1"/>
      <sheetData sheetId="10727" refreshError="1"/>
      <sheetData sheetId="10728" refreshError="1"/>
      <sheetData sheetId="10729" refreshError="1"/>
      <sheetData sheetId="10730" refreshError="1"/>
      <sheetData sheetId="10731" refreshError="1"/>
      <sheetData sheetId="10732" refreshError="1"/>
      <sheetData sheetId="10733" refreshError="1"/>
      <sheetData sheetId="10734" refreshError="1"/>
      <sheetData sheetId="10735" refreshError="1"/>
      <sheetData sheetId="10736">
        <row r="1">
          <cell r="A1" t="str">
            <v>03</v>
          </cell>
        </row>
      </sheetData>
      <sheetData sheetId="10737" refreshError="1"/>
      <sheetData sheetId="10738">
        <row r="1">
          <cell r="A1" t="str">
            <v>03</v>
          </cell>
        </row>
      </sheetData>
      <sheetData sheetId="10739">
        <row r="1">
          <cell r="A1" t="str">
            <v>03</v>
          </cell>
        </row>
      </sheetData>
      <sheetData sheetId="10740">
        <row r="1">
          <cell r="A1" t="str">
            <v>03</v>
          </cell>
        </row>
      </sheetData>
      <sheetData sheetId="10741">
        <row r="1">
          <cell r="A1" t="str">
            <v>03</v>
          </cell>
        </row>
      </sheetData>
      <sheetData sheetId="10742">
        <row r="1">
          <cell r="A1" t="str">
            <v>03</v>
          </cell>
        </row>
      </sheetData>
      <sheetData sheetId="10743">
        <row r="1">
          <cell r="A1" t="str">
            <v>03</v>
          </cell>
        </row>
      </sheetData>
      <sheetData sheetId="10744">
        <row r="1">
          <cell r="A1" t="str">
            <v>03</v>
          </cell>
        </row>
      </sheetData>
      <sheetData sheetId="10745">
        <row r="1">
          <cell r="A1" t="str">
            <v>03</v>
          </cell>
        </row>
      </sheetData>
      <sheetData sheetId="10746">
        <row r="1">
          <cell r="A1" t="str">
            <v>03</v>
          </cell>
        </row>
      </sheetData>
      <sheetData sheetId="10747">
        <row r="1">
          <cell r="A1" t="str">
            <v>03</v>
          </cell>
        </row>
      </sheetData>
      <sheetData sheetId="10748">
        <row r="1">
          <cell r="A1" t="str">
            <v>03</v>
          </cell>
        </row>
      </sheetData>
      <sheetData sheetId="10749">
        <row r="1">
          <cell r="A1" t="str">
            <v>03</v>
          </cell>
        </row>
      </sheetData>
      <sheetData sheetId="10750">
        <row r="2">
          <cell r="C2" t="str">
            <v>LOCATION</v>
          </cell>
        </row>
      </sheetData>
      <sheetData sheetId="10751">
        <row r="4">
          <cell r="A4" t="str">
            <v>Total Revenue</v>
          </cell>
        </row>
      </sheetData>
      <sheetData sheetId="10752">
        <row r="4">
          <cell r="A4" t="str">
            <v>Total Revenue</v>
          </cell>
        </row>
      </sheetData>
      <sheetData sheetId="10753">
        <row r="3">
          <cell r="A3" t="str">
            <v>Total Revenue</v>
          </cell>
        </row>
      </sheetData>
      <sheetData sheetId="10754">
        <row r="4">
          <cell r="A4" t="str">
            <v>Total Revenue</v>
          </cell>
        </row>
      </sheetData>
      <sheetData sheetId="10755"/>
      <sheetData sheetId="10756">
        <row r="3">
          <cell r="A3" t="str">
            <v>Total Revenue</v>
          </cell>
        </row>
      </sheetData>
      <sheetData sheetId="10757">
        <row r="4">
          <cell r="A4" t="str">
            <v>Total Revenue</v>
          </cell>
        </row>
      </sheetData>
      <sheetData sheetId="10758"/>
      <sheetData sheetId="10759">
        <row r="4">
          <cell r="D4">
            <v>0.19</v>
          </cell>
        </row>
      </sheetData>
      <sheetData sheetId="10760">
        <row r="4">
          <cell r="A4" t="str">
            <v>Total Revenue</v>
          </cell>
        </row>
      </sheetData>
      <sheetData sheetId="10761" refreshError="1"/>
      <sheetData sheetId="10762" refreshError="1"/>
      <sheetData sheetId="10763" refreshError="1"/>
      <sheetData sheetId="10764" refreshError="1"/>
      <sheetData sheetId="10765">
        <row r="4">
          <cell r="D4">
            <v>0.19</v>
          </cell>
        </row>
      </sheetData>
      <sheetData sheetId="10766">
        <row r="18">
          <cell r="A18">
            <v>1</v>
          </cell>
        </row>
      </sheetData>
      <sheetData sheetId="10767"/>
      <sheetData sheetId="10768">
        <row r="4">
          <cell r="D4">
            <v>0.19</v>
          </cell>
        </row>
      </sheetData>
      <sheetData sheetId="10769">
        <row r="18">
          <cell r="A18">
            <v>1</v>
          </cell>
        </row>
      </sheetData>
      <sheetData sheetId="10770"/>
      <sheetData sheetId="10771" refreshError="1"/>
      <sheetData sheetId="10772" refreshError="1"/>
      <sheetData sheetId="10773" refreshError="1"/>
      <sheetData sheetId="10774" refreshError="1"/>
      <sheetData sheetId="10775" refreshError="1"/>
      <sheetData sheetId="10776" refreshError="1"/>
      <sheetData sheetId="10777" refreshError="1"/>
      <sheetData sheetId="10778" refreshError="1"/>
      <sheetData sheetId="10779" refreshError="1"/>
      <sheetData sheetId="10780" refreshError="1"/>
      <sheetData sheetId="10781" refreshError="1"/>
      <sheetData sheetId="10782" refreshError="1"/>
      <sheetData sheetId="10783" refreshError="1"/>
      <sheetData sheetId="10784" refreshError="1"/>
      <sheetData sheetId="10785" refreshError="1"/>
      <sheetData sheetId="10786" refreshError="1"/>
      <sheetData sheetId="10787" refreshError="1"/>
      <sheetData sheetId="10788" refreshError="1"/>
      <sheetData sheetId="10789" refreshError="1"/>
      <sheetData sheetId="10790" refreshError="1"/>
      <sheetData sheetId="10791" refreshError="1"/>
      <sheetData sheetId="10792" refreshError="1"/>
      <sheetData sheetId="10793" refreshError="1"/>
      <sheetData sheetId="10794" refreshError="1"/>
      <sheetData sheetId="10795" refreshError="1"/>
      <sheetData sheetId="10796" refreshError="1"/>
      <sheetData sheetId="10797" refreshError="1"/>
      <sheetData sheetId="10798"/>
      <sheetData sheetId="10799" refreshError="1"/>
      <sheetData sheetId="10800" refreshError="1"/>
      <sheetData sheetId="10801" refreshError="1"/>
      <sheetData sheetId="10802" refreshError="1"/>
      <sheetData sheetId="10803" refreshError="1"/>
      <sheetData sheetId="10804" refreshError="1"/>
      <sheetData sheetId="10805" refreshError="1"/>
      <sheetData sheetId="10806" refreshError="1"/>
      <sheetData sheetId="10807" refreshError="1"/>
      <sheetData sheetId="10808" refreshError="1"/>
      <sheetData sheetId="10809" refreshError="1"/>
      <sheetData sheetId="10810" refreshError="1"/>
      <sheetData sheetId="10811" refreshError="1"/>
      <sheetData sheetId="10812" refreshError="1"/>
      <sheetData sheetId="10813" refreshError="1"/>
      <sheetData sheetId="10814" refreshError="1"/>
      <sheetData sheetId="10815" refreshError="1"/>
      <sheetData sheetId="10816" refreshError="1"/>
      <sheetData sheetId="10817" refreshError="1"/>
      <sheetData sheetId="10818" refreshError="1"/>
      <sheetData sheetId="10819" refreshError="1"/>
      <sheetData sheetId="10820" refreshError="1"/>
      <sheetData sheetId="10821" refreshError="1"/>
      <sheetData sheetId="10822" refreshError="1"/>
      <sheetData sheetId="10823" refreshError="1"/>
      <sheetData sheetId="10824" refreshError="1"/>
      <sheetData sheetId="10825" refreshError="1"/>
      <sheetData sheetId="10826" refreshError="1"/>
      <sheetData sheetId="10827" refreshError="1"/>
      <sheetData sheetId="10828" refreshError="1"/>
      <sheetData sheetId="10829" refreshError="1"/>
      <sheetData sheetId="10830" refreshError="1"/>
      <sheetData sheetId="10831"/>
      <sheetData sheetId="10832"/>
      <sheetData sheetId="10833" refreshError="1"/>
      <sheetData sheetId="10834" refreshError="1"/>
      <sheetData sheetId="10835" refreshError="1"/>
      <sheetData sheetId="10836"/>
      <sheetData sheetId="10837" refreshError="1"/>
      <sheetData sheetId="10838"/>
      <sheetData sheetId="10839"/>
      <sheetData sheetId="10840"/>
      <sheetData sheetId="10841"/>
      <sheetData sheetId="10842"/>
      <sheetData sheetId="10843"/>
      <sheetData sheetId="10844"/>
      <sheetData sheetId="10845"/>
      <sheetData sheetId="10846"/>
      <sheetData sheetId="10847" refreshError="1"/>
      <sheetData sheetId="10848" refreshError="1"/>
      <sheetData sheetId="10849" refreshError="1"/>
      <sheetData sheetId="10850" refreshError="1"/>
      <sheetData sheetId="10851" refreshError="1"/>
      <sheetData sheetId="10852" refreshError="1"/>
      <sheetData sheetId="10853" refreshError="1"/>
      <sheetData sheetId="10854" refreshError="1"/>
      <sheetData sheetId="10855" refreshError="1"/>
      <sheetData sheetId="10856" refreshError="1"/>
      <sheetData sheetId="10857" refreshError="1"/>
      <sheetData sheetId="10858" refreshError="1"/>
      <sheetData sheetId="10859" refreshError="1"/>
      <sheetData sheetId="10860" refreshError="1"/>
      <sheetData sheetId="10861" refreshError="1"/>
      <sheetData sheetId="10862" refreshError="1"/>
      <sheetData sheetId="10863" refreshError="1"/>
      <sheetData sheetId="10864" refreshError="1"/>
      <sheetData sheetId="10865" refreshError="1"/>
      <sheetData sheetId="10866"/>
      <sheetData sheetId="10867" refreshError="1"/>
      <sheetData sheetId="10868" refreshError="1"/>
      <sheetData sheetId="10869" refreshError="1"/>
      <sheetData sheetId="10870" refreshError="1"/>
      <sheetData sheetId="10871" refreshError="1"/>
      <sheetData sheetId="10872" refreshError="1"/>
      <sheetData sheetId="10873" refreshError="1"/>
      <sheetData sheetId="10874" refreshError="1"/>
      <sheetData sheetId="10875" refreshError="1"/>
      <sheetData sheetId="10876" refreshError="1"/>
      <sheetData sheetId="10877" refreshError="1"/>
      <sheetData sheetId="10878" refreshError="1"/>
      <sheetData sheetId="10879" refreshError="1"/>
      <sheetData sheetId="10880" refreshError="1"/>
      <sheetData sheetId="10881">
        <row r="3">
          <cell r="C3">
            <v>350</v>
          </cell>
        </row>
      </sheetData>
      <sheetData sheetId="10882" refreshError="1"/>
      <sheetData sheetId="10883">
        <row r="6">
          <cell r="A6">
            <v>2</v>
          </cell>
        </row>
      </sheetData>
      <sheetData sheetId="10884" refreshError="1"/>
      <sheetData sheetId="10885" refreshError="1"/>
      <sheetData sheetId="10886" refreshError="1"/>
      <sheetData sheetId="10887" refreshError="1"/>
      <sheetData sheetId="10888" refreshError="1"/>
      <sheetData sheetId="10889" refreshError="1"/>
      <sheetData sheetId="10890" refreshError="1"/>
      <sheetData sheetId="10891" refreshError="1"/>
      <sheetData sheetId="10892"/>
      <sheetData sheetId="10893" refreshError="1"/>
      <sheetData sheetId="10894" refreshError="1"/>
      <sheetData sheetId="10895" refreshError="1"/>
      <sheetData sheetId="10896" refreshError="1"/>
      <sheetData sheetId="10897" refreshError="1"/>
      <sheetData sheetId="10898">
        <row r="50">
          <cell r="A50" t="str">
            <v>SHIPARA TECHNOLOGIES LIMITED</v>
          </cell>
        </row>
      </sheetData>
      <sheetData sheetId="10899">
        <row r="247">
          <cell r="D247">
            <v>-108171147.13280797</v>
          </cell>
        </row>
      </sheetData>
      <sheetData sheetId="10900">
        <row r="247">
          <cell r="D247">
            <v>-108171147.13280797</v>
          </cell>
        </row>
      </sheetData>
      <sheetData sheetId="10901">
        <row r="50">
          <cell r="A50" t="str">
            <v>SHIPARA TECHNOLOGIES LIMITED</v>
          </cell>
        </row>
      </sheetData>
      <sheetData sheetId="10902">
        <row r="50">
          <cell r="A50" t="str">
            <v>SHIPARA TECHNOLOGIES LIMITED</v>
          </cell>
        </row>
      </sheetData>
      <sheetData sheetId="10903">
        <row r="247">
          <cell r="D247">
            <v>-108171147.13280797</v>
          </cell>
        </row>
      </sheetData>
      <sheetData sheetId="10904">
        <row r="50">
          <cell r="A50" t="str">
            <v>SHIPARA TECHNOLOGIES LIMITED</v>
          </cell>
        </row>
      </sheetData>
      <sheetData sheetId="10905">
        <row r="50">
          <cell r="A50" t="str">
            <v>SHIPARA TECHNOLOGIES LIMITED</v>
          </cell>
        </row>
      </sheetData>
      <sheetData sheetId="10906">
        <row r="4">
          <cell r="D4">
            <v>0.19</v>
          </cell>
        </row>
      </sheetData>
      <sheetData sheetId="10907">
        <row r="4">
          <cell r="D4">
            <v>0.19</v>
          </cell>
        </row>
      </sheetData>
      <sheetData sheetId="10908">
        <row r="50">
          <cell r="A50" t="str">
            <v>SHIPARA TECHNOLOGIES LIMITED</v>
          </cell>
        </row>
      </sheetData>
      <sheetData sheetId="10909">
        <row r="4">
          <cell r="D4">
            <v>0.19</v>
          </cell>
        </row>
      </sheetData>
      <sheetData sheetId="10910">
        <row r="4">
          <cell r="D4">
            <v>0.19</v>
          </cell>
        </row>
      </sheetData>
      <sheetData sheetId="10911">
        <row r="50">
          <cell r="A50" t="str">
            <v>SHIPARA TECHNOLOGIES LIMITED</v>
          </cell>
        </row>
      </sheetData>
      <sheetData sheetId="10912">
        <row r="4">
          <cell r="D4">
            <v>0.19</v>
          </cell>
        </row>
      </sheetData>
      <sheetData sheetId="10913">
        <row r="4">
          <cell r="D4">
            <v>0.19</v>
          </cell>
        </row>
      </sheetData>
      <sheetData sheetId="10914">
        <row r="50">
          <cell r="A50" t="str">
            <v>SHIPARA TECHNOLOGIES LIMITED</v>
          </cell>
        </row>
      </sheetData>
      <sheetData sheetId="10915">
        <row r="50">
          <cell r="A50" t="str">
            <v>SHIPARA TECHNOLOGIES LIMITED</v>
          </cell>
        </row>
      </sheetData>
      <sheetData sheetId="10916">
        <row r="50">
          <cell r="A50" t="str">
            <v>SHIPARA TECHNOLOGIES LIMITED</v>
          </cell>
        </row>
      </sheetData>
      <sheetData sheetId="10917">
        <row r="50">
          <cell r="A50" t="str">
            <v>SHIPARA TECHNOLOGIES LIMITED</v>
          </cell>
        </row>
      </sheetData>
      <sheetData sheetId="10918">
        <row r="50">
          <cell r="A50" t="str">
            <v>SHIPARA TECHNOLOGIES LIMITED</v>
          </cell>
        </row>
      </sheetData>
      <sheetData sheetId="10919" refreshError="1"/>
      <sheetData sheetId="10920">
        <row r="50">
          <cell r="A50" t="str">
            <v>SHIPARA TECHNOLOGIES LIMITED</v>
          </cell>
        </row>
      </sheetData>
      <sheetData sheetId="10921" refreshError="1"/>
      <sheetData sheetId="10922" refreshError="1"/>
      <sheetData sheetId="10923" refreshError="1"/>
      <sheetData sheetId="10924" refreshError="1"/>
      <sheetData sheetId="10925" refreshError="1"/>
      <sheetData sheetId="10926" refreshError="1"/>
      <sheetData sheetId="10927" refreshError="1"/>
      <sheetData sheetId="10928" refreshError="1"/>
      <sheetData sheetId="10929" refreshError="1"/>
      <sheetData sheetId="10930" refreshError="1"/>
      <sheetData sheetId="10931" refreshError="1"/>
      <sheetData sheetId="10932"/>
      <sheetData sheetId="10933" refreshError="1"/>
      <sheetData sheetId="10934" refreshError="1"/>
      <sheetData sheetId="10935" refreshError="1"/>
      <sheetData sheetId="10936" refreshError="1"/>
      <sheetData sheetId="10937"/>
      <sheetData sheetId="10938"/>
      <sheetData sheetId="10939" refreshError="1"/>
      <sheetData sheetId="10940" refreshError="1"/>
      <sheetData sheetId="10941"/>
      <sheetData sheetId="10942"/>
      <sheetData sheetId="10943" refreshError="1"/>
      <sheetData sheetId="10944"/>
      <sheetData sheetId="10945" refreshError="1"/>
      <sheetData sheetId="10946">
        <row r="50">
          <cell r="A50" t="str">
            <v>SHIPARA TECHNOLOGIES LIMITED</v>
          </cell>
        </row>
      </sheetData>
      <sheetData sheetId="10947" refreshError="1"/>
      <sheetData sheetId="10948" refreshError="1"/>
      <sheetData sheetId="10949" refreshError="1"/>
      <sheetData sheetId="10950" refreshError="1"/>
      <sheetData sheetId="10951" refreshError="1"/>
      <sheetData sheetId="10952"/>
      <sheetData sheetId="10953"/>
      <sheetData sheetId="10954">
        <row r="50">
          <cell r="A50" t="str">
            <v>SHIPARA TECHNOLOGIES LIMITED</v>
          </cell>
        </row>
      </sheetData>
      <sheetData sheetId="10955"/>
      <sheetData sheetId="10956"/>
      <sheetData sheetId="10957">
        <row r="50">
          <cell r="A50" t="str">
            <v>SHIPARA TECHNOLOGIES LIMITED</v>
          </cell>
        </row>
      </sheetData>
      <sheetData sheetId="10958">
        <row r="50">
          <cell r="A50" t="str">
            <v>SHIPARA TECHNOLOGIES LIMITED</v>
          </cell>
        </row>
      </sheetData>
      <sheetData sheetId="10959"/>
      <sheetData sheetId="10960">
        <row r="50">
          <cell r="A50" t="str">
            <v>SHIPARA TECHNOLOGIES LIMITED</v>
          </cell>
        </row>
      </sheetData>
      <sheetData sheetId="10961">
        <row r="50">
          <cell r="A50" t="str">
            <v>SHIPARA TECHNOLOGIES LIMITED</v>
          </cell>
        </row>
      </sheetData>
      <sheetData sheetId="10962" refreshError="1"/>
      <sheetData sheetId="10963">
        <row r="6">
          <cell r="D6">
            <v>42.5075</v>
          </cell>
        </row>
      </sheetData>
      <sheetData sheetId="10964">
        <row r="6">
          <cell r="D6">
            <v>42.5075</v>
          </cell>
        </row>
      </sheetData>
      <sheetData sheetId="10965">
        <row r="6">
          <cell r="D6">
            <v>42.5075</v>
          </cell>
        </row>
      </sheetData>
      <sheetData sheetId="10966">
        <row r="6">
          <cell r="D6">
            <v>42.5075</v>
          </cell>
        </row>
      </sheetData>
      <sheetData sheetId="10967">
        <row r="6">
          <cell r="D6">
            <v>42.5075</v>
          </cell>
        </row>
      </sheetData>
      <sheetData sheetId="10968" refreshError="1"/>
      <sheetData sheetId="10969">
        <row r="6">
          <cell r="D6">
            <v>42.5075</v>
          </cell>
        </row>
      </sheetData>
      <sheetData sheetId="10970">
        <row r="6">
          <cell r="D6">
            <v>42.5075</v>
          </cell>
        </row>
      </sheetData>
      <sheetData sheetId="10971"/>
      <sheetData sheetId="10972"/>
      <sheetData sheetId="10973"/>
      <sheetData sheetId="10974"/>
      <sheetData sheetId="10975" refreshError="1"/>
      <sheetData sheetId="10976" refreshError="1"/>
      <sheetData sheetId="10977" refreshError="1"/>
      <sheetData sheetId="10978" refreshError="1"/>
      <sheetData sheetId="10979" refreshError="1"/>
      <sheetData sheetId="10980" refreshError="1"/>
      <sheetData sheetId="10981" refreshError="1"/>
      <sheetData sheetId="10982" refreshError="1"/>
      <sheetData sheetId="10983" refreshError="1"/>
      <sheetData sheetId="10984" refreshError="1"/>
      <sheetData sheetId="10985"/>
      <sheetData sheetId="10986">
        <row r="1">
          <cell r="A1" t="str">
            <v>CODE</v>
          </cell>
        </row>
      </sheetData>
      <sheetData sheetId="10987"/>
      <sheetData sheetId="10988"/>
      <sheetData sheetId="10989" refreshError="1"/>
      <sheetData sheetId="10990"/>
      <sheetData sheetId="10991">
        <row r="1">
          <cell r="A1" t="str">
            <v>CODE</v>
          </cell>
        </row>
      </sheetData>
      <sheetData sheetId="10992" refreshError="1"/>
      <sheetData sheetId="10993" refreshError="1"/>
      <sheetData sheetId="10994" refreshError="1"/>
      <sheetData sheetId="10995" refreshError="1"/>
      <sheetData sheetId="10996" refreshError="1"/>
      <sheetData sheetId="10997" refreshError="1"/>
      <sheetData sheetId="10998" refreshError="1"/>
      <sheetData sheetId="10999" refreshError="1"/>
      <sheetData sheetId="11000" refreshError="1"/>
      <sheetData sheetId="11001" refreshError="1"/>
      <sheetData sheetId="11002" refreshError="1"/>
      <sheetData sheetId="11003" refreshError="1"/>
      <sheetData sheetId="11004" refreshError="1"/>
      <sheetData sheetId="11005" refreshError="1"/>
      <sheetData sheetId="11006" refreshError="1"/>
      <sheetData sheetId="11007" refreshError="1"/>
      <sheetData sheetId="11008" refreshError="1"/>
      <sheetData sheetId="11009" refreshError="1"/>
      <sheetData sheetId="11010" refreshError="1"/>
      <sheetData sheetId="11011" refreshError="1"/>
      <sheetData sheetId="11012" refreshError="1"/>
      <sheetData sheetId="11013" refreshError="1"/>
      <sheetData sheetId="11014" refreshError="1"/>
      <sheetData sheetId="11015" refreshError="1"/>
      <sheetData sheetId="11016" refreshError="1"/>
      <sheetData sheetId="11017" refreshError="1"/>
      <sheetData sheetId="11018" refreshError="1"/>
      <sheetData sheetId="11019" refreshError="1"/>
      <sheetData sheetId="11020">
        <row r="1">
          <cell r="A1" t="str">
            <v>M O R    -    JAN, 2003</v>
          </cell>
        </row>
      </sheetData>
      <sheetData sheetId="11021" refreshError="1"/>
      <sheetData sheetId="11022" refreshError="1"/>
      <sheetData sheetId="11023" refreshError="1"/>
      <sheetData sheetId="11024" refreshError="1"/>
      <sheetData sheetId="11025" refreshError="1"/>
      <sheetData sheetId="11026" refreshError="1"/>
      <sheetData sheetId="11027" refreshError="1"/>
      <sheetData sheetId="11028" refreshError="1"/>
      <sheetData sheetId="11029" refreshError="1"/>
      <sheetData sheetId="11030" refreshError="1"/>
      <sheetData sheetId="11031" refreshError="1"/>
      <sheetData sheetId="11032" refreshError="1"/>
      <sheetData sheetId="11033" refreshError="1"/>
      <sheetData sheetId="11034" refreshError="1"/>
      <sheetData sheetId="11035" refreshError="1"/>
      <sheetData sheetId="11036" refreshError="1"/>
      <sheetData sheetId="11037" refreshError="1"/>
      <sheetData sheetId="11038" refreshError="1"/>
      <sheetData sheetId="11039" refreshError="1"/>
      <sheetData sheetId="11040" refreshError="1"/>
      <sheetData sheetId="11041" refreshError="1"/>
      <sheetData sheetId="11042" refreshError="1"/>
      <sheetData sheetId="11043" refreshError="1"/>
      <sheetData sheetId="11044" refreshError="1"/>
      <sheetData sheetId="11045" refreshError="1"/>
      <sheetData sheetId="11046" refreshError="1"/>
      <sheetData sheetId="11047" refreshError="1"/>
      <sheetData sheetId="11048" refreshError="1"/>
      <sheetData sheetId="11049" refreshError="1"/>
      <sheetData sheetId="11050" refreshError="1"/>
      <sheetData sheetId="11051" refreshError="1"/>
      <sheetData sheetId="11052" refreshError="1"/>
      <sheetData sheetId="11053" refreshError="1"/>
      <sheetData sheetId="11054" refreshError="1"/>
      <sheetData sheetId="11055" refreshError="1"/>
      <sheetData sheetId="11056" refreshError="1"/>
      <sheetData sheetId="11057" refreshError="1"/>
      <sheetData sheetId="11058" refreshError="1"/>
      <sheetData sheetId="11059" refreshError="1"/>
      <sheetData sheetId="11060" refreshError="1"/>
      <sheetData sheetId="11061" refreshError="1"/>
      <sheetData sheetId="11062" refreshError="1"/>
      <sheetData sheetId="11063" refreshError="1"/>
      <sheetData sheetId="11064"/>
      <sheetData sheetId="11065" refreshError="1"/>
      <sheetData sheetId="11066"/>
      <sheetData sheetId="11067" refreshError="1"/>
      <sheetData sheetId="11068" refreshError="1"/>
      <sheetData sheetId="11069"/>
      <sheetData sheetId="11070">
        <row r="28">
          <cell r="M28">
            <v>25518769.103220712</v>
          </cell>
        </row>
      </sheetData>
      <sheetData sheetId="11071"/>
      <sheetData sheetId="11072"/>
      <sheetData sheetId="11073">
        <row r="28">
          <cell r="M28">
            <v>25518769.103220712</v>
          </cell>
        </row>
      </sheetData>
      <sheetData sheetId="11074">
        <row r="28">
          <cell r="M28">
            <v>25518769.103220712</v>
          </cell>
        </row>
      </sheetData>
      <sheetData sheetId="11075">
        <row r="28">
          <cell r="M28">
            <v>25518769.103220712</v>
          </cell>
        </row>
      </sheetData>
      <sheetData sheetId="11076" refreshError="1"/>
      <sheetData sheetId="11077">
        <row r="28">
          <cell r="M28">
            <v>25518769.103220712</v>
          </cell>
        </row>
      </sheetData>
      <sheetData sheetId="11078"/>
      <sheetData sheetId="11079"/>
      <sheetData sheetId="11080">
        <row r="28">
          <cell r="M28">
            <v>25518769.103220712</v>
          </cell>
        </row>
      </sheetData>
      <sheetData sheetId="11081"/>
      <sheetData sheetId="11082"/>
      <sheetData sheetId="11083">
        <row r="28">
          <cell r="M28">
            <v>25518769.103220712</v>
          </cell>
        </row>
      </sheetData>
      <sheetData sheetId="11084"/>
      <sheetData sheetId="11085">
        <row r="28">
          <cell r="M28">
            <v>25518769.103220712</v>
          </cell>
        </row>
      </sheetData>
      <sheetData sheetId="11086">
        <row r="1">
          <cell r="A1" t="str">
            <v>CODE</v>
          </cell>
        </row>
      </sheetData>
      <sheetData sheetId="11087">
        <row r="1">
          <cell r="A1" t="str">
            <v>CODE</v>
          </cell>
        </row>
      </sheetData>
      <sheetData sheetId="11088">
        <row r="28">
          <cell r="M28">
            <v>25518769.103220712</v>
          </cell>
        </row>
      </sheetData>
      <sheetData sheetId="11089">
        <row r="1">
          <cell r="A1" t="str">
            <v>CODE</v>
          </cell>
        </row>
      </sheetData>
      <sheetData sheetId="11090">
        <row r="1">
          <cell r="A1" t="str">
            <v>CODE</v>
          </cell>
        </row>
      </sheetData>
      <sheetData sheetId="11091">
        <row r="1">
          <cell r="A1" t="str">
            <v>CODE</v>
          </cell>
        </row>
      </sheetData>
      <sheetData sheetId="11092">
        <row r="1">
          <cell r="A1" t="str">
            <v>CODE</v>
          </cell>
        </row>
      </sheetData>
      <sheetData sheetId="11093">
        <row r="1">
          <cell r="A1" t="str">
            <v>CODE</v>
          </cell>
        </row>
      </sheetData>
      <sheetData sheetId="11094">
        <row r="1">
          <cell r="A1" t="str">
            <v>CODE</v>
          </cell>
        </row>
      </sheetData>
      <sheetData sheetId="11095">
        <row r="1">
          <cell r="A1" t="str">
            <v>CODE</v>
          </cell>
        </row>
      </sheetData>
      <sheetData sheetId="11096">
        <row r="1">
          <cell r="A1" t="str">
            <v>CODE</v>
          </cell>
        </row>
      </sheetData>
      <sheetData sheetId="11097">
        <row r="1">
          <cell r="A1" t="str">
            <v>CODE</v>
          </cell>
        </row>
      </sheetData>
      <sheetData sheetId="11098">
        <row r="1">
          <cell r="A1" t="str">
            <v>CODE</v>
          </cell>
        </row>
      </sheetData>
      <sheetData sheetId="11099">
        <row r="1">
          <cell r="A1" t="str">
            <v>CODE</v>
          </cell>
        </row>
      </sheetData>
      <sheetData sheetId="11100">
        <row r="1">
          <cell r="C1">
            <v>1</v>
          </cell>
        </row>
      </sheetData>
      <sheetData sheetId="11101">
        <row r="626">
          <cell r="D626">
            <v>-7005925</v>
          </cell>
        </row>
      </sheetData>
      <sheetData sheetId="11102">
        <row r="1">
          <cell r="A1" t="str">
            <v>CODE</v>
          </cell>
        </row>
      </sheetData>
      <sheetData sheetId="11103">
        <row r="1">
          <cell r="C1">
            <v>1</v>
          </cell>
        </row>
      </sheetData>
      <sheetData sheetId="11104">
        <row r="626">
          <cell r="D626">
            <v>-7005925</v>
          </cell>
        </row>
      </sheetData>
      <sheetData sheetId="11105"/>
      <sheetData sheetId="11106"/>
      <sheetData sheetId="11107"/>
      <sheetData sheetId="11108">
        <row r="1">
          <cell r="C1">
            <v>1</v>
          </cell>
        </row>
      </sheetData>
      <sheetData sheetId="11109">
        <row r="626">
          <cell r="D626">
            <v>-7005925</v>
          </cell>
        </row>
      </sheetData>
      <sheetData sheetId="11110"/>
      <sheetData sheetId="11111">
        <row r="1">
          <cell r="C1">
            <v>1</v>
          </cell>
        </row>
      </sheetData>
      <sheetData sheetId="11112">
        <row r="1">
          <cell r="C1">
            <v>1</v>
          </cell>
        </row>
      </sheetData>
      <sheetData sheetId="11113"/>
      <sheetData sheetId="11114">
        <row r="1">
          <cell r="C1">
            <v>1</v>
          </cell>
        </row>
      </sheetData>
      <sheetData sheetId="11115">
        <row r="1">
          <cell r="C1">
            <v>1</v>
          </cell>
        </row>
      </sheetData>
      <sheetData sheetId="11116"/>
      <sheetData sheetId="11117"/>
      <sheetData sheetId="11118">
        <row r="1">
          <cell r="C1">
            <v>1</v>
          </cell>
        </row>
      </sheetData>
      <sheetData sheetId="11119"/>
      <sheetData sheetId="11120"/>
      <sheetData sheetId="11121"/>
      <sheetData sheetId="11122"/>
      <sheetData sheetId="11123" refreshError="1"/>
      <sheetData sheetId="11124"/>
      <sheetData sheetId="11125"/>
      <sheetData sheetId="11126">
        <row r="1">
          <cell r="C1">
            <v>1</v>
          </cell>
        </row>
      </sheetData>
      <sheetData sheetId="11127"/>
      <sheetData sheetId="11128"/>
      <sheetData sheetId="11129">
        <row r="1">
          <cell r="C1">
            <v>1</v>
          </cell>
        </row>
      </sheetData>
      <sheetData sheetId="11130">
        <row r="1">
          <cell r="A1" t="str">
            <v>Note 3:</v>
          </cell>
        </row>
      </sheetData>
      <sheetData sheetId="11131">
        <row r="50">
          <cell r="A50" t="str">
            <v>SHIPARA TECHNOLOGIES LIMITED</v>
          </cell>
        </row>
      </sheetData>
      <sheetData sheetId="11132">
        <row r="1">
          <cell r="A1" t="str">
            <v>Note 3:</v>
          </cell>
        </row>
      </sheetData>
      <sheetData sheetId="11133"/>
      <sheetData sheetId="11134">
        <row r="50">
          <cell r="A50" t="str">
            <v>SHIPARA TECHNOLOGIES LIMITED</v>
          </cell>
        </row>
      </sheetData>
      <sheetData sheetId="11135" refreshError="1"/>
      <sheetData sheetId="11136" refreshError="1"/>
      <sheetData sheetId="11137" refreshError="1"/>
      <sheetData sheetId="11138"/>
      <sheetData sheetId="11139" refreshError="1"/>
      <sheetData sheetId="11140" refreshError="1"/>
      <sheetData sheetId="11141" refreshError="1"/>
      <sheetData sheetId="11142" refreshError="1"/>
      <sheetData sheetId="11143">
        <row r="1">
          <cell r="A1" t="str">
            <v>Note 3:</v>
          </cell>
        </row>
      </sheetData>
      <sheetData sheetId="11144">
        <row r="2">
          <cell r="A2" t="str">
            <v>F05-Jan</v>
          </cell>
        </row>
      </sheetData>
      <sheetData sheetId="11145">
        <row r="28">
          <cell r="M28">
            <v>25518769.103220712</v>
          </cell>
        </row>
      </sheetData>
      <sheetData sheetId="11146">
        <row r="1">
          <cell r="A1" t="str">
            <v>Note 3:</v>
          </cell>
        </row>
      </sheetData>
      <sheetData sheetId="11147">
        <row r="2">
          <cell r="A2" t="str">
            <v>F05-Jan</v>
          </cell>
        </row>
      </sheetData>
      <sheetData sheetId="11148">
        <row r="28">
          <cell r="M28">
            <v>25518769.103220712</v>
          </cell>
        </row>
      </sheetData>
      <sheetData sheetId="11149" refreshError="1"/>
      <sheetData sheetId="11150">
        <row r="2">
          <cell r="A2" t="str">
            <v>F05-Jan</v>
          </cell>
        </row>
      </sheetData>
      <sheetData sheetId="11151" refreshError="1"/>
      <sheetData sheetId="11152" refreshError="1"/>
      <sheetData sheetId="11153">
        <row r="28">
          <cell r="M28">
            <v>25518769.103220712</v>
          </cell>
        </row>
      </sheetData>
      <sheetData sheetId="11154"/>
      <sheetData sheetId="11155">
        <row r="2">
          <cell r="A2" t="str">
            <v>F05-Jan</v>
          </cell>
        </row>
      </sheetData>
      <sheetData sheetId="11156">
        <row r="28">
          <cell r="M28">
            <v>25518769.103220712</v>
          </cell>
        </row>
      </sheetData>
      <sheetData sheetId="11157"/>
      <sheetData sheetId="11158">
        <row r="2">
          <cell r="A2" t="str">
            <v>F05-Jan</v>
          </cell>
        </row>
      </sheetData>
      <sheetData sheetId="11159">
        <row r="28">
          <cell r="M28">
            <v>25518769.103220712</v>
          </cell>
        </row>
      </sheetData>
      <sheetData sheetId="11160">
        <row r="2">
          <cell r="A2" t="str">
            <v>F05-Jan</v>
          </cell>
        </row>
      </sheetData>
      <sheetData sheetId="11161">
        <row r="2">
          <cell r="A2" t="str">
            <v>F05-Jan</v>
          </cell>
        </row>
      </sheetData>
      <sheetData sheetId="11162"/>
      <sheetData sheetId="11163">
        <row r="2">
          <cell r="A2" t="str">
            <v>F05-Jan</v>
          </cell>
        </row>
      </sheetData>
      <sheetData sheetId="11164" refreshError="1"/>
      <sheetData sheetId="11165"/>
      <sheetData sheetId="11166">
        <row r="1">
          <cell r="A1" t="str">
            <v>ASSET_NUMBER</v>
          </cell>
        </row>
      </sheetData>
      <sheetData sheetId="11167" refreshError="1"/>
      <sheetData sheetId="11168">
        <row r="1">
          <cell r="A1" t="str">
            <v>ASSET_NUMBER</v>
          </cell>
        </row>
      </sheetData>
      <sheetData sheetId="11169">
        <row r="1">
          <cell r="A1" t="str">
            <v>ASSET_NUMBER</v>
          </cell>
        </row>
      </sheetData>
      <sheetData sheetId="11170">
        <row r="1">
          <cell r="A1" t="str">
            <v>ASSET_NUMBER</v>
          </cell>
        </row>
      </sheetData>
      <sheetData sheetId="11171">
        <row r="1">
          <cell r="A1" t="str">
            <v>ASSET_NUMBER</v>
          </cell>
        </row>
      </sheetData>
      <sheetData sheetId="11172">
        <row r="1">
          <cell r="A1" t="str">
            <v>ASSET_NUMBER</v>
          </cell>
        </row>
      </sheetData>
      <sheetData sheetId="11173" refreshError="1"/>
      <sheetData sheetId="11174">
        <row r="1">
          <cell r="A1" t="str">
            <v>ASSET_NUMBER</v>
          </cell>
        </row>
      </sheetData>
      <sheetData sheetId="11175">
        <row r="1">
          <cell r="A1" t="str">
            <v>ASSET_NUMBER</v>
          </cell>
        </row>
      </sheetData>
      <sheetData sheetId="11176">
        <row r="1">
          <cell r="A1" t="str">
            <v>ASSET_NUMBER</v>
          </cell>
        </row>
      </sheetData>
      <sheetData sheetId="11177">
        <row r="1">
          <cell r="A1" t="str">
            <v>ASSET_NUMBER</v>
          </cell>
        </row>
      </sheetData>
      <sheetData sheetId="11178">
        <row r="1">
          <cell r="A1" t="str">
            <v>ASSET_NUMBER</v>
          </cell>
        </row>
      </sheetData>
      <sheetData sheetId="11179">
        <row r="1">
          <cell r="A1" t="str">
            <v>ASSET_NUMBER</v>
          </cell>
        </row>
      </sheetData>
      <sheetData sheetId="11180" refreshError="1"/>
      <sheetData sheetId="11181" refreshError="1"/>
      <sheetData sheetId="11182">
        <row r="1">
          <cell r="A1" t="str">
            <v>ASSET_NUMBER</v>
          </cell>
        </row>
      </sheetData>
      <sheetData sheetId="11183">
        <row r="1">
          <cell r="A1" t="str">
            <v>ASSET_NUMBER</v>
          </cell>
        </row>
      </sheetData>
      <sheetData sheetId="11184">
        <row r="5">
          <cell r="A5">
            <v>1</v>
          </cell>
        </row>
      </sheetData>
      <sheetData sheetId="11185">
        <row r="1">
          <cell r="A1" t="str">
            <v>ASSET_NUMBER</v>
          </cell>
        </row>
      </sheetData>
      <sheetData sheetId="11186">
        <row r="1">
          <cell r="A1" t="str">
            <v>ASSET_NUMBER</v>
          </cell>
        </row>
      </sheetData>
      <sheetData sheetId="11187">
        <row r="5">
          <cell r="A5">
            <v>1</v>
          </cell>
        </row>
      </sheetData>
      <sheetData sheetId="11188">
        <row r="5">
          <cell r="A5">
            <v>1</v>
          </cell>
        </row>
      </sheetData>
      <sheetData sheetId="11189">
        <row r="5">
          <cell r="A5">
            <v>1</v>
          </cell>
        </row>
      </sheetData>
      <sheetData sheetId="11190">
        <row r="5">
          <cell r="A5">
            <v>1</v>
          </cell>
        </row>
      </sheetData>
      <sheetData sheetId="11191">
        <row r="5">
          <cell r="A5">
            <v>1</v>
          </cell>
        </row>
      </sheetData>
      <sheetData sheetId="11192">
        <row r="5">
          <cell r="A5">
            <v>1</v>
          </cell>
        </row>
      </sheetData>
      <sheetData sheetId="11193">
        <row r="5">
          <cell r="A5">
            <v>1</v>
          </cell>
        </row>
      </sheetData>
      <sheetData sheetId="11194">
        <row r="5">
          <cell r="A5">
            <v>1</v>
          </cell>
        </row>
      </sheetData>
      <sheetData sheetId="11195">
        <row r="5">
          <cell r="A5">
            <v>1</v>
          </cell>
        </row>
      </sheetData>
      <sheetData sheetId="11196">
        <row r="5">
          <cell r="A5">
            <v>1</v>
          </cell>
        </row>
      </sheetData>
      <sheetData sheetId="11197">
        <row r="1">
          <cell r="A1" t="str">
            <v>ASSET_NUMBER</v>
          </cell>
        </row>
      </sheetData>
      <sheetData sheetId="11198">
        <row r="1">
          <cell r="A1" t="str">
            <v>ASSET_NUMBER</v>
          </cell>
        </row>
      </sheetData>
      <sheetData sheetId="11199">
        <row r="1">
          <cell r="A1" t="str">
            <v>ASSET_NUMBER</v>
          </cell>
        </row>
      </sheetData>
      <sheetData sheetId="11200">
        <row r="1">
          <cell r="A1" t="str">
            <v>ASSET_NUMBER</v>
          </cell>
        </row>
      </sheetData>
      <sheetData sheetId="11201">
        <row r="1">
          <cell r="A1" t="str">
            <v>ASSET_NUMBER</v>
          </cell>
        </row>
      </sheetData>
      <sheetData sheetId="11202">
        <row r="1">
          <cell r="A1" t="str">
            <v>ASSET_NUMBER</v>
          </cell>
        </row>
      </sheetData>
      <sheetData sheetId="11203">
        <row r="1">
          <cell r="A1" t="str">
            <v>ASSET_NUMBER</v>
          </cell>
        </row>
      </sheetData>
      <sheetData sheetId="11204">
        <row r="1">
          <cell r="A1" t="str">
            <v>ASSET_NUMBER</v>
          </cell>
        </row>
      </sheetData>
      <sheetData sheetId="11205">
        <row r="1">
          <cell r="A1" t="str">
            <v>ASSET_NUMBER</v>
          </cell>
        </row>
      </sheetData>
      <sheetData sheetId="11206">
        <row r="1">
          <cell r="A1" t="str">
            <v>ASSET_NUMBER</v>
          </cell>
        </row>
      </sheetData>
      <sheetData sheetId="11207">
        <row r="1">
          <cell r="A1" t="str">
            <v>ASSET_NUMBER</v>
          </cell>
        </row>
      </sheetData>
      <sheetData sheetId="11208">
        <row r="1">
          <cell r="A1" t="str">
            <v>ASSET_NUMBER</v>
          </cell>
        </row>
      </sheetData>
      <sheetData sheetId="11209">
        <row r="1">
          <cell r="A1" t="str">
            <v>ASSET_NUMBER</v>
          </cell>
        </row>
      </sheetData>
      <sheetData sheetId="11210"/>
      <sheetData sheetId="11211">
        <row r="5">
          <cell r="A5">
            <v>1</v>
          </cell>
        </row>
      </sheetData>
      <sheetData sheetId="11212">
        <row r="5">
          <cell r="A5">
            <v>1</v>
          </cell>
        </row>
      </sheetData>
      <sheetData sheetId="11213"/>
      <sheetData sheetId="11214"/>
      <sheetData sheetId="11215"/>
      <sheetData sheetId="11216"/>
      <sheetData sheetId="11217"/>
      <sheetData sheetId="11218"/>
      <sheetData sheetId="11219"/>
      <sheetData sheetId="11220"/>
      <sheetData sheetId="11221"/>
      <sheetData sheetId="11222"/>
      <sheetData sheetId="11223"/>
      <sheetData sheetId="11224"/>
      <sheetData sheetId="11225"/>
      <sheetData sheetId="11226"/>
      <sheetData sheetId="11227"/>
      <sheetData sheetId="11228"/>
      <sheetData sheetId="11229"/>
      <sheetData sheetId="11230"/>
      <sheetData sheetId="11231"/>
      <sheetData sheetId="11232"/>
      <sheetData sheetId="11233"/>
      <sheetData sheetId="11234"/>
      <sheetData sheetId="11235"/>
      <sheetData sheetId="11236"/>
      <sheetData sheetId="11237" refreshError="1"/>
      <sheetData sheetId="11238" refreshError="1"/>
      <sheetData sheetId="11239" refreshError="1"/>
      <sheetData sheetId="11240" refreshError="1"/>
      <sheetData sheetId="11241" refreshError="1"/>
      <sheetData sheetId="11242" refreshError="1"/>
      <sheetData sheetId="11243" refreshError="1"/>
      <sheetData sheetId="11244" refreshError="1"/>
      <sheetData sheetId="11245" refreshError="1"/>
      <sheetData sheetId="11246" refreshError="1"/>
      <sheetData sheetId="11247" refreshError="1"/>
      <sheetData sheetId="11248" refreshError="1"/>
      <sheetData sheetId="11249"/>
      <sheetData sheetId="11250" refreshError="1"/>
      <sheetData sheetId="11251" refreshError="1"/>
      <sheetData sheetId="11252" refreshError="1"/>
      <sheetData sheetId="11253" refreshError="1"/>
      <sheetData sheetId="11254"/>
      <sheetData sheetId="11255"/>
      <sheetData sheetId="11256"/>
      <sheetData sheetId="11257"/>
      <sheetData sheetId="11258">
        <row r="5">
          <cell r="J5" t="str">
            <v>Delay in days</v>
          </cell>
        </row>
      </sheetData>
      <sheetData sheetId="11259"/>
      <sheetData sheetId="11260"/>
      <sheetData sheetId="11261" refreshError="1"/>
      <sheetData sheetId="11262" refreshError="1"/>
      <sheetData sheetId="11263" refreshError="1"/>
      <sheetData sheetId="11264" refreshError="1"/>
      <sheetData sheetId="11265">
        <row r="5">
          <cell r="J5" t="str">
            <v>Delay in days</v>
          </cell>
        </row>
      </sheetData>
      <sheetData sheetId="11266">
        <row r="5">
          <cell r="J5" t="str">
            <v>Delay in days</v>
          </cell>
        </row>
      </sheetData>
      <sheetData sheetId="11267"/>
      <sheetData sheetId="11268">
        <row r="5">
          <cell r="J5" t="str">
            <v>Delay in days</v>
          </cell>
        </row>
      </sheetData>
      <sheetData sheetId="11269">
        <row r="5">
          <cell r="J5" t="str">
            <v>Delay in days</v>
          </cell>
        </row>
      </sheetData>
      <sheetData sheetId="11270"/>
      <sheetData sheetId="11271"/>
      <sheetData sheetId="11272">
        <row r="5">
          <cell r="J5" t="str">
            <v>Delay in days</v>
          </cell>
        </row>
      </sheetData>
      <sheetData sheetId="11273">
        <row r="5">
          <cell r="J5" t="str">
            <v>Delay in days</v>
          </cell>
        </row>
      </sheetData>
      <sheetData sheetId="11274"/>
      <sheetData sheetId="11275"/>
      <sheetData sheetId="11276">
        <row r="5">
          <cell r="J5" t="str">
            <v>Delay in days</v>
          </cell>
        </row>
      </sheetData>
      <sheetData sheetId="11277"/>
      <sheetData sheetId="11278" refreshError="1"/>
      <sheetData sheetId="11279" refreshError="1"/>
      <sheetData sheetId="11280" refreshError="1"/>
      <sheetData sheetId="11281"/>
      <sheetData sheetId="11282"/>
      <sheetData sheetId="11283"/>
      <sheetData sheetId="11284"/>
      <sheetData sheetId="11285" refreshError="1"/>
      <sheetData sheetId="11286"/>
      <sheetData sheetId="11287"/>
      <sheetData sheetId="11288"/>
      <sheetData sheetId="11289"/>
      <sheetData sheetId="11290" refreshError="1"/>
      <sheetData sheetId="11291"/>
      <sheetData sheetId="11292"/>
      <sheetData sheetId="11293"/>
      <sheetData sheetId="11294"/>
      <sheetData sheetId="11295"/>
      <sheetData sheetId="11296"/>
      <sheetData sheetId="11297"/>
      <sheetData sheetId="11298"/>
      <sheetData sheetId="11299"/>
      <sheetData sheetId="11300"/>
      <sheetData sheetId="11301"/>
      <sheetData sheetId="11302"/>
      <sheetData sheetId="11303"/>
      <sheetData sheetId="11304" refreshError="1"/>
      <sheetData sheetId="11305">
        <row r="626">
          <cell r="D626">
            <v>-7005925</v>
          </cell>
        </row>
      </sheetData>
      <sheetData sheetId="11306"/>
      <sheetData sheetId="11307">
        <row r="626">
          <cell r="D626">
            <v>-7005925</v>
          </cell>
        </row>
      </sheetData>
      <sheetData sheetId="11308"/>
      <sheetData sheetId="11309">
        <row r="1">
          <cell r="A1" t="str">
            <v>CODE</v>
          </cell>
        </row>
      </sheetData>
      <sheetData sheetId="11310">
        <row r="626">
          <cell r="D626">
            <v>-7005925</v>
          </cell>
        </row>
      </sheetData>
      <sheetData sheetId="11311"/>
      <sheetData sheetId="11312">
        <row r="626">
          <cell r="D626">
            <v>-7005925</v>
          </cell>
        </row>
      </sheetData>
      <sheetData sheetId="11313">
        <row r="626">
          <cell r="D626">
            <v>-7005925</v>
          </cell>
        </row>
      </sheetData>
      <sheetData sheetId="11314"/>
      <sheetData sheetId="11315">
        <row r="626">
          <cell r="D626">
            <v>-7005925</v>
          </cell>
        </row>
      </sheetData>
      <sheetData sheetId="11316" refreshError="1"/>
      <sheetData sheetId="11317"/>
      <sheetData sheetId="11318">
        <row r="626">
          <cell r="D626">
            <v>-7005925</v>
          </cell>
        </row>
      </sheetData>
      <sheetData sheetId="11319"/>
      <sheetData sheetId="11320"/>
      <sheetData sheetId="11321">
        <row r="626">
          <cell r="D626">
            <v>-7005925</v>
          </cell>
        </row>
      </sheetData>
      <sheetData sheetId="11322"/>
      <sheetData sheetId="11323">
        <row r="2">
          <cell r="A2" t="str">
            <v>A101001</v>
          </cell>
        </row>
      </sheetData>
      <sheetData sheetId="11324">
        <row r="626">
          <cell r="D626">
            <v>-7005925</v>
          </cell>
        </row>
      </sheetData>
      <sheetData sheetId="11325"/>
      <sheetData sheetId="11326">
        <row r="2">
          <cell r="A2" t="str">
            <v>A101001</v>
          </cell>
        </row>
      </sheetData>
      <sheetData sheetId="11327">
        <row r="626">
          <cell r="D626">
            <v>-7005925</v>
          </cell>
        </row>
      </sheetData>
      <sheetData sheetId="11328"/>
      <sheetData sheetId="11329">
        <row r="2">
          <cell r="A2" t="str">
            <v>A101001</v>
          </cell>
        </row>
      </sheetData>
      <sheetData sheetId="11330"/>
      <sheetData sheetId="11331"/>
      <sheetData sheetId="11332"/>
      <sheetData sheetId="11333"/>
      <sheetData sheetId="11334"/>
      <sheetData sheetId="11335"/>
      <sheetData sheetId="11336"/>
      <sheetData sheetId="11337" refreshError="1"/>
      <sheetData sheetId="11338" refreshError="1"/>
      <sheetData sheetId="11339" refreshError="1"/>
      <sheetData sheetId="11340" refreshError="1"/>
      <sheetData sheetId="11341" refreshError="1"/>
      <sheetData sheetId="11342" refreshError="1"/>
      <sheetData sheetId="11343" refreshError="1"/>
      <sheetData sheetId="11344" refreshError="1"/>
      <sheetData sheetId="11345" refreshError="1"/>
      <sheetData sheetId="11346" refreshError="1"/>
      <sheetData sheetId="11347" refreshError="1"/>
      <sheetData sheetId="11348"/>
      <sheetData sheetId="11349"/>
      <sheetData sheetId="11350"/>
      <sheetData sheetId="11351"/>
      <sheetData sheetId="11352"/>
      <sheetData sheetId="11353"/>
      <sheetData sheetId="11354" refreshError="1"/>
      <sheetData sheetId="11355" refreshError="1"/>
      <sheetData sheetId="11356" refreshError="1"/>
      <sheetData sheetId="11357" refreshError="1"/>
      <sheetData sheetId="11358" refreshError="1"/>
      <sheetData sheetId="11359" refreshError="1"/>
      <sheetData sheetId="11360" refreshError="1"/>
      <sheetData sheetId="11361" refreshError="1"/>
      <sheetData sheetId="11362" refreshError="1"/>
      <sheetData sheetId="11363" refreshError="1"/>
      <sheetData sheetId="11364" refreshError="1"/>
      <sheetData sheetId="11365" refreshError="1"/>
      <sheetData sheetId="11366" refreshError="1"/>
      <sheetData sheetId="11367" refreshError="1"/>
      <sheetData sheetId="11368"/>
      <sheetData sheetId="11369" refreshError="1"/>
      <sheetData sheetId="11370" refreshError="1"/>
      <sheetData sheetId="11371" refreshError="1"/>
      <sheetData sheetId="11372" refreshError="1"/>
      <sheetData sheetId="11373" refreshError="1"/>
      <sheetData sheetId="11374" refreshError="1"/>
      <sheetData sheetId="11375" refreshError="1"/>
      <sheetData sheetId="11376" refreshError="1"/>
      <sheetData sheetId="11377" refreshError="1"/>
      <sheetData sheetId="11378" refreshError="1"/>
      <sheetData sheetId="11379" refreshError="1"/>
      <sheetData sheetId="11380" refreshError="1"/>
      <sheetData sheetId="11381" refreshError="1"/>
      <sheetData sheetId="11382" refreshError="1"/>
      <sheetData sheetId="11383" refreshError="1"/>
      <sheetData sheetId="11384" refreshError="1"/>
      <sheetData sheetId="11385" refreshError="1"/>
      <sheetData sheetId="11386" refreshError="1"/>
      <sheetData sheetId="11387" refreshError="1"/>
      <sheetData sheetId="11388"/>
      <sheetData sheetId="11389" refreshError="1"/>
      <sheetData sheetId="11390"/>
      <sheetData sheetId="11391" refreshError="1"/>
      <sheetData sheetId="11392" refreshError="1"/>
      <sheetData sheetId="11393" refreshError="1"/>
      <sheetData sheetId="11394" refreshError="1"/>
      <sheetData sheetId="11395" refreshError="1"/>
      <sheetData sheetId="11396" refreshError="1"/>
      <sheetData sheetId="11397" refreshError="1"/>
      <sheetData sheetId="11398" refreshError="1"/>
      <sheetData sheetId="11399" refreshError="1"/>
      <sheetData sheetId="11400" refreshError="1"/>
      <sheetData sheetId="11401" refreshError="1"/>
      <sheetData sheetId="11402" refreshError="1"/>
      <sheetData sheetId="11403" refreshError="1"/>
      <sheetData sheetId="11404" refreshError="1"/>
      <sheetData sheetId="11405" refreshError="1"/>
      <sheetData sheetId="11406" refreshError="1"/>
      <sheetData sheetId="11407" refreshError="1"/>
      <sheetData sheetId="11408"/>
      <sheetData sheetId="11409">
        <row r="1">
          <cell r="A1" t="str">
            <v>ASSET_NUMBER</v>
          </cell>
        </row>
      </sheetData>
      <sheetData sheetId="11410"/>
      <sheetData sheetId="11411"/>
      <sheetData sheetId="11412"/>
      <sheetData sheetId="11413"/>
      <sheetData sheetId="11414">
        <row r="1">
          <cell r="A1" t="str">
            <v>ASSET_NUMBER</v>
          </cell>
        </row>
      </sheetData>
      <sheetData sheetId="11415"/>
      <sheetData sheetId="11416"/>
      <sheetData sheetId="11417"/>
      <sheetData sheetId="11418"/>
      <sheetData sheetId="11419"/>
      <sheetData sheetId="11420"/>
      <sheetData sheetId="11421"/>
      <sheetData sheetId="11422"/>
      <sheetData sheetId="11423"/>
      <sheetData sheetId="11424"/>
      <sheetData sheetId="11425"/>
      <sheetData sheetId="11426"/>
      <sheetData sheetId="11427"/>
      <sheetData sheetId="11428"/>
      <sheetData sheetId="11429"/>
      <sheetData sheetId="11430"/>
      <sheetData sheetId="11431"/>
      <sheetData sheetId="11432"/>
      <sheetData sheetId="11433" refreshError="1"/>
      <sheetData sheetId="11434" refreshError="1"/>
      <sheetData sheetId="11435" refreshError="1"/>
      <sheetData sheetId="11436" refreshError="1"/>
      <sheetData sheetId="11437" refreshError="1"/>
      <sheetData sheetId="11438" refreshError="1"/>
      <sheetData sheetId="11439" refreshError="1"/>
      <sheetData sheetId="11440" refreshError="1"/>
      <sheetData sheetId="11441" refreshError="1"/>
      <sheetData sheetId="11442" refreshError="1"/>
      <sheetData sheetId="11443" refreshError="1"/>
      <sheetData sheetId="11444" refreshError="1"/>
      <sheetData sheetId="11445" refreshError="1"/>
      <sheetData sheetId="11446" refreshError="1"/>
      <sheetData sheetId="11447" refreshError="1"/>
      <sheetData sheetId="11448" refreshError="1"/>
      <sheetData sheetId="11449" refreshError="1"/>
      <sheetData sheetId="11450" refreshError="1"/>
      <sheetData sheetId="11451" refreshError="1"/>
      <sheetData sheetId="11452" refreshError="1"/>
      <sheetData sheetId="11453" refreshError="1"/>
      <sheetData sheetId="11454" refreshError="1"/>
      <sheetData sheetId="11455" refreshError="1"/>
      <sheetData sheetId="11456" refreshError="1"/>
      <sheetData sheetId="11457" refreshError="1"/>
      <sheetData sheetId="11458" refreshError="1"/>
      <sheetData sheetId="11459" refreshError="1"/>
      <sheetData sheetId="11460" refreshError="1"/>
      <sheetData sheetId="11461" refreshError="1"/>
      <sheetData sheetId="11462" refreshError="1"/>
      <sheetData sheetId="11463" refreshError="1"/>
      <sheetData sheetId="11464" refreshError="1"/>
      <sheetData sheetId="11465" refreshError="1"/>
      <sheetData sheetId="11466" refreshError="1"/>
      <sheetData sheetId="11467" refreshError="1"/>
      <sheetData sheetId="11468" refreshError="1"/>
      <sheetData sheetId="11469" refreshError="1"/>
      <sheetData sheetId="11470" refreshError="1"/>
      <sheetData sheetId="11471" refreshError="1"/>
      <sheetData sheetId="11472" refreshError="1"/>
      <sheetData sheetId="11473" refreshError="1"/>
      <sheetData sheetId="11474" refreshError="1"/>
      <sheetData sheetId="11475" refreshError="1"/>
      <sheetData sheetId="11476" refreshError="1"/>
      <sheetData sheetId="11477" refreshError="1"/>
      <sheetData sheetId="11478" refreshError="1"/>
      <sheetData sheetId="11479" refreshError="1"/>
      <sheetData sheetId="11480" refreshError="1"/>
      <sheetData sheetId="11481" refreshError="1"/>
      <sheetData sheetId="11482" refreshError="1"/>
      <sheetData sheetId="11483" refreshError="1"/>
      <sheetData sheetId="11484" refreshError="1"/>
      <sheetData sheetId="11485" refreshError="1"/>
      <sheetData sheetId="11486" refreshError="1"/>
      <sheetData sheetId="11487" refreshError="1"/>
      <sheetData sheetId="11488" refreshError="1"/>
      <sheetData sheetId="11489" refreshError="1"/>
      <sheetData sheetId="11490" refreshError="1"/>
      <sheetData sheetId="11491" refreshError="1"/>
      <sheetData sheetId="11492" refreshError="1"/>
      <sheetData sheetId="11493" refreshError="1"/>
      <sheetData sheetId="11494" refreshError="1"/>
      <sheetData sheetId="11495" refreshError="1"/>
      <sheetData sheetId="11496" refreshError="1"/>
      <sheetData sheetId="11497" refreshError="1"/>
      <sheetData sheetId="11498" refreshError="1"/>
      <sheetData sheetId="11499" refreshError="1"/>
      <sheetData sheetId="11500" refreshError="1"/>
      <sheetData sheetId="11501" refreshError="1"/>
      <sheetData sheetId="11502" refreshError="1"/>
      <sheetData sheetId="11503" refreshError="1"/>
      <sheetData sheetId="11504" refreshError="1"/>
      <sheetData sheetId="11505" refreshError="1"/>
      <sheetData sheetId="11506" refreshError="1"/>
      <sheetData sheetId="11507" refreshError="1"/>
      <sheetData sheetId="11508" refreshError="1"/>
      <sheetData sheetId="11509" refreshError="1"/>
      <sheetData sheetId="11510" refreshError="1"/>
      <sheetData sheetId="11511" refreshError="1"/>
      <sheetData sheetId="11512" refreshError="1"/>
      <sheetData sheetId="11513" refreshError="1"/>
      <sheetData sheetId="11514" refreshError="1"/>
      <sheetData sheetId="11515" refreshError="1"/>
      <sheetData sheetId="11516">
        <row r="6">
          <cell r="D6">
            <v>3184</v>
          </cell>
        </row>
      </sheetData>
      <sheetData sheetId="11517"/>
      <sheetData sheetId="11518"/>
      <sheetData sheetId="11519">
        <row r="6">
          <cell r="D6">
            <v>3184</v>
          </cell>
        </row>
      </sheetData>
      <sheetData sheetId="11520" refreshError="1"/>
      <sheetData sheetId="11521" refreshError="1"/>
      <sheetData sheetId="11522" refreshError="1"/>
      <sheetData sheetId="11523" refreshError="1"/>
      <sheetData sheetId="11524" refreshError="1"/>
      <sheetData sheetId="11525" refreshError="1"/>
      <sheetData sheetId="11526" refreshError="1"/>
      <sheetData sheetId="11527" refreshError="1"/>
      <sheetData sheetId="11528" refreshError="1"/>
      <sheetData sheetId="11529" refreshError="1"/>
      <sheetData sheetId="11530" refreshError="1"/>
      <sheetData sheetId="11531" refreshError="1"/>
      <sheetData sheetId="11532" refreshError="1"/>
      <sheetData sheetId="11533" refreshError="1"/>
      <sheetData sheetId="11534" refreshError="1"/>
      <sheetData sheetId="11535" refreshError="1"/>
      <sheetData sheetId="11536" refreshError="1"/>
      <sheetData sheetId="11537" refreshError="1"/>
      <sheetData sheetId="11538" refreshError="1"/>
      <sheetData sheetId="11539" refreshError="1"/>
      <sheetData sheetId="11540" refreshError="1"/>
      <sheetData sheetId="11541" refreshError="1"/>
      <sheetData sheetId="11542" refreshError="1"/>
      <sheetData sheetId="11543" refreshError="1"/>
      <sheetData sheetId="11544" refreshError="1"/>
      <sheetData sheetId="11545" refreshError="1"/>
      <sheetData sheetId="11546" refreshError="1"/>
      <sheetData sheetId="11547" refreshError="1"/>
      <sheetData sheetId="11548"/>
      <sheetData sheetId="11549"/>
      <sheetData sheetId="11550"/>
      <sheetData sheetId="11551"/>
      <sheetData sheetId="11552"/>
      <sheetData sheetId="11553"/>
      <sheetData sheetId="11554"/>
      <sheetData sheetId="11555"/>
      <sheetData sheetId="11556"/>
      <sheetData sheetId="11557"/>
      <sheetData sheetId="11558" refreshError="1"/>
      <sheetData sheetId="11559"/>
      <sheetData sheetId="11560"/>
      <sheetData sheetId="11561"/>
      <sheetData sheetId="11562">
        <row r="2">
          <cell r="A2" t="str">
            <v>F05-Jan</v>
          </cell>
        </row>
      </sheetData>
      <sheetData sheetId="11563"/>
      <sheetData sheetId="11564"/>
      <sheetData sheetId="11565">
        <row r="2">
          <cell r="A2" t="str">
            <v>F05-Jan</v>
          </cell>
        </row>
      </sheetData>
      <sheetData sheetId="11566"/>
      <sheetData sheetId="11567"/>
      <sheetData sheetId="11568" refreshError="1"/>
      <sheetData sheetId="11569" refreshError="1"/>
      <sheetData sheetId="11570"/>
      <sheetData sheetId="11571" refreshError="1"/>
      <sheetData sheetId="11572" refreshError="1"/>
      <sheetData sheetId="11573" refreshError="1"/>
      <sheetData sheetId="11574" refreshError="1"/>
      <sheetData sheetId="11575" refreshError="1"/>
      <sheetData sheetId="11576" refreshError="1"/>
      <sheetData sheetId="11577" refreshError="1"/>
      <sheetData sheetId="11578" refreshError="1"/>
      <sheetData sheetId="11579" refreshError="1"/>
      <sheetData sheetId="11580" refreshError="1"/>
      <sheetData sheetId="11581" refreshError="1"/>
      <sheetData sheetId="11582" refreshError="1"/>
      <sheetData sheetId="11583" refreshError="1"/>
      <sheetData sheetId="11584" refreshError="1"/>
      <sheetData sheetId="11585" refreshError="1"/>
      <sheetData sheetId="11586" refreshError="1"/>
      <sheetData sheetId="11587" refreshError="1"/>
      <sheetData sheetId="11588" refreshError="1"/>
      <sheetData sheetId="11589" refreshError="1"/>
      <sheetData sheetId="11590" refreshError="1"/>
      <sheetData sheetId="11591" refreshError="1"/>
      <sheetData sheetId="11592" refreshError="1"/>
      <sheetData sheetId="11593" refreshError="1"/>
      <sheetData sheetId="11594" refreshError="1"/>
      <sheetData sheetId="11595" refreshError="1"/>
      <sheetData sheetId="11596" refreshError="1"/>
      <sheetData sheetId="11597" refreshError="1"/>
      <sheetData sheetId="11598" refreshError="1"/>
      <sheetData sheetId="11599" refreshError="1"/>
      <sheetData sheetId="11600" refreshError="1"/>
      <sheetData sheetId="11601" refreshError="1"/>
      <sheetData sheetId="11602" refreshError="1"/>
      <sheetData sheetId="11603" refreshError="1"/>
      <sheetData sheetId="11604"/>
      <sheetData sheetId="11605" refreshError="1"/>
      <sheetData sheetId="11606" refreshError="1"/>
      <sheetData sheetId="11607" refreshError="1"/>
      <sheetData sheetId="11608" refreshError="1"/>
      <sheetData sheetId="11609" refreshError="1"/>
      <sheetData sheetId="11610" refreshError="1"/>
      <sheetData sheetId="11611" refreshError="1"/>
      <sheetData sheetId="11612" refreshError="1"/>
      <sheetData sheetId="11613" refreshError="1"/>
      <sheetData sheetId="11614"/>
      <sheetData sheetId="11615"/>
      <sheetData sheetId="11616"/>
      <sheetData sheetId="11617"/>
      <sheetData sheetId="11618"/>
      <sheetData sheetId="11619"/>
      <sheetData sheetId="11620"/>
      <sheetData sheetId="11621"/>
      <sheetData sheetId="11622"/>
      <sheetData sheetId="11623"/>
      <sheetData sheetId="11624"/>
      <sheetData sheetId="11625"/>
      <sheetData sheetId="11626"/>
      <sheetData sheetId="11627"/>
      <sheetData sheetId="11628" refreshError="1"/>
      <sheetData sheetId="11629" refreshError="1"/>
      <sheetData sheetId="11630" refreshError="1"/>
      <sheetData sheetId="11631" refreshError="1"/>
      <sheetData sheetId="11632"/>
      <sheetData sheetId="11633" refreshError="1"/>
      <sheetData sheetId="11634" refreshError="1"/>
      <sheetData sheetId="11635" refreshError="1"/>
      <sheetData sheetId="11636" refreshError="1"/>
      <sheetData sheetId="11637" refreshError="1"/>
      <sheetData sheetId="11638" refreshError="1"/>
      <sheetData sheetId="11639" refreshError="1"/>
      <sheetData sheetId="11640" refreshError="1"/>
      <sheetData sheetId="11641" refreshError="1"/>
      <sheetData sheetId="11642" refreshError="1"/>
      <sheetData sheetId="11643" refreshError="1"/>
      <sheetData sheetId="11644" refreshError="1"/>
      <sheetData sheetId="11645" refreshError="1"/>
      <sheetData sheetId="11646" refreshError="1"/>
      <sheetData sheetId="11647" refreshError="1"/>
      <sheetData sheetId="11648" refreshError="1"/>
      <sheetData sheetId="11649" refreshError="1"/>
      <sheetData sheetId="11650" refreshError="1"/>
      <sheetData sheetId="11651" refreshError="1"/>
      <sheetData sheetId="11652" refreshError="1"/>
      <sheetData sheetId="11653" refreshError="1"/>
      <sheetData sheetId="11654" refreshError="1"/>
      <sheetData sheetId="11655" refreshError="1"/>
      <sheetData sheetId="11656" refreshError="1"/>
      <sheetData sheetId="11657" refreshError="1"/>
      <sheetData sheetId="11658" refreshError="1"/>
      <sheetData sheetId="11659" refreshError="1"/>
      <sheetData sheetId="11660" refreshError="1"/>
      <sheetData sheetId="11661" refreshError="1"/>
      <sheetData sheetId="11662">
        <row r="403">
          <cell r="B403" t="str">
            <v>(Select)</v>
          </cell>
        </row>
      </sheetData>
      <sheetData sheetId="11663" refreshError="1"/>
      <sheetData sheetId="11664" refreshError="1"/>
      <sheetData sheetId="11665" refreshError="1"/>
      <sheetData sheetId="11666" refreshError="1"/>
      <sheetData sheetId="11667">
        <row r="66">
          <cell r="N66" t="str">
            <v>(Select)</v>
          </cell>
        </row>
      </sheetData>
      <sheetData sheetId="11668" refreshError="1"/>
      <sheetData sheetId="11669" refreshError="1"/>
      <sheetData sheetId="11670" refreshError="1"/>
      <sheetData sheetId="11671" refreshError="1"/>
      <sheetData sheetId="11672" refreshError="1"/>
      <sheetData sheetId="11673" refreshError="1"/>
      <sheetData sheetId="11674" refreshError="1"/>
      <sheetData sheetId="11675" refreshError="1"/>
      <sheetData sheetId="11676" refreshError="1"/>
      <sheetData sheetId="11677" refreshError="1"/>
      <sheetData sheetId="11678" refreshError="1"/>
      <sheetData sheetId="11679" refreshError="1"/>
      <sheetData sheetId="11680" refreshError="1"/>
      <sheetData sheetId="11681" refreshError="1"/>
      <sheetData sheetId="11682" refreshError="1"/>
      <sheetData sheetId="11683" refreshError="1"/>
      <sheetData sheetId="11684" refreshError="1"/>
      <sheetData sheetId="11685" refreshError="1"/>
      <sheetData sheetId="11686" refreshError="1"/>
      <sheetData sheetId="11687" refreshError="1"/>
      <sheetData sheetId="11688" refreshError="1"/>
      <sheetData sheetId="11689" refreshError="1"/>
      <sheetData sheetId="11690" refreshError="1"/>
      <sheetData sheetId="11691" refreshError="1"/>
      <sheetData sheetId="11692" refreshError="1"/>
      <sheetData sheetId="11693" refreshError="1"/>
      <sheetData sheetId="11694" refreshError="1"/>
      <sheetData sheetId="11695" refreshError="1"/>
      <sheetData sheetId="11696" refreshError="1"/>
      <sheetData sheetId="11697" refreshError="1"/>
      <sheetData sheetId="11698" refreshError="1"/>
      <sheetData sheetId="11699" refreshError="1"/>
      <sheetData sheetId="11700" refreshError="1"/>
      <sheetData sheetId="11701" refreshError="1"/>
      <sheetData sheetId="11702" refreshError="1"/>
      <sheetData sheetId="11703" refreshError="1"/>
      <sheetData sheetId="11704" refreshError="1"/>
      <sheetData sheetId="11705" refreshError="1"/>
      <sheetData sheetId="11706" refreshError="1"/>
      <sheetData sheetId="11707" refreshError="1"/>
      <sheetData sheetId="11708" refreshError="1"/>
      <sheetData sheetId="11709" refreshError="1"/>
      <sheetData sheetId="11710" refreshError="1"/>
      <sheetData sheetId="11711" refreshError="1"/>
      <sheetData sheetId="11712" refreshError="1"/>
      <sheetData sheetId="11713" refreshError="1"/>
      <sheetData sheetId="11714" refreshError="1"/>
      <sheetData sheetId="11715" refreshError="1"/>
      <sheetData sheetId="11716" refreshError="1"/>
      <sheetData sheetId="11717" refreshError="1"/>
      <sheetData sheetId="11718" refreshError="1"/>
      <sheetData sheetId="11719" refreshError="1"/>
      <sheetData sheetId="11720" refreshError="1"/>
      <sheetData sheetId="11721" refreshError="1"/>
      <sheetData sheetId="11722" refreshError="1"/>
      <sheetData sheetId="11723" refreshError="1"/>
      <sheetData sheetId="11724" refreshError="1"/>
      <sheetData sheetId="11725" refreshError="1"/>
      <sheetData sheetId="11726" refreshError="1"/>
      <sheetData sheetId="11727" refreshError="1"/>
      <sheetData sheetId="11728" refreshError="1"/>
      <sheetData sheetId="11729" refreshError="1"/>
      <sheetData sheetId="11730" refreshError="1"/>
      <sheetData sheetId="11731" refreshError="1"/>
      <sheetData sheetId="11732" refreshError="1"/>
      <sheetData sheetId="11733" refreshError="1"/>
      <sheetData sheetId="11734" refreshError="1"/>
      <sheetData sheetId="11735" refreshError="1"/>
      <sheetData sheetId="11736" refreshError="1"/>
      <sheetData sheetId="11737" refreshError="1"/>
      <sheetData sheetId="11738" refreshError="1"/>
      <sheetData sheetId="11739" refreshError="1"/>
      <sheetData sheetId="11740" refreshError="1"/>
      <sheetData sheetId="11741" refreshError="1"/>
      <sheetData sheetId="11742" refreshError="1"/>
      <sheetData sheetId="11743">
        <row r="1">
          <cell r="A1" t="str">
            <v>CODE</v>
          </cell>
        </row>
      </sheetData>
      <sheetData sheetId="11744"/>
      <sheetData sheetId="11745">
        <row r="1">
          <cell r="A1" t="str">
            <v>CODE</v>
          </cell>
        </row>
      </sheetData>
      <sheetData sheetId="11746">
        <row r="1">
          <cell r="A1" t="str">
            <v>CODE</v>
          </cell>
        </row>
      </sheetData>
      <sheetData sheetId="11747">
        <row r="1">
          <cell r="A1" t="str">
            <v>CODE</v>
          </cell>
        </row>
      </sheetData>
      <sheetData sheetId="11748">
        <row r="1">
          <cell r="A1" t="str">
            <v>CODE</v>
          </cell>
        </row>
      </sheetData>
      <sheetData sheetId="11749"/>
      <sheetData sheetId="11750"/>
      <sheetData sheetId="11751"/>
      <sheetData sheetId="11752">
        <row r="1">
          <cell r="A1" t="str">
            <v>CODE</v>
          </cell>
        </row>
      </sheetData>
      <sheetData sheetId="11753"/>
      <sheetData sheetId="11754"/>
      <sheetData sheetId="11755"/>
      <sheetData sheetId="11756"/>
      <sheetData sheetId="11757"/>
      <sheetData sheetId="11758"/>
      <sheetData sheetId="11759"/>
      <sheetData sheetId="11760"/>
      <sheetData sheetId="11761"/>
      <sheetData sheetId="11762"/>
      <sheetData sheetId="11763"/>
      <sheetData sheetId="11764"/>
      <sheetData sheetId="11765"/>
      <sheetData sheetId="11766"/>
      <sheetData sheetId="11767"/>
      <sheetData sheetId="11768"/>
      <sheetData sheetId="11769"/>
      <sheetData sheetId="11770"/>
      <sheetData sheetId="11771"/>
      <sheetData sheetId="11772"/>
      <sheetData sheetId="11773"/>
      <sheetData sheetId="11774"/>
      <sheetData sheetId="11775"/>
      <sheetData sheetId="11776"/>
      <sheetData sheetId="11777"/>
      <sheetData sheetId="11778"/>
      <sheetData sheetId="11779"/>
      <sheetData sheetId="11780"/>
      <sheetData sheetId="11781"/>
      <sheetData sheetId="11782"/>
      <sheetData sheetId="11783"/>
      <sheetData sheetId="11784"/>
      <sheetData sheetId="11785"/>
      <sheetData sheetId="11786" refreshError="1"/>
      <sheetData sheetId="11787"/>
      <sheetData sheetId="11788"/>
      <sheetData sheetId="11789" refreshError="1"/>
      <sheetData sheetId="11790" refreshError="1"/>
      <sheetData sheetId="11791" refreshError="1"/>
      <sheetData sheetId="11792" refreshError="1"/>
      <sheetData sheetId="11793" refreshError="1"/>
      <sheetData sheetId="11794" refreshError="1"/>
      <sheetData sheetId="11795" refreshError="1"/>
      <sheetData sheetId="11796" refreshError="1"/>
      <sheetData sheetId="11797"/>
      <sheetData sheetId="11798" refreshError="1"/>
      <sheetData sheetId="11799" refreshError="1"/>
      <sheetData sheetId="11800" refreshError="1"/>
      <sheetData sheetId="11801" refreshError="1"/>
      <sheetData sheetId="11802" refreshError="1"/>
      <sheetData sheetId="11803" refreshError="1"/>
      <sheetData sheetId="11804" refreshError="1"/>
      <sheetData sheetId="11805" refreshError="1"/>
      <sheetData sheetId="11806" refreshError="1"/>
      <sheetData sheetId="11807" refreshError="1"/>
      <sheetData sheetId="11808" refreshError="1"/>
      <sheetData sheetId="11809" refreshError="1"/>
      <sheetData sheetId="11810" refreshError="1"/>
      <sheetData sheetId="11811" refreshError="1"/>
      <sheetData sheetId="11812" refreshError="1"/>
      <sheetData sheetId="11813" refreshError="1"/>
      <sheetData sheetId="11814" refreshError="1"/>
      <sheetData sheetId="11815" refreshError="1"/>
      <sheetData sheetId="11816" refreshError="1"/>
      <sheetData sheetId="11817" refreshError="1"/>
      <sheetData sheetId="11818" refreshError="1"/>
      <sheetData sheetId="11819" refreshError="1"/>
      <sheetData sheetId="11820" refreshError="1"/>
      <sheetData sheetId="11821" refreshError="1"/>
      <sheetData sheetId="11822" refreshError="1"/>
      <sheetData sheetId="11823" refreshError="1"/>
      <sheetData sheetId="11824"/>
      <sheetData sheetId="11825" refreshError="1"/>
      <sheetData sheetId="11826" refreshError="1"/>
      <sheetData sheetId="11827"/>
      <sheetData sheetId="11828" refreshError="1"/>
      <sheetData sheetId="11829"/>
      <sheetData sheetId="11830"/>
      <sheetData sheetId="11831"/>
      <sheetData sheetId="11832"/>
      <sheetData sheetId="11833"/>
      <sheetData sheetId="11834"/>
      <sheetData sheetId="11835"/>
      <sheetData sheetId="11836"/>
      <sheetData sheetId="11837" refreshError="1"/>
      <sheetData sheetId="11838" refreshError="1"/>
      <sheetData sheetId="11839" refreshError="1"/>
      <sheetData sheetId="11840" refreshError="1"/>
      <sheetData sheetId="11841" refreshError="1"/>
      <sheetData sheetId="11842" refreshError="1"/>
      <sheetData sheetId="11843" refreshError="1"/>
      <sheetData sheetId="11844" refreshError="1"/>
      <sheetData sheetId="11845" refreshError="1"/>
      <sheetData sheetId="11846" refreshError="1"/>
      <sheetData sheetId="11847" refreshError="1"/>
      <sheetData sheetId="11848" refreshError="1"/>
      <sheetData sheetId="11849" refreshError="1"/>
      <sheetData sheetId="11850" refreshError="1"/>
      <sheetData sheetId="11851" refreshError="1"/>
      <sheetData sheetId="11852" refreshError="1"/>
      <sheetData sheetId="11853" refreshError="1"/>
      <sheetData sheetId="11854" refreshError="1"/>
      <sheetData sheetId="11855" refreshError="1"/>
      <sheetData sheetId="11856" refreshError="1"/>
      <sheetData sheetId="11857"/>
      <sheetData sheetId="11858" refreshError="1"/>
      <sheetData sheetId="11859" refreshError="1"/>
      <sheetData sheetId="11860" refreshError="1"/>
      <sheetData sheetId="11861" refreshError="1"/>
      <sheetData sheetId="11862"/>
      <sheetData sheetId="11863" refreshError="1"/>
      <sheetData sheetId="11864" refreshError="1"/>
      <sheetData sheetId="11865" refreshError="1"/>
      <sheetData sheetId="11866" refreshError="1"/>
      <sheetData sheetId="11867" refreshError="1"/>
      <sheetData sheetId="11868" refreshError="1"/>
      <sheetData sheetId="11869" refreshError="1"/>
      <sheetData sheetId="11870"/>
      <sheetData sheetId="11871" refreshError="1"/>
      <sheetData sheetId="11872" refreshError="1"/>
      <sheetData sheetId="11873" refreshError="1"/>
      <sheetData sheetId="11874" refreshError="1"/>
      <sheetData sheetId="11875" refreshError="1"/>
      <sheetData sheetId="11876" refreshError="1"/>
      <sheetData sheetId="11877"/>
      <sheetData sheetId="11878">
        <row r="1">
          <cell r="E1">
            <v>3.7037037037037035E-2</v>
          </cell>
        </row>
      </sheetData>
      <sheetData sheetId="11879"/>
      <sheetData sheetId="11880"/>
      <sheetData sheetId="11881" refreshError="1"/>
      <sheetData sheetId="11882" refreshError="1"/>
      <sheetData sheetId="11883"/>
      <sheetData sheetId="11884"/>
      <sheetData sheetId="11885"/>
      <sheetData sheetId="11886" refreshError="1"/>
      <sheetData sheetId="11887" refreshError="1"/>
      <sheetData sheetId="11888" refreshError="1"/>
      <sheetData sheetId="11889" refreshError="1"/>
      <sheetData sheetId="11890" refreshError="1"/>
      <sheetData sheetId="11891" refreshError="1"/>
      <sheetData sheetId="11892" refreshError="1"/>
      <sheetData sheetId="11893" refreshError="1"/>
      <sheetData sheetId="11894" refreshError="1"/>
      <sheetData sheetId="11895" refreshError="1"/>
      <sheetData sheetId="11896" refreshError="1"/>
      <sheetData sheetId="11897" refreshError="1"/>
      <sheetData sheetId="11898" refreshError="1"/>
      <sheetData sheetId="11899" refreshError="1"/>
      <sheetData sheetId="11900" refreshError="1"/>
      <sheetData sheetId="11901" refreshError="1"/>
      <sheetData sheetId="11902" refreshError="1"/>
      <sheetData sheetId="11903" refreshError="1"/>
      <sheetData sheetId="11904" refreshError="1"/>
      <sheetData sheetId="11905" refreshError="1"/>
      <sheetData sheetId="11906" refreshError="1"/>
      <sheetData sheetId="11907" refreshError="1"/>
      <sheetData sheetId="11908" refreshError="1"/>
      <sheetData sheetId="11909" refreshError="1"/>
      <sheetData sheetId="11910" refreshError="1"/>
      <sheetData sheetId="11911" refreshError="1"/>
      <sheetData sheetId="11912" refreshError="1"/>
      <sheetData sheetId="11913" refreshError="1"/>
      <sheetData sheetId="11914" refreshError="1"/>
      <sheetData sheetId="11915" refreshError="1"/>
      <sheetData sheetId="11916" refreshError="1"/>
      <sheetData sheetId="11917" refreshError="1"/>
      <sheetData sheetId="11918" refreshError="1"/>
      <sheetData sheetId="11919" refreshError="1"/>
      <sheetData sheetId="11920" refreshError="1"/>
      <sheetData sheetId="11921" refreshError="1"/>
      <sheetData sheetId="11922" refreshError="1"/>
      <sheetData sheetId="11923" refreshError="1"/>
      <sheetData sheetId="11924" refreshError="1"/>
      <sheetData sheetId="11925" refreshError="1"/>
      <sheetData sheetId="11926" refreshError="1"/>
      <sheetData sheetId="11927" refreshError="1"/>
      <sheetData sheetId="11928" refreshError="1"/>
      <sheetData sheetId="11929" refreshError="1"/>
      <sheetData sheetId="11930" refreshError="1"/>
      <sheetData sheetId="11931" refreshError="1"/>
      <sheetData sheetId="11932" refreshError="1"/>
      <sheetData sheetId="11933" refreshError="1"/>
      <sheetData sheetId="11934" refreshError="1"/>
      <sheetData sheetId="11935" refreshError="1"/>
      <sheetData sheetId="11936" refreshError="1"/>
      <sheetData sheetId="11937" refreshError="1"/>
      <sheetData sheetId="11938" refreshError="1"/>
      <sheetData sheetId="11939" refreshError="1"/>
      <sheetData sheetId="11940" refreshError="1"/>
      <sheetData sheetId="11941" refreshError="1"/>
      <sheetData sheetId="11942" refreshError="1"/>
      <sheetData sheetId="11943" refreshError="1"/>
      <sheetData sheetId="11944" refreshError="1"/>
      <sheetData sheetId="11945" refreshError="1"/>
      <sheetData sheetId="11946" refreshError="1"/>
      <sheetData sheetId="11947" refreshError="1"/>
      <sheetData sheetId="11948" refreshError="1"/>
      <sheetData sheetId="11949" refreshError="1"/>
      <sheetData sheetId="11950" refreshError="1"/>
      <sheetData sheetId="11951" refreshError="1"/>
      <sheetData sheetId="11952" refreshError="1"/>
      <sheetData sheetId="11953" refreshError="1"/>
      <sheetData sheetId="11954" refreshError="1"/>
      <sheetData sheetId="11955" refreshError="1"/>
      <sheetData sheetId="11956" refreshError="1"/>
      <sheetData sheetId="11957" refreshError="1"/>
      <sheetData sheetId="11958" refreshError="1"/>
      <sheetData sheetId="11959">
        <row r="42">
          <cell r="S42">
            <v>651208</v>
          </cell>
        </row>
      </sheetData>
      <sheetData sheetId="11960">
        <row r="42">
          <cell r="S42">
            <v>651208</v>
          </cell>
        </row>
      </sheetData>
      <sheetData sheetId="11961" refreshError="1"/>
      <sheetData sheetId="11962" refreshError="1"/>
      <sheetData sheetId="11963" refreshError="1"/>
      <sheetData sheetId="11964" refreshError="1"/>
      <sheetData sheetId="11965" refreshError="1"/>
      <sheetData sheetId="11966" refreshError="1"/>
      <sheetData sheetId="11967" refreshError="1"/>
      <sheetData sheetId="11968" refreshError="1"/>
      <sheetData sheetId="11969" refreshError="1"/>
      <sheetData sheetId="11970"/>
      <sheetData sheetId="11971"/>
      <sheetData sheetId="11972" refreshError="1"/>
      <sheetData sheetId="11973"/>
      <sheetData sheetId="11974"/>
      <sheetData sheetId="11975" refreshError="1"/>
      <sheetData sheetId="11976"/>
      <sheetData sheetId="11977"/>
      <sheetData sheetId="11978" refreshError="1"/>
      <sheetData sheetId="11979" refreshError="1"/>
      <sheetData sheetId="11980" refreshError="1"/>
      <sheetData sheetId="11981" refreshError="1"/>
      <sheetData sheetId="11982" refreshError="1"/>
      <sheetData sheetId="11983" refreshError="1"/>
      <sheetData sheetId="11984" refreshError="1"/>
      <sheetData sheetId="11985" refreshError="1"/>
      <sheetData sheetId="11986">
        <row r="1">
          <cell r="A1" t="str">
            <v>ASSET_NUMBER</v>
          </cell>
        </row>
      </sheetData>
      <sheetData sheetId="11987">
        <row r="1">
          <cell r="A1" t="str">
            <v>ASSET_NUMBER</v>
          </cell>
        </row>
      </sheetData>
      <sheetData sheetId="11988"/>
      <sheetData sheetId="11989">
        <row r="1">
          <cell r="A1" t="str">
            <v>ASSET_NUMBER</v>
          </cell>
        </row>
      </sheetData>
      <sheetData sheetId="11990">
        <row r="1">
          <cell r="A1" t="str">
            <v>ASSET_NUMBER</v>
          </cell>
        </row>
      </sheetData>
      <sheetData sheetId="11991"/>
      <sheetData sheetId="11992" refreshError="1"/>
      <sheetData sheetId="11993" refreshError="1"/>
      <sheetData sheetId="11994" refreshError="1"/>
      <sheetData sheetId="11995" refreshError="1"/>
      <sheetData sheetId="11996" refreshError="1"/>
      <sheetData sheetId="11997" refreshError="1"/>
      <sheetData sheetId="11998" refreshError="1"/>
      <sheetData sheetId="11999" refreshError="1"/>
      <sheetData sheetId="12000" refreshError="1"/>
      <sheetData sheetId="12001" refreshError="1"/>
      <sheetData sheetId="12002" refreshError="1"/>
      <sheetData sheetId="12003" refreshError="1"/>
      <sheetData sheetId="12004" refreshError="1"/>
      <sheetData sheetId="12005" refreshError="1"/>
      <sheetData sheetId="12006" refreshError="1"/>
      <sheetData sheetId="12007" refreshError="1"/>
      <sheetData sheetId="12008" refreshError="1"/>
      <sheetData sheetId="12009" refreshError="1"/>
      <sheetData sheetId="12010" refreshError="1"/>
      <sheetData sheetId="12011" refreshError="1"/>
      <sheetData sheetId="12012" refreshError="1"/>
      <sheetData sheetId="12013" refreshError="1"/>
      <sheetData sheetId="12014" refreshError="1"/>
      <sheetData sheetId="12015" refreshError="1"/>
      <sheetData sheetId="12016" refreshError="1"/>
      <sheetData sheetId="12017" refreshError="1"/>
      <sheetData sheetId="12018" refreshError="1"/>
      <sheetData sheetId="12019" refreshError="1"/>
      <sheetData sheetId="12020" refreshError="1"/>
      <sheetData sheetId="12021" refreshError="1"/>
      <sheetData sheetId="12022" refreshError="1"/>
      <sheetData sheetId="12023" refreshError="1"/>
      <sheetData sheetId="12024" refreshError="1"/>
      <sheetData sheetId="12025" refreshError="1"/>
      <sheetData sheetId="12026" refreshError="1"/>
      <sheetData sheetId="12027" refreshError="1"/>
      <sheetData sheetId="12028" refreshError="1"/>
      <sheetData sheetId="12029" refreshError="1"/>
      <sheetData sheetId="12030" refreshError="1"/>
      <sheetData sheetId="12031" refreshError="1"/>
      <sheetData sheetId="12032" refreshError="1"/>
      <sheetData sheetId="12033" refreshError="1"/>
      <sheetData sheetId="12034" refreshError="1"/>
      <sheetData sheetId="12035" refreshError="1"/>
      <sheetData sheetId="12036" refreshError="1"/>
      <sheetData sheetId="12037" refreshError="1"/>
      <sheetData sheetId="12038" refreshError="1"/>
      <sheetData sheetId="12039" refreshError="1"/>
      <sheetData sheetId="12040" refreshError="1"/>
      <sheetData sheetId="12041" refreshError="1"/>
      <sheetData sheetId="12042" refreshError="1"/>
      <sheetData sheetId="12043" refreshError="1"/>
      <sheetData sheetId="12044" refreshError="1"/>
      <sheetData sheetId="12045" refreshError="1"/>
      <sheetData sheetId="12046" refreshError="1"/>
      <sheetData sheetId="12047" refreshError="1"/>
      <sheetData sheetId="12048" refreshError="1"/>
      <sheetData sheetId="12049" refreshError="1"/>
      <sheetData sheetId="12050" refreshError="1"/>
      <sheetData sheetId="12051" refreshError="1"/>
      <sheetData sheetId="12052" refreshError="1"/>
      <sheetData sheetId="12053" refreshError="1"/>
      <sheetData sheetId="12054" refreshError="1"/>
      <sheetData sheetId="12055" refreshError="1"/>
      <sheetData sheetId="12056" refreshError="1"/>
      <sheetData sheetId="12057" refreshError="1"/>
      <sheetData sheetId="12058" refreshError="1"/>
      <sheetData sheetId="12059" refreshError="1"/>
      <sheetData sheetId="12060" refreshError="1"/>
      <sheetData sheetId="12061" refreshError="1"/>
      <sheetData sheetId="12062" refreshError="1"/>
      <sheetData sheetId="12063" refreshError="1"/>
      <sheetData sheetId="12064" refreshError="1"/>
      <sheetData sheetId="12065" refreshError="1"/>
      <sheetData sheetId="12066" refreshError="1"/>
      <sheetData sheetId="12067" refreshError="1"/>
      <sheetData sheetId="12068" refreshError="1"/>
      <sheetData sheetId="12069" refreshError="1"/>
      <sheetData sheetId="12070" refreshError="1"/>
      <sheetData sheetId="12071" refreshError="1"/>
      <sheetData sheetId="12072" refreshError="1"/>
      <sheetData sheetId="12073" refreshError="1"/>
      <sheetData sheetId="12074" refreshError="1"/>
      <sheetData sheetId="12075" refreshError="1"/>
      <sheetData sheetId="12076" refreshError="1"/>
      <sheetData sheetId="12077" refreshError="1"/>
      <sheetData sheetId="12078" refreshError="1"/>
      <sheetData sheetId="12079" refreshError="1"/>
      <sheetData sheetId="12080" refreshError="1"/>
      <sheetData sheetId="12081" refreshError="1"/>
      <sheetData sheetId="12082" refreshError="1"/>
      <sheetData sheetId="12083" refreshError="1"/>
      <sheetData sheetId="12084" refreshError="1"/>
      <sheetData sheetId="12085" refreshError="1"/>
      <sheetData sheetId="12086" refreshError="1"/>
      <sheetData sheetId="12087" refreshError="1"/>
      <sheetData sheetId="12088" refreshError="1"/>
      <sheetData sheetId="12089" refreshError="1"/>
      <sheetData sheetId="12090" refreshError="1"/>
      <sheetData sheetId="12091" refreshError="1"/>
      <sheetData sheetId="12092" refreshError="1"/>
      <sheetData sheetId="12093" refreshError="1"/>
      <sheetData sheetId="12094" refreshError="1"/>
      <sheetData sheetId="12095" refreshError="1"/>
      <sheetData sheetId="12096" refreshError="1"/>
      <sheetData sheetId="12097" refreshError="1"/>
      <sheetData sheetId="12098">
        <row r="1">
          <cell r="A1" t="str">
            <v>AGILENT CONFIDENTIAL</v>
          </cell>
        </row>
      </sheetData>
      <sheetData sheetId="12099">
        <row r="2">
          <cell r="A2" t="str">
            <v>A101001</v>
          </cell>
        </row>
      </sheetData>
      <sheetData sheetId="12100"/>
      <sheetData sheetId="12101">
        <row r="1">
          <cell r="A1" t="str">
            <v>AGILENT CONFIDENTIAL</v>
          </cell>
        </row>
      </sheetData>
      <sheetData sheetId="12102">
        <row r="2">
          <cell r="A2" t="str">
            <v>A101001</v>
          </cell>
        </row>
      </sheetData>
      <sheetData sheetId="12103"/>
      <sheetData sheetId="12104">
        <row r="8">
          <cell r="AB8" t="str">
            <v>Order-No</v>
          </cell>
        </row>
      </sheetData>
      <sheetData sheetId="12105"/>
      <sheetData sheetId="12106">
        <row r="5">
          <cell r="A5">
            <v>1</v>
          </cell>
        </row>
      </sheetData>
      <sheetData sheetId="12107">
        <row r="5">
          <cell r="A5">
            <v>1</v>
          </cell>
        </row>
      </sheetData>
      <sheetData sheetId="12108">
        <row r="1">
          <cell r="A1" t="str">
            <v>ASSET_NUMBER</v>
          </cell>
        </row>
      </sheetData>
      <sheetData sheetId="12109">
        <row r="5">
          <cell r="A5">
            <v>1</v>
          </cell>
        </row>
      </sheetData>
      <sheetData sheetId="12110">
        <row r="5">
          <cell r="A5">
            <v>1</v>
          </cell>
        </row>
      </sheetData>
      <sheetData sheetId="12111">
        <row r="1">
          <cell r="A1" t="str">
            <v>ASSET_NUMBER</v>
          </cell>
        </row>
      </sheetData>
      <sheetData sheetId="12112">
        <row r="1">
          <cell r="A1" t="str">
            <v>CODE</v>
          </cell>
        </row>
      </sheetData>
      <sheetData sheetId="12113" refreshError="1"/>
      <sheetData sheetId="12114" refreshError="1"/>
      <sheetData sheetId="12115" refreshError="1"/>
      <sheetData sheetId="12116" refreshError="1"/>
      <sheetData sheetId="12117" refreshError="1"/>
      <sheetData sheetId="12118" refreshError="1"/>
      <sheetData sheetId="12119" refreshError="1"/>
      <sheetData sheetId="12120" refreshError="1"/>
      <sheetData sheetId="12121" refreshError="1"/>
      <sheetData sheetId="12122" refreshError="1"/>
      <sheetData sheetId="12123" refreshError="1"/>
      <sheetData sheetId="12124" refreshError="1"/>
      <sheetData sheetId="12125" refreshError="1"/>
      <sheetData sheetId="12126" refreshError="1"/>
      <sheetData sheetId="12127" refreshError="1"/>
      <sheetData sheetId="12128" refreshError="1"/>
      <sheetData sheetId="12129" refreshError="1"/>
      <sheetData sheetId="12130" refreshError="1"/>
      <sheetData sheetId="12131" refreshError="1"/>
      <sheetData sheetId="12132" refreshError="1"/>
      <sheetData sheetId="12133" refreshError="1"/>
      <sheetData sheetId="12134" refreshError="1"/>
      <sheetData sheetId="12135" refreshError="1"/>
      <sheetData sheetId="12136" refreshError="1"/>
      <sheetData sheetId="12137" refreshError="1"/>
      <sheetData sheetId="12138" refreshError="1"/>
      <sheetData sheetId="12139" refreshError="1"/>
      <sheetData sheetId="12140" refreshError="1"/>
      <sheetData sheetId="12141" refreshError="1"/>
      <sheetData sheetId="12142" refreshError="1"/>
      <sheetData sheetId="12143" refreshError="1"/>
      <sheetData sheetId="12144" refreshError="1"/>
      <sheetData sheetId="12145" refreshError="1"/>
      <sheetData sheetId="12146" refreshError="1"/>
      <sheetData sheetId="12147" refreshError="1"/>
      <sheetData sheetId="12148" refreshError="1"/>
      <sheetData sheetId="12149" refreshError="1"/>
      <sheetData sheetId="12150" refreshError="1"/>
      <sheetData sheetId="12151" refreshError="1"/>
      <sheetData sheetId="12152" refreshError="1"/>
      <sheetData sheetId="12153" refreshError="1"/>
      <sheetData sheetId="12154" refreshError="1"/>
      <sheetData sheetId="12155" refreshError="1"/>
      <sheetData sheetId="12156" refreshError="1"/>
      <sheetData sheetId="12157" refreshError="1"/>
      <sheetData sheetId="12158" refreshError="1"/>
      <sheetData sheetId="12159" refreshError="1"/>
      <sheetData sheetId="12160" refreshError="1"/>
      <sheetData sheetId="12161" refreshError="1"/>
      <sheetData sheetId="12162" refreshError="1"/>
      <sheetData sheetId="12163" refreshError="1"/>
      <sheetData sheetId="12164" refreshError="1"/>
      <sheetData sheetId="12165" refreshError="1"/>
      <sheetData sheetId="12166" refreshError="1"/>
      <sheetData sheetId="12167" refreshError="1"/>
      <sheetData sheetId="12168" refreshError="1"/>
      <sheetData sheetId="12169" refreshError="1"/>
      <sheetData sheetId="12170" refreshError="1"/>
      <sheetData sheetId="12171" refreshError="1"/>
      <sheetData sheetId="12172" refreshError="1"/>
      <sheetData sheetId="12173" refreshError="1"/>
      <sheetData sheetId="12174" refreshError="1"/>
      <sheetData sheetId="12175" refreshError="1"/>
      <sheetData sheetId="12176" refreshError="1"/>
      <sheetData sheetId="12177" refreshError="1"/>
      <sheetData sheetId="12178" refreshError="1"/>
      <sheetData sheetId="12179" refreshError="1"/>
      <sheetData sheetId="12180" refreshError="1"/>
      <sheetData sheetId="12181" refreshError="1"/>
      <sheetData sheetId="12182" refreshError="1"/>
      <sheetData sheetId="12183" refreshError="1"/>
      <sheetData sheetId="12184" refreshError="1"/>
      <sheetData sheetId="12185" refreshError="1"/>
      <sheetData sheetId="12186" refreshError="1"/>
      <sheetData sheetId="12187" refreshError="1"/>
      <sheetData sheetId="12188" refreshError="1"/>
      <sheetData sheetId="12189" refreshError="1"/>
      <sheetData sheetId="12190" refreshError="1"/>
      <sheetData sheetId="12191" refreshError="1"/>
      <sheetData sheetId="12192" refreshError="1"/>
      <sheetData sheetId="12193" refreshError="1"/>
      <sheetData sheetId="12194" refreshError="1"/>
      <sheetData sheetId="12195" refreshError="1"/>
      <sheetData sheetId="12196" refreshError="1"/>
      <sheetData sheetId="12197" refreshError="1"/>
      <sheetData sheetId="12198" refreshError="1"/>
      <sheetData sheetId="12199" refreshError="1"/>
      <sheetData sheetId="12200" refreshError="1"/>
      <sheetData sheetId="12201" refreshError="1"/>
      <sheetData sheetId="12202" refreshError="1"/>
      <sheetData sheetId="12203" refreshError="1"/>
      <sheetData sheetId="12204" refreshError="1"/>
      <sheetData sheetId="12205" refreshError="1"/>
      <sheetData sheetId="12206" refreshError="1"/>
      <sheetData sheetId="12207" refreshError="1"/>
      <sheetData sheetId="12208" refreshError="1"/>
      <sheetData sheetId="12209" refreshError="1"/>
      <sheetData sheetId="12210" refreshError="1"/>
      <sheetData sheetId="12211" refreshError="1"/>
      <sheetData sheetId="12212" refreshError="1"/>
      <sheetData sheetId="12213" refreshError="1"/>
      <sheetData sheetId="12214" refreshError="1"/>
      <sheetData sheetId="12215" refreshError="1"/>
      <sheetData sheetId="12216" refreshError="1"/>
      <sheetData sheetId="12217" refreshError="1"/>
      <sheetData sheetId="12218" refreshError="1"/>
      <sheetData sheetId="12219" refreshError="1"/>
      <sheetData sheetId="12220" refreshError="1"/>
      <sheetData sheetId="12221" refreshError="1"/>
      <sheetData sheetId="12222" refreshError="1"/>
      <sheetData sheetId="12223" refreshError="1"/>
      <sheetData sheetId="12224" refreshError="1"/>
      <sheetData sheetId="12225" refreshError="1"/>
      <sheetData sheetId="12226" refreshError="1"/>
      <sheetData sheetId="12227" refreshError="1"/>
      <sheetData sheetId="12228" refreshError="1"/>
      <sheetData sheetId="12229" refreshError="1"/>
      <sheetData sheetId="12230" refreshError="1"/>
      <sheetData sheetId="12231" refreshError="1"/>
      <sheetData sheetId="12232" refreshError="1"/>
      <sheetData sheetId="12233" refreshError="1"/>
      <sheetData sheetId="12234" refreshError="1"/>
      <sheetData sheetId="12235" refreshError="1"/>
      <sheetData sheetId="12236" refreshError="1"/>
      <sheetData sheetId="12237" refreshError="1"/>
      <sheetData sheetId="12238" refreshError="1"/>
      <sheetData sheetId="12239" refreshError="1"/>
      <sheetData sheetId="12240" refreshError="1"/>
      <sheetData sheetId="12241" refreshError="1"/>
      <sheetData sheetId="12242" refreshError="1"/>
      <sheetData sheetId="12243" refreshError="1"/>
      <sheetData sheetId="12244" refreshError="1"/>
      <sheetData sheetId="12245" refreshError="1"/>
      <sheetData sheetId="12246" refreshError="1"/>
      <sheetData sheetId="12247" refreshError="1"/>
      <sheetData sheetId="12248" refreshError="1"/>
      <sheetData sheetId="12249" refreshError="1"/>
      <sheetData sheetId="12250" refreshError="1"/>
      <sheetData sheetId="12251" refreshError="1"/>
      <sheetData sheetId="12252" refreshError="1"/>
      <sheetData sheetId="12253" refreshError="1"/>
      <sheetData sheetId="12254" refreshError="1"/>
      <sheetData sheetId="12255" refreshError="1"/>
      <sheetData sheetId="12256" refreshError="1"/>
      <sheetData sheetId="12257" refreshError="1"/>
      <sheetData sheetId="12258" refreshError="1"/>
      <sheetData sheetId="12259" refreshError="1"/>
      <sheetData sheetId="12260" refreshError="1"/>
      <sheetData sheetId="12261" refreshError="1"/>
      <sheetData sheetId="12262" refreshError="1"/>
      <sheetData sheetId="12263" refreshError="1"/>
      <sheetData sheetId="12264" refreshError="1"/>
      <sheetData sheetId="12265" refreshError="1"/>
      <sheetData sheetId="12266" refreshError="1"/>
      <sheetData sheetId="12267" refreshError="1"/>
      <sheetData sheetId="12268" refreshError="1"/>
      <sheetData sheetId="12269" refreshError="1"/>
      <sheetData sheetId="12270" refreshError="1"/>
      <sheetData sheetId="12271" refreshError="1"/>
      <sheetData sheetId="12272" refreshError="1"/>
      <sheetData sheetId="12273" refreshError="1"/>
      <sheetData sheetId="12274" refreshError="1"/>
      <sheetData sheetId="12275" refreshError="1"/>
      <sheetData sheetId="12276" refreshError="1"/>
      <sheetData sheetId="12277" refreshError="1"/>
      <sheetData sheetId="12278" refreshError="1"/>
      <sheetData sheetId="12279" refreshError="1"/>
      <sheetData sheetId="12280" refreshError="1"/>
      <sheetData sheetId="12281" refreshError="1"/>
      <sheetData sheetId="12282" refreshError="1"/>
      <sheetData sheetId="12283" refreshError="1"/>
      <sheetData sheetId="12284" refreshError="1"/>
      <sheetData sheetId="12285" refreshError="1"/>
      <sheetData sheetId="12286" refreshError="1"/>
      <sheetData sheetId="12287" refreshError="1"/>
      <sheetData sheetId="12288" refreshError="1"/>
      <sheetData sheetId="12289" refreshError="1"/>
      <sheetData sheetId="12290" refreshError="1"/>
      <sheetData sheetId="12291" refreshError="1"/>
      <sheetData sheetId="12292" refreshError="1"/>
      <sheetData sheetId="12293" refreshError="1"/>
      <sheetData sheetId="12294" refreshError="1"/>
      <sheetData sheetId="12295" refreshError="1"/>
      <sheetData sheetId="12296" refreshError="1"/>
      <sheetData sheetId="12297" refreshError="1"/>
      <sheetData sheetId="12298" refreshError="1"/>
      <sheetData sheetId="12299" refreshError="1"/>
      <sheetData sheetId="12300" refreshError="1"/>
      <sheetData sheetId="12301" refreshError="1"/>
      <sheetData sheetId="12302" refreshError="1"/>
      <sheetData sheetId="12303" refreshError="1"/>
      <sheetData sheetId="12304" refreshError="1"/>
      <sheetData sheetId="12305" refreshError="1"/>
      <sheetData sheetId="12306" refreshError="1"/>
      <sheetData sheetId="12307" refreshError="1"/>
      <sheetData sheetId="12308" refreshError="1"/>
      <sheetData sheetId="12309" refreshError="1"/>
      <sheetData sheetId="12310" refreshError="1"/>
      <sheetData sheetId="12311" refreshError="1"/>
      <sheetData sheetId="12312" refreshError="1"/>
      <sheetData sheetId="12313" refreshError="1"/>
      <sheetData sheetId="12314" refreshError="1"/>
      <sheetData sheetId="12315" refreshError="1"/>
      <sheetData sheetId="12316" refreshError="1"/>
      <sheetData sheetId="12317" refreshError="1"/>
      <sheetData sheetId="12318" refreshError="1"/>
      <sheetData sheetId="12319" refreshError="1"/>
      <sheetData sheetId="12320" refreshError="1"/>
      <sheetData sheetId="12321" refreshError="1"/>
      <sheetData sheetId="12322" refreshError="1"/>
      <sheetData sheetId="12323" refreshError="1"/>
      <sheetData sheetId="12324" refreshError="1"/>
      <sheetData sheetId="12325" refreshError="1"/>
      <sheetData sheetId="12326" refreshError="1"/>
      <sheetData sheetId="12327" refreshError="1"/>
      <sheetData sheetId="12328" refreshError="1"/>
      <sheetData sheetId="12329" refreshError="1"/>
      <sheetData sheetId="12330" refreshError="1"/>
      <sheetData sheetId="12331" refreshError="1"/>
      <sheetData sheetId="12332" refreshError="1"/>
      <sheetData sheetId="12333" refreshError="1"/>
      <sheetData sheetId="12334" refreshError="1"/>
      <sheetData sheetId="12335" refreshError="1"/>
      <sheetData sheetId="12336" refreshError="1"/>
      <sheetData sheetId="12337" refreshError="1"/>
      <sheetData sheetId="12338" refreshError="1"/>
      <sheetData sheetId="12339" refreshError="1"/>
      <sheetData sheetId="12340" refreshError="1"/>
      <sheetData sheetId="12341" refreshError="1"/>
      <sheetData sheetId="12342" refreshError="1"/>
      <sheetData sheetId="12343" refreshError="1"/>
      <sheetData sheetId="12344" refreshError="1"/>
      <sheetData sheetId="12345" refreshError="1"/>
      <sheetData sheetId="12346" refreshError="1"/>
      <sheetData sheetId="12347" refreshError="1"/>
      <sheetData sheetId="12348" refreshError="1"/>
      <sheetData sheetId="12349" refreshError="1"/>
      <sheetData sheetId="12350" refreshError="1"/>
      <sheetData sheetId="12351" refreshError="1"/>
      <sheetData sheetId="12352" refreshError="1"/>
      <sheetData sheetId="12353" refreshError="1"/>
      <sheetData sheetId="12354" refreshError="1"/>
      <sheetData sheetId="12355" refreshError="1"/>
      <sheetData sheetId="12356" refreshError="1"/>
      <sheetData sheetId="12357" refreshError="1"/>
      <sheetData sheetId="12358" refreshError="1"/>
      <sheetData sheetId="12359" refreshError="1"/>
      <sheetData sheetId="12360" refreshError="1"/>
      <sheetData sheetId="12361" refreshError="1"/>
      <sheetData sheetId="12362" refreshError="1"/>
      <sheetData sheetId="12363" refreshError="1"/>
      <sheetData sheetId="12364" refreshError="1"/>
      <sheetData sheetId="12365" refreshError="1"/>
      <sheetData sheetId="12366" refreshError="1"/>
      <sheetData sheetId="12367" refreshError="1"/>
      <sheetData sheetId="12368" refreshError="1"/>
      <sheetData sheetId="12369" refreshError="1"/>
      <sheetData sheetId="12370" refreshError="1"/>
      <sheetData sheetId="12371" refreshError="1"/>
      <sheetData sheetId="12372" refreshError="1"/>
      <sheetData sheetId="12373" refreshError="1"/>
      <sheetData sheetId="12374" refreshError="1"/>
      <sheetData sheetId="12375" refreshError="1"/>
      <sheetData sheetId="12376" refreshError="1"/>
      <sheetData sheetId="12377" refreshError="1"/>
      <sheetData sheetId="12378" refreshError="1"/>
      <sheetData sheetId="12379" refreshError="1"/>
      <sheetData sheetId="12380" refreshError="1"/>
      <sheetData sheetId="12381" refreshError="1"/>
      <sheetData sheetId="12382" refreshError="1"/>
      <sheetData sheetId="12383" refreshError="1"/>
      <sheetData sheetId="12384" refreshError="1"/>
      <sheetData sheetId="12385" refreshError="1"/>
      <sheetData sheetId="12386" refreshError="1"/>
      <sheetData sheetId="12387" refreshError="1"/>
      <sheetData sheetId="12388" refreshError="1"/>
      <sheetData sheetId="12389" refreshError="1"/>
      <sheetData sheetId="12390" refreshError="1"/>
      <sheetData sheetId="12391" refreshError="1"/>
      <sheetData sheetId="12392" refreshError="1"/>
      <sheetData sheetId="12393" refreshError="1"/>
      <sheetData sheetId="12394" refreshError="1"/>
      <sheetData sheetId="12395" refreshError="1"/>
      <sheetData sheetId="12396" refreshError="1"/>
      <sheetData sheetId="12397" refreshError="1"/>
      <sheetData sheetId="12398" refreshError="1"/>
      <sheetData sheetId="12399" refreshError="1"/>
      <sheetData sheetId="12400" refreshError="1"/>
      <sheetData sheetId="12401" refreshError="1"/>
      <sheetData sheetId="12402" refreshError="1"/>
      <sheetData sheetId="12403" refreshError="1"/>
      <sheetData sheetId="12404" refreshError="1"/>
      <sheetData sheetId="12405" refreshError="1"/>
      <sheetData sheetId="12406" refreshError="1"/>
      <sheetData sheetId="12407" refreshError="1"/>
      <sheetData sheetId="12408" refreshError="1"/>
      <sheetData sheetId="12409" refreshError="1"/>
      <sheetData sheetId="12410" refreshError="1"/>
      <sheetData sheetId="12411" refreshError="1"/>
      <sheetData sheetId="12412" refreshError="1"/>
      <sheetData sheetId="12413" refreshError="1"/>
      <sheetData sheetId="12414" refreshError="1"/>
      <sheetData sheetId="12415" refreshError="1"/>
      <sheetData sheetId="12416" refreshError="1"/>
      <sheetData sheetId="12417" refreshError="1"/>
      <sheetData sheetId="12418" refreshError="1"/>
      <sheetData sheetId="12419" refreshError="1"/>
      <sheetData sheetId="12420" refreshError="1"/>
      <sheetData sheetId="12421" refreshError="1"/>
      <sheetData sheetId="12422" refreshError="1"/>
      <sheetData sheetId="12423" refreshError="1"/>
      <sheetData sheetId="12424" refreshError="1"/>
      <sheetData sheetId="12425" refreshError="1"/>
      <sheetData sheetId="12426" refreshError="1"/>
      <sheetData sheetId="12427" refreshError="1"/>
      <sheetData sheetId="12428" refreshError="1"/>
      <sheetData sheetId="12429" refreshError="1"/>
      <sheetData sheetId="12430" refreshError="1"/>
      <sheetData sheetId="12431" refreshError="1"/>
      <sheetData sheetId="12432" refreshError="1"/>
      <sheetData sheetId="12433" refreshError="1"/>
      <sheetData sheetId="12434" refreshError="1"/>
      <sheetData sheetId="12435" refreshError="1"/>
      <sheetData sheetId="12436" refreshError="1"/>
      <sheetData sheetId="12437" refreshError="1"/>
      <sheetData sheetId="12438" refreshError="1"/>
      <sheetData sheetId="12439" refreshError="1"/>
      <sheetData sheetId="12440" refreshError="1"/>
      <sheetData sheetId="12441" refreshError="1"/>
      <sheetData sheetId="12442" refreshError="1"/>
      <sheetData sheetId="12443" refreshError="1"/>
      <sheetData sheetId="12444" refreshError="1"/>
      <sheetData sheetId="12445" refreshError="1"/>
      <sheetData sheetId="12446" refreshError="1"/>
      <sheetData sheetId="12447" refreshError="1"/>
      <sheetData sheetId="12448" refreshError="1"/>
      <sheetData sheetId="12449" refreshError="1"/>
      <sheetData sheetId="12450" refreshError="1"/>
      <sheetData sheetId="12451" refreshError="1"/>
      <sheetData sheetId="12452" refreshError="1"/>
      <sheetData sheetId="12453" refreshError="1"/>
      <sheetData sheetId="12454" refreshError="1"/>
      <sheetData sheetId="12455" refreshError="1"/>
      <sheetData sheetId="12456" refreshError="1"/>
      <sheetData sheetId="12457" refreshError="1"/>
      <sheetData sheetId="12458" refreshError="1"/>
      <sheetData sheetId="12459" refreshError="1"/>
      <sheetData sheetId="12460" refreshError="1"/>
      <sheetData sheetId="12461" refreshError="1"/>
      <sheetData sheetId="12462" refreshError="1"/>
      <sheetData sheetId="12463" refreshError="1"/>
      <sheetData sheetId="12464" refreshError="1"/>
      <sheetData sheetId="12465" refreshError="1"/>
      <sheetData sheetId="12466" refreshError="1"/>
      <sheetData sheetId="12467" refreshError="1"/>
      <sheetData sheetId="12468" refreshError="1"/>
      <sheetData sheetId="12469" refreshError="1"/>
      <sheetData sheetId="12470" refreshError="1"/>
      <sheetData sheetId="12471" refreshError="1"/>
      <sheetData sheetId="12472" refreshError="1"/>
      <sheetData sheetId="12473" refreshError="1"/>
      <sheetData sheetId="12474" refreshError="1"/>
      <sheetData sheetId="12475" refreshError="1"/>
      <sheetData sheetId="12476" refreshError="1"/>
      <sheetData sheetId="12477" refreshError="1"/>
      <sheetData sheetId="12478" refreshError="1"/>
      <sheetData sheetId="12479" refreshError="1"/>
      <sheetData sheetId="12480" refreshError="1"/>
      <sheetData sheetId="12481" refreshError="1"/>
      <sheetData sheetId="12482" refreshError="1"/>
      <sheetData sheetId="12483" refreshError="1"/>
      <sheetData sheetId="12484" refreshError="1"/>
      <sheetData sheetId="12485" refreshError="1"/>
      <sheetData sheetId="12486" refreshError="1"/>
      <sheetData sheetId="12487" refreshError="1"/>
      <sheetData sheetId="12488" refreshError="1"/>
      <sheetData sheetId="12489" refreshError="1"/>
      <sheetData sheetId="12490" refreshError="1"/>
      <sheetData sheetId="12491" refreshError="1"/>
      <sheetData sheetId="12492" refreshError="1"/>
      <sheetData sheetId="12493" refreshError="1"/>
      <sheetData sheetId="12494" refreshError="1"/>
      <sheetData sheetId="12495" refreshError="1"/>
      <sheetData sheetId="12496" refreshError="1"/>
      <sheetData sheetId="12497" refreshError="1"/>
      <sheetData sheetId="12498" refreshError="1"/>
      <sheetData sheetId="12499" refreshError="1"/>
      <sheetData sheetId="12500" refreshError="1"/>
      <sheetData sheetId="12501" refreshError="1"/>
      <sheetData sheetId="12502" refreshError="1"/>
      <sheetData sheetId="12503" refreshError="1"/>
      <sheetData sheetId="12504" refreshError="1"/>
      <sheetData sheetId="12505" refreshError="1"/>
      <sheetData sheetId="12506" refreshError="1"/>
      <sheetData sheetId="12507" refreshError="1"/>
      <sheetData sheetId="12508" refreshError="1"/>
      <sheetData sheetId="12509" refreshError="1"/>
      <sheetData sheetId="12510" refreshError="1"/>
      <sheetData sheetId="12511" refreshError="1"/>
      <sheetData sheetId="12512" refreshError="1"/>
      <sheetData sheetId="12513" refreshError="1"/>
      <sheetData sheetId="12514" refreshError="1"/>
      <sheetData sheetId="12515" refreshError="1"/>
      <sheetData sheetId="12516" refreshError="1"/>
      <sheetData sheetId="12517" refreshError="1"/>
      <sheetData sheetId="12518" refreshError="1"/>
      <sheetData sheetId="12519" refreshError="1"/>
      <sheetData sheetId="12520" refreshError="1"/>
      <sheetData sheetId="12521" refreshError="1"/>
      <sheetData sheetId="12522" refreshError="1"/>
      <sheetData sheetId="12523" refreshError="1"/>
      <sheetData sheetId="12524" refreshError="1"/>
      <sheetData sheetId="12525" refreshError="1"/>
      <sheetData sheetId="12526" refreshError="1"/>
      <sheetData sheetId="12527" refreshError="1"/>
      <sheetData sheetId="12528" refreshError="1"/>
      <sheetData sheetId="12529" refreshError="1"/>
      <sheetData sheetId="12530" refreshError="1"/>
      <sheetData sheetId="12531" refreshError="1"/>
      <sheetData sheetId="12532" refreshError="1"/>
      <sheetData sheetId="12533" refreshError="1"/>
      <sheetData sheetId="12534" refreshError="1"/>
      <sheetData sheetId="12535" refreshError="1"/>
      <sheetData sheetId="12536" refreshError="1"/>
      <sheetData sheetId="12537" refreshError="1"/>
      <sheetData sheetId="12538" refreshError="1"/>
      <sheetData sheetId="12539" refreshError="1"/>
      <sheetData sheetId="12540" refreshError="1"/>
      <sheetData sheetId="12541" refreshError="1"/>
      <sheetData sheetId="12542" refreshError="1"/>
      <sheetData sheetId="12543" refreshError="1"/>
      <sheetData sheetId="12544" refreshError="1"/>
      <sheetData sheetId="12545" refreshError="1"/>
      <sheetData sheetId="12546" refreshError="1"/>
      <sheetData sheetId="12547" refreshError="1"/>
      <sheetData sheetId="12548" refreshError="1"/>
      <sheetData sheetId="12549" refreshError="1"/>
      <sheetData sheetId="12550" refreshError="1"/>
      <sheetData sheetId="12551" refreshError="1"/>
      <sheetData sheetId="12552" refreshError="1"/>
      <sheetData sheetId="12553" refreshError="1"/>
      <sheetData sheetId="12554" refreshError="1"/>
      <sheetData sheetId="12555" refreshError="1"/>
      <sheetData sheetId="12556" refreshError="1"/>
      <sheetData sheetId="12557" refreshError="1"/>
      <sheetData sheetId="12558" refreshError="1"/>
      <sheetData sheetId="12559" refreshError="1"/>
      <sheetData sheetId="12560" refreshError="1"/>
      <sheetData sheetId="12561" refreshError="1"/>
      <sheetData sheetId="12562" refreshError="1"/>
      <sheetData sheetId="12563" refreshError="1"/>
      <sheetData sheetId="12564" refreshError="1"/>
      <sheetData sheetId="12565" refreshError="1"/>
      <sheetData sheetId="12566" refreshError="1"/>
      <sheetData sheetId="12567" refreshError="1"/>
      <sheetData sheetId="12568" refreshError="1"/>
      <sheetData sheetId="12569" refreshError="1"/>
      <sheetData sheetId="12570" refreshError="1"/>
      <sheetData sheetId="12571" refreshError="1"/>
      <sheetData sheetId="12572" refreshError="1"/>
      <sheetData sheetId="12573" refreshError="1"/>
      <sheetData sheetId="12574" refreshError="1"/>
      <sheetData sheetId="12575" refreshError="1"/>
      <sheetData sheetId="12576" refreshError="1"/>
      <sheetData sheetId="12577" refreshError="1"/>
      <sheetData sheetId="12578" refreshError="1"/>
      <sheetData sheetId="12579" refreshError="1"/>
      <sheetData sheetId="12580" refreshError="1"/>
      <sheetData sheetId="12581" refreshError="1"/>
      <sheetData sheetId="12582" refreshError="1"/>
      <sheetData sheetId="12583" refreshError="1"/>
      <sheetData sheetId="12584" refreshError="1"/>
      <sheetData sheetId="12585" refreshError="1"/>
      <sheetData sheetId="12586" refreshError="1"/>
      <sheetData sheetId="12587" refreshError="1"/>
      <sheetData sheetId="12588" refreshError="1"/>
      <sheetData sheetId="12589" refreshError="1"/>
      <sheetData sheetId="12590" refreshError="1"/>
      <sheetData sheetId="12591" refreshError="1"/>
      <sheetData sheetId="12592" refreshError="1"/>
      <sheetData sheetId="12593" refreshError="1"/>
      <sheetData sheetId="12594" refreshError="1"/>
      <sheetData sheetId="12595" refreshError="1"/>
      <sheetData sheetId="12596" refreshError="1"/>
      <sheetData sheetId="12597" refreshError="1"/>
      <sheetData sheetId="12598" refreshError="1"/>
      <sheetData sheetId="12599" refreshError="1"/>
      <sheetData sheetId="12600" refreshError="1"/>
      <sheetData sheetId="12601" refreshError="1"/>
      <sheetData sheetId="12602" refreshError="1"/>
      <sheetData sheetId="12603" refreshError="1"/>
      <sheetData sheetId="12604" refreshError="1"/>
      <sheetData sheetId="12605" refreshError="1"/>
      <sheetData sheetId="12606" refreshError="1"/>
      <sheetData sheetId="12607" refreshError="1"/>
      <sheetData sheetId="12608" refreshError="1"/>
      <sheetData sheetId="12609" refreshError="1"/>
      <sheetData sheetId="12610" refreshError="1"/>
      <sheetData sheetId="12611" refreshError="1"/>
      <sheetData sheetId="12612" refreshError="1"/>
      <sheetData sheetId="12613" refreshError="1"/>
      <sheetData sheetId="12614" refreshError="1"/>
      <sheetData sheetId="12615" refreshError="1"/>
      <sheetData sheetId="12616" refreshError="1"/>
      <sheetData sheetId="12617" refreshError="1"/>
      <sheetData sheetId="12618" refreshError="1"/>
      <sheetData sheetId="12619" refreshError="1"/>
      <sheetData sheetId="12620" refreshError="1"/>
      <sheetData sheetId="12621" refreshError="1"/>
      <sheetData sheetId="12622" refreshError="1"/>
      <sheetData sheetId="12623" refreshError="1"/>
      <sheetData sheetId="12624"/>
      <sheetData sheetId="12625" refreshError="1"/>
      <sheetData sheetId="12626" refreshError="1"/>
      <sheetData sheetId="12627" refreshError="1"/>
      <sheetData sheetId="12628" refreshError="1"/>
      <sheetData sheetId="12629" refreshError="1"/>
      <sheetData sheetId="12630" refreshError="1"/>
      <sheetData sheetId="12631" refreshError="1"/>
      <sheetData sheetId="12632">
        <row r="1">
          <cell r="A1" t="str">
            <v>CODE</v>
          </cell>
        </row>
      </sheetData>
      <sheetData sheetId="12633" refreshError="1"/>
      <sheetData sheetId="12634" refreshError="1"/>
      <sheetData sheetId="12635">
        <row r="1">
          <cell r="A1" t="str">
            <v>CODE</v>
          </cell>
        </row>
      </sheetData>
      <sheetData sheetId="12636">
        <row r="1">
          <cell r="A1" t="str">
            <v>CODE</v>
          </cell>
        </row>
      </sheetData>
      <sheetData sheetId="12637" refreshError="1"/>
      <sheetData sheetId="12638" refreshError="1"/>
      <sheetData sheetId="12639" refreshError="1"/>
      <sheetData sheetId="12640" refreshError="1"/>
      <sheetData sheetId="12641" refreshError="1"/>
      <sheetData sheetId="12642" refreshError="1"/>
      <sheetData sheetId="12643" refreshError="1"/>
      <sheetData sheetId="12644" refreshError="1"/>
      <sheetData sheetId="12645" refreshError="1"/>
      <sheetData sheetId="12646" refreshError="1"/>
      <sheetData sheetId="12647" refreshError="1"/>
      <sheetData sheetId="12648" refreshError="1"/>
      <sheetData sheetId="12649" refreshError="1"/>
      <sheetData sheetId="12650" refreshError="1"/>
      <sheetData sheetId="12651" refreshError="1"/>
      <sheetData sheetId="12652" refreshError="1"/>
      <sheetData sheetId="12653" refreshError="1"/>
      <sheetData sheetId="12654" refreshError="1"/>
      <sheetData sheetId="12655" refreshError="1"/>
      <sheetData sheetId="12656" refreshError="1"/>
      <sheetData sheetId="12657" refreshError="1"/>
      <sheetData sheetId="12658" refreshError="1"/>
      <sheetData sheetId="12659" refreshError="1"/>
      <sheetData sheetId="12660" refreshError="1"/>
      <sheetData sheetId="12661" refreshError="1"/>
      <sheetData sheetId="12662" refreshError="1"/>
      <sheetData sheetId="12663" refreshError="1"/>
      <sheetData sheetId="12664" refreshError="1"/>
      <sheetData sheetId="12665" refreshError="1"/>
      <sheetData sheetId="12666" refreshError="1"/>
      <sheetData sheetId="12667" refreshError="1"/>
      <sheetData sheetId="12668" refreshError="1"/>
      <sheetData sheetId="12669" refreshError="1"/>
      <sheetData sheetId="12670" refreshError="1"/>
      <sheetData sheetId="12671" refreshError="1"/>
      <sheetData sheetId="12672" refreshError="1"/>
      <sheetData sheetId="12673" refreshError="1"/>
      <sheetData sheetId="12674" refreshError="1"/>
      <sheetData sheetId="12675" refreshError="1"/>
      <sheetData sheetId="12676" refreshError="1"/>
      <sheetData sheetId="12677" refreshError="1"/>
      <sheetData sheetId="12678" refreshError="1"/>
      <sheetData sheetId="12679" refreshError="1"/>
      <sheetData sheetId="12680" refreshError="1"/>
      <sheetData sheetId="12681" refreshError="1"/>
      <sheetData sheetId="12682" refreshError="1"/>
      <sheetData sheetId="12683" refreshError="1"/>
      <sheetData sheetId="12684" refreshError="1"/>
      <sheetData sheetId="12685" refreshError="1"/>
      <sheetData sheetId="12686" refreshError="1"/>
      <sheetData sheetId="12687" refreshError="1"/>
      <sheetData sheetId="12688" refreshError="1"/>
      <sheetData sheetId="12689" refreshError="1"/>
      <sheetData sheetId="12690" refreshError="1"/>
      <sheetData sheetId="12691" refreshError="1"/>
      <sheetData sheetId="12692" refreshError="1"/>
      <sheetData sheetId="12693" refreshError="1"/>
      <sheetData sheetId="12694" refreshError="1"/>
      <sheetData sheetId="12695" refreshError="1"/>
      <sheetData sheetId="12696" refreshError="1"/>
      <sheetData sheetId="12697" refreshError="1"/>
      <sheetData sheetId="12698" refreshError="1"/>
      <sheetData sheetId="12699" refreshError="1"/>
      <sheetData sheetId="12700" refreshError="1"/>
      <sheetData sheetId="12701" refreshError="1"/>
      <sheetData sheetId="12702" refreshError="1"/>
      <sheetData sheetId="12703" refreshError="1"/>
      <sheetData sheetId="12704" refreshError="1"/>
      <sheetData sheetId="12705" refreshError="1"/>
      <sheetData sheetId="12706" refreshError="1"/>
      <sheetData sheetId="12707" refreshError="1"/>
      <sheetData sheetId="12708" refreshError="1"/>
      <sheetData sheetId="12709" refreshError="1"/>
      <sheetData sheetId="12710" refreshError="1"/>
      <sheetData sheetId="12711" refreshError="1"/>
      <sheetData sheetId="12712" refreshError="1"/>
      <sheetData sheetId="12713" refreshError="1"/>
      <sheetData sheetId="12714" refreshError="1"/>
      <sheetData sheetId="12715" refreshError="1"/>
      <sheetData sheetId="12716" refreshError="1"/>
      <sheetData sheetId="12717" refreshError="1"/>
      <sheetData sheetId="12718" refreshError="1"/>
      <sheetData sheetId="12719" refreshError="1"/>
      <sheetData sheetId="12720" refreshError="1"/>
      <sheetData sheetId="12721" refreshError="1"/>
      <sheetData sheetId="12722">
        <row r="6">
          <cell r="D6">
            <v>3184</v>
          </cell>
        </row>
      </sheetData>
      <sheetData sheetId="12723">
        <row r="10">
          <cell r="C10">
            <v>127060800.33999997</v>
          </cell>
        </row>
      </sheetData>
      <sheetData sheetId="12724">
        <row r="6">
          <cell r="D6">
            <v>3184</v>
          </cell>
        </row>
      </sheetData>
      <sheetData sheetId="12725">
        <row r="2">
          <cell r="A2" t="str">
            <v>A101001</v>
          </cell>
        </row>
      </sheetData>
      <sheetData sheetId="12726">
        <row r="8">
          <cell r="B8" t="str">
            <v>DPE002</v>
          </cell>
        </row>
      </sheetData>
      <sheetData sheetId="12727">
        <row r="2">
          <cell r="H2" t="str">
            <v>India Countrywide</v>
          </cell>
        </row>
      </sheetData>
      <sheetData sheetId="12728">
        <row r="2">
          <cell r="A2" t="str">
            <v>A101001</v>
          </cell>
        </row>
      </sheetData>
      <sheetData sheetId="12729">
        <row r="8">
          <cell r="B8" t="str">
            <v>DPE002</v>
          </cell>
        </row>
      </sheetData>
      <sheetData sheetId="12730">
        <row r="2">
          <cell r="H2" t="str">
            <v>India Countrywide</v>
          </cell>
        </row>
      </sheetData>
      <sheetData sheetId="12731" refreshError="1"/>
      <sheetData sheetId="12732" refreshError="1"/>
      <sheetData sheetId="12733" refreshError="1"/>
      <sheetData sheetId="12734" refreshError="1"/>
      <sheetData sheetId="12735" refreshError="1"/>
      <sheetData sheetId="12736" refreshError="1"/>
      <sheetData sheetId="12737" refreshError="1"/>
      <sheetData sheetId="12738" refreshError="1"/>
      <sheetData sheetId="12739" refreshError="1"/>
      <sheetData sheetId="12740" refreshError="1"/>
      <sheetData sheetId="12741" refreshError="1"/>
      <sheetData sheetId="12742" refreshError="1"/>
      <sheetData sheetId="12743" refreshError="1"/>
      <sheetData sheetId="12744" refreshError="1"/>
      <sheetData sheetId="12745" refreshError="1"/>
      <sheetData sheetId="12746" refreshError="1"/>
      <sheetData sheetId="12747" refreshError="1"/>
      <sheetData sheetId="12748" refreshError="1"/>
      <sheetData sheetId="12749" refreshError="1"/>
      <sheetData sheetId="12750" refreshError="1"/>
      <sheetData sheetId="12751" refreshError="1"/>
      <sheetData sheetId="12752" refreshError="1"/>
      <sheetData sheetId="12753" refreshError="1"/>
      <sheetData sheetId="12754" refreshError="1"/>
      <sheetData sheetId="12755" refreshError="1"/>
      <sheetData sheetId="12756" refreshError="1"/>
      <sheetData sheetId="12757" refreshError="1"/>
      <sheetData sheetId="12758" refreshError="1"/>
      <sheetData sheetId="12759" refreshError="1"/>
      <sheetData sheetId="12760" refreshError="1"/>
      <sheetData sheetId="12761" refreshError="1"/>
      <sheetData sheetId="12762" refreshError="1"/>
      <sheetData sheetId="12763" refreshError="1"/>
      <sheetData sheetId="12764" refreshError="1"/>
      <sheetData sheetId="12765" refreshError="1"/>
      <sheetData sheetId="12766" refreshError="1"/>
      <sheetData sheetId="12767" refreshError="1"/>
      <sheetData sheetId="12768" refreshError="1"/>
      <sheetData sheetId="12769" refreshError="1"/>
      <sheetData sheetId="12770" refreshError="1"/>
      <sheetData sheetId="12771" refreshError="1"/>
      <sheetData sheetId="12772" refreshError="1"/>
      <sheetData sheetId="12773" refreshError="1"/>
      <sheetData sheetId="12774" refreshError="1"/>
      <sheetData sheetId="12775" refreshError="1"/>
      <sheetData sheetId="12776" refreshError="1"/>
      <sheetData sheetId="12777" refreshError="1"/>
      <sheetData sheetId="12778" refreshError="1"/>
      <sheetData sheetId="12779" refreshError="1"/>
      <sheetData sheetId="12780" refreshError="1"/>
      <sheetData sheetId="12781" refreshError="1"/>
      <sheetData sheetId="12782" refreshError="1"/>
      <sheetData sheetId="12783" refreshError="1"/>
      <sheetData sheetId="12784" refreshError="1"/>
      <sheetData sheetId="12785" refreshError="1"/>
      <sheetData sheetId="12786" refreshError="1"/>
      <sheetData sheetId="12787" refreshError="1"/>
      <sheetData sheetId="12788" refreshError="1"/>
      <sheetData sheetId="12789" refreshError="1"/>
      <sheetData sheetId="12790" refreshError="1"/>
      <sheetData sheetId="12791" refreshError="1"/>
      <sheetData sheetId="12792" refreshError="1"/>
      <sheetData sheetId="12793" refreshError="1"/>
      <sheetData sheetId="12794" refreshError="1"/>
      <sheetData sheetId="12795" refreshError="1"/>
      <sheetData sheetId="12796" refreshError="1"/>
      <sheetData sheetId="12797" refreshError="1"/>
      <sheetData sheetId="12798" refreshError="1"/>
      <sheetData sheetId="12799" refreshError="1"/>
      <sheetData sheetId="12800" refreshError="1"/>
      <sheetData sheetId="12801" refreshError="1"/>
      <sheetData sheetId="12802" refreshError="1"/>
      <sheetData sheetId="12803" refreshError="1"/>
      <sheetData sheetId="12804" refreshError="1"/>
      <sheetData sheetId="12805" refreshError="1"/>
      <sheetData sheetId="12806" refreshError="1"/>
      <sheetData sheetId="12807" refreshError="1"/>
      <sheetData sheetId="12808" refreshError="1"/>
      <sheetData sheetId="12809" refreshError="1"/>
      <sheetData sheetId="12810" refreshError="1"/>
      <sheetData sheetId="12811" refreshError="1"/>
      <sheetData sheetId="12812" refreshError="1"/>
      <sheetData sheetId="12813" refreshError="1"/>
      <sheetData sheetId="12814" refreshError="1"/>
      <sheetData sheetId="12815" refreshError="1"/>
      <sheetData sheetId="12816" refreshError="1"/>
      <sheetData sheetId="12817" refreshError="1"/>
      <sheetData sheetId="12818" refreshError="1"/>
      <sheetData sheetId="12819" refreshError="1"/>
      <sheetData sheetId="12820" refreshError="1"/>
      <sheetData sheetId="12821" refreshError="1"/>
      <sheetData sheetId="12822" refreshError="1"/>
      <sheetData sheetId="12823" refreshError="1"/>
      <sheetData sheetId="12824" refreshError="1"/>
      <sheetData sheetId="12825" refreshError="1"/>
      <sheetData sheetId="12826" refreshError="1"/>
      <sheetData sheetId="12827" refreshError="1"/>
      <sheetData sheetId="12828" refreshError="1"/>
      <sheetData sheetId="12829" refreshError="1"/>
      <sheetData sheetId="12830" refreshError="1"/>
      <sheetData sheetId="12831" refreshError="1"/>
      <sheetData sheetId="12832" refreshError="1"/>
      <sheetData sheetId="12833" refreshError="1"/>
      <sheetData sheetId="12834" refreshError="1"/>
      <sheetData sheetId="12835" refreshError="1"/>
      <sheetData sheetId="12836" refreshError="1"/>
      <sheetData sheetId="12837" refreshError="1"/>
      <sheetData sheetId="12838" refreshError="1"/>
      <sheetData sheetId="12839" refreshError="1"/>
      <sheetData sheetId="12840" refreshError="1"/>
      <sheetData sheetId="12841" refreshError="1"/>
      <sheetData sheetId="12842" refreshError="1"/>
      <sheetData sheetId="12843" refreshError="1"/>
      <sheetData sheetId="12844" refreshError="1"/>
      <sheetData sheetId="12845" refreshError="1"/>
      <sheetData sheetId="12846" refreshError="1"/>
      <sheetData sheetId="12847" refreshError="1"/>
      <sheetData sheetId="12848" refreshError="1"/>
      <sheetData sheetId="12849" refreshError="1"/>
      <sheetData sheetId="12850" refreshError="1"/>
      <sheetData sheetId="12851" refreshError="1"/>
      <sheetData sheetId="12852" refreshError="1"/>
      <sheetData sheetId="12853" refreshError="1"/>
      <sheetData sheetId="12854" refreshError="1"/>
      <sheetData sheetId="12855" refreshError="1"/>
      <sheetData sheetId="12856" refreshError="1"/>
      <sheetData sheetId="12857" refreshError="1"/>
      <sheetData sheetId="12858" refreshError="1"/>
      <sheetData sheetId="12859" refreshError="1"/>
      <sheetData sheetId="12860" refreshError="1"/>
      <sheetData sheetId="12861" refreshError="1"/>
      <sheetData sheetId="12862" refreshError="1"/>
      <sheetData sheetId="12863" refreshError="1"/>
      <sheetData sheetId="12864" refreshError="1"/>
      <sheetData sheetId="12865" refreshError="1"/>
      <sheetData sheetId="12866" refreshError="1"/>
      <sheetData sheetId="12867" refreshError="1"/>
      <sheetData sheetId="12868" refreshError="1"/>
      <sheetData sheetId="12869" refreshError="1"/>
      <sheetData sheetId="12870" refreshError="1"/>
      <sheetData sheetId="12871" refreshError="1"/>
      <sheetData sheetId="12872" refreshError="1"/>
      <sheetData sheetId="12873" refreshError="1"/>
      <sheetData sheetId="12874" refreshError="1"/>
      <sheetData sheetId="12875" refreshError="1"/>
      <sheetData sheetId="12876" refreshError="1"/>
      <sheetData sheetId="12877" refreshError="1"/>
      <sheetData sheetId="12878" refreshError="1"/>
      <sheetData sheetId="12879" refreshError="1"/>
      <sheetData sheetId="12880" refreshError="1"/>
      <sheetData sheetId="12881" refreshError="1"/>
      <sheetData sheetId="12882" refreshError="1"/>
      <sheetData sheetId="12883" refreshError="1"/>
      <sheetData sheetId="12884" refreshError="1"/>
      <sheetData sheetId="12885" refreshError="1"/>
      <sheetData sheetId="12886" refreshError="1"/>
      <sheetData sheetId="12887" refreshError="1"/>
      <sheetData sheetId="12888" refreshError="1"/>
      <sheetData sheetId="12889" refreshError="1"/>
      <sheetData sheetId="12890" refreshError="1"/>
      <sheetData sheetId="12891" refreshError="1"/>
      <sheetData sheetId="12892" refreshError="1"/>
      <sheetData sheetId="12893" refreshError="1"/>
      <sheetData sheetId="12894" refreshError="1"/>
      <sheetData sheetId="12895" refreshError="1"/>
      <sheetData sheetId="12896" refreshError="1"/>
      <sheetData sheetId="12897" refreshError="1"/>
      <sheetData sheetId="12898" refreshError="1"/>
      <sheetData sheetId="12899" refreshError="1"/>
      <sheetData sheetId="12900" refreshError="1"/>
      <sheetData sheetId="12901" refreshError="1"/>
      <sheetData sheetId="12902" refreshError="1"/>
      <sheetData sheetId="12903" refreshError="1"/>
      <sheetData sheetId="12904" refreshError="1"/>
      <sheetData sheetId="12905" refreshError="1"/>
      <sheetData sheetId="12906" refreshError="1"/>
      <sheetData sheetId="12907" refreshError="1"/>
      <sheetData sheetId="12908" refreshError="1"/>
      <sheetData sheetId="12909" refreshError="1"/>
      <sheetData sheetId="12910" refreshError="1"/>
      <sheetData sheetId="12911" refreshError="1"/>
      <sheetData sheetId="12912" refreshError="1"/>
      <sheetData sheetId="12913" refreshError="1"/>
      <sheetData sheetId="12914" refreshError="1"/>
      <sheetData sheetId="12915" refreshError="1"/>
      <sheetData sheetId="12916" refreshError="1"/>
      <sheetData sheetId="12917" refreshError="1"/>
      <sheetData sheetId="12918" refreshError="1"/>
      <sheetData sheetId="12919" refreshError="1"/>
      <sheetData sheetId="12920" refreshError="1"/>
      <sheetData sheetId="12921" refreshError="1"/>
      <sheetData sheetId="12922" refreshError="1"/>
      <sheetData sheetId="12923" refreshError="1"/>
      <sheetData sheetId="12924" refreshError="1"/>
      <sheetData sheetId="12925" refreshError="1"/>
      <sheetData sheetId="12926" refreshError="1"/>
      <sheetData sheetId="12927" refreshError="1"/>
      <sheetData sheetId="12928" refreshError="1"/>
      <sheetData sheetId="12929" refreshError="1"/>
      <sheetData sheetId="12930" refreshError="1"/>
      <sheetData sheetId="12931" refreshError="1"/>
      <sheetData sheetId="12932" refreshError="1"/>
      <sheetData sheetId="12933" refreshError="1"/>
      <sheetData sheetId="12934" refreshError="1"/>
      <sheetData sheetId="12935" refreshError="1"/>
      <sheetData sheetId="12936" refreshError="1"/>
      <sheetData sheetId="12937" refreshError="1"/>
      <sheetData sheetId="12938" refreshError="1"/>
      <sheetData sheetId="12939" refreshError="1"/>
      <sheetData sheetId="12940" refreshError="1"/>
      <sheetData sheetId="12941" refreshError="1"/>
      <sheetData sheetId="12942" refreshError="1"/>
      <sheetData sheetId="12943" refreshError="1"/>
      <sheetData sheetId="12944" refreshError="1"/>
      <sheetData sheetId="12945" refreshError="1"/>
      <sheetData sheetId="12946" refreshError="1"/>
      <sheetData sheetId="12947" refreshError="1"/>
      <sheetData sheetId="12948" refreshError="1"/>
      <sheetData sheetId="12949" refreshError="1"/>
      <sheetData sheetId="12950" refreshError="1"/>
      <sheetData sheetId="12951" refreshError="1"/>
      <sheetData sheetId="12952" refreshError="1"/>
      <sheetData sheetId="12953" refreshError="1"/>
      <sheetData sheetId="12954" refreshError="1"/>
      <sheetData sheetId="12955" refreshError="1"/>
      <sheetData sheetId="12956" refreshError="1"/>
      <sheetData sheetId="12957" refreshError="1"/>
      <sheetData sheetId="12958" refreshError="1"/>
      <sheetData sheetId="12959" refreshError="1"/>
      <sheetData sheetId="12960" refreshError="1"/>
      <sheetData sheetId="12961" refreshError="1"/>
      <sheetData sheetId="12962" refreshError="1"/>
      <sheetData sheetId="12963" refreshError="1"/>
      <sheetData sheetId="12964" refreshError="1"/>
      <sheetData sheetId="12965" refreshError="1"/>
      <sheetData sheetId="12966" refreshError="1"/>
      <sheetData sheetId="12967" refreshError="1"/>
      <sheetData sheetId="12968" refreshError="1"/>
      <sheetData sheetId="12969" refreshError="1"/>
      <sheetData sheetId="12970" refreshError="1"/>
      <sheetData sheetId="12971" refreshError="1"/>
      <sheetData sheetId="12972" refreshError="1"/>
      <sheetData sheetId="12973" refreshError="1"/>
      <sheetData sheetId="12974" refreshError="1"/>
      <sheetData sheetId="12975" refreshError="1"/>
      <sheetData sheetId="12976" refreshError="1"/>
      <sheetData sheetId="12977" refreshError="1"/>
      <sheetData sheetId="12978" refreshError="1"/>
      <sheetData sheetId="12979" refreshError="1"/>
      <sheetData sheetId="12980" refreshError="1"/>
      <sheetData sheetId="12981" refreshError="1"/>
      <sheetData sheetId="12982" refreshError="1"/>
      <sheetData sheetId="12983" refreshError="1"/>
      <sheetData sheetId="12984" refreshError="1"/>
      <sheetData sheetId="12985" refreshError="1"/>
      <sheetData sheetId="12986" refreshError="1"/>
      <sheetData sheetId="12987" refreshError="1"/>
      <sheetData sheetId="12988" refreshError="1"/>
      <sheetData sheetId="12989" refreshError="1"/>
      <sheetData sheetId="12990" refreshError="1"/>
      <sheetData sheetId="12991" refreshError="1"/>
      <sheetData sheetId="12992" refreshError="1"/>
      <sheetData sheetId="12993" refreshError="1"/>
      <sheetData sheetId="12994" refreshError="1"/>
      <sheetData sheetId="12995" refreshError="1"/>
      <sheetData sheetId="12996" refreshError="1"/>
      <sheetData sheetId="12997" refreshError="1"/>
      <sheetData sheetId="12998" refreshError="1"/>
      <sheetData sheetId="12999" refreshError="1"/>
      <sheetData sheetId="13000" refreshError="1"/>
      <sheetData sheetId="13001" refreshError="1"/>
      <sheetData sheetId="13002" refreshError="1"/>
      <sheetData sheetId="13003" refreshError="1"/>
      <sheetData sheetId="13004" refreshError="1"/>
      <sheetData sheetId="13005" refreshError="1"/>
      <sheetData sheetId="13006" refreshError="1"/>
      <sheetData sheetId="13007" refreshError="1"/>
      <sheetData sheetId="13008" refreshError="1"/>
      <sheetData sheetId="13009" refreshError="1"/>
      <sheetData sheetId="13010" refreshError="1"/>
      <sheetData sheetId="13011" refreshError="1"/>
      <sheetData sheetId="13012" refreshError="1"/>
      <sheetData sheetId="13013" refreshError="1"/>
      <sheetData sheetId="13014" refreshError="1"/>
      <sheetData sheetId="13015" refreshError="1"/>
      <sheetData sheetId="13016" refreshError="1"/>
      <sheetData sheetId="13017" refreshError="1"/>
      <sheetData sheetId="13018" refreshError="1"/>
      <sheetData sheetId="13019" refreshError="1"/>
      <sheetData sheetId="13020" refreshError="1"/>
      <sheetData sheetId="13021" refreshError="1"/>
      <sheetData sheetId="13022" refreshError="1"/>
      <sheetData sheetId="13023" refreshError="1"/>
      <sheetData sheetId="13024" refreshError="1"/>
      <sheetData sheetId="13025" refreshError="1"/>
      <sheetData sheetId="13026" refreshError="1"/>
      <sheetData sheetId="13027" refreshError="1"/>
      <sheetData sheetId="13028" refreshError="1"/>
      <sheetData sheetId="13029" refreshError="1"/>
      <sheetData sheetId="13030" refreshError="1"/>
      <sheetData sheetId="13031" refreshError="1"/>
      <sheetData sheetId="13032" refreshError="1"/>
      <sheetData sheetId="13033" refreshError="1"/>
      <sheetData sheetId="13034" refreshError="1"/>
      <sheetData sheetId="13035" refreshError="1"/>
      <sheetData sheetId="13036" refreshError="1"/>
      <sheetData sheetId="13037" refreshError="1"/>
      <sheetData sheetId="13038" refreshError="1"/>
      <sheetData sheetId="13039" refreshError="1"/>
      <sheetData sheetId="13040" refreshError="1"/>
      <sheetData sheetId="13041" refreshError="1"/>
      <sheetData sheetId="13042" refreshError="1"/>
      <sheetData sheetId="13043" refreshError="1"/>
      <sheetData sheetId="13044" refreshError="1"/>
      <sheetData sheetId="13045" refreshError="1"/>
      <sheetData sheetId="13046" refreshError="1"/>
      <sheetData sheetId="13047" refreshError="1"/>
      <sheetData sheetId="13048" refreshError="1"/>
      <sheetData sheetId="13049" refreshError="1"/>
      <sheetData sheetId="13050" refreshError="1"/>
      <sheetData sheetId="13051" refreshError="1"/>
      <sheetData sheetId="13052" refreshError="1"/>
      <sheetData sheetId="13053" refreshError="1"/>
      <sheetData sheetId="13054" refreshError="1"/>
      <sheetData sheetId="13055" refreshError="1"/>
      <sheetData sheetId="13056" refreshError="1"/>
      <sheetData sheetId="13057" refreshError="1"/>
      <sheetData sheetId="13058" refreshError="1"/>
      <sheetData sheetId="13059" refreshError="1"/>
      <sheetData sheetId="13060" refreshError="1"/>
      <sheetData sheetId="13061" refreshError="1"/>
      <sheetData sheetId="13062" refreshError="1"/>
      <sheetData sheetId="13063" refreshError="1"/>
      <sheetData sheetId="13064" refreshError="1"/>
      <sheetData sheetId="13065" refreshError="1"/>
      <sheetData sheetId="13066" refreshError="1"/>
      <sheetData sheetId="13067" refreshError="1"/>
      <sheetData sheetId="13068" refreshError="1"/>
      <sheetData sheetId="13069" refreshError="1"/>
      <sheetData sheetId="13070" refreshError="1"/>
      <sheetData sheetId="13071" refreshError="1"/>
      <sheetData sheetId="13072" refreshError="1"/>
      <sheetData sheetId="13073" refreshError="1"/>
      <sheetData sheetId="13074" refreshError="1"/>
      <sheetData sheetId="13075" refreshError="1"/>
      <sheetData sheetId="13076" refreshError="1"/>
      <sheetData sheetId="13077" refreshError="1"/>
      <sheetData sheetId="13078" refreshError="1"/>
      <sheetData sheetId="13079" refreshError="1"/>
      <sheetData sheetId="13080" refreshError="1"/>
      <sheetData sheetId="13081" refreshError="1"/>
      <sheetData sheetId="13082" refreshError="1"/>
      <sheetData sheetId="13083" refreshError="1"/>
      <sheetData sheetId="13084" refreshError="1"/>
      <sheetData sheetId="13085" refreshError="1"/>
      <sheetData sheetId="13086" refreshError="1"/>
      <sheetData sheetId="13087" refreshError="1"/>
      <sheetData sheetId="13088" refreshError="1"/>
      <sheetData sheetId="13089" refreshError="1"/>
      <sheetData sheetId="13090" refreshError="1"/>
      <sheetData sheetId="13091" refreshError="1"/>
      <sheetData sheetId="13092" refreshError="1"/>
      <sheetData sheetId="13093" refreshError="1"/>
      <sheetData sheetId="13094" refreshError="1"/>
      <sheetData sheetId="13095" refreshError="1"/>
      <sheetData sheetId="13096" refreshError="1"/>
      <sheetData sheetId="13097" refreshError="1"/>
      <sheetData sheetId="13098" refreshError="1"/>
      <sheetData sheetId="13099" refreshError="1"/>
      <sheetData sheetId="13100" refreshError="1"/>
      <sheetData sheetId="13101" refreshError="1"/>
      <sheetData sheetId="13102" refreshError="1"/>
      <sheetData sheetId="13103" refreshError="1"/>
      <sheetData sheetId="13104" refreshError="1"/>
      <sheetData sheetId="13105" refreshError="1"/>
      <sheetData sheetId="13106" refreshError="1"/>
      <sheetData sheetId="13107" refreshError="1"/>
      <sheetData sheetId="13108" refreshError="1"/>
      <sheetData sheetId="13109" refreshError="1"/>
      <sheetData sheetId="13110" refreshError="1"/>
      <sheetData sheetId="13111" refreshError="1"/>
      <sheetData sheetId="13112" refreshError="1"/>
      <sheetData sheetId="13113" refreshError="1"/>
      <sheetData sheetId="13114" refreshError="1"/>
      <sheetData sheetId="13115" refreshError="1"/>
      <sheetData sheetId="13116" refreshError="1"/>
      <sheetData sheetId="13117" refreshError="1"/>
      <sheetData sheetId="13118" refreshError="1"/>
      <sheetData sheetId="13119" refreshError="1"/>
      <sheetData sheetId="13120" refreshError="1"/>
      <sheetData sheetId="13121" refreshError="1"/>
      <sheetData sheetId="13122" refreshError="1"/>
      <sheetData sheetId="13123" refreshError="1"/>
      <sheetData sheetId="13124" refreshError="1"/>
      <sheetData sheetId="13125" refreshError="1"/>
      <sheetData sheetId="13126" refreshError="1"/>
      <sheetData sheetId="13127" refreshError="1"/>
      <sheetData sheetId="13128" refreshError="1"/>
      <sheetData sheetId="13129" refreshError="1"/>
      <sheetData sheetId="13130" refreshError="1"/>
      <sheetData sheetId="13131" refreshError="1"/>
      <sheetData sheetId="13132" refreshError="1"/>
      <sheetData sheetId="13133" refreshError="1"/>
      <sheetData sheetId="13134" refreshError="1"/>
      <sheetData sheetId="13135" refreshError="1"/>
      <sheetData sheetId="13136" refreshError="1"/>
      <sheetData sheetId="13137" refreshError="1"/>
      <sheetData sheetId="13138" refreshError="1"/>
      <sheetData sheetId="13139" refreshError="1"/>
      <sheetData sheetId="13140" refreshError="1"/>
      <sheetData sheetId="13141" refreshError="1"/>
      <sheetData sheetId="13142" refreshError="1"/>
      <sheetData sheetId="13143" refreshError="1"/>
      <sheetData sheetId="13144" refreshError="1"/>
      <sheetData sheetId="13145" refreshError="1"/>
      <sheetData sheetId="13146" refreshError="1"/>
      <sheetData sheetId="13147" refreshError="1"/>
      <sheetData sheetId="13148" refreshError="1"/>
      <sheetData sheetId="13149" refreshError="1"/>
      <sheetData sheetId="13150" refreshError="1"/>
      <sheetData sheetId="13151" refreshError="1"/>
      <sheetData sheetId="13152" refreshError="1"/>
      <sheetData sheetId="13153" refreshError="1"/>
      <sheetData sheetId="13154" refreshError="1"/>
      <sheetData sheetId="13155" refreshError="1"/>
      <sheetData sheetId="13156" refreshError="1"/>
      <sheetData sheetId="13157" refreshError="1"/>
      <sheetData sheetId="13158" refreshError="1"/>
      <sheetData sheetId="13159" refreshError="1"/>
      <sheetData sheetId="13160" refreshError="1"/>
      <sheetData sheetId="13161" refreshError="1"/>
      <sheetData sheetId="13162" refreshError="1"/>
      <sheetData sheetId="13163" refreshError="1"/>
      <sheetData sheetId="13164" refreshError="1"/>
      <sheetData sheetId="13165" refreshError="1"/>
      <sheetData sheetId="13166" refreshError="1"/>
      <sheetData sheetId="13167" refreshError="1"/>
      <sheetData sheetId="13168" refreshError="1"/>
      <sheetData sheetId="13169" refreshError="1"/>
      <sheetData sheetId="13170" refreshError="1"/>
      <sheetData sheetId="13171" refreshError="1"/>
      <sheetData sheetId="13172" refreshError="1"/>
      <sheetData sheetId="13173" refreshError="1"/>
      <sheetData sheetId="13174" refreshError="1"/>
      <sheetData sheetId="13175" refreshError="1"/>
      <sheetData sheetId="13176" refreshError="1"/>
      <sheetData sheetId="13177" refreshError="1"/>
      <sheetData sheetId="13178" refreshError="1"/>
      <sheetData sheetId="13179" refreshError="1"/>
      <sheetData sheetId="13180" refreshError="1"/>
      <sheetData sheetId="13181" refreshError="1"/>
      <sheetData sheetId="13182" refreshError="1"/>
      <sheetData sheetId="13183" refreshError="1"/>
      <sheetData sheetId="13184" refreshError="1"/>
      <sheetData sheetId="13185" refreshError="1"/>
      <sheetData sheetId="13186" refreshError="1"/>
      <sheetData sheetId="13187" refreshError="1"/>
      <sheetData sheetId="13188" refreshError="1"/>
      <sheetData sheetId="13189" refreshError="1"/>
      <sheetData sheetId="13190" refreshError="1"/>
      <sheetData sheetId="13191" refreshError="1"/>
      <sheetData sheetId="13192" refreshError="1"/>
      <sheetData sheetId="13193" refreshError="1"/>
      <sheetData sheetId="13194" refreshError="1"/>
      <sheetData sheetId="13195" refreshError="1"/>
      <sheetData sheetId="13196" refreshError="1"/>
      <sheetData sheetId="13197" refreshError="1"/>
      <sheetData sheetId="13198" refreshError="1"/>
      <sheetData sheetId="13199" refreshError="1"/>
      <sheetData sheetId="13200" refreshError="1"/>
      <sheetData sheetId="13201" refreshError="1"/>
      <sheetData sheetId="13202" refreshError="1"/>
      <sheetData sheetId="13203" refreshError="1"/>
      <sheetData sheetId="13204" refreshError="1"/>
      <sheetData sheetId="13205" refreshError="1"/>
      <sheetData sheetId="13206" refreshError="1"/>
      <sheetData sheetId="13207" refreshError="1"/>
      <sheetData sheetId="13208" refreshError="1"/>
      <sheetData sheetId="13209" refreshError="1"/>
      <sheetData sheetId="13210" refreshError="1"/>
      <sheetData sheetId="13211" refreshError="1"/>
      <sheetData sheetId="13212" refreshError="1"/>
      <sheetData sheetId="13213" refreshError="1"/>
      <sheetData sheetId="13214" refreshError="1"/>
      <sheetData sheetId="13215" refreshError="1"/>
      <sheetData sheetId="13216" refreshError="1"/>
      <sheetData sheetId="13217" refreshError="1"/>
      <sheetData sheetId="13218" refreshError="1"/>
      <sheetData sheetId="13219" refreshError="1"/>
      <sheetData sheetId="13220" refreshError="1"/>
      <sheetData sheetId="13221" refreshError="1"/>
      <sheetData sheetId="13222" refreshError="1"/>
      <sheetData sheetId="13223" refreshError="1"/>
      <sheetData sheetId="13224" refreshError="1"/>
      <sheetData sheetId="13225" refreshError="1"/>
      <sheetData sheetId="13226" refreshError="1"/>
      <sheetData sheetId="13227" refreshError="1"/>
      <sheetData sheetId="13228" refreshError="1"/>
      <sheetData sheetId="13229" refreshError="1"/>
      <sheetData sheetId="13230" refreshError="1"/>
      <sheetData sheetId="13231" refreshError="1"/>
      <sheetData sheetId="13232" refreshError="1"/>
      <sheetData sheetId="13233" refreshError="1"/>
      <sheetData sheetId="13234" refreshError="1"/>
      <sheetData sheetId="13235" refreshError="1"/>
      <sheetData sheetId="13236" refreshError="1"/>
      <sheetData sheetId="13237" refreshError="1"/>
      <sheetData sheetId="13238" refreshError="1"/>
      <sheetData sheetId="13239" refreshError="1"/>
      <sheetData sheetId="13240" refreshError="1"/>
      <sheetData sheetId="13241" refreshError="1"/>
      <sheetData sheetId="13242" refreshError="1"/>
      <sheetData sheetId="13243" refreshError="1"/>
      <sheetData sheetId="13244" refreshError="1"/>
      <sheetData sheetId="13245" refreshError="1"/>
      <sheetData sheetId="13246" refreshError="1"/>
      <sheetData sheetId="13247" refreshError="1"/>
      <sheetData sheetId="13248" refreshError="1"/>
      <sheetData sheetId="13249" refreshError="1"/>
      <sheetData sheetId="13250" refreshError="1"/>
      <sheetData sheetId="13251" refreshError="1"/>
      <sheetData sheetId="13252" refreshError="1"/>
      <sheetData sheetId="13253" refreshError="1"/>
      <sheetData sheetId="13254" refreshError="1"/>
      <sheetData sheetId="13255" refreshError="1"/>
      <sheetData sheetId="13256" refreshError="1"/>
      <sheetData sheetId="13257" refreshError="1"/>
      <sheetData sheetId="13258" refreshError="1"/>
      <sheetData sheetId="13259" refreshError="1"/>
      <sheetData sheetId="13260" refreshError="1"/>
      <sheetData sheetId="13261" refreshError="1"/>
      <sheetData sheetId="13262" refreshError="1"/>
      <sheetData sheetId="13263" refreshError="1"/>
      <sheetData sheetId="13264" refreshError="1"/>
      <sheetData sheetId="13265" refreshError="1"/>
      <sheetData sheetId="13266" refreshError="1"/>
      <sheetData sheetId="13267" refreshError="1"/>
      <sheetData sheetId="13268" refreshError="1"/>
      <sheetData sheetId="13269" refreshError="1"/>
      <sheetData sheetId="13270" refreshError="1"/>
      <sheetData sheetId="13271" refreshError="1"/>
      <sheetData sheetId="13272" refreshError="1"/>
      <sheetData sheetId="13273" refreshError="1"/>
      <sheetData sheetId="13274" refreshError="1"/>
      <sheetData sheetId="13275" refreshError="1"/>
      <sheetData sheetId="13276" refreshError="1"/>
      <sheetData sheetId="13277" refreshError="1"/>
      <sheetData sheetId="13278" refreshError="1"/>
      <sheetData sheetId="13279" refreshError="1"/>
      <sheetData sheetId="13280" refreshError="1"/>
      <sheetData sheetId="13281" refreshError="1"/>
      <sheetData sheetId="13282" refreshError="1"/>
      <sheetData sheetId="13283" refreshError="1"/>
      <sheetData sheetId="13284" refreshError="1"/>
      <sheetData sheetId="13285" refreshError="1"/>
      <sheetData sheetId="13286" refreshError="1"/>
      <sheetData sheetId="13287" refreshError="1"/>
      <sheetData sheetId="13288" refreshError="1"/>
      <sheetData sheetId="13289" refreshError="1"/>
      <sheetData sheetId="13290" refreshError="1"/>
      <sheetData sheetId="13291" refreshError="1"/>
      <sheetData sheetId="13292" refreshError="1"/>
      <sheetData sheetId="13293" refreshError="1"/>
      <sheetData sheetId="13294" refreshError="1"/>
      <sheetData sheetId="13295" refreshError="1"/>
      <sheetData sheetId="13296" refreshError="1"/>
      <sheetData sheetId="13297" refreshError="1"/>
      <sheetData sheetId="13298" refreshError="1"/>
      <sheetData sheetId="13299" refreshError="1"/>
      <sheetData sheetId="13300" refreshError="1"/>
      <sheetData sheetId="13301" refreshError="1"/>
      <sheetData sheetId="13302" refreshError="1"/>
      <sheetData sheetId="13303" refreshError="1"/>
      <sheetData sheetId="13304" refreshError="1"/>
      <sheetData sheetId="13305" refreshError="1"/>
      <sheetData sheetId="13306" refreshError="1"/>
      <sheetData sheetId="13307" refreshError="1"/>
      <sheetData sheetId="13308" refreshError="1"/>
      <sheetData sheetId="13309" refreshError="1"/>
      <sheetData sheetId="13310" refreshError="1"/>
      <sheetData sheetId="13311" refreshError="1"/>
      <sheetData sheetId="13312" refreshError="1"/>
      <sheetData sheetId="13313" refreshError="1"/>
      <sheetData sheetId="13314" refreshError="1"/>
      <sheetData sheetId="13315" refreshError="1"/>
      <sheetData sheetId="13316" refreshError="1"/>
      <sheetData sheetId="13317" refreshError="1"/>
      <sheetData sheetId="13318" refreshError="1"/>
      <sheetData sheetId="13319" refreshError="1"/>
      <sheetData sheetId="13320" refreshError="1"/>
      <sheetData sheetId="13321" refreshError="1"/>
      <sheetData sheetId="13322" refreshError="1"/>
      <sheetData sheetId="13323" refreshError="1"/>
      <sheetData sheetId="13324" refreshError="1"/>
      <sheetData sheetId="13325" refreshError="1"/>
      <sheetData sheetId="13326" refreshError="1"/>
      <sheetData sheetId="13327" refreshError="1"/>
      <sheetData sheetId="13328" refreshError="1"/>
      <sheetData sheetId="13329" refreshError="1"/>
      <sheetData sheetId="13330" refreshError="1"/>
      <sheetData sheetId="13331" refreshError="1"/>
      <sheetData sheetId="13332" refreshError="1"/>
      <sheetData sheetId="13333" refreshError="1"/>
      <sheetData sheetId="13334" refreshError="1"/>
      <sheetData sheetId="13335" refreshError="1"/>
      <sheetData sheetId="13336" refreshError="1"/>
      <sheetData sheetId="13337" refreshError="1"/>
      <sheetData sheetId="13338" refreshError="1"/>
      <sheetData sheetId="13339" refreshError="1"/>
      <sheetData sheetId="13340" refreshError="1"/>
      <sheetData sheetId="13341" refreshError="1"/>
      <sheetData sheetId="13342" refreshError="1"/>
      <sheetData sheetId="13343" refreshError="1"/>
      <sheetData sheetId="13344" refreshError="1"/>
      <sheetData sheetId="13345" refreshError="1"/>
      <sheetData sheetId="13346" refreshError="1"/>
      <sheetData sheetId="13347" refreshError="1"/>
      <sheetData sheetId="13348" refreshError="1"/>
      <sheetData sheetId="13349" refreshError="1"/>
      <sheetData sheetId="13350" refreshError="1"/>
      <sheetData sheetId="13351" refreshError="1"/>
      <sheetData sheetId="13352" refreshError="1"/>
      <sheetData sheetId="13353" refreshError="1"/>
      <sheetData sheetId="13354" refreshError="1"/>
      <sheetData sheetId="13355" refreshError="1"/>
      <sheetData sheetId="13356" refreshError="1"/>
      <sheetData sheetId="13357" refreshError="1"/>
      <sheetData sheetId="13358" refreshError="1"/>
      <sheetData sheetId="13359" refreshError="1"/>
      <sheetData sheetId="13360" refreshError="1"/>
      <sheetData sheetId="13361" refreshError="1"/>
      <sheetData sheetId="13362" refreshError="1"/>
      <sheetData sheetId="13363" refreshError="1"/>
      <sheetData sheetId="13364" refreshError="1"/>
      <sheetData sheetId="13365" refreshError="1"/>
      <sheetData sheetId="13366" refreshError="1"/>
      <sheetData sheetId="13367" refreshError="1"/>
      <sheetData sheetId="13368" refreshError="1"/>
      <sheetData sheetId="13369" refreshError="1"/>
      <sheetData sheetId="13370" refreshError="1"/>
      <sheetData sheetId="13371" refreshError="1"/>
      <sheetData sheetId="13372" refreshError="1"/>
      <sheetData sheetId="13373" refreshError="1"/>
      <sheetData sheetId="13374" refreshError="1"/>
      <sheetData sheetId="13375" refreshError="1"/>
      <sheetData sheetId="13376" refreshError="1"/>
      <sheetData sheetId="13377" refreshError="1"/>
      <sheetData sheetId="13378" refreshError="1"/>
      <sheetData sheetId="13379" refreshError="1"/>
      <sheetData sheetId="13380" refreshError="1"/>
      <sheetData sheetId="13381" refreshError="1"/>
      <sheetData sheetId="13382" refreshError="1"/>
      <sheetData sheetId="13383" refreshError="1"/>
      <sheetData sheetId="13384" refreshError="1"/>
      <sheetData sheetId="13385" refreshError="1"/>
      <sheetData sheetId="13386" refreshError="1"/>
      <sheetData sheetId="13387" refreshError="1"/>
      <sheetData sheetId="13388" refreshError="1"/>
      <sheetData sheetId="13389" refreshError="1"/>
      <sheetData sheetId="13390" refreshError="1"/>
      <sheetData sheetId="13391" refreshError="1"/>
      <sheetData sheetId="13392" refreshError="1"/>
      <sheetData sheetId="13393" refreshError="1"/>
      <sheetData sheetId="13394" refreshError="1"/>
      <sheetData sheetId="13395" refreshError="1"/>
      <sheetData sheetId="13396" refreshError="1"/>
      <sheetData sheetId="13397" refreshError="1"/>
      <sheetData sheetId="13398" refreshError="1"/>
      <sheetData sheetId="13399" refreshError="1"/>
      <sheetData sheetId="13400" refreshError="1"/>
      <sheetData sheetId="13401" refreshError="1"/>
      <sheetData sheetId="13402" refreshError="1"/>
      <sheetData sheetId="13403" refreshError="1"/>
      <sheetData sheetId="13404" refreshError="1"/>
      <sheetData sheetId="13405" refreshError="1"/>
      <sheetData sheetId="13406" refreshError="1"/>
      <sheetData sheetId="13407" refreshError="1"/>
      <sheetData sheetId="13408" refreshError="1"/>
      <sheetData sheetId="13409" refreshError="1"/>
      <sheetData sheetId="13410" refreshError="1"/>
      <sheetData sheetId="13411" refreshError="1"/>
      <sheetData sheetId="13412" refreshError="1"/>
      <sheetData sheetId="13413" refreshError="1"/>
      <sheetData sheetId="13414" refreshError="1"/>
      <sheetData sheetId="13415" refreshError="1"/>
      <sheetData sheetId="13416" refreshError="1"/>
      <sheetData sheetId="13417" refreshError="1"/>
      <sheetData sheetId="13418" refreshError="1"/>
      <sheetData sheetId="13419" refreshError="1"/>
      <sheetData sheetId="13420" refreshError="1"/>
      <sheetData sheetId="13421" refreshError="1"/>
      <sheetData sheetId="13422" refreshError="1"/>
      <sheetData sheetId="13423" refreshError="1"/>
      <sheetData sheetId="13424" refreshError="1"/>
      <sheetData sheetId="13425" refreshError="1"/>
      <sheetData sheetId="13426" refreshError="1"/>
      <sheetData sheetId="13427" refreshError="1"/>
      <sheetData sheetId="13428" refreshError="1"/>
      <sheetData sheetId="13429" refreshError="1"/>
      <sheetData sheetId="13430" refreshError="1"/>
      <sheetData sheetId="13431" refreshError="1"/>
      <sheetData sheetId="13432" refreshError="1"/>
      <sheetData sheetId="13433" refreshError="1"/>
      <sheetData sheetId="13434" refreshError="1"/>
      <sheetData sheetId="13435" refreshError="1"/>
      <sheetData sheetId="13436" refreshError="1"/>
      <sheetData sheetId="13437" refreshError="1"/>
      <sheetData sheetId="13438" refreshError="1"/>
      <sheetData sheetId="13439" refreshError="1"/>
      <sheetData sheetId="13440" refreshError="1"/>
      <sheetData sheetId="13441" refreshError="1"/>
      <sheetData sheetId="13442" refreshError="1"/>
      <sheetData sheetId="13443" refreshError="1"/>
      <sheetData sheetId="13444" refreshError="1"/>
      <sheetData sheetId="13445" refreshError="1"/>
      <sheetData sheetId="13446" refreshError="1"/>
      <sheetData sheetId="13447" refreshError="1"/>
      <sheetData sheetId="13448" refreshError="1"/>
      <sheetData sheetId="13449" refreshError="1"/>
      <sheetData sheetId="13450" refreshError="1"/>
      <sheetData sheetId="13451" refreshError="1"/>
      <sheetData sheetId="13452" refreshError="1"/>
      <sheetData sheetId="13453" refreshError="1"/>
      <sheetData sheetId="13454" refreshError="1"/>
      <sheetData sheetId="13455" refreshError="1"/>
      <sheetData sheetId="13456" refreshError="1"/>
      <sheetData sheetId="13457" refreshError="1"/>
      <sheetData sheetId="13458" refreshError="1"/>
      <sheetData sheetId="13459" refreshError="1"/>
      <sheetData sheetId="13460" refreshError="1"/>
      <sheetData sheetId="13461" refreshError="1"/>
      <sheetData sheetId="13462" refreshError="1"/>
      <sheetData sheetId="13463" refreshError="1"/>
      <sheetData sheetId="13464" refreshError="1"/>
      <sheetData sheetId="13465" refreshError="1"/>
      <sheetData sheetId="13466" refreshError="1"/>
      <sheetData sheetId="13467" refreshError="1"/>
      <sheetData sheetId="13468" refreshError="1"/>
      <sheetData sheetId="13469" refreshError="1"/>
      <sheetData sheetId="13470" refreshError="1"/>
      <sheetData sheetId="13471" refreshError="1"/>
      <sheetData sheetId="13472" refreshError="1"/>
      <sheetData sheetId="13473" refreshError="1"/>
      <sheetData sheetId="13474" refreshError="1"/>
      <sheetData sheetId="13475" refreshError="1"/>
      <sheetData sheetId="13476" refreshError="1"/>
      <sheetData sheetId="13477" refreshError="1"/>
      <sheetData sheetId="13478" refreshError="1"/>
      <sheetData sheetId="13479" refreshError="1"/>
      <sheetData sheetId="13480" refreshError="1"/>
      <sheetData sheetId="13481" refreshError="1"/>
      <sheetData sheetId="13482" refreshError="1"/>
      <sheetData sheetId="13483" refreshError="1"/>
      <sheetData sheetId="13484" refreshError="1"/>
      <sheetData sheetId="13485" refreshError="1"/>
      <sheetData sheetId="13486" refreshError="1"/>
      <sheetData sheetId="13487" refreshError="1"/>
      <sheetData sheetId="13488" refreshError="1"/>
      <sheetData sheetId="13489" refreshError="1"/>
      <sheetData sheetId="13490" refreshError="1"/>
      <sheetData sheetId="13491" refreshError="1"/>
      <sheetData sheetId="13492" refreshError="1"/>
      <sheetData sheetId="13493" refreshError="1"/>
      <sheetData sheetId="13494" refreshError="1"/>
      <sheetData sheetId="13495" refreshError="1"/>
      <sheetData sheetId="13496" refreshError="1"/>
      <sheetData sheetId="13497" refreshError="1"/>
      <sheetData sheetId="13498" refreshError="1"/>
      <sheetData sheetId="13499" refreshError="1"/>
      <sheetData sheetId="13500" refreshError="1"/>
      <sheetData sheetId="13501" refreshError="1"/>
      <sheetData sheetId="13502" refreshError="1"/>
      <sheetData sheetId="13503" refreshError="1"/>
      <sheetData sheetId="13504" refreshError="1"/>
      <sheetData sheetId="13505" refreshError="1"/>
      <sheetData sheetId="13506" refreshError="1"/>
      <sheetData sheetId="13507" refreshError="1"/>
      <sheetData sheetId="13508" refreshError="1"/>
      <sheetData sheetId="13509" refreshError="1"/>
      <sheetData sheetId="13510" refreshError="1"/>
      <sheetData sheetId="13511" refreshError="1"/>
      <sheetData sheetId="13512" refreshError="1"/>
      <sheetData sheetId="13513" refreshError="1"/>
      <sheetData sheetId="13514" refreshError="1"/>
      <sheetData sheetId="13515" refreshError="1"/>
      <sheetData sheetId="13516" refreshError="1"/>
      <sheetData sheetId="13517" refreshError="1"/>
      <sheetData sheetId="13518" refreshError="1"/>
      <sheetData sheetId="13519" refreshError="1"/>
      <sheetData sheetId="13520" refreshError="1"/>
      <sheetData sheetId="13521" refreshError="1"/>
      <sheetData sheetId="13522" refreshError="1"/>
      <sheetData sheetId="13523" refreshError="1"/>
      <sheetData sheetId="13524" refreshError="1"/>
      <sheetData sheetId="13525" refreshError="1"/>
      <sheetData sheetId="13526" refreshError="1"/>
      <sheetData sheetId="13527" refreshError="1"/>
      <sheetData sheetId="13528" refreshError="1"/>
      <sheetData sheetId="13529" refreshError="1"/>
      <sheetData sheetId="13530" refreshError="1"/>
      <sheetData sheetId="13531" refreshError="1"/>
      <sheetData sheetId="13532" refreshError="1"/>
      <sheetData sheetId="13533" refreshError="1"/>
      <sheetData sheetId="13534" refreshError="1"/>
      <sheetData sheetId="13535" refreshError="1"/>
      <sheetData sheetId="13536" refreshError="1"/>
      <sheetData sheetId="13537" refreshError="1"/>
      <sheetData sheetId="13538" refreshError="1"/>
      <sheetData sheetId="13539" refreshError="1"/>
      <sheetData sheetId="13540" refreshError="1"/>
      <sheetData sheetId="13541" refreshError="1"/>
      <sheetData sheetId="13542" refreshError="1"/>
      <sheetData sheetId="13543"/>
      <sheetData sheetId="13544"/>
      <sheetData sheetId="13545"/>
      <sheetData sheetId="13546"/>
      <sheetData sheetId="13547" refreshError="1"/>
      <sheetData sheetId="13548"/>
      <sheetData sheetId="13549"/>
      <sheetData sheetId="13550"/>
      <sheetData sheetId="13551"/>
      <sheetData sheetId="13552"/>
      <sheetData sheetId="13553"/>
      <sheetData sheetId="13554"/>
      <sheetData sheetId="13555"/>
      <sheetData sheetId="13556"/>
      <sheetData sheetId="13557"/>
      <sheetData sheetId="13558"/>
      <sheetData sheetId="13559"/>
      <sheetData sheetId="13560"/>
      <sheetData sheetId="13561"/>
      <sheetData sheetId="13562"/>
      <sheetData sheetId="13563" refreshError="1"/>
      <sheetData sheetId="13564" refreshError="1"/>
      <sheetData sheetId="13565" refreshError="1"/>
      <sheetData sheetId="13566" refreshError="1"/>
      <sheetData sheetId="13567" refreshError="1"/>
      <sheetData sheetId="13568" refreshError="1"/>
      <sheetData sheetId="13569" refreshError="1"/>
      <sheetData sheetId="13570" refreshError="1"/>
      <sheetData sheetId="13571"/>
      <sheetData sheetId="13572" refreshError="1"/>
      <sheetData sheetId="13573"/>
      <sheetData sheetId="13574" refreshError="1"/>
      <sheetData sheetId="13575"/>
      <sheetData sheetId="13576" refreshError="1"/>
      <sheetData sheetId="13577"/>
      <sheetData sheetId="13578"/>
      <sheetData sheetId="13579"/>
      <sheetData sheetId="13580"/>
      <sheetData sheetId="13581"/>
      <sheetData sheetId="13582"/>
      <sheetData sheetId="13583"/>
      <sheetData sheetId="13584"/>
      <sheetData sheetId="13585"/>
      <sheetData sheetId="13586"/>
      <sheetData sheetId="13587"/>
      <sheetData sheetId="13588"/>
      <sheetData sheetId="13589"/>
      <sheetData sheetId="13590"/>
      <sheetData sheetId="13591"/>
      <sheetData sheetId="13592"/>
      <sheetData sheetId="13593"/>
      <sheetData sheetId="13594" refreshError="1"/>
      <sheetData sheetId="13595" refreshError="1"/>
      <sheetData sheetId="13596" refreshError="1"/>
      <sheetData sheetId="13597" refreshError="1"/>
      <sheetData sheetId="13598" refreshError="1"/>
      <sheetData sheetId="13599" refreshError="1"/>
      <sheetData sheetId="13600" refreshError="1"/>
      <sheetData sheetId="13601" refreshError="1"/>
      <sheetData sheetId="13602" refreshError="1"/>
      <sheetData sheetId="13603" refreshError="1"/>
      <sheetData sheetId="13604" refreshError="1"/>
      <sheetData sheetId="13605" refreshError="1"/>
      <sheetData sheetId="13606" refreshError="1"/>
      <sheetData sheetId="13607" refreshError="1"/>
      <sheetData sheetId="13608" refreshError="1"/>
      <sheetData sheetId="13609" refreshError="1"/>
      <sheetData sheetId="13610">
        <row r="1">
          <cell r="A1" t="str">
            <v>ASSET_NUMBER</v>
          </cell>
        </row>
      </sheetData>
      <sheetData sheetId="13611" refreshError="1"/>
      <sheetData sheetId="13612" refreshError="1"/>
      <sheetData sheetId="13613" refreshError="1"/>
      <sheetData sheetId="13614" refreshError="1"/>
      <sheetData sheetId="13615" refreshError="1"/>
      <sheetData sheetId="13616" refreshError="1"/>
      <sheetData sheetId="13617" refreshError="1"/>
      <sheetData sheetId="13618" refreshError="1"/>
      <sheetData sheetId="13619" refreshError="1"/>
      <sheetData sheetId="13620" refreshError="1"/>
      <sheetData sheetId="13621" refreshError="1"/>
      <sheetData sheetId="13622" refreshError="1"/>
      <sheetData sheetId="13623" refreshError="1"/>
      <sheetData sheetId="13624" refreshError="1"/>
      <sheetData sheetId="13625" refreshError="1"/>
      <sheetData sheetId="13626" refreshError="1"/>
      <sheetData sheetId="13627" refreshError="1"/>
      <sheetData sheetId="13628" refreshError="1"/>
      <sheetData sheetId="13629" refreshError="1"/>
      <sheetData sheetId="13630" refreshError="1"/>
      <sheetData sheetId="13631" refreshError="1"/>
      <sheetData sheetId="13632" refreshError="1"/>
      <sheetData sheetId="13633" refreshError="1"/>
      <sheetData sheetId="13634" refreshError="1"/>
      <sheetData sheetId="13635" refreshError="1"/>
      <sheetData sheetId="13636"/>
      <sheetData sheetId="13637"/>
      <sheetData sheetId="13638">
        <row r="7">
          <cell r="D7">
            <v>0</v>
          </cell>
        </row>
      </sheetData>
      <sheetData sheetId="13639">
        <row r="8">
          <cell r="B8">
            <v>14</v>
          </cell>
        </row>
      </sheetData>
      <sheetData sheetId="13640"/>
      <sheetData sheetId="13641"/>
      <sheetData sheetId="13642"/>
      <sheetData sheetId="13643" refreshError="1"/>
      <sheetData sheetId="13644" refreshError="1"/>
      <sheetData sheetId="13645"/>
      <sheetData sheetId="13646"/>
      <sheetData sheetId="13647"/>
      <sheetData sheetId="13648"/>
      <sheetData sheetId="13649"/>
      <sheetData sheetId="13650"/>
      <sheetData sheetId="13651"/>
      <sheetData sheetId="13652"/>
      <sheetData sheetId="13653"/>
      <sheetData sheetId="13654"/>
      <sheetData sheetId="13655"/>
      <sheetData sheetId="13656"/>
      <sheetData sheetId="13657"/>
      <sheetData sheetId="13658"/>
      <sheetData sheetId="13659">
        <row r="1">
          <cell r="A1" t="str">
            <v>ASSET_NUMBER</v>
          </cell>
        </row>
      </sheetData>
      <sheetData sheetId="13660"/>
      <sheetData sheetId="13661"/>
      <sheetData sheetId="13662"/>
      <sheetData sheetId="13663"/>
      <sheetData sheetId="13664" refreshError="1"/>
      <sheetData sheetId="13665" refreshError="1"/>
      <sheetData sheetId="13666" refreshError="1"/>
      <sheetData sheetId="13667" refreshError="1"/>
      <sheetData sheetId="13668" refreshError="1"/>
      <sheetData sheetId="13669" refreshError="1"/>
      <sheetData sheetId="13670" refreshError="1"/>
      <sheetData sheetId="13671" refreshError="1"/>
      <sheetData sheetId="13672" refreshError="1"/>
      <sheetData sheetId="13673" refreshError="1"/>
      <sheetData sheetId="13674" refreshError="1"/>
      <sheetData sheetId="13675" refreshError="1"/>
      <sheetData sheetId="13676" refreshError="1"/>
      <sheetData sheetId="13677" refreshError="1"/>
      <sheetData sheetId="13678" refreshError="1"/>
      <sheetData sheetId="13679" refreshError="1"/>
      <sheetData sheetId="13680" refreshError="1"/>
      <sheetData sheetId="13681" refreshError="1"/>
      <sheetData sheetId="13682" refreshError="1"/>
      <sheetData sheetId="13683" refreshError="1"/>
      <sheetData sheetId="13684" refreshError="1"/>
      <sheetData sheetId="13685" refreshError="1"/>
      <sheetData sheetId="13686" refreshError="1"/>
      <sheetData sheetId="13687" refreshError="1"/>
      <sheetData sheetId="13688" refreshError="1"/>
      <sheetData sheetId="13689" refreshError="1"/>
      <sheetData sheetId="13690" refreshError="1"/>
      <sheetData sheetId="13691" refreshError="1"/>
      <sheetData sheetId="13692" refreshError="1"/>
      <sheetData sheetId="13693" refreshError="1"/>
      <sheetData sheetId="13694" refreshError="1"/>
      <sheetData sheetId="13695" refreshError="1"/>
      <sheetData sheetId="13696" refreshError="1"/>
      <sheetData sheetId="13697" refreshError="1"/>
      <sheetData sheetId="13698" refreshError="1"/>
      <sheetData sheetId="13699" refreshError="1"/>
      <sheetData sheetId="13700" refreshError="1"/>
      <sheetData sheetId="13701" refreshError="1"/>
      <sheetData sheetId="13702" refreshError="1"/>
      <sheetData sheetId="13703" refreshError="1"/>
      <sheetData sheetId="13704" refreshError="1"/>
      <sheetData sheetId="13705" refreshError="1"/>
      <sheetData sheetId="13706" refreshError="1"/>
      <sheetData sheetId="13707" refreshError="1"/>
      <sheetData sheetId="13708" refreshError="1"/>
      <sheetData sheetId="13709" refreshError="1"/>
      <sheetData sheetId="13710" refreshError="1"/>
      <sheetData sheetId="13711" refreshError="1"/>
      <sheetData sheetId="13712" refreshError="1"/>
      <sheetData sheetId="13713" refreshError="1"/>
      <sheetData sheetId="13714" refreshError="1"/>
      <sheetData sheetId="13715" refreshError="1"/>
      <sheetData sheetId="13716" refreshError="1"/>
      <sheetData sheetId="13717" refreshError="1"/>
      <sheetData sheetId="13718" refreshError="1"/>
      <sheetData sheetId="13719" refreshError="1"/>
      <sheetData sheetId="13720" refreshError="1"/>
      <sheetData sheetId="13721" refreshError="1"/>
      <sheetData sheetId="13722" refreshError="1"/>
      <sheetData sheetId="13723" refreshError="1"/>
      <sheetData sheetId="13724" refreshError="1"/>
      <sheetData sheetId="13725" refreshError="1"/>
      <sheetData sheetId="13726" refreshError="1"/>
      <sheetData sheetId="13727" refreshError="1"/>
      <sheetData sheetId="13728" refreshError="1"/>
      <sheetData sheetId="13729" refreshError="1"/>
      <sheetData sheetId="13730" refreshError="1"/>
      <sheetData sheetId="13731" refreshError="1"/>
      <sheetData sheetId="13732" refreshError="1"/>
      <sheetData sheetId="13733" refreshError="1"/>
      <sheetData sheetId="13734" refreshError="1"/>
      <sheetData sheetId="13735" refreshError="1"/>
      <sheetData sheetId="13736" refreshError="1"/>
      <sheetData sheetId="13737" refreshError="1"/>
      <sheetData sheetId="13738" refreshError="1"/>
      <sheetData sheetId="13739" refreshError="1"/>
      <sheetData sheetId="13740" refreshError="1"/>
      <sheetData sheetId="13741" refreshError="1"/>
      <sheetData sheetId="13742" refreshError="1"/>
      <sheetData sheetId="13743" refreshError="1"/>
      <sheetData sheetId="13744" refreshError="1"/>
      <sheetData sheetId="13745" refreshError="1"/>
      <sheetData sheetId="13746" refreshError="1"/>
      <sheetData sheetId="13747" refreshError="1"/>
      <sheetData sheetId="13748" refreshError="1"/>
      <sheetData sheetId="13749" refreshError="1"/>
      <sheetData sheetId="13750" refreshError="1"/>
      <sheetData sheetId="13751" refreshError="1"/>
      <sheetData sheetId="13752" refreshError="1"/>
      <sheetData sheetId="13753" refreshError="1"/>
      <sheetData sheetId="13754" refreshError="1"/>
      <sheetData sheetId="13755" refreshError="1"/>
      <sheetData sheetId="13756" refreshError="1"/>
      <sheetData sheetId="13757" refreshError="1"/>
      <sheetData sheetId="13758" refreshError="1"/>
      <sheetData sheetId="13759" refreshError="1"/>
      <sheetData sheetId="13760" refreshError="1"/>
      <sheetData sheetId="13761" refreshError="1"/>
      <sheetData sheetId="13762" refreshError="1"/>
      <sheetData sheetId="13763" refreshError="1"/>
      <sheetData sheetId="13764" refreshError="1"/>
      <sheetData sheetId="13765" refreshError="1"/>
      <sheetData sheetId="13766" refreshError="1"/>
      <sheetData sheetId="13767" refreshError="1"/>
      <sheetData sheetId="13768" refreshError="1"/>
      <sheetData sheetId="13769" refreshError="1"/>
      <sheetData sheetId="13770" refreshError="1"/>
      <sheetData sheetId="13771" refreshError="1"/>
      <sheetData sheetId="13772" refreshError="1"/>
      <sheetData sheetId="13773" refreshError="1"/>
      <sheetData sheetId="13774" refreshError="1"/>
      <sheetData sheetId="13775" refreshError="1"/>
      <sheetData sheetId="13776" refreshError="1"/>
      <sheetData sheetId="13777" refreshError="1"/>
      <sheetData sheetId="13778" refreshError="1"/>
      <sheetData sheetId="13779" refreshError="1"/>
      <sheetData sheetId="13780" refreshError="1"/>
      <sheetData sheetId="13781" refreshError="1"/>
      <sheetData sheetId="13782" refreshError="1"/>
      <sheetData sheetId="13783" refreshError="1"/>
      <sheetData sheetId="13784" refreshError="1"/>
      <sheetData sheetId="13785" refreshError="1"/>
      <sheetData sheetId="13786" refreshError="1"/>
      <sheetData sheetId="13787" refreshError="1"/>
      <sheetData sheetId="13788" refreshError="1"/>
      <sheetData sheetId="13789" refreshError="1"/>
      <sheetData sheetId="13790" refreshError="1"/>
      <sheetData sheetId="13791" refreshError="1"/>
      <sheetData sheetId="13792" refreshError="1"/>
      <sheetData sheetId="13793" refreshError="1"/>
      <sheetData sheetId="13794" refreshError="1"/>
      <sheetData sheetId="13795" refreshError="1"/>
      <sheetData sheetId="13796" refreshError="1"/>
      <sheetData sheetId="13797" refreshError="1"/>
      <sheetData sheetId="13798" refreshError="1"/>
      <sheetData sheetId="13799" refreshError="1"/>
      <sheetData sheetId="13800" refreshError="1"/>
      <sheetData sheetId="13801" refreshError="1"/>
      <sheetData sheetId="13802" refreshError="1"/>
      <sheetData sheetId="13803" refreshError="1"/>
      <sheetData sheetId="13804" refreshError="1"/>
      <sheetData sheetId="13805" refreshError="1"/>
      <sheetData sheetId="13806" refreshError="1"/>
      <sheetData sheetId="13807" refreshError="1"/>
      <sheetData sheetId="13808" refreshError="1"/>
      <sheetData sheetId="13809" refreshError="1"/>
      <sheetData sheetId="13810" refreshError="1"/>
      <sheetData sheetId="13811" refreshError="1"/>
      <sheetData sheetId="13812" refreshError="1"/>
      <sheetData sheetId="13813" refreshError="1"/>
      <sheetData sheetId="13814" refreshError="1"/>
      <sheetData sheetId="13815" refreshError="1"/>
      <sheetData sheetId="13816" refreshError="1"/>
      <sheetData sheetId="13817" refreshError="1"/>
      <sheetData sheetId="13818" refreshError="1"/>
      <sheetData sheetId="13819" refreshError="1"/>
      <sheetData sheetId="13820" refreshError="1"/>
      <sheetData sheetId="13821" refreshError="1"/>
      <sheetData sheetId="13822" refreshError="1"/>
      <sheetData sheetId="13823" refreshError="1"/>
      <sheetData sheetId="13824" refreshError="1"/>
      <sheetData sheetId="13825" refreshError="1"/>
      <sheetData sheetId="13826" refreshError="1"/>
      <sheetData sheetId="13827" refreshError="1"/>
      <sheetData sheetId="13828" refreshError="1"/>
      <sheetData sheetId="13829" refreshError="1"/>
      <sheetData sheetId="13830" refreshError="1"/>
      <sheetData sheetId="13831" refreshError="1"/>
      <sheetData sheetId="13832" refreshError="1"/>
      <sheetData sheetId="13833" refreshError="1"/>
      <sheetData sheetId="13834" refreshError="1"/>
      <sheetData sheetId="13835" refreshError="1"/>
      <sheetData sheetId="13836" refreshError="1"/>
      <sheetData sheetId="13837" refreshError="1"/>
      <sheetData sheetId="13838" refreshError="1"/>
      <sheetData sheetId="13839" refreshError="1"/>
      <sheetData sheetId="13840" refreshError="1"/>
      <sheetData sheetId="13841" refreshError="1"/>
      <sheetData sheetId="13842" refreshError="1"/>
      <sheetData sheetId="13843" refreshError="1"/>
      <sheetData sheetId="13844" refreshError="1"/>
      <sheetData sheetId="13845" refreshError="1"/>
      <sheetData sheetId="13846" refreshError="1"/>
      <sheetData sheetId="13847" refreshError="1"/>
      <sheetData sheetId="13848" refreshError="1"/>
      <sheetData sheetId="13849" refreshError="1"/>
      <sheetData sheetId="13850" refreshError="1"/>
      <sheetData sheetId="13851" refreshError="1"/>
      <sheetData sheetId="13852" refreshError="1"/>
      <sheetData sheetId="13853" refreshError="1"/>
      <sheetData sheetId="13854" refreshError="1"/>
      <sheetData sheetId="13855" refreshError="1"/>
      <sheetData sheetId="13856" refreshError="1"/>
      <sheetData sheetId="13857" refreshError="1"/>
      <sheetData sheetId="13858">
        <row r="5">
          <cell r="A5">
            <v>1</v>
          </cell>
        </row>
      </sheetData>
      <sheetData sheetId="13859">
        <row r="1">
          <cell r="A1" t="str">
            <v>CODE</v>
          </cell>
        </row>
      </sheetData>
      <sheetData sheetId="13860"/>
      <sheetData sheetId="13861"/>
      <sheetData sheetId="13862"/>
      <sheetData sheetId="13863" refreshError="1"/>
      <sheetData sheetId="13864"/>
      <sheetData sheetId="13865">
        <row r="1">
          <cell r="A1" t="str">
            <v>CODE</v>
          </cell>
        </row>
      </sheetData>
      <sheetData sheetId="13866">
        <row r="1">
          <cell r="A1" t="str">
            <v>CODE</v>
          </cell>
        </row>
      </sheetData>
      <sheetData sheetId="13867"/>
      <sheetData sheetId="13868">
        <row r="1">
          <cell r="A1" t="str">
            <v>CODE</v>
          </cell>
        </row>
      </sheetData>
      <sheetData sheetId="13869">
        <row r="1">
          <cell r="A1" t="str">
            <v>CODE</v>
          </cell>
        </row>
      </sheetData>
      <sheetData sheetId="13870">
        <row r="1">
          <cell r="A1" t="str">
            <v>CODE</v>
          </cell>
        </row>
      </sheetData>
      <sheetData sheetId="13871">
        <row r="1">
          <cell r="A1" t="str">
            <v>CODE</v>
          </cell>
        </row>
      </sheetData>
      <sheetData sheetId="13872">
        <row r="1">
          <cell r="A1" t="str">
            <v>CODE</v>
          </cell>
        </row>
      </sheetData>
      <sheetData sheetId="13873">
        <row r="1">
          <cell r="A1" t="str">
            <v>CODE</v>
          </cell>
        </row>
      </sheetData>
      <sheetData sheetId="13874">
        <row r="1">
          <cell r="A1" t="str">
            <v>CODE</v>
          </cell>
        </row>
      </sheetData>
      <sheetData sheetId="13875">
        <row r="1">
          <cell r="A1" t="str">
            <v>CODE</v>
          </cell>
        </row>
      </sheetData>
      <sheetData sheetId="13876">
        <row r="1">
          <cell r="A1" t="str">
            <v>CODE</v>
          </cell>
        </row>
      </sheetData>
      <sheetData sheetId="13877">
        <row r="1">
          <cell r="A1" t="str">
            <v>CODE</v>
          </cell>
        </row>
      </sheetData>
      <sheetData sheetId="13878">
        <row r="2">
          <cell r="A2" t="str">
            <v>A101001</v>
          </cell>
        </row>
      </sheetData>
      <sheetData sheetId="13879">
        <row r="1">
          <cell r="A1" t="str">
            <v>CODE</v>
          </cell>
        </row>
      </sheetData>
      <sheetData sheetId="13880">
        <row r="1">
          <cell r="A1" t="str">
            <v>CODE</v>
          </cell>
        </row>
      </sheetData>
      <sheetData sheetId="13881">
        <row r="1">
          <cell r="A1" t="str">
            <v>ASSET_NUMBER</v>
          </cell>
        </row>
      </sheetData>
      <sheetData sheetId="13882">
        <row r="1">
          <cell r="A1" t="str">
            <v>CODE</v>
          </cell>
        </row>
      </sheetData>
      <sheetData sheetId="13883">
        <row r="1">
          <cell r="A1" t="str">
            <v>CODE</v>
          </cell>
        </row>
      </sheetData>
      <sheetData sheetId="13884">
        <row r="1">
          <cell r="A1" t="str">
            <v>CODE</v>
          </cell>
        </row>
      </sheetData>
      <sheetData sheetId="13885">
        <row r="1">
          <cell r="A1" t="str">
            <v>CODE</v>
          </cell>
        </row>
      </sheetData>
      <sheetData sheetId="13886">
        <row r="2">
          <cell r="A2" t="str">
            <v>A001</v>
          </cell>
        </row>
      </sheetData>
      <sheetData sheetId="13887">
        <row r="1">
          <cell r="A1" t="str">
            <v>CODE</v>
          </cell>
        </row>
      </sheetData>
      <sheetData sheetId="13888">
        <row r="6">
          <cell r="I6" t="str">
            <v>2011</v>
          </cell>
        </row>
      </sheetData>
      <sheetData sheetId="13889">
        <row r="1">
          <cell r="A1" t="str">
            <v>CODE</v>
          </cell>
        </row>
      </sheetData>
      <sheetData sheetId="13890"/>
      <sheetData sheetId="13891"/>
      <sheetData sheetId="13892"/>
      <sheetData sheetId="13893" refreshError="1"/>
      <sheetData sheetId="13894" refreshError="1"/>
      <sheetData sheetId="13895" refreshError="1"/>
      <sheetData sheetId="13896" refreshError="1"/>
      <sheetData sheetId="13897" refreshError="1"/>
      <sheetData sheetId="13898" refreshError="1"/>
      <sheetData sheetId="13899" refreshError="1"/>
      <sheetData sheetId="13900"/>
      <sheetData sheetId="13901"/>
      <sheetData sheetId="13902"/>
      <sheetData sheetId="13903"/>
      <sheetData sheetId="13904"/>
      <sheetData sheetId="13905" refreshError="1"/>
      <sheetData sheetId="13906" refreshError="1"/>
      <sheetData sheetId="13907" refreshError="1"/>
      <sheetData sheetId="13908" refreshError="1"/>
      <sheetData sheetId="13909" refreshError="1"/>
      <sheetData sheetId="13910" refreshError="1"/>
      <sheetData sheetId="13911" refreshError="1"/>
      <sheetData sheetId="13912" refreshError="1"/>
      <sheetData sheetId="13913" refreshError="1"/>
      <sheetData sheetId="13914" refreshError="1"/>
      <sheetData sheetId="13915" refreshError="1"/>
      <sheetData sheetId="13916" refreshError="1"/>
      <sheetData sheetId="13917" refreshError="1"/>
      <sheetData sheetId="13918" refreshError="1"/>
      <sheetData sheetId="13919" refreshError="1"/>
      <sheetData sheetId="13920" refreshError="1"/>
      <sheetData sheetId="13921" refreshError="1"/>
      <sheetData sheetId="13922" refreshError="1"/>
      <sheetData sheetId="13923" refreshError="1"/>
      <sheetData sheetId="13924" refreshError="1"/>
      <sheetData sheetId="13925" refreshError="1"/>
      <sheetData sheetId="13926" refreshError="1"/>
      <sheetData sheetId="13927" refreshError="1"/>
      <sheetData sheetId="13928" refreshError="1"/>
      <sheetData sheetId="13929" refreshError="1"/>
      <sheetData sheetId="13930" refreshError="1"/>
      <sheetData sheetId="13931" refreshError="1"/>
      <sheetData sheetId="13932" refreshError="1"/>
      <sheetData sheetId="13933" refreshError="1"/>
      <sheetData sheetId="13934" refreshError="1"/>
      <sheetData sheetId="13935" refreshError="1"/>
      <sheetData sheetId="13936" refreshError="1"/>
      <sheetData sheetId="13937" refreshError="1"/>
      <sheetData sheetId="13938" refreshError="1"/>
      <sheetData sheetId="13939" refreshError="1"/>
      <sheetData sheetId="13940" refreshError="1"/>
      <sheetData sheetId="13941" refreshError="1"/>
      <sheetData sheetId="13942" refreshError="1"/>
      <sheetData sheetId="13943" refreshError="1"/>
      <sheetData sheetId="13944" refreshError="1"/>
      <sheetData sheetId="13945" refreshError="1"/>
      <sheetData sheetId="13946" refreshError="1"/>
      <sheetData sheetId="13947" refreshError="1"/>
      <sheetData sheetId="13948" refreshError="1"/>
      <sheetData sheetId="13949" refreshError="1"/>
      <sheetData sheetId="13950" refreshError="1"/>
      <sheetData sheetId="13951" refreshError="1"/>
      <sheetData sheetId="13952">
        <row r="2">
          <cell r="D2" t="str">
            <v>Preliminary</v>
          </cell>
        </row>
      </sheetData>
      <sheetData sheetId="13953" refreshError="1"/>
      <sheetData sheetId="13954" refreshError="1"/>
      <sheetData sheetId="13955" refreshError="1"/>
      <sheetData sheetId="13956" refreshError="1"/>
      <sheetData sheetId="13957" refreshError="1"/>
      <sheetData sheetId="13958"/>
      <sheetData sheetId="13959"/>
      <sheetData sheetId="13960">
        <row r="4">
          <cell r="D4" t="str">
            <v xml:space="preserve">Annexure 2.1 </v>
          </cell>
        </row>
      </sheetData>
      <sheetData sheetId="13961"/>
      <sheetData sheetId="13962">
        <row r="5">
          <cell r="A5">
            <v>1</v>
          </cell>
        </row>
      </sheetData>
      <sheetData sheetId="13963">
        <row r="1">
          <cell r="A1" t="str">
            <v>CODE</v>
          </cell>
        </row>
      </sheetData>
      <sheetData sheetId="13964"/>
      <sheetData sheetId="13965">
        <row r="5">
          <cell r="A5">
            <v>1</v>
          </cell>
        </row>
      </sheetData>
      <sheetData sheetId="13966"/>
      <sheetData sheetId="13967"/>
      <sheetData sheetId="13968">
        <row r="5">
          <cell r="A5">
            <v>1</v>
          </cell>
        </row>
      </sheetData>
      <sheetData sheetId="13969">
        <row r="5">
          <cell r="A5">
            <v>1</v>
          </cell>
        </row>
      </sheetData>
      <sheetData sheetId="13970"/>
      <sheetData sheetId="13971"/>
      <sheetData sheetId="13972"/>
      <sheetData sheetId="13973"/>
      <sheetData sheetId="13974"/>
      <sheetData sheetId="13975"/>
      <sheetData sheetId="13976"/>
      <sheetData sheetId="13977"/>
      <sheetData sheetId="13978"/>
      <sheetData sheetId="13979"/>
      <sheetData sheetId="13980">
        <row r="6">
          <cell r="I6" t="str">
            <v>2011</v>
          </cell>
        </row>
      </sheetData>
      <sheetData sheetId="13981"/>
      <sheetData sheetId="13982"/>
      <sheetData sheetId="13983">
        <row r="1">
          <cell r="A1" t="str">
            <v>CODE</v>
          </cell>
        </row>
      </sheetData>
      <sheetData sheetId="13984"/>
      <sheetData sheetId="13985"/>
      <sheetData sheetId="13986"/>
      <sheetData sheetId="13987"/>
      <sheetData sheetId="13988"/>
      <sheetData sheetId="13989"/>
      <sheetData sheetId="13990">
        <row r="2">
          <cell r="D2" t="str">
            <v>Preliminary</v>
          </cell>
        </row>
      </sheetData>
      <sheetData sheetId="13991"/>
      <sheetData sheetId="13992"/>
      <sheetData sheetId="13993" refreshError="1"/>
      <sheetData sheetId="13994" refreshError="1"/>
      <sheetData sheetId="13995" refreshError="1"/>
      <sheetData sheetId="13996" refreshError="1"/>
      <sheetData sheetId="13997" refreshError="1"/>
      <sheetData sheetId="13998" refreshError="1"/>
      <sheetData sheetId="13999" refreshError="1"/>
      <sheetData sheetId="14000" refreshError="1"/>
      <sheetData sheetId="14001" refreshError="1"/>
      <sheetData sheetId="14002" refreshError="1"/>
      <sheetData sheetId="14003" refreshError="1"/>
      <sheetData sheetId="14004" refreshError="1"/>
      <sheetData sheetId="14005" refreshError="1"/>
      <sheetData sheetId="14006" refreshError="1"/>
      <sheetData sheetId="14007" refreshError="1"/>
      <sheetData sheetId="14008" refreshError="1"/>
      <sheetData sheetId="14009"/>
      <sheetData sheetId="14010"/>
      <sheetData sheetId="14011"/>
      <sheetData sheetId="14012">
        <row r="6">
          <cell r="I6" t="str">
            <v>2011</v>
          </cell>
        </row>
      </sheetData>
      <sheetData sheetId="14013"/>
      <sheetData sheetId="14014"/>
      <sheetData sheetId="14015"/>
      <sheetData sheetId="14016"/>
      <sheetData sheetId="14017"/>
      <sheetData sheetId="14018">
        <row r="1">
          <cell r="A1" t="str">
            <v>CODE</v>
          </cell>
        </row>
      </sheetData>
      <sheetData sheetId="14019"/>
      <sheetData sheetId="14020"/>
      <sheetData sheetId="14021"/>
      <sheetData sheetId="14022"/>
      <sheetData sheetId="14023"/>
      <sheetData sheetId="14024"/>
      <sheetData sheetId="14025"/>
      <sheetData sheetId="14026"/>
      <sheetData sheetId="14027"/>
      <sheetData sheetId="14028"/>
      <sheetData sheetId="14029">
        <row r="3">
          <cell r="A3">
            <v>100501</v>
          </cell>
        </row>
      </sheetData>
      <sheetData sheetId="14030"/>
      <sheetData sheetId="14031" refreshError="1"/>
      <sheetData sheetId="14032" refreshError="1"/>
      <sheetData sheetId="14033"/>
      <sheetData sheetId="14034"/>
      <sheetData sheetId="14035"/>
      <sheetData sheetId="14036"/>
      <sheetData sheetId="14037"/>
      <sheetData sheetId="14038" refreshError="1"/>
      <sheetData sheetId="14039"/>
      <sheetData sheetId="14040"/>
      <sheetData sheetId="14041"/>
      <sheetData sheetId="14042"/>
      <sheetData sheetId="14043"/>
      <sheetData sheetId="14044"/>
      <sheetData sheetId="14045"/>
      <sheetData sheetId="14046"/>
      <sheetData sheetId="14047"/>
      <sheetData sheetId="14048"/>
      <sheetData sheetId="14049"/>
      <sheetData sheetId="14050"/>
      <sheetData sheetId="14051"/>
      <sheetData sheetId="14052"/>
      <sheetData sheetId="14053"/>
      <sheetData sheetId="14054"/>
      <sheetData sheetId="14055"/>
      <sheetData sheetId="14056"/>
      <sheetData sheetId="14057"/>
      <sheetData sheetId="14058">
        <row r="2">
          <cell r="D2" t="str">
            <v>Preliminary</v>
          </cell>
        </row>
      </sheetData>
      <sheetData sheetId="14059"/>
      <sheetData sheetId="14060"/>
      <sheetData sheetId="14061"/>
      <sheetData sheetId="14062"/>
      <sheetData sheetId="14063"/>
      <sheetData sheetId="14064">
        <row r="2">
          <cell r="A2" t="str">
            <v>A001</v>
          </cell>
        </row>
      </sheetData>
      <sheetData sheetId="14065"/>
      <sheetData sheetId="14066" refreshError="1"/>
      <sheetData sheetId="14067" refreshError="1"/>
      <sheetData sheetId="14068"/>
      <sheetData sheetId="14069"/>
      <sheetData sheetId="14070"/>
      <sheetData sheetId="14071"/>
      <sheetData sheetId="14072"/>
      <sheetData sheetId="14073"/>
      <sheetData sheetId="14074"/>
      <sheetData sheetId="14075"/>
      <sheetData sheetId="14076"/>
      <sheetData sheetId="14077"/>
      <sheetData sheetId="14078"/>
      <sheetData sheetId="14079"/>
      <sheetData sheetId="14080"/>
      <sheetData sheetId="14081"/>
      <sheetData sheetId="14082"/>
      <sheetData sheetId="14083"/>
      <sheetData sheetId="14084">
        <row r="2">
          <cell r="D2" t="str">
            <v>Preliminary</v>
          </cell>
        </row>
      </sheetData>
      <sheetData sheetId="14085"/>
      <sheetData sheetId="14086"/>
      <sheetData sheetId="14087"/>
      <sheetData sheetId="14088">
        <row r="3">
          <cell r="A3">
            <v>100501</v>
          </cell>
        </row>
      </sheetData>
      <sheetData sheetId="14089"/>
      <sheetData sheetId="14090">
        <row r="2">
          <cell r="A2" t="str">
            <v>A001</v>
          </cell>
        </row>
      </sheetData>
      <sheetData sheetId="14091"/>
      <sheetData sheetId="14092">
        <row r="5">
          <cell r="A5">
            <v>1</v>
          </cell>
        </row>
      </sheetData>
      <sheetData sheetId="14093"/>
      <sheetData sheetId="14094"/>
      <sheetData sheetId="14095">
        <row r="4">
          <cell r="D4" t="str">
            <v xml:space="preserve">Annexure 2.1 </v>
          </cell>
        </row>
      </sheetData>
      <sheetData sheetId="14096"/>
      <sheetData sheetId="14097">
        <row r="5">
          <cell r="A5">
            <v>1</v>
          </cell>
        </row>
      </sheetData>
      <sheetData sheetId="14098"/>
      <sheetData sheetId="14099"/>
      <sheetData sheetId="14100">
        <row r="5">
          <cell r="A5">
            <v>1</v>
          </cell>
        </row>
      </sheetData>
      <sheetData sheetId="14101"/>
      <sheetData sheetId="14102"/>
      <sheetData sheetId="14103">
        <row r="5">
          <cell r="A5">
            <v>1</v>
          </cell>
        </row>
      </sheetData>
      <sheetData sheetId="14104">
        <row r="5">
          <cell r="A5">
            <v>1</v>
          </cell>
        </row>
      </sheetData>
      <sheetData sheetId="14105"/>
      <sheetData sheetId="14106"/>
      <sheetData sheetId="14107"/>
      <sheetData sheetId="14108"/>
      <sheetData sheetId="14109"/>
      <sheetData sheetId="14110"/>
      <sheetData sheetId="14111"/>
      <sheetData sheetId="14112"/>
      <sheetData sheetId="14113"/>
      <sheetData sheetId="14114"/>
      <sheetData sheetId="14115"/>
      <sheetData sheetId="14116"/>
      <sheetData sheetId="14117"/>
      <sheetData sheetId="14118"/>
      <sheetData sheetId="14119"/>
      <sheetData sheetId="14120"/>
      <sheetData sheetId="14121"/>
      <sheetData sheetId="14122"/>
      <sheetData sheetId="14123"/>
      <sheetData sheetId="14124"/>
      <sheetData sheetId="14125"/>
      <sheetData sheetId="14126"/>
      <sheetData sheetId="14127"/>
      <sheetData sheetId="14128"/>
      <sheetData sheetId="14129"/>
      <sheetData sheetId="14130"/>
      <sheetData sheetId="14131"/>
      <sheetData sheetId="14132"/>
      <sheetData sheetId="14133"/>
      <sheetData sheetId="14134"/>
      <sheetData sheetId="14135">
        <row r="3">
          <cell r="A3">
            <v>100501</v>
          </cell>
        </row>
      </sheetData>
      <sheetData sheetId="14136"/>
      <sheetData sheetId="14137"/>
      <sheetData sheetId="14138"/>
      <sheetData sheetId="14139"/>
      <sheetData sheetId="14140"/>
      <sheetData sheetId="14141"/>
      <sheetData sheetId="14142"/>
      <sheetData sheetId="14143"/>
      <sheetData sheetId="14144"/>
      <sheetData sheetId="14145"/>
      <sheetData sheetId="14146"/>
      <sheetData sheetId="14147"/>
      <sheetData sheetId="14148"/>
      <sheetData sheetId="14149"/>
      <sheetData sheetId="14150">
        <row r="1">
          <cell r="A1" t="str">
            <v>ASSET_NUMBER</v>
          </cell>
        </row>
      </sheetData>
      <sheetData sheetId="14151"/>
      <sheetData sheetId="14152">
        <row r="1">
          <cell r="A1" t="str">
            <v>ASSET_NUMBER</v>
          </cell>
        </row>
      </sheetData>
      <sheetData sheetId="14153"/>
      <sheetData sheetId="14154"/>
      <sheetData sheetId="14155"/>
      <sheetData sheetId="14156" refreshError="1"/>
      <sheetData sheetId="14157"/>
      <sheetData sheetId="14158"/>
      <sheetData sheetId="14159">
        <row r="18">
          <cell r="I18" t="e">
            <v>#VALUE!</v>
          </cell>
        </row>
      </sheetData>
      <sheetData sheetId="14160"/>
      <sheetData sheetId="14161"/>
      <sheetData sheetId="14162"/>
      <sheetData sheetId="14163"/>
      <sheetData sheetId="14164">
        <row r="7">
          <cell r="D7">
            <v>0</v>
          </cell>
        </row>
      </sheetData>
      <sheetData sheetId="14165">
        <row r="2">
          <cell r="D2" t="str">
            <v>Preliminary</v>
          </cell>
        </row>
      </sheetData>
      <sheetData sheetId="14166"/>
      <sheetData sheetId="14167"/>
      <sheetData sheetId="14168"/>
      <sheetData sheetId="14169"/>
      <sheetData sheetId="14170">
        <row r="1">
          <cell r="A1" t="str">
            <v>ASSET_NUMBER</v>
          </cell>
        </row>
      </sheetData>
      <sheetData sheetId="14171">
        <row r="5">
          <cell r="A5">
            <v>1</v>
          </cell>
        </row>
      </sheetData>
      <sheetData sheetId="14172">
        <row r="5">
          <cell r="A5">
            <v>1</v>
          </cell>
        </row>
      </sheetData>
      <sheetData sheetId="14173">
        <row r="2">
          <cell r="A2" t="str">
            <v>A101001</v>
          </cell>
        </row>
      </sheetData>
      <sheetData sheetId="14174">
        <row r="5">
          <cell r="A5">
            <v>1</v>
          </cell>
        </row>
      </sheetData>
      <sheetData sheetId="14175">
        <row r="5">
          <cell r="A5">
            <v>1</v>
          </cell>
        </row>
      </sheetData>
      <sheetData sheetId="14176" refreshError="1"/>
      <sheetData sheetId="14177"/>
      <sheetData sheetId="14178" refreshError="1"/>
      <sheetData sheetId="14179" refreshError="1"/>
      <sheetData sheetId="14180" refreshError="1"/>
      <sheetData sheetId="14181" refreshError="1"/>
      <sheetData sheetId="14182" refreshError="1"/>
      <sheetData sheetId="14183" refreshError="1"/>
      <sheetData sheetId="14184"/>
      <sheetData sheetId="14185"/>
      <sheetData sheetId="14186"/>
      <sheetData sheetId="14187"/>
      <sheetData sheetId="14188"/>
      <sheetData sheetId="14189"/>
      <sheetData sheetId="14190"/>
      <sheetData sheetId="14191"/>
      <sheetData sheetId="14192"/>
      <sheetData sheetId="14193"/>
      <sheetData sheetId="14194"/>
      <sheetData sheetId="14195"/>
      <sheetData sheetId="14196"/>
      <sheetData sheetId="14197"/>
      <sheetData sheetId="14198" refreshError="1"/>
      <sheetData sheetId="14199" refreshError="1"/>
      <sheetData sheetId="14200" refreshError="1"/>
      <sheetData sheetId="14201" refreshError="1"/>
      <sheetData sheetId="14202" refreshError="1"/>
      <sheetData sheetId="14203" refreshError="1"/>
      <sheetData sheetId="14204" refreshError="1"/>
      <sheetData sheetId="14205" refreshError="1"/>
      <sheetData sheetId="14206" refreshError="1"/>
      <sheetData sheetId="14207" refreshError="1"/>
      <sheetData sheetId="14208" refreshError="1"/>
      <sheetData sheetId="14209" refreshError="1"/>
      <sheetData sheetId="14210" refreshError="1"/>
      <sheetData sheetId="14211" refreshError="1"/>
      <sheetData sheetId="14212" refreshError="1"/>
      <sheetData sheetId="14213" refreshError="1"/>
      <sheetData sheetId="14214" refreshError="1"/>
      <sheetData sheetId="14215" refreshError="1"/>
      <sheetData sheetId="14216" refreshError="1"/>
      <sheetData sheetId="14217" refreshError="1"/>
      <sheetData sheetId="14218" refreshError="1"/>
      <sheetData sheetId="14219" refreshError="1"/>
      <sheetData sheetId="14220" refreshError="1"/>
      <sheetData sheetId="14221" refreshError="1"/>
      <sheetData sheetId="14222" refreshError="1"/>
      <sheetData sheetId="14223" refreshError="1"/>
      <sheetData sheetId="14224" refreshError="1"/>
      <sheetData sheetId="14225" refreshError="1"/>
      <sheetData sheetId="14226" refreshError="1"/>
      <sheetData sheetId="14227" refreshError="1"/>
      <sheetData sheetId="14228" refreshError="1"/>
      <sheetData sheetId="14229" refreshError="1"/>
      <sheetData sheetId="14230" refreshError="1"/>
      <sheetData sheetId="14231" refreshError="1"/>
      <sheetData sheetId="14232" refreshError="1"/>
      <sheetData sheetId="14233" refreshError="1"/>
      <sheetData sheetId="14234" refreshError="1"/>
      <sheetData sheetId="14235" refreshError="1"/>
      <sheetData sheetId="14236" refreshError="1"/>
      <sheetData sheetId="14237" refreshError="1"/>
      <sheetData sheetId="14238" refreshError="1"/>
      <sheetData sheetId="14239" refreshError="1"/>
      <sheetData sheetId="14240" refreshError="1"/>
      <sheetData sheetId="14241" refreshError="1"/>
      <sheetData sheetId="14242" refreshError="1"/>
      <sheetData sheetId="14243" refreshError="1"/>
      <sheetData sheetId="14244" refreshError="1"/>
      <sheetData sheetId="14245" refreshError="1"/>
      <sheetData sheetId="14246" refreshError="1"/>
      <sheetData sheetId="14247" refreshError="1"/>
      <sheetData sheetId="14248" refreshError="1"/>
      <sheetData sheetId="14249" refreshError="1"/>
      <sheetData sheetId="14250" refreshError="1"/>
      <sheetData sheetId="14251" refreshError="1"/>
      <sheetData sheetId="14252" refreshError="1"/>
      <sheetData sheetId="14253" refreshError="1"/>
      <sheetData sheetId="14254" refreshError="1"/>
      <sheetData sheetId="14255" refreshError="1"/>
      <sheetData sheetId="14256" refreshError="1"/>
      <sheetData sheetId="14257" refreshError="1"/>
      <sheetData sheetId="14258" refreshError="1"/>
      <sheetData sheetId="14259" refreshError="1"/>
      <sheetData sheetId="14260" refreshError="1"/>
      <sheetData sheetId="14261" refreshError="1"/>
      <sheetData sheetId="14262" refreshError="1"/>
      <sheetData sheetId="14263" refreshError="1"/>
      <sheetData sheetId="14264" refreshError="1"/>
      <sheetData sheetId="14265" refreshError="1"/>
      <sheetData sheetId="14266" refreshError="1"/>
      <sheetData sheetId="14267" refreshError="1"/>
      <sheetData sheetId="14268" refreshError="1"/>
      <sheetData sheetId="14269" refreshError="1"/>
      <sheetData sheetId="14270" refreshError="1"/>
      <sheetData sheetId="14271" refreshError="1"/>
      <sheetData sheetId="14272" refreshError="1"/>
      <sheetData sheetId="14273" refreshError="1"/>
      <sheetData sheetId="14274" refreshError="1"/>
      <sheetData sheetId="14275" refreshError="1"/>
      <sheetData sheetId="14276" refreshError="1"/>
      <sheetData sheetId="14277" refreshError="1"/>
      <sheetData sheetId="14278" refreshError="1"/>
      <sheetData sheetId="14279" refreshError="1"/>
      <sheetData sheetId="14280" refreshError="1"/>
      <sheetData sheetId="14281" refreshError="1"/>
      <sheetData sheetId="14282" refreshError="1"/>
      <sheetData sheetId="14283" refreshError="1"/>
      <sheetData sheetId="14284" refreshError="1"/>
      <sheetData sheetId="14285" refreshError="1"/>
      <sheetData sheetId="14286" refreshError="1"/>
      <sheetData sheetId="14287" refreshError="1"/>
      <sheetData sheetId="14288" refreshError="1"/>
      <sheetData sheetId="14289" refreshError="1"/>
      <sheetData sheetId="14290" refreshError="1"/>
      <sheetData sheetId="14291" refreshError="1"/>
      <sheetData sheetId="14292" refreshError="1"/>
      <sheetData sheetId="14293" refreshError="1"/>
      <sheetData sheetId="14294" refreshError="1"/>
      <sheetData sheetId="14295" refreshError="1"/>
      <sheetData sheetId="14296" refreshError="1"/>
      <sheetData sheetId="14297" refreshError="1"/>
      <sheetData sheetId="14298" refreshError="1"/>
      <sheetData sheetId="14299" refreshError="1"/>
      <sheetData sheetId="14300" refreshError="1"/>
      <sheetData sheetId="14301" refreshError="1"/>
      <sheetData sheetId="14302" refreshError="1"/>
      <sheetData sheetId="14303" refreshError="1"/>
      <sheetData sheetId="14304" refreshError="1"/>
      <sheetData sheetId="14305" refreshError="1"/>
      <sheetData sheetId="14306" refreshError="1"/>
      <sheetData sheetId="14307" refreshError="1"/>
      <sheetData sheetId="14308" refreshError="1"/>
      <sheetData sheetId="14309" refreshError="1"/>
      <sheetData sheetId="14310" refreshError="1"/>
      <sheetData sheetId="14311" refreshError="1"/>
      <sheetData sheetId="14312" refreshError="1"/>
      <sheetData sheetId="14313" refreshError="1"/>
      <sheetData sheetId="14314" refreshError="1"/>
      <sheetData sheetId="14315" refreshError="1"/>
      <sheetData sheetId="14316" refreshError="1"/>
      <sheetData sheetId="14317" refreshError="1"/>
      <sheetData sheetId="14318" refreshError="1"/>
      <sheetData sheetId="14319" refreshError="1"/>
      <sheetData sheetId="14320" refreshError="1"/>
      <sheetData sheetId="14321" refreshError="1"/>
      <sheetData sheetId="14322" refreshError="1"/>
      <sheetData sheetId="14323" refreshError="1"/>
      <sheetData sheetId="14324" refreshError="1"/>
      <sheetData sheetId="14325" refreshError="1"/>
      <sheetData sheetId="14326" refreshError="1"/>
      <sheetData sheetId="14327" refreshError="1"/>
      <sheetData sheetId="14328" refreshError="1"/>
      <sheetData sheetId="14329" refreshError="1"/>
      <sheetData sheetId="14330" refreshError="1"/>
      <sheetData sheetId="14331" refreshError="1"/>
      <sheetData sheetId="14332" refreshError="1"/>
      <sheetData sheetId="14333" refreshError="1"/>
      <sheetData sheetId="14334" refreshError="1"/>
      <sheetData sheetId="14335" refreshError="1"/>
      <sheetData sheetId="14336" refreshError="1"/>
      <sheetData sheetId="14337" refreshError="1"/>
      <sheetData sheetId="14338" refreshError="1"/>
      <sheetData sheetId="14339" refreshError="1"/>
      <sheetData sheetId="14340" refreshError="1"/>
      <sheetData sheetId="14341" refreshError="1"/>
      <sheetData sheetId="14342" refreshError="1"/>
      <sheetData sheetId="14343" refreshError="1"/>
      <sheetData sheetId="14344" refreshError="1"/>
      <sheetData sheetId="14345" refreshError="1"/>
      <sheetData sheetId="14346" refreshError="1"/>
      <sheetData sheetId="14347" refreshError="1"/>
      <sheetData sheetId="14348" refreshError="1"/>
      <sheetData sheetId="14349" refreshError="1"/>
      <sheetData sheetId="14350">
        <row r="1">
          <cell r="A1" t="str">
            <v>CODE</v>
          </cell>
        </row>
      </sheetData>
      <sheetData sheetId="14351">
        <row r="1">
          <cell r="A1" t="str">
            <v>CODE</v>
          </cell>
        </row>
      </sheetData>
      <sheetData sheetId="14352">
        <row r="1">
          <cell r="A1" t="str">
            <v>CODE</v>
          </cell>
        </row>
      </sheetData>
      <sheetData sheetId="14353">
        <row r="1">
          <cell r="A1" t="str">
            <v>CODE</v>
          </cell>
        </row>
      </sheetData>
      <sheetData sheetId="14354">
        <row r="1">
          <cell r="A1" t="str">
            <v>CODE</v>
          </cell>
        </row>
      </sheetData>
      <sheetData sheetId="14355">
        <row r="1">
          <cell r="A1" t="str">
            <v>CODE</v>
          </cell>
        </row>
      </sheetData>
      <sheetData sheetId="14356">
        <row r="1">
          <cell r="A1" t="str">
            <v>CODE</v>
          </cell>
        </row>
      </sheetData>
      <sheetData sheetId="14357">
        <row r="1">
          <cell r="A1" t="str">
            <v>Customer Name</v>
          </cell>
        </row>
      </sheetData>
      <sheetData sheetId="14358">
        <row r="1">
          <cell r="A1" t="str">
            <v>CODE</v>
          </cell>
        </row>
      </sheetData>
      <sheetData sheetId="14359">
        <row r="1">
          <cell r="A1" t="str">
            <v>CODE</v>
          </cell>
        </row>
      </sheetData>
      <sheetData sheetId="14360">
        <row r="1">
          <cell r="A1" t="str">
            <v>CODE</v>
          </cell>
        </row>
      </sheetData>
      <sheetData sheetId="14361" refreshError="1"/>
      <sheetData sheetId="14362">
        <row r="1">
          <cell r="A1" t="str">
            <v>CODE</v>
          </cell>
        </row>
      </sheetData>
      <sheetData sheetId="14363">
        <row r="1">
          <cell r="A1" t="str">
            <v>CODE</v>
          </cell>
        </row>
      </sheetData>
      <sheetData sheetId="14364">
        <row r="1">
          <cell r="A1" t="str">
            <v>CODE</v>
          </cell>
        </row>
      </sheetData>
      <sheetData sheetId="14365">
        <row r="1">
          <cell r="A1" t="str">
            <v>CODE</v>
          </cell>
        </row>
      </sheetData>
      <sheetData sheetId="14366" refreshError="1"/>
      <sheetData sheetId="14367" refreshError="1"/>
      <sheetData sheetId="14368" refreshError="1"/>
      <sheetData sheetId="14369">
        <row r="1">
          <cell r="A1" t="str">
            <v>CODE</v>
          </cell>
        </row>
      </sheetData>
      <sheetData sheetId="14370" refreshError="1"/>
      <sheetData sheetId="14371" refreshError="1"/>
      <sheetData sheetId="14372" refreshError="1"/>
      <sheetData sheetId="14373" refreshError="1"/>
      <sheetData sheetId="14374" refreshError="1"/>
      <sheetData sheetId="14375" refreshError="1"/>
      <sheetData sheetId="14376" refreshError="1"/>
      <sheetData sheetId="14377" refreshError="1"/>
      <sheetData sheetId="14378" refreshError="1"/>
      <sheetData sheetId="14379" refreshError="1"/>
      <sheetData sheetId="14380" refreshError="1"/>
      <sheetData sheetId="14381" refreshError="1"/>
      <sheetData sheetId="14382" refreshError="1"/>
      <sheetData sheetId="14383" refreshError="1"/>
      <sheetData sheetId="14384" refreshError="1"/>
      <sheetData sheetId="14385" refreshError="1"/>
      <sheetData sheetId="14386" refreshError="1"/>
      <sheetData sheetId="14387" refreshError="1"/>
      <sheetData sheetId="14388" refreshError="1"/>
      <sheetData sheetId="14389" refreshError="1"/>
      <sheetData sheetId="14390" refreshError="1"/>
      <sheetData sheetId="14391" refreshError="1"/>
      <sheetData sheetId="14392" refreshError="1"/>
      <sheetData sheetId="14393" refreshError="1"/>
      <sheetData sheetId="14394" refreshError="1"/>
      <sheetData sheetId="14395">
        <row r="1">
          <cell r="A1" t="str">
            <v>CODE</v>
          </cell>
        </row>
      </sheetData>
      <sheetData sheetId="14396">
        <row r="1">
          <cell r="A1" t="str">
            <v>CODE</v>
          </cell>
        </row>
      </sheetData>
      <sheetData sheetId="14397">
        <row r="1">
          <cell r="A1" t="str">
            <v>CODE</v>
          </cell>
        </row>
      </sheetData>
      <sheetData sheetId="14398">
        <row r="1">
          <cell r="A1" t="str">
            <v>CODE</v>
          </cell>
        </row>
      </sheetData>
      <sheetData sheetId="14399">
        <row r="1">
          <cell r="A1" t="str">
            <v>CODE</v>
          </cell>
        </row>
      </sheetData>
      <sheetData sheetId="14400">
        <row r="1">
          <cell r="A1" t="str">
            <v>CODE</v>
          </cell>
        </row>
      </sheetData>
      <sheetData sheetId="14401">
        <row r="1">
          <cell r="A1" t="str">
            <v>CODE</v>
          </cell>
        </row>
      </sheetData>
      <sheetData sheetId="14402">
        <row r="1">
          <cell r="A1" t="str">
            <v>CODE</v>
          </cell>
        </row>
      </sheetData>
      <sheetData sheetId="14403">
        <row r="1">
          <cell r="A1" t="str">
            <v>PARTICULARS</v>
          </cell>
        </row>
      </sheetData>
      <sheetData sheetId="14404">
        <row r="1">
          <cell r="A1" t="str">
            <v>CODE</v>
          </cell>
        </row>
      </sheetData>
      <sheetData sheetId="14405">
        <row r="1">
          <cell r="A1" t="str">
            <v>CODE</v>
          </cell>
        </row>
      </sheetData>
      <sheetData sheetId="14406">
        <row r="1">
          <cell r="A1" t="str">
            <v>CODE</v>
          </cell>
        </row>
      </sheetData>
      <sheetData sheetId="14407">
        <row r="1">
          <cell r="A1" t="str">
            <v>CODE</v>
          </cell>
        </row>
      </sheetData>
      <sheetData sheetId="14408">
        <row r="1">
          <cell r="A1" t="str">
            <v>CODE</v>
          </cell>
        </row>
      </sheetData>
      <sheetData sheetId="14409">
        <row r="1">
          <cell r="A1" t="str">
            <v>CODE</v>
          </cell>
        </row>
      </sheetData>
      <sheetData sheetId="14410">
        <row r="1">
          <cell r="A1" t="str">
            <v>CODE</v>
          </cell>
        </row>
      </sheetData>
      <sheetData sheetId="14411">
        <row r="1">
          <cell r="A1" t="str">
            <v>CODE</v>
          </cell>
        </row>
      </sheetData>
      <sheetData sheetId="14412">
        <row r="1">
          <cell r="A1" t="str">
            <v>CODE</v>
          </cell>
        </row>
      </sheetData>
      <sheetData sheetId="14413">
        <row r="1">
          <cell r="A1" t="str">
            <v>CODE</v>
          </cell>
        </row>
      </sheetData>
      <sheetData sheetId="14414">
        <row r="1">
          <cell r="A1" t="str">
            <v>CODE</v>
          </cell>
        </row>
      </sheetData>
      <sheetData sheetId="14415">
        <row r="1">
          <cell r="A1" t="str">
            <v>CODE</v>
          </cell>
        </row>
      </sheetData>
      <sheetData sheetId="14416">
        <row r="1">
          <cell r="A1" t="str">
            <v>CODE</v>
          </cell>
        </row>
      </sheetData>
      <sheetData sheetId="14417">
        <row r="1">
          <cell r="A1" t="str">
            <v>CODE</v>
          </cell>
        </row>
      </sheetData>
      <sheetData sheetId="14418">
        <row r="1">
          <cell r="A1" t="str">
            <v>CODE</v>
          </cell>
        </row>
      </sheetData>
      <sheetData sheetId="14419">
        <row r="1">
          <cell r="A1" t="str">
            <v>CODE</v>
          </cell>
        </row>
      </sheetData>
      <sheetData sheetId="14420">
        <row r="1">
          <cell r="A1" t="str">
            <v>CODE</v>
          </cell>
        </row>
      </sheetData>
      <sheetData sheetId="14421">
        <row r="1">
          <cell r="A1" t="str">
            <v>CODE</v>
          </cell>
        </row>
      </sheetData>
      <sheetData sheetId="14422">
        <row r="1">
          <cell r="A1" t="str">
            <v>CODE</v>
          </cell>
        </row>
      </sheetData>
      <sheetData sheetId="14423">
        <row r="1">
          <cell r="A1" t="str">
            <v>CODE</v>
          </cell>
        </row>
      </sheetData>
      <sheetData sheetId="14424">
        <row r="1">
          <cell r="A1" t="str">
            <v>CODE</v>
          </cell>
        </row>
      </sheetData>
      <sheetData sheetId="14425">
        <row r="1">
          <cell r="A1" t="str">
            <v>CODE</v>
          </cell>
        </row>
      </sheetData>
      <sheetData sheetId="14426">
        <row r="1">
          <cell r="A1" t="str">
            <v>CODE</v>
          </cell>
        </row>
      </sheetData>
      <sheetData sheetId="14427">
        <row r="1">
          <cell r="A1" t="str">
            <v>CODE</v>
          </cell>
        </row>
      </sheetData>
      <sheetData sheetId="14428">
        <row r="1">
          <cell r="A1" t="str">
            <v>CODE</v>
          </cell>
        </row>
      </sheetData>
      <sheetData sheetId="14429">
        <row r="1">
          <cell r="A1" t="str">
            <v>CODE</v>
          </cell>
        </row>
      </sheetData>
      <sheetData sheetId="14430">
        <row r="1">
          <cell r="A1" t="str">
            <v>CODE</v>
          </cell>
        </row>
      </sheetData>
      <sheetData sheetId="14431">
        <row r="1">
          <cell r="A1" t="str">
            <v>CODE</v>
          </cell>
        </row>
      </sheetData>
      <sheetData sheetId="14432">
        <row r="1">
          <cell r="A1" t="str">
            <v>CODE</v>
          </cell>
        </row>
      </sheetData>
      <sheetData sheetId="14433">
        <row r="1">
          <cell r="A1" t="str">
            <v>Customer Name</v>
          </cell>
        </row>
      </sheetData>
      <sheetData sheetId="14434">
        <row r="1">
          <cell r="A1" t="str">
            <v>CODE</v>
          </cell>
        </row>
      </sheetData>
      <sheetData sheetId="14435">
        <row r="1">
          <cell r="A1" t="str">
            <v>CODE</v>
          </cell>
        </row>
      </sheetData>
      <sheetData sheetId="14436">
        <row r="1">
          <cell r="A1" t="str">
            <v>CODE</v>
          </cell>
        </row>
      </sheetData>
      <sheetData sheetId="14437" refreshError="1"/>
      <sheetData sheetId="14438" refreshError="1"/>
      <sheetData sheetId="14439" refreshError="1"/>
      <sheetData sheetId="14440" refreshError="1"/>
      <sheetData sheetId="14441" refreshError="1"/>
      <sheetData sheetId="14442" refreshError="1"/>
      <sheetData sheetId="14443" refreshError="1"/>
      <sheetData sheetId="14444" refreshError="1"/>
      <sheetData sheetId="14445" refreshError="1"/>
      <sheetData sheetId="14446" refreshError="1"/>
      <sheetData sheetId="14447" refreshError="1"/>
      <sheetData sheetId="14448" refreshError="1"/>
      <sheetData sheetId="14449" refreshError="1"/>
      <sheetData sheetId="14450" refreshError="1"/>
      <sheetData sheetId="14451" refreshError="1"/>
      <sheetData sheetId="14452" refreshError="1"/>
      <sheetData sheetId="14453" refreshError="1"/>
      <sheetData sheetId="14454" refreshError="1"/>
      <sheetData sheetId="14455" refreshError="1"/>
      <sheetData sheetId="14456" refreshError="1"/>
      <sheetData sheetId="14457" refreshError="1"/>
      <sheetData sheetId="14458" refreshError="1"/>
      <sheetData sheetId="14459" refreshError="1"/>
      <sheetData sheetId="14460" refreshError="1"/>
      <sheetData sheetId="14461" refreshError="1"/>
      <sheetData sheetId="14462" refreshError="1"/>
      <sheetData sheetId="14463" refreshError="1"/>
      <sheetData sheetId="14464" refreshError="1"/>
      <sheetData sheetId="14465" refreshError="1"/>
      <sheetData sheetId="14466" refreshError="1"/>
      <sheetData sheetId="14467" refreshError="1"/>
      <sheetData sheetId="14468" refreshError="1"/>
      <sheetData sheetId="14469" refreshError="1"/>
      <sheetData sheetId="14470" refreshError="1"/>
      <sheetData sheetId="14471" refreshError="1"/>
      <sheetData sheetId="14472" refreshError="1"/>
      <sheetData sheetId="14473" refreshError="1"/>
      <sheetData sheetId="14474" refreshError="1"/>
      <sheetData sheetId="14475" refreshError="1"/>
      <sheetData sheetId="14476" refreshError="1"/>
      <sheetData sheetId="14477" refreshError="1"/>
      <sheetData sheetId="14478" refreshError="1"/>
      <sheetData sheetId="14479" refreshError="1"/>
      <sheetData sheetId="14480" refreshError="1"/>
      <sheetData sheetId="14481" refreshError="1"/>
      <sheetData sheetId="14482" refreshError="1"/>
      <sheetData sheetId="14483" refreshError="1"/>
      <sheetData sheetId="14484" refreshError="1"/>
      <sheetData sheetId="14485" refreshError="1"/>
      <sheetData sheetId="14486" refreshError="1"/>
      <sheetData sheetId="14487" refreshError="1"/>
      <sheetData sheetId="14488" refreshError="1"/>
      <sheetData sheetId="14489" refreshError="1"/>
      <sheetData sheetId="14490" refreshError="1"/>
      <sheetData sheetId="14491" refreshError="1"/>
      <sheetData sheetId="14492" refreshError="1"/>
      <sheetData sheetId="14493" refreshError="1"/>
      <sheetData sheetId="14494" refreshError="1"/>
      <sheetData sheetId="14495" refreshError="1"/>
      <sheetData sheetId="14496" refreshError="1"/>
      <sheetData sheetId="14497" refreshError="1"/>
      <sheetData sheetId="14498" refreshError="1"/>
      <sheetData sheetId="14499" refreshError="1"/>
      <sheetData sheetId="14500" refreshError="1"/>
      <sheetData sheetId="14501" refreshError="1"/>
      <sheetData sheetId="14502" refreshError="1"/>
      <sheetData sheetId="14503" refreshError="1"/>
      <sheetData sheetId="14504" refreshError="1"/>
      <sheetData sheetId="14505" refreshError="1"/>
      <sheetData sheetId="14506" refreshError="1"/>
      <sheetData sheetId="14507" refreshError="1"/>
      <sheetData sheetId="14508" refreshError="1"/>
      <sheetData sheetId="14509" refreshError="1"/>
      <sheetData sheetId="14510" refreshError="1"/>
      <sheetData sheetId="14511" refreshError="1"/>
      <sheetData sheetId="14512" refreshError="1"/>
      <sheetData sheetId="14513" refreshError="1"/>
      <sheetData sheetId="14514" refreshError="1"/>
      <sheetData sheetId="14515" refreshError="1"/>
      <sheetData sheetId="14516" refreshError="1"/>
      <sheetData sheetId="14517" refreshError="1"/>
      <sheetData sheetId="14518" refreshError="1"/>
      <sheetData sheetId="14519" refreshError="1"/>
      <sheetData sheetId="14520" refreshError="1"/>
      <sheetData sheetId="14521" refreshError="1"/>
      <sheetData sheetId="14522" refreshError="1"/>
      <sheetData sheetId="14523" refreshError="1"/>
      <sheetData sheetId="14524" refreshError="1"/>
      <sheetData sheetId="14525" refreshError="1"/>
      <sheetData sheetId="14526" refreshError="1"/>
      <sheetData sheetId="14527" refreshError="1"/>
      <sheetData sheetId="14528" refreshError="1"/>
      <sheetData sheetId="14529" refreshError="1"/>
      <sheetData sheetId="14530" refreshError="1"/>
      <sheetData sheetId="14531" refreshError="1"/>
      <sheetData sheetId="14532" refreshError="1"/>
      <sheetData sheetId="14533" refreshError="1"/>
      <sheetData sheetId="14534" refreshError="1"/>
      <sheetData sheetId="14535" refreshError="1"/>
      <sheetData sheetId="14536" refreshError="1"/>
      <sheetData sheetId="14537" refreshError="1"/>
      <sheetData sheetId="14538" refreshError="1"/>
      <sheetData sheetId="14539" refreshError="1"/>
      <sheetData sheetId="14540" refreshError="1"/>
      <sheetData sheetId="14541" refreshError="1"/>
      <sheetData sheetId="14542" refreshError="1"/>
      <sheetData sheetId="14543" refreshError="1"/>
      <sheetData sheetId="14544" refreshError="1"/>
      <sheetData sheetId="14545" refreshError="1"/>
      <sheetData sheetId="14546" refreshError="1"/>
      <sheetData sheetId="14547" refreshError="1"/>
      <sheetData sheetId="14548" refreshError="1"/>
      <sheetData sheetId="14549" refreshError="1"/>
      <sheetData sheetId="14550" refreshError="1"/>
      <sheetData sheetId="14551" refreshError="1"/>
      <sheetData sheetId="14552" refreshError="1"/>
      <sheetData sheetId="14553" refreshError="1"/>
      <sheetData sheetId="14554" refreshError="1"/>
      <sheetData sheetId="14555" refreshError="1"/>
      <sheetData sheetId="14556" refreshError="1"/>
      <sheetData sheetId="14557" refreshError="1"/>
      <sheetData sheetId="14558" refreshError="1"/>
      <sheetData sheetId="14559" refreshError="1"/>
      <sheetData sheetId="14560" refreshError="1"/>
      <sheetData sheetId="14561" refreshError="1"/>
      <sheetData sheetId="14562" refreshError="1"/>
      <sheetData sheetId="14563" refreshError="1"/>
      <sheetData sheetId="14564" refreshError="1"/>
      <sheetData sheetId="14565" refreshError="1"/>
      <sheetData sheetId="14566" refreshError="1"/>
      <sheetData sheetId="14567" refreshError="1"/>
      <sheetData sheetId="14568" refreshError="1"/>
      <sheetData sheetId="14569" refreshError="1"/>
      <sheetData sheetId="14570" refreshError="1"/>
      <sheetData sheetId="14571" refreshError="1"/>
      <sheetData sheetId="14572" refreshError="1"/>
      <sheetData sheetId="14573" refreshError="1"/>
      <sheetData sheetId="14574" refreshError="1"/>
      <sheetData sheetId="14575" refreshError="1"/>
      <sheetData sheetId="14576" refreshError="1"/>
      <sheetData sheetId="14577" refreshError="1"/>
      <sheetData sheetId="14578" refreshError="1"/>
      <sheetData sheetId="14579" refreshError="1"/>
      <sheetData sheetId="14580" refreshError="1"/>
      <sheetData sheetId="14581" refreshError="1"/>
      <sheetData sheetId="14582" refreshError="1"/>
      <sheetData sheetId="14583" refreshError="1"/>
      <sheetData sheetId="14584" refreshError="1"/>
      <sheetData sheetId="14585" refreshError="1"/>
      <sheetData sheetId="14586" refreshError="1"/>
      <sheetData sheetId="14587" refreshError="1"/>
      <sheetData sheetId="14588" refreshError="1"/>
      <sheetData sheetId="14589" refreshError="1"/>
      <sheetData sheetId="14590" refreshError="1"/>
      <sheetData sheetId="14591" refreshError="1"/>
      <sheetData sheetId="14592" refreshError="1"/>
      <sheetData sheetId="14593" refreshError="1"/>
      <sheetData sheetId="14594" refreshError="1"/>
      <sheetData sheetId="14595" refreshError="1"/>
      <sheetData sheetId="14596" refreshError="1"/>
      <sheetData sheetId="14597" refreshError="1"/>
      <sheetData sheetId="14598" refreshError="1"/>
      <sheetData sheetId="14599" refreshError="1"/>
      <sheetData sheetId="14600" refreshError="1"/>
      <sheetData sheetId="14601" refreshError="1"/>
      <sheetData sheetId="14602" refreshError="1"/>
      <sheetData sheetId="14603" refreshError="1"/>
      <sheetData sheetId="14604" refreshError="1"/>
      <sheetData sheetId="14605" refreshError="1"/>
      <sheetData sheetId="14606" refreshError="1"/>
      <sheetData sheetId="14607" refreshError="1"/>
      <sheetData sheetId="14608" refreshError="1"/>
      <sheetData sheetId="14609" refreshError="1"/>
      <sheetData sheetId="14610" refreshError="1"/>
      <sheetData sheetId="14611" refreshError="1"/>
      <sheetData sheetId="14612" refreshError="1"/>
      <sheetData sheetId="14613" refreshError="1"/>
      <sheetData sheetId="14614" refreshError="1"/>
      <sheetData sheetId="14615" refreshError="1"/>
      <sheetData sheetId="14616" refreshError="1"/>
      <sheetData sheetId="14617" refreshError="1"/>
      <sheetData sheetId="14618" refreshError="1"/>
      <sheetData sheetId="14619" refreshError="1"/>
      <sheetData sheetId="14620" refreshError="1"/>
      <sheetData sheetId="14621" refreshError="1"/>
      <sheetData sheetId="14622" refreshError="1"/>
      <sheetData sheetId="14623" refreshError="1"/>
      <sheetData sheetId="14624" refreshError="1"/>
      <sheetData sheetId="14625" refreshError="1"/>
      <sheetData sheetId="14626" refreshError="1"/>
      <sheetData sheetId="14627" refreshError="1"/>
      <sheetData sheetId="14628" refreshError="1"/>
      <sheetData sheetId="14629" refreshError="1"/>
      <sheetData sheetId="14630" refreshError="1"/>
      <sheetData sheetId="14631" refreshError="1"/>
      <sheetData sheetId="14632" refreshError="1"/>
      <sheetData sheetId="14633" refreshError="1"/>
      <sheetData sheetId="14634" refreshError="1"/>
      <sheetData sheetId="14635" refreshError="1"/>
      <sheetData sheetId="14636" refreshError="1"/>
      <sheetData sheetId="14637" refreshError="1"/>
      <sheetData sheetId="14638" refreshError="1"/>
      <sheetData sheetId="14639" refreshError="1"/>
      <sheetData sheetId="14640" refreshError="1"/>
      <sheetData sheetId="14641" refreshError="1"/>
      <sheetData sheetId="14642" refreshError="1"/>
      <sheetData sheetId="14643" refreshError="1"/>
      <sheetData sheetId="14644" refreshError="1"/>
      <sheetData sheetId="14645" refreshError="1"/>
      <sheetData sheetId="14646" refreshError="1"/>
      <sheetData sheetId="14647" refreshError="1"/>
      <sheetData sheetId="14648" refreshError="1"/>
      <sheetData sheetId="14649" refreshError="1"/>
      <sheetData sheetId="14650" refreshError="1"/>
      <sheetData sheetId="14651" refreshError="1"/>
      <sheetData sheetId="14652" refreshError="1"/>
      <sheetData sheetId="14653" refreshError="1"/>
      <sheetData sheetId="14654" refreshError="1"/>
      <sheetData sheetId="14655" refreshError="1"/>
      <sheetData sheetId="14656" refreshError="1"/>
      <sheetData sheetId="14657" refreshError="1"/>
      <sheetData sheetId="14658" refreshError="1"/>
      <sheetData sheetId="14659" refreshError="1"/>
      <sheetData sheetId="14660" refreshError="1"/>
      <sheetData sheetId="14661" refreshError="1"/>
      <sheetData sheetId="14662" refreshError="1"/>
      <sheetData sheetId="14663" refreshError="1"/>
      <sheetData sheetId="14664" refreshError="1"/>
      <sheetData sheetId="14665" refreshError="1"/>
      <sheetData sheetId="14666" refreshError="1"/>
      <sheetData sheetId="14667" refreshError="1"/>
      <sheetData sheetId="14668" refreshError="1"/>
      <sheetData sheetId="14669" refreshError="1"/>
      <sheetData sheetId="14670" refreshError="1"/>
      <sheetData sheetId="14671" refreshError="1"/>
      <sheetData sheetId="14672" refreshError="1"/>
      <sheetData sheetId="14673" refreshError="1"/>
      <sheetData sheetId="14674" refreshError="1"/>
      <sheetData sheetId="14675" refreshError="1"/>
      <sheetData sheetId="14676" refreshError="1"/>
      <sheetData sheetId="14677" refreshError="1"/>
      <sheetData sheetId="14678" refreshError="1"/>
      <sheetData sheetId="14679" refreshError="1"/>
      <sheetData sheetId="14680" refreshError="1"/>
      <sheetData sheetId="14681" refreshError="1"/>
      <sheetData sheetId="14682" refreshError="1"/>
      <sheetData sheetId="14683" refreshError="1"/>
      <sheetData sheetId="14684" refreshError="1"/>
      <sheetData sheetId="14685" refreshError="1"/>
      <sheetData sheetId="14686" refreshError="1"/>
      <sheetData sheetId="14687" refreshError="1"/>
      <sheetData sheetId="14688" refreshError="1"/>
      <sheetData sheetId="14689" refreshError="1"/>
      <sheetData sheetId="14690" refreshError="1"/>
      <sheetData sheetId="14691" refreshError="1"/>
      <sheetData sheetId="14692" refreshError="1"/>
      <sheetData sheetId="14693" refreshError="1"/>
      <sheetData sheetId="14694" refreshError="1"/>
      <sheetData sheetId="14695" refreshError="1"/>
      <sheetData sheetId="14696" refreshError="1"/>
      <sheetData sheetId="14697" refreshError="1"/>
      <sheetData sheetId="14698" refreshError="1"/>
      <sheetData sheetId="14699" refreshError="1"/>
      <sheetData sheetId="14700" refreshError="1"/>
      <sheetData sheetId="14701" refreshError="1"/>
      <sheetData sheetId="14702" refreshError="1"/>
      <sheetData sheetId="14703" refreshError="1"/>
      <sheetData sheetId="14704" refreshError="1"/>
      <sheetData sheetId="14705" refreshError="1"/>
      <sheetData sheetId="14706" refreshError="1"/>
      <sheetData sheetId="14707" refreshError="1"/>
      <sheetData sheetId="14708" refreshError="1"/>
      <sheetData sheetId="14709" refreshError="1"/>
      <sheetData sheetId="14710" refreshError="1"/>
      <sheetData sheetId="14711" refreshError="1"/>
      <sheetData sheetId="14712" refreshError="1"/>
      <sheetData sheetId="14713" refreshError="1"/>
      <sheetData sheetId="14714" refreshError="1"/>
      <sheetData sheetId="14715" refreshError="1"/>
      <sheetData sheetId="14716" refreshError="1"/>
      <sheetData sheetId="14717" refreshError="1"/>
      <sheetData sheetId="14718" refreshError="1"/>
      <sheetData sheetId="14719" refreshError="1"/>
      <sheetData sheetId="14720" refreshError="1"/>
      <sheetData sheetId="14721" refreshError="1"/>
      <sheetData sheetId="14722" refreshError="1"/>
      <sheetData sheetId="14723" refreshError="1"/>
      <sheetData sheetId="14724" refreshError="1"/>
      <sheetData sheetId="14725" refreshError="1"/>
      <sheetData sheetId="14726" refreshError="1"/>
      <sheetData sheetId="14727" refreshError="1"/>
      <sheetData sheetId="14728" refreshError="1"/>
      <sheetData sheetId="14729" refreshError="1"/>
      <sheetData sheetId="14730" refreshError="1"/>
      <sheetData sheetId="14731" refreshError="1"/>
      <sheetData sheetId="14732" refreshError="1"/>
      <sheetData sheetId="14733" refreshError="1"/>
      <sheetData sheetId="14734" refreshError="1"/>
      <sheetData sheetId="14735" refreshError="1"/>
      <sheetData sheetId="14736" refreshError="1"/>
      <sheetData sheetId="14737" refreshError="1"/>
      <sheetData sheetId="14738" refreshError="1"/>
      <sheetData sheetId="14739" refreshError="1"/>
      <sheetData sheetId="14740" refreshError="1"/>
      <sheetData sheetId="14741" refreshError="1"/>
      <sheetData sheetId="14742" refreshError="1"/>
      <sheetData sheetId="14743" refreshError="1"/>
      <sheetData sheetId="14744" refreshError="1"/>
      <sheetData sheetId="14745" refreshError="1"/>
      <sheetData sheetId="14746" refreshError="1"/>
      <sheetData sheetId="14747" refreshError="1"/>
      <sheetData sheetId="14748" refreshError="1"/>
      <sheetData sheetId="14749" refreshError="1"/>
      <sheetData sheetId="14750" refreshError="1"/>
      <sheetData sheetId="14751" refreshError="1"/>
      <sheetData sheetId="14752" refreshError="1"/>
      <sheetData sheetId="14753" refreshError="1"/>
      <sheetData sheetId="14754" refreshError="1"/>
      <sheetData sheetId="14755" refreshError="1"/>
      <sheetData sheetId="14756" refreshError="1"/>
      <sheetData sheetId="14757" refreshError="1"/>
      <sheetData sheetId="14758" refreshError="1"/>
      <sheetData sheetId="14759" refreshError="1"/>
      <sheetData sheetId="14760" refreshError="1"/>
      <sheetData sheetId="14761" refreshError="1"/>
      <sheetData sheetId="14762" refreshError="1"/>
      <sheetData sheetId="14763" refreshError="1"/>
      <sheetData sheetId="14764" refreshError="1"/>
      <sheetData sheetId="14765" refreshError="1"/>
      <sheetData sheetId="14766" refreshError="1"/>
      <sheetData sheetId="14767" refreshError="1"/>
      <sheetData sheetId="14768" refreshError="1"/>
      <sheetData sheetId="14769" refreshError="1"/>
      <sheetData sheetId="14770" refreshError="1"/>
      <sheetData sheetId="14771" refreshError="1"/>
      <sheetData sheetId="14772" refreshError="1"/>
      <sheetData sheetId="14773" refreshError="1"/>
      <sheetData sheetId="14774" refreshError="1"/>
      <sheetData sheetId="14775" refreshError="1"/>
      <sheetData sheetId="14776" refreshError="1"/>
      <sheetData sheetId="14777" refreshError="1"/>
      <sheetData sheetId="14778" refreshError="1"/>
      <sheetData sheetId="14779" refreshError="1"/>
      <sheetData sheetId="14780" refreshError="1"/>
      <sheetData sheetId="14781" refreshError="1"/>
      <sheetData sheetId="14782" refreshError="1"/>
      <sheetData sheetId="14783" refreshError="1"/>
      <sheetData sheetId="14784" refreshError="1"/>
      <sheetData sheetId="14785" refreshError="1"/>
      <sheetData sheetId="14786" refreshError="1"/>
      <sheetData sheetId="14787" refreshError="1"/>
      <sheetData sheetId="14788" refreshError="1"/>
      <sheetData sheetId="14789" refreshError="1"/>
      <sheetData sheetId="14790" refreshError="1"/>
      <sheetData sheetId="14791" refreshError="1"/>
      <sheetData sheetId="14792" refreshError="1"/>
      <sheetData sheetId="14793" refreshError="1"/>
      <sheetData sheetId="14794" refreshError="1"/>
      <sheetData sheetId="14795" refreshError="1"/>
      <sheetData sheetId="14796" refreshError="1"/>
      <sheetData sheetId="14797" refreshError="1"/>
      <sheetData sheetId="14798" refreshError="1"/>
      <sheetData sheetId="14799" refreshError="1"/>
      <sheetData sheetId="14800" refreshError="1"/>
      <sheetData sheetId="14801" refreshError="1"/>
      <sheetData sheetId="14802" refreshError="1"/>
      <sheetData sheetId="14803" refreshError="1"/>
      <sheetData sheetId="14804" refreshError="1"/>
      <sheetData sheetId="14805" refreshError="1"/>
      <sheetData sheetId="14806" refreshError="1"/>
      <sheetData sheetId="14807" refreshError="1"/>
      <sheetData sheetId="14808" refreshError="1"/>
      <sheetData sheetId="14809" refreshError="1"/>
      <sheetData sheetId="14810" refreshError="1"/>
      <sheetData sheetId="14811" refreshError="1"/>
      <sheetData sheetId="14812" refreshError="1"/>
      <sheetData sheetId="14813" refreshError="1"/>
      <sheetData sheetId="14814" refreshError="1"/>
      <sheetData sheetId="14815" refreshError="1"/>
      <sheetData sheetId="14816" refreshError="1"/>
      <sheetData sheetId="14817" refreshError="1"/>
      <sheetData sheetId="14818" refreshError="1"/>
      <sheetData sheetId="14819" refreshError="1"/>
      <sheetData sheetId="14820" refreshError="1"/>
      <sheetData sheetId="14821" refreshError="1"/>
      <sheetData sheetId="14822" refreshError="1"/>
      <sheetData sheetId="14823" refreshError="1"/>
      <sheetData sheetId="14824" refreshError="1"/>
      <sheetData sheetId="14825" refreshError="1"/>
      <sheetData sheetId="14826" refreshError="1"/>
      <sheetData sheetId="14827" refreshError="1"/>
      <sheetData sheetId="14828" refreshError="1"/>
      <sheetData sheetId="14829" refreshError="1"/>
      <sheetData sheetId="14830" refreshError="1"/>
      <sheetData sheetId="14831" refreshError="1"/>
      <sheetData sheetId="14832" refreshError="1"/>
      <sheetData sheetId="14833" refreshError="1"/>
      <sheetData sheetId="14834" refreshError="1"/>
      <sheetData sheetId="14835" refreshError="1"/>
      <sheetData sheetId="14836" refreshError="1"/>
      <sheetData sheetId="14837" refreshError="1"/>
      <sheetData sheetId="14838" refreshError="1"/>
      <sheetData sheetId="14839" refreshError="1"/>
      <sheetData sheetId="14840" refreshError="1"/>
      <sheetData sheetId="14841" refreshError="1"/>
      <sheetData sheetId="14842" refreshError="1"/>
      <sheetData sheetId="14843" refreshError="1"/>
      <sheetData sheetId="14844" refreshError="1"/>
      <sheetData sheetId="14845" refreshError="1"/>
      <sheetData sheetId="14846" refreshError="1"/>
      <sheetData sheetId="14847" refreshError="1"/>
      <sheetData sheetId="14848" refreshError="1"/>
      <sheetData sheetId="14849" refreshError="1"/>
      <sheetData sheetId="14850" refreshError="1"/>
      <sheetData sheetId="14851" refreshError="1"/>
      <sheetData sheetId="14852" refreshError="1"/>
      <sheetData sheetId="14853" refreshError="1"/>
      <sheetData sheetId="14854" refreshError="1"/>
      <sheetData sheetId="14855" refreshError="1"/>
      <sheetData sheetId="14856" refreshError="1"/>
      <sheetData sheetId="14857" refreshError="1"/>
      <sheetData sheetId="14858" refreshError="1"/>
      <sheetData sheetId="14859" refreshError="1"/>
      <sheetData sheetId="14860" refreshError="1"/>
      <sheetData sheetId="14861" refreshError="1"/>
      <sheetData sheetId="14862" refreshError="1"/>
      <sheetData sheetId="14863" refreshError="1"/>
      <sheetData sheetId="14864" refreshError="1"/>
      <sheetData sheetId="14865" refreshError="1"/>
      <sheetData sheetId="14866" refreshError="1"/>
      <sheetData sheetId="14867" refreshError="1"/>
      <sheetData sheetId="14868" refreshError="1"/>
      <sheetData sheetId="14869" refreshError="1"/>
      <sheetData sheetId="14870" refreshError="1"/>
      <sheetData sheetId="14871" refreshError="1"/>
      <sheetData sheetId="14872" refreshError="1"/>
      <sheetData sheetId="14873" refreshError="1"/>
      <sheetData sheetId="14874" refreshError="1"/>
      <sheetData sheetId="14875" refreshError="1"/>
      <sheetData sheetId="14876" refreshError="1"/>
      <sheetData sheetId="14877" refreshError="1"/>
      <sheetData sheetId="14878" refreshError="1"/>
      <sheetData sheetId="14879" refreshError="1"/>
      <sheetData sheetId="14880" refreshError="1"/>
      <sheetData sheetId="14881" refreshError="1"/>
      <sheetData sheetId="14882" refreshError="1"/>
      <sheetData sheetId="14883" refreshError="1"/>
      <sheetData sheetId="14884" refreshError="1"/>
      <sheetData sheetId="14885" refreshError="1"/>
      <sheetData sheetId="14886" refreshError="1"/>
      <sheetData sheetId="14887" refreshError="1"/>
      <sheetData sheetId="14888" refreshError="1"/>
      <sheetData sheetId="14889" refreshError="1"/>
      <sheetData sheetId="14890" refreshError="1"/>
      <sheetData sheetId="14891" refreshError="1"/>
      <sheetData sheetId="14892" refreshError="1"/>
      <sheetData sheetId="14893" refreshError="1"/>
      <sheetData sheetId="14894" refreshError="1"/>
      <sheetData sheetId="14895" refreshError="1"/>
      <sheetData sheetId="14896" refreshError="1"/>
      <sheetData sheetId="14897" refreshError="1"/>
      <sheetData sheetId="14898" refreshError="1"/>
      <sheetData sheetId="14899" refreshError="1"/>
      <sheetData sheetId="14900" refreshError="1"/>
      <sheetData sheetId="14901" refreshError="1"/>
      <sheetData sheetId="14902" refreshError="1"/>
      <sheetData sheetId="14903" refreshError="1"/>
      <sheetData sheetId="14904" refreshError="1"/>
      <sheetData sheetId="14905" refreshError="1"/>
      <sheetData sheetId="14906" refreshError="1"/>
      <sheetData sheetId="14907" refreshError="1"/>
      <sheetData sheetId="14908" refreshError="1"/>
      <sheetData sheetId="14909" refreshError="1"/>
      <sheetData sheetId="14910" refreshError="1"/>
      <sheetData sheetId="14911" refreshError="1"/>
      <sheetData sheetId="14912" refreshError="1"/>
      <sheetData sheetId="14913" refreshError="1"/>
      <sheetData sheetId="14914" refreshError="1"/>
      <sheetData sheetId="14915" refreshError="1"/>
      <sheetData sheetId="14916" refreshError="1"/>
      <sheetData sheetId="14917" refreshError="1"/>
      <sheetData sheetId="14918" refreshError="1"/>
      <sheetData sheetId="14919" refreshError="1"/>
      <sheetData sheetId="14920" refreshError="1"/>
      <sheetData sheetId="14921" refreshError="1"/>
      <sheetData sheetId="14922" refreshError="1"/>
      <sheetData sheetId="14923" refreshError="1"/>
      <sheetData sheetId="14924" refreshError="1"/>
      <sheetData sheetId="14925" refreshError="1"/>
      <sheetData sheetId="14926" refreshError="1"/>
      <sheetData sheetId="14927" refreshError="1"/>
      <sheetData sheetId="14928" refreshError="1"/>
      <sheetData sheetId="14929" refreshError="1"/>
      <sheetData sheetId="14930" refreshError="1"/>
      <sheetData sheetId="14931" refreshError="1"/>
      <sheetData sheetId="14932" refreshError="1"/>
      <sheetData sheetId="14933" refreshError="1"/>
      <sheetData sheetId="14934" refreshError="1"/>
      <sheetData sheetId="14935" refreshError="1"/>
      <sheetData sheetId="14936" refreshError="1"/>
      <sheetData sheetId="14937" refreshError="1"/>
      <sheetData sheetId="14938" refreshError="1"/>
      <sheetData sheetId="14939" refreshError="1"/>
      <sheetData sheetId="14940" refreshError="1"/>
      <sheetData sheetId="14941" refreshError="1"/>
      <sheetData sheetId="14942" refreshError="1"/>
      <sheetData sheetId="14943" refreshError="1"/>
      <sheetData sheetId="14944" refreshError="1"/>
      <sheetData sheetId="14945" refreshError="1"/>
      <sheetData sheetId="14946" refreshError="1"/>
      <sheetData sheetId="14947" refreshError="1"/>
      <sheetData sheetId="14948" refreshError="1"/>
      <sheetData sheetId="14949" refreshError="1"/>
      <sheetData sheetId="14950" refreshError="1"/>
      <sheetData sheetId="14951" refreshError="1"/>
      <sheetData sheetId="14952" refreshError="1"/>
      <sheetData sheetId="14953" refreshError="1"/>
      <sheetData sheetId="14954" refreshError="1"/>
      <sheetData sheetId="14955" refreshError="1"/>
      <sheetData sheetId="14956" refreshError="1"/>
      <sheetData sheetId="14957" refreshError="1"/>
      <sheetData sheetId="14958" refreshError="1"/>
      <sheetData sheetId="14959" refreshError="1"/>
      <sheetData sheetId="14960" refreshError="1"/>
      <sheetData sheetId="14961" refreshError="1"/>
      <sheetData sheetId="14962" refreshError="1"/>
      <sheetData sheetId="14963" refreshError="1"/>
      <sheetData sheetId="14964" refreshError="1"/>
      <sheetData sheetId="14965" refreshError="1"/>
      <sheetData sheetId="14966" refreshError="1"/>
      <sheetData sheetId="14967" refreshError="1"/>
      <sheetData sheetId="14968" refreshError="1"/>
      <sheetData sheetId="14969" refreshError="1"/>
      <sheetData sheetId="14970" refreshError="1"/>
      <sheetData sheetId="14971" refreshError="1"/>
      <sheetData sheetId="14972" refreshError="1"/>
      <sheetData sheetId="14973" refreshError="1"/>
      <sheetData sheetId="14974" refreshError="1"/>
      <sheetData sheetId="14975" refreshError="1"/>
      <sheetData sheetId="14976" refreshError="1"/>
      <sheetData sheetId="14977" refreshError="1"/>
      <sheetData sheetId="14978" refreshError="1"/>
      <sheetData sheetId="14979" refreshError="1"/>
      <sheetData sheetId="14980" refreshError="1"/>
      <sheetData sheetId="14981" refreshError="1"/>
      <sheetData sheetId="14982" refreshError="1"/>
      <sheetData sheetId="14983" refreshError="1"/>
      <sheetData sheetId="14984" refreshError="1"/>
      <sheetData sheetId="14985" refreshError="1"/>
      <sheetData sheetId="14986" refreshError="1"/>
      <sheetData sheetId="14987" refreshError="1"/>
      <sheetData sheetId="14988" refreshError="1"/>
      <sheetData sheetId="14989" refreshError="1"/>
      <sheetData sheetId="14990" refreshError="1"/>
      <sheetData sheetId="14991" refreshError="1"/>
      <sheetData sheetId="14992" refreshError="1"/>
      <sheetData sheetId="14993" refreshError="1"/>
      <sheetData sheetId="14994" refreshError="1"/>
      <sheetData sheetId="14995" refreshError="1"/>
      <sheetData sheetId="14996" refreshError="1"/>
      <sheetData sheetId="14997" refreshError="1"/>
      <sheetData sheetId="14998" refreshError="1"/>
      <sheetData sheetId="14999" refreshError="1"/>
      <sheetData sheetId="15000" refreshError="1"/>
      <sheetData sheetId="15001" refreshError="1"/>
      <sheetData sheetId="15002" refreshError="1"/>
      <sheetData sheetId="15003" refreshError="1"/>
      <sheetData sheetId="15004" refreshError="1"/>
      <sheetData sheetId="15005" refreshError="1"/>
      <sheetData sheetId="15006" refreshError="1"/>
      <sheetData sheetId="15007" refreshError="1"/>
      <sheetData sheetId="15008" refreshError="1"/>
      <sheetData sheetId="15009" refreshError="1"/>
      <sheetData sheetId="15010" refreshError="1"/>
      <sheetData sheetId="15011" refreshError="1"/>
      <sheetData sheetId="15012" refreshError="1"/>
      <sheetData sheetId="15013" refreshError="1"/>
      <sheetData sheetId="15014" refreshError="1"/>
      <sheetData sheetId="15015" refreshError="1"/>
      <sheetData sheetId="15016" refreshError="1"/>
      <sheetData sheetId="15017" refreshError="1"/>
      <sheetData sheetId="15018" refreshError="1"/>
      <sheetData sheetId="15019" refreshError="1"/>
      <sheetData sheetId="15020" refreshError="1"/>
      <sheetData sheetId="15021" refreshError="1"/>
      <sheetData sheetId="15022" refreshError="1"/>
      <sheetData sheetId="15023" refreshError="1"/>
      <sheetData sheetId="15024" refreshError="1"/>
      <sheetData sheetId="15025" refreshError="1"/>
      <sheetData sheetId="15026" refreshError="1"/>
      <sheetData sheetId="15027" refreshError="1"/>
      <sheetData sheetId="15028" refreshError="1"/>
      <sheetData sheetId="15029" refreshError="1"/>
      <sheetData sheetId="15030" refreshError="1"/>
      <sheetData sheetId="15031" refreshError="1"/>
      <sheetData sheetId="15032" refreshError="1"/>
      <sheetData sheetId="15033" refreshError="1"/>
      <sheetData sheetId="15034" refreshError="1"/>
      <sheetData sheetId="15035" refreshError="1"/>
      <sheetData sheetId="15036" refreshError="1"/>
      <sheetData sheetId="15037" refreshError="1"/>
      <sheetData sheetId="15038" refreshError="1"/>
      <sheetData sheetId="15039" refreshError="1"/>
      <sheetData sheetId="15040" refreshError="1"/>
      <sheetData sheetId="15041" refreshError="1"/>
      <sheetData sheetId="15042" refreshError="1"/>
      <sheetData sheetId="15043" refreshError="1"/>
      <sheetData sheetId="15044" refreshError="1"/>
      <sheetData sheetId="15045" refreshError="1"/>
      <sheetData sheetId="15046" refreshError="1"/>
      <sheetData sheetId="15047" refreshError="1"/>
      <sheetData sheetId="15048" refreshError="1"/>
      <sheetData sheetId="15049" refreshError="1"/>
      <sheetData sheetId="15050" refreshError="1"/>
      <sheetData sheetId="15051" refreshError="1"/>
      <sheetData sheetId="15052" refreshError="1"/>
      <sheetData sheetId="15053" refreshError="1"/>
      <sheetData sheetId="15054" refreshError="1"/>
      <sheetData sheetId="15055" refreshError="1"/>
      <sheetData sheetId="15056" refreshError="1"/>
      <sheetData sheetId="15057" refreshError="1"/>
      <sheetData sheetId="15058" refreshError="1"/>
      <sheetData sheetId="15059" refreshError="1"/>
      <sheetData sheetId="15060" refreshError="1"/>
      <sheetData sheetId="15061" refreshError="1"/>
      <sheetData sheetId="15062" refreshError="1"/>
      <sheetData sheetId="15063" refreshError="1"/>
      <sheetData sheetId="15064" refreshError="1"/>
      <sheetData sheetId="15065" refreshError="1"/>
      <sheetData sheetId="15066" refreshError="1"/>
      <sheetData sheetId="15067" refreshError="1"/>
      <sheetData sheetId="15068" refreshError="1"/>
      <sheetData sheetId="15069" refreshError="1"/>
      <sheetData sheetId="15070" refreshError="1"/>
      <sheetData sheetId="15071" refreshError="1"/>
      <sheetData sheetId="15072" refreshError="1"/>
      <sheetData sheetId="15073" refreshError="1"/>
      <sheetData sheetId="15074" refreshError="1"/>
      <sheetData sheetId="15075" refreshError="1"/>
      <sheetData sheetId="15076" refreshError="1"/>
      <sheetData sheetId="15077" refreshError="1"/>
      <sheetData sheetId="15078" refreshError="1"/>
      <sheetData sheetId="15079" refreshError="1"/>
      <sheetData sheetId="15080" refreshError="1"/>
      <sheetData sheetId="15081" refreshError="1"/>
      <sheetData sheetId="15082" refreshError="1"/>
      <sheetData sheetId="15083" refreshError="1"/>
      <sheetData sheetId="15084" refreshError="1"/>
      <sheetData sheetId="15085" refreshError="1"/>
      <sheetData sheetId="15086" refreshError="1"/>
      <sheetData sheetId="15087" refreshError="1"/>
      <sheetData sheetId="15088" refreshError="1"/>
      <sheetData sheetId="15089" refreshError="1"/>
      <sheetData sheetId="15090" refreshError="1"/>
      <sheetData sheetId="15091" refreshError="1"/>
      <sheetData sheetId="15092" refreshError="1"/>
      <sheetData sheetId="15093" refreshError="1"/>
      <sheetData sheetId="15094" refreshError="1"/>
      <sheetData sheetId="15095" refreshError="1"/>
      <sheetData sheetId="15096" refreshError="1"/>
      <sheetData sheetId="15097" refreshError="1"/>
      <sheetData sheetId="15098" refreshError="1"/>
      <sheetData sheetId="15099" refreshError="1"/>
      <sheetData sheetId="15100" refreshError="1"/>
      <sheetData sheetId="15101" refreshError="1"/>
      <sheetData sheetId="15102" refreshError="1"/>
      <sheetData sheetId="15103" refreshError="1"/>
      <sheetData sheetId="15104" refreshError="1"/>
      <sheetData sheetId="15105" refreshError="1"/>
      <sheetData sheetId="15106" refreshError="1"/>
      <sheetData sheetId="15107" refreshError="1"/>
      <sheetData sheetId="15108" refreshError="1"/>
      <sheetData sheetId="15109" refreshError="1"/>
      <sheetData sheetId="15110" refreshError="1"/>
      <sheetData sheetId="15111" refreshError="1"/>
      <sheetData sheetId="15112" refreshError="1"/>
      <sheetData sheetId="15113" refreshError="1"/>
      <sheetData sheetId="15114" refreshError="1"/>
      <sheetData sheetId="15115" refreshError="1"/>
      <sheetData sheetId="15116" refreshError="1"/>
      <sheetData sheetId="15117" refreshError="1"/>
      <sheetData sheetId="15118" refreshError="1"/>
      <sheetData sheetId="15119" refreshError="1"/>
      <sheetData sheetId="15120" refreshError="1"/>
      <sheetData sheetId="15121" refreshError="1"/>
      <sheetData sheetId="15122" refreshError="1"/>
      <sheetData sheetId="15123" refreshError="1"/>
      <sheetData sheetId="15124" refreshError="1"/>
      <sheetData sheetId="15125" refreshError="1"/>
      <sheetData sheetId="15126" refreshError="1"/>
      <sheetData sheetId="15127" refreshError="1"/>
      <sheetData sheetId="15128" refreshError="1"/>
      <sheetData sheetId="15129" refreshError="1"/>
      <sheetData sheetId="15130" refreshError="1"/>
      <sheetData sheetId="15131" refreshError="1"/>
      <sheetData sheetId="15132" refreshError="1"/>
      <sheetData sheetId="15133" refreshError="1"/>
      <sheetData sheetId="15134" refreshError="1"/>
      <sheetData sheetId="15135" refreshError="1"/>
      <sheetData sheetId="15136" refreshError="1"/>
      <sheetData sheetId="15137" refreshError="1"/>
      <sheetData sheetId="15138" refreshError="1"/>
      <sheetData sheetId="15139" refreshError="1"/>
      <sheetData sheetId="15140" refreshError="1"/>
      <sheetData sheetId="15141" refreshError="1"/>
      <sheetData sheetId="15142" refreshError="1"/>
      <sheetData sheetId="15143" refreshError="1"/>
      <sheetData sheetId="15144" refreshError="1"/>
      <sheetData sheetId="15145" refreshError="1"/>
      <sheetData sheetId="15146" refreshError="1"/>
      <sheetData sheetId="15147" refreshError="1"/>
      <sheetData sheetId="15148" refreshError="1"/>
      <sheetData sheetId="15149" refreshError="1"/>
      <sheetData sheetId="15150" refreshError="1"/>
      <sheetData sheetId="15151" refreshError="1"/>
      <sheetData sheetId="15152" refreshError="1"/>
      <sheetData sheetId="15153" refreshError="1"/>
      <sheetData sheetId="15154" refreshError="1"/>
      <sheetData sheetId="15155" refreshError="1"/>
      <sheetData sheetId="15156" refreshError="1"/>
      <sheetData sheetId="15157" refreshError="1"/>
      <sheetData sheetId="15158" refreshError="1"/>
      <sheetData sheetId="15159" refreshError="1"/>
      <sheetData sheetId="15160" refreshError="1"/>
      <sheetData sheetId="15161" refreshError="1"/>
      <sheetData sheetId="15162" refreshError="1"/>
      <sheetData sheetId="15163" refreshError="1"/>
      <sheetData sheetId="15164" refreshError="1"/>
      <sheetData sheetId="15165" refreshError="1"/>
      <sheetData sheetId="15166" refreshError="1"/>
      <sheetData sheetId="15167" refreshError="1"/>
      <sheetData sheetId="15168" refreshError="1"/>
      <sheetData sheetId="15169" refreshError="1"/>
      <sheetData sheetId="15170" refreshError="1"/>
      <sheetData sheetId="15171" refreshError="1"/>
      <sheetData sheetId="15172" refreshError="1"/>
      <sheetData sheetId="15173" refreshError="1"/>
      <sheetData sheetId="15174" refreshError="1"/>
      <sheetData sheetId="15175" refreshError="1"/>
      <sheetData sheetId="15176" refreshError="1"/>
      <sheetData sheetId="15177" refreshError="1"/>
      <sheetData sheetId="15178" refreshError="1"/>
      <sheetData sheetId="15179" refreshError="1"/>
      <sheetData sheetId="15180" refreshError="1"/>
      <sheetData sheetId="15181" refreshError="1"/>
      <sheetData sheetId="15182" refreshError="1"/>
      <sheetData sheetId="15183" refreshError="1"/>
      <sheetData sheetId="15184" refreshError="1"/>
      <sheetData sheetId="15185" refreshError="1"/>
      <sheetData sheetId="15186" refreshError="1"/>
      <sheetData sheetId="15187" refreshError="1"/>
      <sheetData sheetId="15188" refreshError="1"/>
      <sheetData sheetId="15189" refreshError="1"/>
      <sheetData sheetId="15190" refreshError="1"/>
      <sheetData sheetId="15191" refreshError="1"/>
      <sheetData sheetId="15192" refreshError="1"/>
      <sheetData sheetId="15193" refreshError="1"/>
      <sheetData sheetId="15194" refreshError="1"/>
      <sheetData sheetId="15195" refreshError="1"/>
      <sheetData sheetId="15196" refreshError="1"/>
      <sheetData sheetId="15197" refreshError="1"/>
      <sheetData sheetId="15198" refreshError="1"/>
      <sheetData sheetId="15199" refreshError="1"/>
      <sheetData sheetId="15200" refreshError="1"/>
      <sheetData sheetId="15201" refreshError="1"/>
      <sheetData sheetId="15202" refreshError="1"/>
      <sheetData sheetId="15203" refreshError="1"/>
      <sheetData sheetId="15204" refreshError="1"/>
      <sheetData sheetId="15205" refreshError="1"/>
      <sheetData sheetId="15206" refreshError="1"/>
      <sheetData sheetId="15207" refreshError="1"/>
      <sheetData sheetId="15208" refreshError="1"/>
      <sheetData sheetId="15209" refreshError="1"/>
      <sheetData sheetId="15210" refreshError="1"/>
      <sheetData sheetId="15211" refreshError="1"/>
      <sheetData sheetId="15212" refreshError="1"/>
      <sheetData sheetId="15213" refreshError="1"/>
      <sheetData sheetId="15214" refreshError="1"/>
      <sheetData sheetId="15215" refreshError="1"/>
      <sheetData sheetId="15216" refreshError="1"/>
      <sheetData sheetId="15217" refreshError="1"/>
      <sheetData sheetId="15218" refreshError="1"/>
      <sheetData sheetId="15219" refreshError="1"/>
      <sheetData sheetId="15220" refreshError="1"/>
      <sheetData sheetId="15221" refreshError="1"/>
      <sheetData sheetId="15222" refreshError="1"/>
      <sheetData sheetId="15223" refreshError="1"/>
      <sheetData sheetId="15224" refreshError="1"/>
      <sheetData sheetId="15225" refreshError="1"/>
      <sheetData sheetId="15226" refreshError="1"/>
      <sheetData sheetId="15227" refreshError="1"/>
      <sheetData sheetId="15228" refreshError="1"/>
      <sheetData sheetId="15229" refreshError="1"/>
      <sheetData sheetId="15230" refreshError="1"/>
      <sheetData sheetId="15231" refreshError="1"/>
      <sheetData sheetId="15232" refreshError="1"/>
      <sheetData sheetId="15233" refreshError="1"/>
      <sheetData sheetId="15234" refreshError="1"/>
      <sheetData sheetId="15235" refreshError="1"/>
      <sheetData sheetId="15236" refreshError="1"/>
      <sheetData sheetId="15237" refreshError="1"/>
      <sheetData sheetId="15238" refreshError="1"/>
      <sheetData sheetId="15239" refreshError="1"/>
      <sheetData sheetId="15240" refreshError="1"/>
      <sheetData sheetId="15241" refreshError="1"/>
      <sheetData sheetId="15242" refreshError="1"/>
      <sheetData sheetId="15243" refreshError="1"/>
      <sheetData sheetId="15244" refreshError="1"/>
      <sheetData sheetId="15245" refreshError="1"/>
      <sheetData sheetId="15246" refreshError="1"/>
      <sheetData sheetId="15247" refreshError="1"/>
      <sheetData sheetId="15248" refreshError="1"/>
      <sheetData sheetId="15249" refreshError="1"/>
      <sheetData sheetId="15250" refreshError="1"/>
      <sheetData sheetId="15251" refreshError="1"/>
      <sheetData sheetId="15252" refreshError="1"/>
      <sheetData sheetId="15253" refreshError="1"/>
      <sheetData sheetId="15254" refreshError="1"/>
      <sheetData sheetId="15255" refreshError="1"/>
      <sheetData sheetId="15256" refreshError="1"/>
      <sheetData sheetId="15257" refreshError="1"/>
      <sheetData sheetId="15258" refreshError="1"/>
      <sheetData sheetId="15259" refreshError="1"/>
      <sheetData sheetId="15260" refreshError="1"/>
      <sheetData sheetId="15261" refreshError="1"/>
      <sheetData sheetId="15262" refreshError="1"/>
      <sheetData sheetId="15263" refreshError="1"/>
      <sheetData sheetId="15264" refreshError="1"/>
      <sheetData sheetId="15265" refreshError="1"/>
      <sheetData sheetId="15266" refreshError="1"/>
      <sheetData sheetId="15267" refreshError="1"/>
      <sheetData sheetId="15268" refreshError="1"/>
      <sheetData sheetId="15269" refreshError="1"/>
      <sheetData sheetId="15270" refreshError="1"/>
      <sheetData sheetId="15271" refreshError="1"/>
      <sheetData sheetId="15272" refreshError="1"/>
      <sheetData sheetId="15273" refreshError="1"/>
      <sheetData sheetId="15274" refreshError="1"/>
      <sheetData sheetId="15275" refreshError="1"/>
      <sheetData sheetId="15276" refreshError="1"/>
      <sheetData sheetId="15277" refreshError="1"/>
      <sheetData sheetId="15278" refreshError="1"/>
      <sheetData sheetId="15279" refreshError="1"/>
      <sheetData sheetId="15280" refreshError="1"/>
      <sheetData sheetId="15281" refreshError="1"/>
      <sheetData sheetId="15282" refreshError="1"/>
      <sheetData sheetId="15283" refreshError="1"/>
      <sheetData sheetId="15284" refreshError="1"/>
      <sheetData sheetId="15285" refreshError="1"/>
      <sheetData sheetId="15286" refreshError="1"/>
      <sheetData sheetId="15287" refreshError="1"/>
      <sheetData sheetId="15288" refreshError="1"/>
      <sheetData sheetId="15289" refreshError="1"/>
      <sheetData sheetId="15290" refreshError="1"/>
      <sheetData sheetId="15291" refreshError="1"/>
      <sheetData sheetId="15292" refreshError="1"/>
      <sheetData sheetId="15293" refreshError="1"/>
      <sheetData sheetId="15294" refreshError="1"/>
      <sheetData sheetId="15295" refreshError="1"/>
      <sheetData sheetId="15296" refreshError="1"/>
      <sheetData sheetId="15297" refreshError="1"/>
      <sheetData sheetId="15298" refreshError="1"/>
      <sheetData sheetId="15299" refreshError="1"/>
      <sheetData sheetId="15300" refreshError="1"/>
      <sheetData sheetId="15301" refreshError="1"/>
      <sheetData sheetId="15302" refreshError="1"/>
      <sheetData sheetId="15303" refreshError="1"/>
      <sheetData sheetId="15304" refreshError="1"/>
      <sheetData sheetId="15305" refreshError="1"/>
      <sheetData sheetId="15306" refreshError="1"/>
      <sheetData sheetId="15307" refreshError="1"/>
      <sheetData sheetId="15308" refreshError="1"/>
      <sheetData sheetId="15309" refreshError="1"/>
      <sheetData sheetId="15310" refreshError="1"/>
      <sheetData sheetId="15311" refreshError="1"/>
      <sheetData sheetId="15312" refreshError="1"/>
      <sheetData sheetId="15313" refreshError="1"/>
      <sheetData sheetId="15314" refreshError="1"/>
      <sheetData sheetId="15315" refreshError="1"/>
      <sheetData sheetId="15316" refreshError="1"/>
      <sheetData sheetId="15317" refreshError="1"/>
      <sheetData sheetId="15318" refreshError="1"/>
      <sheetData sheetId="15319" refreshError="1"/>
      <sheetData sheetId="15320" refreshError="1"/>
      <sheetData sheetId="15321" refreshError="1"/>
      <sheetData sheetId="15322" refreshError="1"/>
      <sheetData sheetId="15323" refreshError="1"/>
      <sheetData sheetId="15324" refreshError="1"/>
      <sheetData sheetId="15325" refreshError="1"/>
      <sheetData sheetId="15326" refreshError="1"/>
      <sheetData sheetId="15327" refreshError="1"/>
      <sheetData sheetId="15328" refreshError="1"/>
      <sheetData sheetId="15329" refreshError="1"/>
      <sheetData sheetId="15330" refreshError="1"/>
      <sheetData sheetId="15331" refreshError="1"/>
      <sheetData sheetId="15332" refreshError="1"/>
      <sheetData sheetId="15333" refreshError="1"/>
      <sheetData sheetId="15334" refreshError="1"/>
      <sheetData sheetId="15335" refreshError="1"/>
      <sheetData sheetId="15336" refreshError="1"/>
      <sheetData sheetId="15337" refreshError="1"/>
      <sheetData sheetId="15338" refreshError="1"/>
      <sheetData sheetId="15339" refreshError="1"/>
      <sheetData sheetId="15340" refreshError="1"/>
      <sheetData sheetId="15341" refreshError="1"/>
      <sheetData sheetId="15342" refreshError="1"/>
      <sheetData sheetId="15343" refreshError="1"/>
      <sheetData sheetId="15344" refreshError="1"/>
      <sheetData sheetId="15345" refreshError="1"/>
      <sheetData sheetId="15346" refreshError="1"/>
      <sheetData sheetId="15347" refreshError="1"/>
      <sheetData sheetId="15348" refreshError="1"/>
      <sheetData sheetId="15349" refreshError="1"/>
      <sheetData sheetId="15350" refreshError="1"/>
      <sheetData sheetId="15351" refreshError="1"/>
      <sheetData sheetId="15352">
        <row r="1">
          <cell r="A1" t="str">
            <v>CODE</v>
          </cell>
        </row>
      </sheetData>
      <sheetData sheetId="15353" refreshError="1"/>
      <sheetData sheetId="15354" refreshError="1"/>
      <sheetData sheetId="15355">
        <row r="5">
          <cell r="C5">
            <v>0</v>
          </cell>
        </row>
      </sheetData>
      <sheetData sheetId="15356"/>
      <sheetData sheetId="15357">
        <row r="1">
          <cell r="A1" t="str">
            <v>ASSET_NUMBER</v>
          </cell>
        </row>
      </sheetData>
      <sheetData sheetId="15358" refreshError="1"/>
      <sheetData sheetId="15359" refreshError="1"/>
      <sheetData sheetId="15360" refreshError="1"/>
      <sheetData sheetId="15361" refreshError="1"/>
      <sheetData sheetId="15362" refreshError="1"/>
      <sheetData sheetId="15363" refreshError="1"/>
      <sheetData sheetId="15364" refreshError="1"/>
      <sheetData sheetId="15365" refreshError="1"/>
      <sheetData sheetId="15366" refreshError="1"/>
      <sheetData sheetId="15367" refreshError="1"/>
      <sheetData sheetId="15368" refreshError="1"/>
      <sheetData sheetId="15369" refreshError="1"/>
      <sheetData sheetId="15370" refreshError="1"/>
      <sheetData sheetId="15371" refreshError="1"/>
      <sheetData sheetId="15372" refreshError="1"/>
      <sheetData sheetId="15373" refreshError="1"/>
      <sheetData sheetId="15374" refreshError="1"/>
      <sheetData sheetId="15375" refreshError="1"/>
      <sheetData sheetId="15376" refreshError="1"/>
      <sheetData sheetId="15377" refreshError="1"/>
      <sheetData sheetId="15378" refreshError="1"/>
      <sheetData sheetId="15379" refreshError="1"/>
      <sheetData sheetId="15380" refreshError="1"/>
      <sheetData sheetId="15381" refreshError="1"/>
      <sheetData sheetId="15382" refreshError="1"/>
      <sheetData sheetId="15383" refreshError="1"/>
      <sheetData sheetId="15384" refreshError="1"/>
      <sheetData sheetId="15385" refreshError="1"/>
      <sheetData sheetId="15386" refreshError="1"/>
      <sheetData sheetId="15387" refreshError="1"/>
      <sheetData sheetId="15388" refreshError="1"/>
      <sheetData sheetId="15389" refreshError="1"/>
      <sheetData sheetId="15390" refreshError="1"/>
      <sheetData sheetId="15391" refreshError="1"/>
      <sheetData sheetId="15392" refreshError="1"/>
      <sheetData sheetId="15393" refreshError="1"/>
      <sheetData sheetId="15394" refreshError="1"/>
      <sheetData sheetId="15395" refreshError="1"/>
      <sheetData sheetId="15396" refreshError="1"/>
      <sheetData sheetId="15397" refreshError="1"/>
      <sheetData sheetId="15398" refreshError="1"/>
      <sheetData sheetId="15399"/>
      <sheetData sheetId="15400"/>
      <sheetData sheetId="15401"/>
      <sheetData sheetId="15402"/>
      <sheetData sheetId="15403" refreshError="1"/>
      <sheetData sheetId="15404" refreshError="1"/>
      <sheetData sheetId="15405" refreshError="1"/>
      <sheetData sheetId="15406" refreshError="1"/>
      <sheetData sheetId="15407" refreshError="1"/>
      <sheetData sheetId="15408" refreshError="1"/>
      <sheetData sheetId="15409" refreshError="1"/>
      <sheetData sheetId="15410" refreshError="1"/>
      <sheetData sheetId="15411" refreshError="1"/>
      <sheetData sheetId="15412" refreshError="1"/>
      <sheetData sheetId="15413" refreshError="1"/>
      <sheetData sheetId="15414" refreshError="1"/>
      <sheetData sheetId="15415" refreshError="1"/>
      <sheetData sheetId="15416" refreshError="1"/>
      <sheetData sheetId="15417" refreshError="1"/>
      <sheetData sheetId="15418" refreshError="1"/>
      <sheetData sheetId="15419" refreshError="1"/>
      <sheetData sheetId="15420" refreshError="1"/>
      <sheetData sheetId="15421" refreshError="1"/>
      <sheetData sheetId="15422" refreshError="1"/>
      <sheetData sheetId="15423" refreshError="1"/>
      <sheetData sheetId="15424" refreshError="1"/>
      <sheetData sheetId="15425" refreshError="1"/>
      <sheetData sheetId="15426" refreshError="1"/>
      <sheetData sheetId="15427" refreshError="1"/>
      <sheetData sheetId="15428" refreshError="1"/>
      <sheetData sheetId="15429" refreshError="1"/>
      <sheetData sheetId="15430" refreshError="1"/>
      <sheetData sheetId="15431" refreshError="1"/>
      <sheetData sheetId="15432" refreshError="1"/>
      <sheetData sheetId="15433" refreshError="1"/>
      <sheetData sheetId="15434" refreshError="1"/>
      <sheetData sheetId="15435" refreshError="1"/>
      <sheetData sheetId="15436" refreshError="1"/>
      <sheetData sheetId="15437" refreshError="1"/>
      <sheetData sheetId="15438" refreshError="1"/>
      <sheetData sheetId="15439" refreshError="1"/>
      <sheetData sheetId="15440" refreshError="1"/>
      <sheetData sheetId="15441" refreshError="1"/>
      <sheetData sheetId="15442" refreshError="1"/>
      <sheetData sheetId="15443" refreshError="1"/>
      <sheetData sheetId="15444" refreshError="1"/>
      <sheetData sheetId="15445" refreshError="1"/>
      <sheetData sheetId="15446" refreshError="1"/>
      <sheetData sheetId="15447" refreshError="1"/>
      <sheetData sheetId="15448" refreshError="1"/>
      <sheetData sheetId="15449" refreshError="1"/>
      <sheetData sheetId="15450" refreshError="1"/>
      <sheetData sheetId="15451" refreshError="1"/>
      <sheetData sheetId="15452" refreshError="1"/>
      <sheetData sheetId="15453" refreshError="1"/>
      <sheetData sheetId="15454" refreshError="1"/>
      <sheetData sheetId="15455" refreshError="1"/>
      <sheetData sheetId="15456" refreshError="1"/>
      <sheetData sheetId="15457" refreshError="1"/>
      <sheetData sheetId="15458" refreshError="1"/>
      <sheetData sheetId="15459" refreshError="1"/>
      <sheetData sheetId="15460" refreshError="1"/>
      <sheetData sheetId="15461" refreshError="1"/>
      <sheetData sheetId="15462" refreshError="1"/>
      <sheetData sheetId="15463" refreshError="1"/>
      <sheetData sheetId="15464" refreshError="1"/>
      <sheetData sheetId="15465" refreshError="1"/>
      <sheetData sheetId="15466" refreshError="1"/>
      <sheetData sheetId="15467" refreshError="1"/>
      <sheetData sheetId="15468" refreshError="1"/>
      <sheetData sheetId="15469" refreshError="1"/>
      <sheetData sheetId="15470" refreshError="1"/>
      <sheetData sheetId="15471" refreshError="1"/>
      <sheetData sheetId="15472" refreshError="1"/>
      <sheetData sheetId="15473" refreshError="1"/>
      <sheetData sheetId="15474" refreshError="1"/>
      <sheetData sheetId="15475" refreshError="1"/>
      <sheetData sheetId="15476" refreshError="1"/>
      <sheetData sheetId="15477" refreshError="1"/>
      <sheetData sheetId="15478" refreshError="1"/>
      <sheetData sheetId="15479" refreshError="1"/>
      <sheetData sheetId="15480" refreshError="1"/>
      <sheetData sheetId="15481" refreshError="1"/>
      <sheetData sheetId="15482" refreshError="1"/>
      <sheetData sheetId="15483" refreshError="1"/>
      <sheetData sheetId="15484" refreshError="1"/>
      <sheetData sheetId="15485" refreshError="1"/>
      <sheetData sheetId="15486" refreshError="1"/>
      <sheetData sheetId="15487" refreshError="1"/>
      <sheetData sheetId="15488" refreshError="1"/>
      <sheetData sheetId="15489" refreshError="1"/>
      <sheetData sheetId="15490" refreshError="1"/>
      <sheetData sheetId="15491" refreshError="1"/>
      <sheetData sheetId="15492" refreshError="1"/>
      <sheetData sheetId="15493" refreshError="1"/>
      <sheetData sheetId="15494" refreshError="1"/>
      <sheetData sheetId="15495" refreshError="1"/>
      <sheetData sheetId="15496" refreshError="1"/>
      <sheetData sheetId="15497" refreshError="1"/>
      <sheetData sheetId="15498" refreshError="1"/>
      <sheetData sheetId="15499" refreshError="1"/>
      <sheetData sheetId="15500" refreshError="1"/>
      <sheetData sheetId="15501" refreshError="1"/>
      <sheetData sheetId="15502" refreshError="1"/>
      <sheetData sheetId="15503" refreshError="1"/>
      <sheetData sheetId="15504" refreshError="1"/>
      <sheetData sheetId="15505" refreshError="1"/>
      <sheetData sheetId="15506" refreshError="1"/>
      <sheetData sheetId="15507" refreshError="1"/>
      <sheetData sheetId="15508" refreshError="1"/>
      <sheetData sheetId="15509" refreshError="1"/>
      <sheetData sheetId="15510" refreshError="1"/>
      <sheetData sheetId="15511" refreshError="1"/>
      <sheetData sheetId="15512" refreshError="1"/>
      <sheetData sheetId="15513" refreshError="1"/>
      <sheetData sheetId="15514" refreshError="1"/>
      <sheetData sheetId="15515" refreshError="1"/>
      <sheetData sheetId="15516" refreshError="1"/>
      <sheetData sheetId="15517" refreshError="1"/>
      <sheetData sheetId="15518" refreshError="1"/>
      <sheetData sheetId="15519" refreshError="1"/>
      <sheetData sheetId="15520" refreshError="1"/>
      <sheetData sheetId="15521" refreshError="1"/>
      <sheetData sheetId="15522" refreshError="1"/>
      <sheetData sheetId="15523" refreshError="1"/>
      <sheetData sheetId="15524" refreshError="1"/>
      <sheetData sheetId="15525" refreshError="1"/>
      <sheetData sheetId="15526" refreshError="1"/>
      <sheetData sheetId="15527" refreshError="1"/>
      <sheetData sheetId="15528" refreshError="1"/>
      <sheetData sheetId="15529" refreshError="1"/>
      <sheetData sheetId="15530" refreshError="1"/>
      <sheetData sheetId="15531" refreshError="1"/>
      <sheetData sheetId="15532" refreshError="1"/>
      <sheetData sheetId="15533" refreshError="1"/>
      <sheetData sheetId="15534" refreshError="1"/>
      <sheetData sheetId="15535" refreshError="1"/>
      <sheetData sheetId="15536" refreshError="1"/>
      <sheetData sheetId="15537" refreshError="1"/>
      <sheetData sheetId="15538" refreshError="1"/>
      <sheetData sheetId="15539" refreshError="1"/>
      <sheetData sheetId="15540" refreshError="1"/>
      <sheetData sheetId="15541" refreshError="1"/>
      <sheetData sheetId="15542" refreshError="1"/>
      <sheetData sheetId="15543" refreshError="1"/>
      <sheetData sheetId="15544" refreshError="1"/>
      <sheetData sheetId="15545" refreshError="1"/>
      <sheetData sheetId="15546" refreshError="1"/>
      <sheetData sheetId="15547" refreshError="1"/>
      <sheetData sheetId="15548" refreshError="1"/>
      <sheetData sheetId="15549" refreshError="1"/>
      <sheetData sheetId="15550" refreshError="1"/>
      <sheetData sheetId="15551" refreshError="1"/>
      <sheetData sheetId="15552" refreshError="1"/>
      <sheetData sheetId="15553" refreshError="1"/>
      <sheetData sheetId="15554" refreshError="1"/>
      <sheetData sheetId="15555" refreshError="1"/>
      <sheetData sheetId="15556" refreshError="1"/>
      <sheetData sheetId="15557" refreshError="1"/>
      <sheetData sheetId="15558" refreshError="1"/>
      <sheetData sheetId="15559" refreshError="1"/>
      <sheetData sheetId="15560" refreshError="1"/>
      <sheetData sheetId="15561" refreshError="1"/>
      <sheetData sheetId="15562" refreshError="1"/>
      <sheetData sheetId="15563" refreshError="1"/>
      <sheetData sheetId="15564" refreshError="1"/>
      <sheetData sheetId="15565" refreshError="1"/>
      <sheetData sheetId="15566" refreshError="1"/>
      <sheetData sheetId="15567" refreshError="1"/>
      <sheetData sheetId="15568" refreshError="1"/>
      <sheetData sheetId="15569" refreshError="1"/>
      <sheetData sheetId="15570" refreshError="1"/>
      <sheetData sheetId="15571" refreshError="1"/>
      <sheetData sheetId="15572" refreshError="1"/>
      <sheetData sheetId="15573" refreshError="1"/>
      <sheetData sheetId="15574" refreshError="1"/>
      <sheetData sheetId="15575" refreshError="1"/>
      <sheetData sheetId="15576" refreshError="1"/>
      <sheetData sheetId="15577" refreshError="1"/>
      <sheetData sheetId="15578" refreshError="1"/>
      <sheetData sheetId="15579" refreshError="1"/>
      <sheetData sheetId="15580" refreshError="1"/>
      <sheetData sheetId="15581" refreshError="1"/>
      <sheetData sheetId="15582" refreshError="1"/>
      <sheetData sheetId="15583" refreshError="1"/>
      <sheetData sheetId="15584" refreshError="1"/>
      <sheetData sheetId="15585" refreshError="1"/>
      <sheetData sheetId="15586" refreshError="1"/>
      <sheetData sheetId="15587" refreshError="1"/>
      <sheetData sheetId="15588" refreshError="1"/>
      <sheetData sheetId="15589" refreshError="1"/>
      <sheetData sheetId="15590" refreshError="1"/>
      <sheetData sheetId="15591" refreshError="1"/>
      <sheetData sheetId="15592" refreshError="1"/>
      <sheetData sheetId="15593" refreshError="1"/>
      <sheetData sheetId="15594">
        <row r="1">
          <cell r="A1" t="str">
            <v>AGILENT CONFIDENTIAL</v>
          </cell>
        </row>
      </sheetData>
      <sheetData sheetId="15595" refreshError="1"/>
      <sheetData sheetId="15596" refreshError="1"/>
      <sheetData sheetId="15597" refreshError="1"/>
      <sheetData sheetId="15598" refreshError="1"/>
      <sheetData sheetId="15599" refreshError="1"/>
      <sheetData sheetId="15600" refreshError="1"/>
      <sheetData sheetId="15601" refreshError="1"/>
      <sheetData sheetId="15602" refreshError="1"/>
      <sheetData sheetId="15603" refreshError="1"/>
      <sheetData sheetId="15604" refreshError="1"/>
      <sheetData sheetId="15605" refreshError="1"/>
      <sheetData sheetId="15606" refreshError="1"/>
      <sheetData sheetId="15607" refreshError="1"/>
      <sheetData sheetId="15608" refreshError="1"/>
      <sheetData sheetId="15609" refreshError="1"/>
      <sheetData sheetId="15610" refreshError="1"/>
      <sheetData sheetId="15611" refreshError="1"/>
      <sheetData sheetId="15612" refreshError="1"/>
      <sheetData sheetId="15613" refreshError="1"/>
      <sheetData sheetId="15614" refreshError="1"/>
      <sheetData sheetId="15615" refreshError="1"/>
      <sheetData sheetId="15616" refreshError="1"/>
      <sheetData sheetId="15617" refreshError="1"/>
      <sheetData sheetId="15618" refreshError="1"/>
      <sheetData sheetId="15619" refreshError="1"/>
      <sheetData sheetId="15620" refreshError="1"/>
      <sheetData sheetId="15621" refreshError="1"/>
      <sheetData sheetId="15622" refreshError="1"/>
      <sheetData sheetId="15623" refreshError="1"/>
      <sheetData sheetId="15624" refreshError="1"/>
      <sheetData sheetId="15625" refreshError="1"/>
      <sheetData sheetId="15626" refreshError="1"/>
      <sheetData sheetId="15627" refreshError="1"/>
      <sheetData sheetId="15628" refreshError="1"/>
      <sheetData sheetId="15629" refreshError="1"/>
      <sheetData sheetId="15630" refreshError="1"/>
      <sheetData sheetId="15631" refreshError="1"/>
      <sheetData sheetId="15632" refreshError="1"/>
      <sheetData sheetId="15633" refreshError="1"/>
      <sheetData sheetId="15634" refreshError="1"/>
      <sheetData sheetId="15635" refreshError="1"/>
      <sheetData sheetId="15636">
        <row r="1">
          <cell r="A1" t="str">
            <v>AGILENT CONFIDENTIAL</v>
          </cell>
        </row>
      </sheetData>
      <sheetData sheetId="15637" refreshError="1"/>
      <sheetData sheetId="15638">
        <row r="1">
          <cell r="A1" t="str">
            <v>AGILENT CONFIDENTIAL</v>
          </cell>
        </row>
      </sheetData>
      <sheetData sheetId="15639" refreshError="1"/>
      <sheetData sheetId="15640" refreshError="1"/>
      <sheetData sheetId="15641" refreshError="1"/>
      <sheetData sheetId="15642" refreshError="1"/>
      <sheetData sheetId="15643" refreshError="1"/>
      <sheetData sheetId="15644" refreshError="1"/>
      <sheetData sheetId="15645" refreshError="1"/>
      <sheetData sheetId="15646" refreshError="1"/>
      <sheetData sheetId="15647" refreshError="1"/>
      <sheetData sheetId="15648" refreshError="1"/>
      <sheetData sheetId="15649" refreshError="1"/>
      <sheetData sheetId="15650" refreshError="1"/>
      <sheetData sheetId="15651" refreshError="1"/>
      <sheetData sheetId="15652" refreshError="1"/>
      <sheetData sheetId="15653" refreshError="1"/>
      <sheetData sheetId="15654" refreshError="1"/>
      <sheetData sheetId="15655" refreshError="1"/>
      <sheetData sheetId="15656" refreshError="1"/>
      <sheetData sheetId="15657" refreshError="1"/>
      <sheetData sheetId="15658" refreshError="1"/>
      <sheetData sheetId="15659" refreshError="1"/>
      <sheetData sheetId="15660" refreshError="1"/>
      <sheetData sheetId="15661" refreshError="1"/>
      <sheetData sheetId="15662" refreshError="1"/>
      <sheetData sheetId="15663" refreshError="1"/>
      <sheetData sheetId="15664" refreshError="1"/>
      <sheetData sheetId="15665" refreshError="1"/>
      <sheetData sheetId="15666" refreshError="1"/>
      <sheetData sheetId="15667" refreshError="1"/>
      <sheetData sheetId="15668" refreshError="1"/>
      <sheetData sheetId="15669" refreshError="1"/>
      <sheetData sheetId="15670" refreshError="1"/>
      <sheetData sheetId="15671" refreshError="1"/>
      <sheetData sheetId="15672" refreshError="1"/>
      <sheetData sheetId="15673" refreshError="1"/>
      <sheetData sheetId="15674" refreshError="1"/>
      <sheetData sheetId="15675" refreshError="1"/>
      <sheetData sheetId="15676" refreshError="1"/>
      <sheetData sheetId="15677" refreshError="1"/>
      <sheetData sheetId="15678" refreshError="1"/>
      <sheetData sheetId="15679" refreshError="1"/>
      <sheetData sheetId="15680" refreshError="1"/>
      <sheetData sheetId="15681" refreshError="1"/>
      <sheetData sheetId="15682" refreshError="1"/>
      <sheetData sheetId="15683" refreshError="1"/>
      <sheetData sheetId="15684" refreshError="1"/>
      <sheetData sheetId="15685" refreshError="1"/>
      <sheetData sheetId="15686" refreshError="1"/>
      <sheetData sheetId="15687" refreshError="1"/>
      <sheetData sheetId="15688" refreshError="1"/>
      <sheetData sheetId="15689" refreshError="1"/>
      <sheetData sheetId="15690" refreshError="1"/>
      <sheetData sheetId="15691" refreshError="1"/>
      <sheetData sheetId="15692" refreshError="1"/>
      <sheetData sheetId="15693" refreshError="1"/>
      <sheetData sheetId="15694" refreshError="1"/>
      <sheetData sheetId="15695" refreshError="1"/>
      <sheetData sheetId="15696" refreshError="1"/>
      <sheetData sheetId="15697" refreshError="1"/>
      <sheetData sheetId="15698" refreshError="1"/>
      <sheetData sheetId="15699" refreshError="1"/>
      <sheetData sheetId="15700" refreshError="1"/>
      <sheetData sheetId="15701" refreshError="1"/>
      <sheetData sheetId="15702" refreshError="1"/>
      <sheetData sheetId="15703" refreshError="1"/>
      <sheetData sheetId="15704" refreshError="1"/>
      <sheetData sheetId="15705"/>
      <sheetData sheetId="15706"/>
      <sheetData sheetId="15707"/>
      <sheetData sheetId="15708"/>
      <sheetData sheetId="15709"/>
      <sheetData sheetId="15710"/>
      <sheetData sheetId="15711" refreshError="1"/>
      <sheetData sheetId="15712" refreshError="1"/>
      <sheetData sheetId="15713" refreshError="1"/>
      <sheetData sheetId="15714" refreshError="1"/>
      <sheetData sheetId="15715" refreshError="1"/>
      <sheetData sheetId="15716" refreshError="1"/>
      <sheetData sheetId="15717" refreshError="1"/>
      <sheetData sheetId="15718" refreshError="1"/>
      <sheetData sheetId="15719" refreshError="1"/>
      <sheetData sheetId="15720" refreshError="1"/>
      <sheetData sheetId="15721" refreshError="1"/>
      <sheetData sheetId="15722" refreshError="1"/>
      <sheetData sheetId="15723"/>
      <sheetData sheetId="15724"/>
      <sheetData sheetId="15725" refreshError="1"/>
      <sheetData sheetId="15726" refreshError="1"/>
      <sheetData sheetId="15727" refreshError="1"/>
      <sheetData sheetId="15728" refreshError="1"/>
      <sheetData sheetId="15729" refreshError="1"/>
      <sheetData sheetId="15730" refreshError="1"/>
      <sheetData sheetId="15731" refreshError="1"/>
      <sheetData sheetId="15732"/>
      <sheetData sheetId="15733" refreshError="1"/>
      <sheetData sheetId="15734"/>
      <sheetData sheetId="15735"/>
      <sheetData sheetId="15736"/>
      <sheetData sheetId="15737"/>
      <sheetData sheetId="15738"/>
      <sheetData sheetId="15739"/>
      <sheetData sheetId="15740"/>
      <sheetData sheetId="15741"/>
      <sheetData sheetId="15742"/>
      <sheetData sheetId="15743"/>
      <sheetData sheetId="15744"/>
      <sheetData sheetId="15745"/>
      <sheetData sheetId="15746"/>
      <sheetData sheetId="15747"/>
      <sheetData sheetId="15748"/>
      <sheetData sheetId="15749"/>
      <sheetData sheetId="15750" refreshError="1"/>
      <sheetData sheetId="15751"/>
      <sheetData sheetId="15752"/>
      <sheetData sheetId="15753"/>
      <sheetData sheetId="15754"/>
      <sheetData sheetId="15755"/>
      <sheetData sheetId="15756"/>
      <sheetData sheetId="15757"/>
      <sheetData sheetId="15758"/>
      <sheetData sheetId="15759"/>
      <sheetData sheetId="15760"/>
      <sheetData sheetId="15761"/>
      <sheetData sheetId="15762" refreshError="1"/>
      <sheetData sheetId="15763" refreshError="1"/>
      <sheetData sheetId="15764" refreshError="1"/>
      <sheetData sheetId="15765" refreshError="1"/>
      <sheetData sheetId="15766" refreshError="1"/>
      <sheetData sheetId="15767" refreshError="1"/>
      <sheetData sheetId="15768" refreshError="1"/>
      <sheetData sheetId="15769" refreshError="1"/>
      <sheetData sheetId="15770" refreshError="1"/>
      <sheetData sheetId="15771" refreshError="1"/>
      <sheetData sheetId="15772" refreshError="1"/>
      <sheetData sheetId="15773" refreshError="1"/>
      <sheetData sheetId="15774" refreshError="1"/>
      <sheetData sheetId="15775" refreshError="1"/>
      <sheetData sheetId="15776" refreshError="1"/>
      <sheetData sheetId="15777" refreshError="1"/>
      <sheetData sheetId="15778" refreshError="1"/>
      <sheetData sheetId="15779" refreshError="1"/>
      <sheetData sheetId="15780" refreshError="1"/>
      <sheetData sheetId="15781" refreshError="1"/>
      <sheetData sheetId="15782" refreshError="1"/>
      <sheetData sheetId="15783" refreshError="1"/>
      <sheetData sheetId="15784" refreshError="1"/>
      <sheetData sheetId="15785" refreshError="1"/>
      <sheetData sheetId="15786" refreshError="1"/>
      <sheetData sheetId="15787" refreshError="1"/>
      <sheetData sheetId="15788" refreshError="1"/>
      <sheetData sheetId="15789" refreshError="1"/>
      <sheetData sheetId="15790" refreshError="1"/>
      <sheetData sheetId="15791" refreshError="1"/>
      <sheetData sheetId="15792" refreshError="1"/>
      <sheetData sheetId="15793" refreshError="1"/>
      <sheetData sheetId="15794" refreshError="1"/>
      <sheetData sheetId="15795" refreshError="1"/>
      <sheetData sheetId="15796" refreshError="1"/>
      <sheetData sheetId="15797" refreshError="1"/>
      <sheetData sheetId="15798" refreshError="1"/>
      <sheetData sheetId="15799" refreshError="1"/>
      <sheetData sheetId="15800" refreshError="1"/>
      <sheetData sheetId="15801" refreshError="1"/>
      <sheetData sheetId="15802" refreshError="1"/>
      <sheetData sheetId="15803" refreshError="1"/>
      <sheetData sheetId="15804" refreshError="1"/>
      <sheetData sheetId="15805" refreshError="1"/>
      <sheetData sheetId="15806" refreshError="1"/>
      <sheetData sheetId="15807" refreshError="1"/>
      <sheetData sheetId="15808" refreshError="1"/>
      <sheetData sheetId="15809"/>
      <sheetData sheetId="15810"/>
      <sheetData sheetId="15811"/>
      <sheetData sheetId="15812"/>
      <sheetData sheetId="15813"/>
      <sheetData sheetId="15814"/>
      <sheetData sheetId="15815"/>
      <sheetData sheetId="15816"/>
      <sheetData sheetId="15817"/>
      <sheetData sheetId="15818"/>
      <sheetData sheetId="15819"/>
      <sheetData sheetId="15820"/>
      <sheetData sheetId="15821"/>
      <sheetData sheetId="15822"/>
      <sheetData sheetId="15823"/>
      <sheetData sheetId="15824" refreshError="1"/>
      <sheetData sheetId="15825" refreshError="1"/>
      <sheetData sheetId="15826" refreshError="1"/>
      <sheetData sheetId="15827" refreshError="1"/>
      <sheetData sheetId="15828" refreshError="1"/>
      <sheetData sheetId="15829" refreshError="1"/>
      <sheetData sheetId="15830" refreshError="1"/>
      <sheetData sheetId="15831" refreshError="1"/>
      <sheetData sheetId="15832" refreshError="1"/>
      <sheetData sheetId="15833" refreshError="1"/>
      <sheetData sheetId="15834" refreshError="1"/>
      <sheetData sheetId="15835" refreshError="1"/>
      <sheetData sheetId="15836" refreshError="1"/>
      <sheetData sheetId="15837" refreshError="1"/>
      <sheetData sheetId="15838" refreshError="1"/>
      <sheetData sheetId="15839" refreshError="1"/>
      <sheetData sheetId="15840" refreshError="1"/>
      <sheetData sheetId="15841" refreshError="1"/>
      <sheetData sheetId="15842" refreshError="1"/>
      <sheetData sheetId="15843" refreshError="1"/>
      <sheetData sheetId="15844" refreshError="1"/>
      <sheetData sheetId="15845" refreshError="1"/>
      <sheetData sheetId="15846" refreshError="1"/>
      <sheetData sheetId="15847" refreshError="1"/>
      <sheetData sheetId="15848" refreshError="1"/>
      <sheetData sheetId="15849" refreshError="1"/>
      <sheetData sheetId="15850" refreshError="1"/>
      <sheetData sheetId="15851" refreshError="1"/>
      <sheetData sheetId="15852" refreshError="1"/>
      <sheetData sheetId="15853" refreshError="1"/>
      <sheetData sheetId="15854" refreshError="1"/>
      <sheetData sheetId="15855" refreshError="1"/>
      <sheetData sheetId="15856" refreshError="1"/>
      <sheetData sheetId="15857" refreshError="1"/>
      <sheetData sheetId="15858" refreshError="1"/>
      <sheetData sheetId="15859" refreshError="1"/>
      <sheetData sheetId="15860" refreshError="1"/>
      <sheetData sheetId="15861" refreshError="1"/>
      <sheetData sheetId="15862" refreshError="1"/>
      <sheetData sheetId="15863" refreshError="1"/>
      <sheetData sheetId="15864" refreshError="1"/>
      <sheetData sheetId="15865" refreshError="1"/>
      <sheetData sheetId="15866" refreshError="1"/>
      <sheetData sheetId="15867" refreshError="1"/>
      <sheetData sheetId="15868" refreshError="1"/>
      <sheetData sheetId="15869" refreshError="1"/>
      <sheetData sheetId="15870" refreshError="1"/>
      <sheetData sheetId="15871" refreshError="1"/>
      <sheetData sheetId="15872" refreshError="1"/>
      <sheetData sheetId="15873" refreshError="1"/>
      <sheetData sheetId="15874" refreshError="1"/>
      <sheetData sheetId="15875" refreshError="1"/>
      <sheetData sheetId="15876" refreshError="1"/>
      <sheetData sheetId="15877" refreshError="1"/>
      <sheetData sheetId="15878" refreshError="1"/>
      <sheetData sheetId="15879" refreshError="1"/>
      <sheetData sheetId="15880" refreshError="1"/>
      <sheetData sheetId="15881"/>
      <sheetData sheetId="15882"/>
      <sheetData sheetId="15883"/>
      <sheetData sheetId="15884" refreshError="1"/>
      <sheetData sheetId="15885" refreshError="1"/>
      <sheetData sheetId="15886" refreshError="1"/>
      <sheetData sheetId="15887" refreshError="1"/>
      <sheetData sheetId="15888" refreshError="1"/>
      <sheetData sheetId="15889" refreshError="1"/>
      <sheetData sheetId="15890" refreshError="1"/>
      <sheetData sheetId="15891" refreshError="1"/>
      <sheetData sheetId="15892" refreshError="1"/>
      <sheetData sheetId="15893" refreshError="1"/>
      <sheetData sheetId="15894" refreshError="1"/>
      <sheetData sheetId="15895" refreshError="1"/>
      <sheetData sheetId="15896" refreshError="1"/>
      <sheetData sheetId="15897" refreshError="1"/>
      <sheetData sheetId="15898" refreshError="1"/>
      <sheetData sheetId="15899" refreshError="1"/>
      <sheetData sheetId="15900" refreshError="1"/>
      <sheetData sheetId="15901"/>
      <sheetData sheetId="15902">
        <row r="1">
          <cell r="A1" t="str">
            <v>CODE</v>
          </cell>
        </row>
      </sheetData>
      <sheetData sheetId="15903">
        <row r="1">
          <cell r="A1" t="str">
            <v>CODE</v>
          </cell>
        </row>
      </sheetData>
      <sheetData sheetId="15904"/>
      <sheetData sheetId="15905" refreshError="1"/>
      <sheetData sheetId="15906"/>
      <sheetData sheetId="15907"/>
      <sheetData sheetId="15908"/>
      <sheetData sheetId="15909"/>
      <sheetData sheetId="15910"/>
      <sheetData sheetId="15911"/>
      <sheetData sheetId="15912"/>
      <sheetData sheetId="15913"/>
      <sheetData sheetId="15914"/>
      <sheetData sheetId="15915"/>
      <sheetData sheetId="15916"/>
      <sheetData sheetId="15917"/>
      <sheetData sheetId="15918"/>
      <sheetData sheetId="15919">
        <row r="1">
          <cell r="A1" t="str">
            <v>CODE</v>
          </cell>
        </row>
      </sheetData>
      <sheetData sheetId="15920">
        <row r="1">
          <cell r="A1" t="str">
            <v>CODE</v>
          </cell>
        </row>
      </sheetData>
      <sheetData sheetId="15921">
        <row r="1">
          <cell r="A1" t="str">
            <v>Customer Name</v>
          </cell>
        </row>
      </sheetData>
      <sheetData sheetId="15922">
        <row r="1">
          <cell r="A1" t="str">
            <v>CODE</v>
          </cell>
        </row>
      </sheetData>
      <sheetData sheetId="15923"/>
      <sheetData sheetId="15924"/>
      <sheetData sheetId="15925"/>
      <sheetData sheetId="15926"/>
      <sheetData sheetId="15927"/>
      <sheetData sheetId="15928"/>
      <sheetData sheetId="15929"/>
      <sheetData sheetId="15930"/>
      <sheetData sheetId="15931"/>
      <sheetData sheetId="15932"/>
      <sheetData sheetId="15933"/>
      <sheetData sheetId="15934"/>
      <sheetData sheetId="15935"/>
      <sheetData sheetId="15936"/>
      <sheetData sheetId="15937">
        <row r="1">
          <cell r="A1" t="str">
            <v>CODE</v>
          </cell>
        </row>
      </sheetData>
      <sheetData sheetId="15938"/>
      <sheetData sheetId="15939"/>
      <sheetData sheetId="15940" refreshError="1"/>
      <sheetData sheetId="15941"/>
      <sheetData sheetId="15942"/>
      <sheetData sheetId="15943" refreshError="1"/>
      <sheetData sheetId="15944" refreshError="1"/>
      <sheetData sheetId="15945" refreshError="1"/>
      <sheetData sheetId="15946" refreshError="1"/>
      <sheetData sheetId="15947" refreshError="1"/>
      <sheetData sheetId="15948" refreshError="1"/>
      <sheetData sheetId="15949" refreshError="1"/>
      <sheetData sheetId="15950" refreshError="1"/>
      <sheetData sheetId="15951" refreshError="1"/>
      <sheetData sheetId="15952" refreshError="1"/>
      <sheetData sheetId="15953" refreshError="1"/>
      <sheetData sheetId="15954" refreshError="1"/>
      <sheetData sheetId="15955" refreshError="1"/>
      <sheetData sheetId="15956" refreshError="1"/>
      <sheetData sheetId="15957" refreshError="1"/>
      <sheetData sheetId="15958" refreshError="1"/>
      <sheetData sheetId="15959" refreshError="1"/>
      <sheetData sheetId="15960" refreshError="1"/>
      <sheetData sheetId="15961" refreshError="1"/>
      <sheetData sheetId="15962" refreshError="1"/>
      <sheetData sheetId="15963" refreshError="1"/>
      <sheetData sheetId="15964" refreshError="1"/>
      <sheetData sheetId="15965" refreshError="1"/>
      <sheetData sheetId="15966" refreshError="1"/>
      <sheetData sheetId="15967" refreshError="1"/>
      <sheetData sheetId="15968" refreshError="1"/>
      <sheetData sheetId="15969" refreshError="1"/>
      <sheetData sheetId="15970" refreshError="1"/>
      <sheetData sheetId="15971" refreshError="1"/>
      <sheetData sheetId="15972" refreshError="1"/>
      <sheetData sheetId="15973" refreshError="1"/>
      <sheetData sheetId="15974" refreshError="1"/>
      <sheetData sheetId="15975" refreshError="1"/>
      <sheetData sheetId="15976" refreshError="1"/>
      <sheetData sheetId="15977" refreshError="1"/>
      <sheetData sheetId="15978" refreshError="1"/>
      <sheetData sheetId="15979" refreshError="1"/>
      <sheetData sheetId="15980" refreshError="1"/>
      <sheetData sheetId="15981" refreshError="1"/>
      <sheetData sheetId="15982" refreshError="1"/>
      <sheetData sheetId="15983" refreshError="1"/>
      <sheetData sheetId="15984" refreshError="1"/>
      <sheetData sheetId="15985" refreshError="1"/>
      <sheetData sheetId="15986" refreshError="1"/>
      <sheetData sheetId="15987" refreshError="1"/>
      <sheetData sheetId="15988" refreshError="1"/>
      <sheetData sheetId="15989" refreshError="1"/>
      <sheetData sheetId="15990" refreshError="1"/>
      <sheetData sheetId="15991" refreshError="1"/>
      <sheetData sheetId="15992" refreshError="1"/>
      <sheetData sheetId="15993" refreshError="1"/>
      <sheetData sheetId="15994" refreshError="1"/>
      <sheetData sheetId="15995" refreshError="1"/>
      <sheetData sheetId="15996" refreshError="1"/>
      <sheetData sheetId="15997" refreshError="1"/>
      <sheetData sheetId="15998" refreshError="1"/>
      <sheetData sheetId="15999" refreshError="1"/>
      <sheetData sheetId="16000" refreshError="1"/>
      <sheetData sheetId="16001" refreshError="1"/>
      <sheetData sheetId="16002" refreshError="1"/>
      <sheetData sheetId="16003" refreshError="1"/>
      <sheetData sheetId="16004" refreshError="1"/>
      <sheetData sheetId="16005" refreshError="1"/>
      <sheetData sheetId="16006" refreshError="1"/>
      <sheetData sheetId="16007" refreshError="1"/>
      <sheetData sheetId="16008" refreshError="1"/>
      <sheetData sheetId="16009" refreshError="1"/>
      <sheetData sheetId="16010" refreshError="1"/>
      <sheetData sheetId="16011" refreshError="1"/>
      <sheetData sheetId="16012" refreshError="1"/>
      <sheetData sheetId="16013" refreshError="1"/>
      <sheetData sheetId="16014" refreshError="1"/>
      <sheetData sheetId="16015" refreshError="1"/>
      <sheetData sheetId="16016" refreshError="1"/>
      <sheetData sheetId="16017" refreshError="1"/>
      <sheetData sheetId="16018" refreshError="1"/>
      <sheetData sheetId="16019" refreshError="1"/>
      <sheetData sheetId="16020" refreshError="1"/>
      <sheetData sheetId="16021" refreshError="1"/>
      <sheetData sheetId="16022" refreshError="1"/>
      <sheetData sheetId="16023" refreshError="1"/>
      <sheetData sheetId="16024" refreshError="1"/>
      <sheetData sheetId="16025" refreshError="1"/>
      <sheetData sheetId="16026" refreshError="1"/>
      <sheetData sheetId="16027" refreshError="1"/>
      <sheetData sheetId="16028" refreshError="1"/>
      <sheetData sheetId="16029" refreshError="1"/>
      <sheetData sheetId="16030" refreshError="1"/>
      <sheetData sheetId="16031" refreshError="1"/>
      <sheetData sheetId="16032" refreshError="1"/>
      <sheetData sheetId="16033" refreshError="1"/>
      <sheetData sheetId="16034" refreshError="1"/>
      <sheetData sheetId="16035" refreshError="1"/>
      <sheetData sheetId="16036" refreshError="1"/>
      <sheetData sheetId="16037" refreshError="1"/>
      <sheetData sheetId="16038" refreshError="1"/>
      <sheetData sheetId="16039" refreshError="1"/>
      <sheetData sheetId="16040" refreshError="1"/>
      <sheetData sheetId="16041" refreshError="1"/>
      <sheetData sheetId="16042" refreshError="1"/>
      <sheetData sheetId="16043" refreshError="1"/>
      <sheetData sheetId="16044" refreshError="1"/>
      <sheetData sheetId="16045" refreshError="1"/>
      <sheetData sheetId="16046" refreshError="1"/>
      <sheetData sheetId="16047" refreshError="1"/>
      <sheetData sheetId="16048" refreshError="1"/>
      <sheetData sheetId="16049" refreshError="1"/>
      <sheetData sheetId="16050" refreshError="1"/>
      <sheetData sheetId="16051" refreshError="1"/>
      <sheetData sheetId="16052" refreshError="1"/>
      <sheetData sheetId="16053" refreshError="1"/>
      <sheetData sheetId="16054" refreshError="1"/>
      <sheetData sheetId="16055" refreshError="1"/>
      <sheetData sheetId="16056" refreshError="1"/>
      <sheetData sheetId="16057" refreshError="1"/>
      <sheetData sheetId="16058" refreshError="1"/>
      <sheetData sheetId="16059" refreshError="1"/>
      <sheetData sheetId="16060" refreshError="1"/>
      <sheetData sheetId="16061" refreshError="1"/>
      <sheetData sheetId="16062" refreshError="1"/>
      <sheetData sheetId="16063" refreshError="1"/>
      <sheetData sheetId="16064" refreshError="1"/>
      <sheetData sheetId="16065" refreshError="1"/>
      <sheetData sheetId="16066" refreshError="1"/>
      <sheetData sheetId="16067" refreshError="1"/>
      <sheetData sheetId="16068" refreshError="1"/>
      <sheetData sheetId="16069" refreshError="1"/>
      <sheetData sheetId="16070" refreshError="1"/>
      <sheetData sheetId="16071" refreshError="1"/>
      <sheetData sheetId="16072" refreshError="1"/>
      <sheetData sheetId="16073" refreshError="1"/>
      <sheetData sheetId="16074" refreshError="1"/>
      <sheetData sheetId="16075" refreshError="1"/>
      <sheetData sheetId="16076" refreshError="1"/>
      <sheetData sheetId="16077"/>
      <sheetData sheetId="16078"/>
      <sheetData sheetId="16079">
        <row r="1">
          <cell r="A1" t="str">
            <v>CODE</v>
          </cell>
        </row>
      </sheetData>
      <sheetData sheetId="16080">
        <row r="1">
          <cell r="A1" t="str">
            <v>CODE</v>
          </cell>
        </row>
      </sheetData>
      <sheetData sheetId="16081">
        <row r="1">
          <cell r="A1" t="str">
            <v>CODE</v>
          </cell>
        </row>
      </sheetData>
      <sheetData sheetId="16082"/>
      <sheetData sheetId="16083"/>
      <sheetData sheetId="16084"/>
      <sheetData sheetId="16085"/>
      <sheetData sheetId="16086"/>
      <sheetData sheetId="16087" refreshError="1"/>
      <sheetData sheetId="16088">
        <row r="1">
          <cell r="A1" t="str">
            <v>CODE</v>
          </cell>
        </row>
      </sheetData>
      <sheetData sheetId="16089" refreshError="1"/>
      <sheetData sheetId="16090" refreshError="1"/>
      <sheetData sheetId="16091">
        <row r="1">
          <cell r="A1" t="str">
            <v>CODE</v>
          </cell>
        </row>
      </sheetData>
      <sheetData sheetId="16092" refreshError="1"/>
      <sheetData sheetId="16093" refreshError="1"/>
      <sheetData sheetId="16094" refreshError="1"/>
      <sheetData sheetId="16095" refreshError="1"/>
      <sheetData sheetId="16096" refreshError="1"/>
      <sheetData sheetId="16097" refreshError="1"/>
      <sheetData sheetId="16098" refreshError="1"/>
      <sheetData sheetId="16099" refreshError="1"/>
      <sheetData sheetId="16100" refreshError="1"/>
      <sheetData sheetId="16101" refreshError="1"/>
      <sheetData sheetId="16102" refreshError="1"/>
      <sheetData sheetId="16103" refreshError="1"/>
      <sheetData sheetId="16104" refreshError="1"/>
      <sheetData sheetId="16105" refreshError="1"/>
      <sheetData sheetId="16106" refreshError="1"/>
      <sheetData sheetId="16107" refreshError="1"/>
      <sheetData sheetId="16108" refreshError="1"/>
      <sheetData sheetId="16109">
        <row r="23">
          <cell r="A23" t="str">
            <v>D115</v>
          </cell>
        </row>
      </sheetData>
      <sheetData sheetId="16110">
        <row r="23">
          <cell r="A23" t="str">
            <v>D115</v>
          </cell>
        </row>
      </sheetData>
      <sheetData sheetId="16111">
        <row r="1">
          <cell r="B1" t="str">
            <v>D115</v>
          </cell>
        </row>
      </sheetData>
      <sheetData sheetId="16112">
        <row r="1">
          <cell r="B1" t="str">
            <v>D115</v>
          </cell>
        </row>
      </sheetData>
      <sheetData sheetId="16113" refreshError="1"/>
      <sheetData sheetId="16114" refreshError="1"/>
      <sheetData sheetId="16115" refreshError="1"/>
      <sheetData sheetId="16116" refreshError="1"/>
      <sheetData sheetId="16117"/>
      <sheetData sheetId="16118" refreshError="1"/>
      <sheetData sheetId="16119" refreshError="1"/>
      <sheetData sheetId="16120" refreshError="1"/>
      <sheetData sheetId="16121" refreshError="1"/>
      <sheetData sheetId="16122" refreshError="1"/>
      <sheetData sheetId="16123" refreshError="1"/>
      <sheetData sheetId="16124" refreshError="1"/>
      <sheetData sheetId="16125" refreshError="1"/>
      <sheetData sheetId="16126" refreshError="1"/>
      <sheetData sheetId="16127" refreshError="1"/>
      <sheetData sheetId="16128"/>
      <sheetData sheetId="16129" refreshError="1"/>
      <sheetData sheetId="16130" refreshError="1"/>
      <sheetData sheetId="16131"/>
      <sheetData sheetId="16132" refreshError="1"/>
      <sheetData sheetId="16133"/>
      <sheetData sheetId="16134" refreshError="1"/>
      <sheetData sheetId="16135"/>
      <sheetData sheetId="16136" refreshError="1"/>
      <sheetData sheetId="16137" refreshError="1"/>
      <sheetData sheetId="16138" refreshError="1"/>
      <sheetData sheetId="16139"/>
      <sheetData sheetId="16140" refreshError="1"/>
      <sheetData sheetId="16141" refreshError="1"/>
      <sheetData sheetId="16142" refreshError="1"/>
      <sheetData sheetId="16143" refreshError="1"/>
      <sheetData sheetId="16144" refreshError="1"/>
      <sheetData sheetId="16145" refreshError="1"/>
      <sheetData sheetId="16146" refreshError="1"/>
      <sheetData sheetId="16147" refreshError="1"/>
      <sheetData sheetId="16148" refreshError="1"/>
      <sheetData sheetId="16149" refreshError="1"/>
      <sheetData sheetId="16150" refreshError="1"/>
      <sheetData sheetId="16151" refreshError="1"/>
      <sheetData sheetId="16152" refreshError="1"/>
      <sheetData sheetId="16153" refreshError="1"/>
      <sheetData sheetId="16154" refreshError="1"/>
      <sheetData sheetId="16155" refreshError="1"/>
      <sheetData sheetId="16156" refreshError="1"/>
      <sheetData sheetId="16157" refreshError="1"/>
      <sheetData sheetId="16158" refreshError="1"/>
      <sheetData sheetId="16159" refreshError="1"/>
      <sheetData sheetId="16160" refreshError="1"/>
      <sheetData sheetId="16161" refreshError="1"/>
      <sheetData sheetId="16162" refreshError="1"/>
      <sheetData sheetId="16163" refreshError="1"/>
      <sheetData sheetId="16164" refreshError="1"/>
      <sheetData sheetId="16165" refreshError="1"/>
      <sheetData sheetId="16166" refreshError="1"/>
      <sheetData sheetId="16167" refreshError="1"/>
      <sheetData sheetId="16168" refreshError="1"/>
      <sheetData sheetId="16169" refreshError="1"/>
      <sheetData sheetId="16170" refreshError="1"/>
      <sheetData sheetId="16171" refreshError="1"/>
      <sheetData sheetId="16172" refreshError="1"/>
      <sheetData sheetId="16173" refreshError="1"/>
      <sheetData sheetId="16174" refreshError="1"/>
      <sheetData sheetId="16175" refreshError="1"/>
      <sheetData sheetId="16176" refreshError="1"/>
      <sheetData sheetId="16177" refreshError="1"/>
      <sheetData sheetId="16178" refreshError="1"/>
      <sheetData sheetId="16179" refreshError="1"/>
      <sheetData sheetId="16180" refreshError="1"/>
      <sheetData sheetId="16181" refreshError="1"/>
      <sheetData sheetId="16182" refreshError="1"/>
      <sheetData sheetId="16183" refreshError="1"/>
      <sheetData sheetId="16184" refreshError="1"/>
      <sheetData sheetId="16185" refreshError="1"/>
      <sheetData sheetId="16186" refreshError="1"/>
      <sheetData sheetId="16187" refreshError="1"/>
      <sheetData sheetId="16188" refreshError="1"/>
      <sheetData sheetId="16189" refreshError="1"/>
      <sheetData sheetId="16190" refreshError="1"/>
      <sheetData sheetId="16191" refreshError="1"/>
      <sheetData sheetId="16192" refreshError="1"/>
      <sheetData sheetId="16193" refreshError="1"/>
      <sheetData sheetId="16194" refreshError="1"/>
      <sheetData sheetId="16195" refreshError="1"/>
      <sheetData sheetId="16196" refreshError="1"/>
      <sheetData sheetId="16197" refreshError="1"/>
      <sheetData sheetId="16198" refreshError="1"/>
      <sheetData sheetId="16199" refreshError="1"/>
      <sheetData sheetId="16200" refreshError="1"/>
      <sheetData sheetId="16201" refreshError="1"/>
      <sheetData sheetId="16202" refreshError="1"/>
      <sheetData sheetId="16203" refreshError="1"/>
      <sheetData sheetId="16204" refreshError="1"/>
      <sheetData sheetId="16205" refreshError="1"/>
      <sheetData sheetId="16206" refreshError="1"/>
      <sheetData sheetId="16207" refreshError="1"/>
      <sheetData sheetId="16208" refreshError="1"/>
      <sheetData sheetId="16209" refreshError="1"/>
      <sheetData sheetId="16210" refreshError="1"/>
      <sheetData sheetId="16211" refreshError="1"/>
      <sheetData sheetId="16212" refreshError="1"/>
      <sheetData sheetId="16213" refreshError="1"/>
      <sheetData sheetId="16214" refreshError="1"/>
      <sheetData sheetId="16215" refreshError="1"/>
      <sheetData sheetId="16216" refreshError="1"/>
      <sheetData sheetId="16217" refreshError="1"/>
      <sheetData sheetId="16218" refreshError="1"/>
      <sheetData sheetId="16219" refreshError="1"/>
      <sheetData sheetId="16220" refreshError="1"/>
      <sheetData sheetId="16221" refreshError="1"/>
      <sheetData sheetId="16222" refreshError="1"/>
      <sheetData sheetId="16223" refreshError="1"/>
      <sheetData sheetId="16224" refreshError="1"/>
      <sheetData sheetId="16225" refreshError="1"/>
      <sheetData sheetId="16226" refreshError="1"/>
      <sheetData sheetId="16227" refreshError="1"/>
      <sheetData sheetId="16228" refreshError="1"/>
      <sheetData sheetId="16229" refreshError="1"/>
      <sheetData sheetId="16230" refreshError="1"/>
      <sheetData sheetId="16231" refreshError="1"/>
      <sheetData sheetId="16232" refreshError="1"/>
      <sheetData sheetId="16233" refreshError="1"/>
      <sheetData sheetId="16234" refreshError="1"/>
      <sheetData sheetId="16235" refreshError="1"/>
      <sheetData sheetId="16236" refreshError="1"/>
      <sheetData sheetId="16237" refreshError="1"/>
      <sheetData sheetId="16238" refreshError="1"/>
      <sheetData sheetId="16239" refreshError="1"/>
      <sheetData sheetId="16240" refreshError="1"/>
      <sheetData sheetId="16241" refreshError="1"/>
      <sheetData sheetId="16242" refreshError="1"/>
      <sheetData sheetId="16243" refreshError="1"/>
      <sheetData sheetId="16244" refreshError="1"/>
      <sheetData sheetId="16245" refreshError="1"/>
      <sheetData sheetId="16246" refreshError="1"/>
      <sheetData sheetId="16247" refreshError="1"/>
      <sheetData sheetId="16248" refreshError="1"/>
      <sheetData sheetId="16249" refreshError="1"/>
      <sheetData sheetId="16250" refreshError="1"/>
      <sheetData sheetId="16251" refreshError="1"/>
      <sheetData sheetId="16252" refreshError="1"/>
      <sheetData sheetId="16253" refreshError="1"/>
      <sheetData sheetId="16254" refreshError="1"/>
      <sheetData sheetId="16255" refreshError="1"/>
      <sheetData sheetId="16256" refreshError="1"/>
      <sheetData sheetId="16257" refreshError="1"/>
      <sheetData sheetId="16258" refreshError="1"/>
      <sheetData sheetId="16259" refreshError="1"/>
      <sheetData sheetId="16260" refreshError="1"/>
      <sheetData sheetId="16261" refreshError="1"/>
      <sheetData sheetId="16262" refreshError="1"/>
      <sheetData sheetId="16263" refreshError="1"/>
      <sheetData sheetId="16264" refreshError="1"/>
      <sheetData sheetId="16265" refreshError="1"/>
      <sheetData sheetId="16266" refreshError="1"/>
      <sheetData sheetId="16267" refreshError="1"/>
      <sheetData sheetId="16268" refreshError="1"/>
      <sheetData sheetId="16269" refreshError="1"/>
      <sheetData sheetId="16270" refreshError="1"/>
      <sheetData sheetId="16271" refreshError="1"/>
      <sheetData sheetId="16272" refreshError="1"/>
      <sheetData sheetId="16273" refreshError="1"/>
      <sheetData sheetId="16274" refreshError="1"/>
      <sheetData sheetId="16275" refreshError="1"/>
      <sheetData sheetId="16276" refreshError="1"/>
      <sheetData sheetId="16277" refreshError="1"/>
      <sheetData sheetId="16278" refreshError="1"/>
      <sheetData sheetId="16279" refreshError="1"/>
      <sheetData sheetId="16280" refreshError="1"/>
      <sheetData sheetId="16281" refreshError="1"/>
      <sheetData sheetId="16282" refreshError="1"/>
      <sheetData sheetId="16283" refreshError="1"/>
      <sheetData sheetId="16284" refreshError="1"/>
      <sheetData sheetId="16285" refreshError="1"/>
      <sheetData sheetId="16286" refreshError="1"/>
      <sheetData sheetId="16287" refreshError="1"/>
      <sheetData sheetId="16288" refreshError="1"/>
      <sheetData sheetId="16289" refreshError="1"/>
      <sheetData sheetId="16290" refreshError="1"/>
      <sheetData sheetId="16291" refreshError="1"/>
      <sheetData sheetId="16292" refreshError="1"/>
      <sheetData sheetId="16293" refreshError="1"/>
      <sheetData sheetId="16294" refreshError="1"/>
      <sheetData sheetId="16295" refreshError="1"/>
      <sheetData sheetId="16296" refreshError="1"/>
      <sheetData sheetId="16297" refreshError="1"/>
      <sheetData sheetId="16298" refreshError="1"/>
      <sheetData sheetId="16299" refreshError="1"/>
      <sheetData sheetId="16300" refreshError="1"/>
      <sheetData sheetId="16301" refreshError="1"/>
      <sheetData sheetId="16302" refreshError="1"/>
      <sheetData sheetId="16303" refreshError="1"/>
      <sheetData sheetId="16304" refreshError="1"/>
      <sheetData sheetId="16305" refreshError="1"/>
      <sheetData sheetId="16306" refreshError="1"/>
      <sheetData sheetId="16307" refreshError="1"/>
      <sheetData sheetId="16308" refreshError="1"/>
      <sheetData sheetId="16309" refreshError="1"/>
      <sheetData sheetId="16310" refreshError="1"/>
      <sheetData sheetId="16311" refreshError="1"/>
      <sheetData sheetId="16312" refreshError="1"/>
      <sheetData sheetId="16313" refreshError="1"/>
      <sheetData sheetId="16314" refreshError="1"/>
      <sheetData sheetId="16315" refreshError="1"/>
      <sheetData sheetId="16316" refreshError="1"/>
      <sheetData sheetId="16317" refreshError="1"/>
      <sheetData sheetId="16318" refreshError="1"/>
      <sheetData sheetId="16319" refreshError="1"/>
      <sheetData sheetId="16320" refreshError="1"/>
      <sheetData sheetId="16321" refreshError="1"/>
      <sheetData sheetId="16322" refreshError="1"/>
      <sheetData sheetId="16323" refreshError="1"/>
      <sheetData sheetId="16324" refreshError="1"/>
      <sheetData sheetId="16325" refreshError="1"/>
      <sheetData sheetId="16326" refreshError="1"/>
      <sheetData sheetId="16327" refreshError="1"/>
      <sheetData sheetId="16328" refreshError="1"/>
      <sheetData sheetId="16329" refreshError="1"/>
      <sheetData sheetId="16330" refreshError="1"/>
      <sheetData sheetId="16331" refreshError="1"/>
      <sheetData sheetId="16332" refreshError="1"/>
      <sheetData sheetId="16333" refreshError="1"/>
      <sheetData sheetId="16334" refreshError="1"/>
      <sheetData sheetId="16335" refreshError="1"/>
      <sheetData sheetId="16336" refreshError="1"/>
      <sheetData sheetId="16337" refreshError="1"/>
      <sheetData sheetId="16338" refreshError="1"/>
      <sheetData sheetId="16339" refreshError="1"/>
      <sheetData sheetId="16340" refreshError="1"/>
      <sheetData sheetId="16341" refreshError="1"/>
      <sheetData sheetId="16342" refreshError="1"/>
      <sheetData sheetId="16343" refreshError="1"/>
      <sheetData sheetId="16344" refreshError="1"/>
      <sheetData sheetId="16345" refreshError="1"/>
      <sheetData sheetId="16346" refreshError="1"/>
      <sheetData sheetId="16347" refreshError="1"/>
      <sheetData sheetId="16348" refreshError="1"/>
      <sheetData sheetId="16349" refreshError="1"/>
      <sheetData sheetId="16350" refreshError="1"/>
      <sheetData sheetId="16351" refreshError="1"/>
      <sheetData sheetId="16352" refreshError="1"/>
      <sheetData sheetId="16353" refreshError="1"/>
      <sheetData sheetId="16354" refreshError="1"/>
      <sheetData sheetId="16355" refreshError="1"/>
      <sheetData sheetId="16356" refreshError="1"/>
      <sheetData sheetId="16357" refreshError="1"/>
      <sheetData sheetId="16358" refreshError="1"/>
      <sheetData sheetId="16359" refreshError="1"/>
      <sheetData sheetId="16360" refreshError="1"/>
      <sheetData sheetId="16361" refreshError="1"/>
      <sheetData sheetId="16362" refreshError="1"/>
      <sheetData sheetId="16363" refreshError="1"/>
      <sheetData sheetId="16364" refreshError="1"/>
      <sheetData sheetId="16365" refreshError="1"/>
      <sheetData sheetId="16366" refreshError="1"/>
      <sheetData sheetId="16367" refreshError="1"/>
      <sheetData sheetId="16368" refreshError="1"/>
      <sheetData sheetId="16369" refreshError="1"/>
      <sheetData sheetId="16370" refreshError="1"/>
      <sheetData sheetId="16371" refreshError="1"/>
      <sheetData sheetId="16372">
        <row r="1">
          <cell r="A1" t="str">
            <v>CODE</v>
          </cell>
        </row>
      </sheetData>
      <sheetData sheetId="16373" refreshError="1"/>
      <sheetData sheetId="16374">
        <row r="1">
          <cell r="A1" t="str">
            <v>CODE</v>
          </cell>
        </row>
      </sheetData>
      <sheetData sheetId="16375">
        <row r="1">
          <cell r="A1" t="str">
            <v>CODE</v>
          </cell>
        </row>
      </sheetData>
      <sheetData sheetId="16376">
        <row r="1">
          <cell r="A1" t="str">
            <v>CODE</v>
          </cell>
        </row>
      </sheetData>
      <sheetData sheetId="16377">
        <row r="1">
          <cell r="A1" t="str">
            <v>CODE</v>
          </cell>
        </row>
      </sheetData>
      <sheetData sheetId="16378">
        <row r="1">
          <cell r="A1" t="str">
            <v>CODE</v>
          </cell>
        </row>
      </sheetData>
      <sheetData sheetId="16379">
        <row r="1">
          <cell r="A1" t="str">
            <v>Customer Name</v>
          </cell>
        </row>
      </sheetData>
      <sheetData sheetId="16380"/>
      <sheetData sheetId="16381"/>
      <sheetData sheetId="16382" refreshError="1"/>
      <sheetData sheetId="16383" refreshError="1"/>
      <sheetData sheetId="16384" refreshError="1"/>
      <sheetData sheetId="16385" refreshError="1"/>
      <sheetData sheetId="16386" refreshError="1"/>
      <sheetData sheetId="16387" refreshError="1"/>
      <sheetData sheetId="16388" refreshError="1"/>
      <sheetData sheetId="16389" refreshError="1"/>
      <sheetData sheetId="16390" refreshError="1"/>
      <sheetData sheetId="16391" refreshError="1"/>
      <sheetData sheetId="16392" refreshError="1"/>
      <sheetData sheetId="16393" refreshError="1"/>
      <sheetData sheetId="16394" refreshError="1"/>
      <sheetData sheetId="16395" refreshError="1"/>
      <sheetData sheetId="16396" refreshError="1"/>
      <sheetData sheetId="16397" refreshError="1"/>
      <sheetData sheetId="16398" refreshError="1"/>
      <sheetData sheetId="16399" refreshError="1"/>
      <sheetData sheetId="16400" refreshError="1"/>
      <sheetData sheetId="16401" refreshError="1"/>
      <sheetData sheetId="16402" refreshError="1"/>
      <sheetData sheetId="16403" refreshError="1"/>
      <sheetData sheetId="16404" refreshError="1"/>
      <sheetData sheetId="16405" refreshError="1"/>
      <sheetData sheetId="16406" refreshError="1"/>
      <sheetData sheetId="16407" refreshError="1"/>
      <sheetData sheetId="16408" refreshError="1"/>
      <sheetData sheetId="16409" refreshError="1"/>
      <sheetData sheetId="16410" refreshError="1"/>
      <sheetData sheetId="16411" refreshError="1"/>
      <sheetData sheetId="16412" refreshError="1"/>
      <sheetData sheetId="16413" refreshError="1"/>
      <sheetData sheetId="16414" refreshError="1"/>
      <sheetData sheetId="16415" refreshError="1"/>
      <sheetData sheetId="16416" refreshError="1"/>
      <sheetData sheetId="16417" refreshError="1"/>
      <sheetData sheetId="16418" refreshError="1"/>
      <sheetData sheetId="16419" refreshError="1"/>
      <sheetData sheetId="16420" refreshError="1"/>
      <sheetData sheetId="16421" refreshError="1"/>
      <sheetData sheetId="16422" refreshError="1"/>
      <sheetData sheetId="16423" refreshError="1"/>
      <sheetData sheetId="16424" refreshError="1"/>
      <sheetData sheetId="16425" refreshError="1"/>
      <sheetData sheetId="16426" refreshError="1"/>
      <sheetData sheetId="16427" refreshError="1"/>
      <sheetData sheetId="16428" refreshError="1"/>
      <sheetData sheetId="16429" refreshError="1"/>
      <sheetData sheetId="16430" refreshError="1"/>
      <sheetData sheetId="16431" refreshError="1"/>
      <sheetData sheetId="16432" refreshError="1"/>
      <sheetData sheetId="16433" refreshError="1"/>
      <sheetData sheetId="16434" refreshError="1"/>
      <sheetData sheetId="16435" refreshError="1"/>
      <sheetData sheetId="16436" refreshError="1"/>
      <sheetData sheetId="16437" refreshError="1"/>
      <sheetData sheetId="16438" refreshError="1"/>
      <sheetData sheetId="16439" refreshError="1"/>
      <sheetData sheetId="16440" refreshError="1"/>
      <sheetData sheetId="16441" refreshError="1"/>
      <sheetData sheetId="16442" refreshError="1"/>
      <sheetData sheetId="16443" refreshError="1"/>
      <sheetData sheetId="16444" refreshError="1"/>
      <sheetData sheetId="16445" refreshError="1"/>
      <sheetData sheetId="16446" refreshError="1"/>
      <sheetData sheetId="16447" refreshError="1"/>
      <sheetData sheetId="16448" refreshError="1"/>
      <sheetData sheetId="16449" refreshError="1"/>
      <sheetData sheetId="16450" refreshError="1"/>
      <sheetData sheetId="16451" refreshError="1"/>
      <sheetData sheetId="16452" refreshError="1"/>
      <sheetData sheetId="16453" refreshError="1"/>
      <sheetData sheetId="16454" refreshError="1"/>
      <sheetData sheetId="16455" refreshError="1"/>
      <sheetData sheetId="16456" refreshError="1"/>
      <sheetData sheetId="16457" refreshError="1"/>
      <sheetData sheetId="16458" refreshError="1"/>
      <sheetData sheetId="16459" refreshError="1"/>
      <sheetData sheetId="16460" refreshError="1"/>
      <sheetData sheetId="16461" refreshError="1"/>
      <sheetData sheetId="16462" refreshError="1"/>
      <sheetData sheetId="16463" refreshError="1"/>
      <sheetData sheetId="16464" refreshError="1"/>
      <sheetData sheetId="16465" refreshError="1"/>
      <sheetData sheetId="16466" refreshError="1"/>
      <sheetData sheetId="16467" refreshError="1"/>
      <sheetData sheetId="16468" refreshError="1"/>
      <sheetData sheetId="16469" refreshError="1"/>
      <sheetData sheetId="16470" refreshError="1"/>
      <sheetData sheetId="16471" refreshError="1"/>
      <sheetData sheetId="16472" refreshError="1"/>
      <sheetData sheetId="16473" refreshError="1"/>
      <sheetData sheetId="16474" refreshError="1"/>
      <sheetData sheetId="16475" refreshError="1"/>
      <sheetData sheetId="16476" refreshError="1"/>
      <sheetData sheetId="16477" refreshError="1"/>
      <sheetData sheetId="16478" refreshError="1"/>
      <sheetData sheetId="16479" refreshError="1"/>
      <sheetData sheetId="16480" refreshError="1"/>
      <sheetData sheetId="16481" refreshError="1"/>
      <sheetData sheetId="16482" refreshError="1"/>
      <sheetData sheetId="16483" refreshError="1"/>
      <sheetData sheetId="16484" refreshError="1"/>
      <sheetData sheetId="16485" refreshError="1"/>
      <sheetData sheetId="16486" refreshError="1"/>
      <sheetData sheetId="16487" refreshError="1"/>
      <sheetData sheetId="16488" refreshError="1"/>
      <sheetData sheetId="16489" refreshError="1"/>
      <sheetData sheetId="16490" refreshError="1"/>
      <sheetData sheetId="16491" refreshError="1"/>
      <sheetData sheetId="16492" refreshError="1"/>
      <sheetData sheetId="16493" refreshError="1"/>
      <sheetData sheetId="16494" refreshError="1"/>
      <sheetData sheetId="16495" refreshError="1"/>
      <sheetData sheetId="16496" refreshError="1"/>
      <sheetData sheetId="16497" refreshError="1"/>
      <sheetData sheetId="16498" refreshError="1"/>
      <sheetData sheetId="16499" refreshError="1"/>
      <sheetData sheetId="16500" refreshError="1"/>
      <sheetData sheetId="16501" refreshError="1"/>
      <sheetData sheetId="16502" refreshError="1"/>
      <sheetData sheetId="16503" refreshError="1"/>
      <sheetData sheetId="16504" refreshError="1"/>
      <sheetData sheetId="16505" refreshError="1"/>
      <sheetData sheetId="16506" refreshError="1"/>
      <sheetData sheetId="16507" refreshError="1"/>
      <sheetData sheetId="16508" refreshError="1"/>
      <sheetData sheetId="16509" refreshError="1"/>
      <sheetData sheetId="16510" refreshError="1"/>
      <sheetData sheetId="16511" refreshError="1"/>
      <sheetData sheetId="16512" refreshError="1"/>
      <sheetData sheetId="16513" refreshError="1"/>
      <sheetData sheetId="16514" refreshError="1"/>
      <sheetData sheetId="16515" refreshError="1"/>
      <sheetData sheetId="16516" refreshError="1"/>
      <sheetData sheetId="16517" refreshError="1"/>
      <sheetData sheetId="16518" refreshError="1"/>
      <sheetData sheetId="16519" refreshError="1"/>
      <sheetData sheetId="16520" refreshError="1"/>
      <sheetData sheetId="16521" refreshError="1"/>
      <sheetData sheetId="16522" refreshError="1"/>
      <sheetData sheetId="16523" refreshError="1"/>
      <sheetData sheetId="16524" refreshError="1"/>
      <sheetData sheetId="16525" refreshError="1"/>
      <sheetData sheetId="16526" refreshError="1"/>
      <sheetData sheetId="16527" refreshError="1"/>
      <sheetData sheetId="16528" refreshError="1"/>
      <sheetData sheetId="16529" refreshError="1"/>
      <sheetData sheetId="16530" refreshError="1"/>
      <sheetData sheetId="16531" refreshError="1"/>
      <sheetData sheetId="16532" refreshError="1"/>
      <sheetData sheetId="16533" refreshError="1"/>
      <sheetData sheetId="16534" refreshError="1"/>
      <sheetData sheetId="16535" refreshError="1"/>
      <sheetData sheetId="16536" refreshError="1"/>
      <sheetData sheetId="16537" refreshError="1"/>
      <sheetData sheetId="16538" refreshError="1"/>
      <sheetData sheetId="16539" refreshError="1"/>
      <sheetData sheetId="16540" refreshError="1"/>
      <sheetData sheetId="16541" refreshError="1"/>
      <sheetData sheetId="16542" refreshError="1"/>
      <sheetData sheetId="16543" refreshError="1"/>
      <sheetData sheetId="16544" refreshError="1"/>
      <sheetData sheetId="16545" refreshError="1"/>
      <sheetData sheetId="16546" refreshError="1"/>
      <sheetData sheetId="16547" refreshError="1"/>
      <sheetData sheetId="16548" refreshError="1"/>
      <sheetData sheetId="16549" refreshError="1"/>
      <sheetData sheetId="16550" refreshError="1"/>
      <sheetData sheetId="16551" refreshError="1"/>
      <sheetData sheetId="16552" refreshError="1"/>
      <sheetData sheetId="16553" refreshError="1"/>
      <sheetData sheetId="16554" refreshError="1"/>
      <sheetData sheetId="16555" refreshError="1"/>
      <sheetData sheetId="16556" refreshError="1"/>
      <sheetData sheetId="16557" refreshError="1"/>
      <sheetData sheetId="16558" refreshError="1"/>
      <sheetData sheetId="16559" refreshError="1"/>
      <sheetData sheetId="16560" refreshError="1"/>
      <sheetData sheetId="16561" refreshError="1"/>
      <sheetData sheetId="16562" refreshError="1"/>
      <sheetData sheetId="16563" refreshError="1"/>
      <sheetData sheetId="16564" refreshError="1"/>
      <sheetData sheetId="16565" refreshError="1"/>
      <sheetData sheetId="16566" refreshError="1"/>
      <sheetData sheetId="16567" refreshError="1"/>
      <sheetData sheetId="16568" refreshError="1"/>
      <sheetData sheetId="16569" refreshError="1"/>
      <sheetData sheetId="16570" refreshError="1"/>
      <sheetData sheetId="16571" refreshError="1"/>
      <sheetData sheetId="16572" refreshError="1"/>
      <sheetData sheetId="16573" refreshError="1"/>
      <sheetData sheetId="16574" refreshError="1"/>
      <sheetData sheetId="16575" refreshError="1"/>
      <sheetData sheetId="16576" refreshError="1"/>
      <sheetData sheetId="16577" refreshError="1"/>
      <sheetData sheetId="16578" refreshError="1"/>
      <sheetData sheetId="16579" refreshError="1"/>
      <sheetData sheetId="16580" refreshError="1"/>
      <sheetData sheetId="16581" refreshError="1"/>
      <sheetData sheetId="16582" refreshError="1"/>
      <sheetData sheetId="16583" refreshError="1"/>
      <sheetData sheetId="16584" refreshError="1"/>
      <sheetData sheetId="16585" refreshError="1"/>
      <sheetData sheetId="16586" refreshError="1"/>
      <sheetData sheetId="16587" refreshError="1"/>
      <sheetData sheetId="16588" refreshError="1"/>
      <sheetData sheetId="16589" refreshError="1"/>
      <sheetData sheetId="16590" refreshError="1"/>
      <sheetData sheetId="16591" refreshError="1"/>
      <sheetData sheetId="16592" refreshError="1"/>
      <sheetData sheetId="16593" refreshError="1"/>
      <sheetData sheetId="16594" refreshError="1"/>
      <sheetData sheetId="16595" refreshError="1"/>
      <sheetData sheetId="16596" refreshError="1"/>
      <sheetData sheetId="16597" refreshError="1"/>
      <sheetData sheetId="16598" refreshError="1"/>
      <sheetData sheetId="16599" refreshError="1"/>
      <sheetData sheetId="16600" refreshError="1"/>
      <sheetData sheetId="16601" refreshError="1"/>
      <sheetData sheetId="16602" refreshError="1"/>
      <sheetData sheetId="16603" refreshError="1"/>
      <sheetData sheetId="16604" refreshError="1"/>
      <sheetData sheetId="16605" refreshError="1"/>
      <sheetData sheetId="16606" refreshError="1"/>
      <sheetData sheetId="16607" refreshError="1"/>
      <sheetData sheetId="16608" refreshError="1"/>
      <sheetData sheetId="16609" refreshError="1"/>
      <sheetData sheetId="16610" refreshError="1"/>
      <sheetData sheetId="16611" refreshError="1"/>
      <sheetData sheetId="16612" refreshError="1"/>
      <sheetData sheetId="16613" refreshError="1"/>
      <sheetData sheetId="16614" refreshError="1"/>
      <sheetData sheetId="16615" refreshError="1"/>
      <sheetData sheetId="16616" refreshError="1"/>
      <sheetData sheetId="16617" refreshError="1"/>
      <sheetData sheetId="16618" refreshError="1"/>
      <sheetData sheetId="16619" refreshError="1"/>
      <sheetData sheetId="16620" refreshError="1"/>
      <sheetData sheetId="16621" refreshError="1"/>
      <sheetData sheetId="16622" refreshError="1"/>
      <sheetData sheetId="16623" refreshError="1"/>
      <sheetData sheetId="16624" refreshError="1"/>
      <sheetData sheetId="16625" refreshError="1"/>
      <sheetData sheetId="16626" refreshError="1"/>
      <sheetData sheetId="16627" refreshError="1"/>
      <sheetData sheetId="16628" refreshError="1"/>
      <sheetData sheetId="16629" refreshError="1"/>
      <sheetData sheetId="16630" refreshError="1"/>
      <sheetData sheetId="16631" refreshError="1"/>
      <sheetData sheetId="16632" refreshError="1"/>
      <sheetData sheetId="16633" refreshError="1"/>
      <sheetData sheetId="16634" refreshError="1"/>
      <sheetData sheetId="16635" refreshError="1"/>
      <sheetData sheetId="16636" refreshError="1"/>
      <sheetData sheetId="16637" refreshError="1"/>
      <sheetData sheetId="16638" refreshError="1"/>
      <sheetData sheetId="16639" refreshError="1"/>
      <sheetData sheetId="16640" refreshError="1"/>
      <sheetData sheetId="16641" refreshError="1"/>
      <sheetData sheetId="16642" refreshError="1"/>
      <sheetData sheetId="16643" refreshError="1"/>
      <sheetData sheetId="16644" refreshError="1"/>
      <sheetData sheetId="16645" refreshError="1"/>
      <sheetData sheetId="16646" refreshError="1"/>
      <sheetData sheetId="16647" refreshError="1"/>
      <sheetData sheetId="16648" refreshError="1"/>
      <sheetData sheetId="16649" refreshError="1"/>
      <sheetData sheetId="16650" refreshError="1"/>
      <sheetData sheetId="16651" refreshError="1"/>
      <sheetData sheetId="16652" refreshError="1"/>
      <sheetData sheetId="16653" refreshError="1"/>
      <sheetData sheetId="16654" refreshError="1"/>
      <sheetData sheetId="16655" refreshError="1"/>
      <sheetData sheetId="16656" refreshError="1"/>
      <sheetData sheetId="16657" refreshError="1"/>
      <sheetData sheetId="16658" refreshError="1"/>
      <sheetData sheetId="16659" refreshError="1"/>
      <sheetData sheetId="16660" refreshError="1"/>
      <sheetData sheetId="16661" refreshError="1"/>
      <sheetData sheetId="16662" refreshError="1"/>
      <sheetData sheetId="16663" refreshError="1"/>
      <sheetData sheetId="16664" refreshError="1"/>
      <sheetData sheetId="16665" refreshError="1"/>
      <sheetData sheetId="16666" refreshError="1"/>
      <sheetData sheetId="16667" refreshError="1"/>
      <sheetData sheetId="16668" refreshError="1"/>
      <sheetData sheetId="16669" refreshError="1"/>
      <sheetData sheetId="16670" refreshError="1"/>
      <sheetData sheetId="16671" refreshError="1"/>
      <sheetData sheetId="16672" refreshError="1"/>
      <sheetData sheetId="16673" refreshError="1"/>
      <sheetData sheetId="16674" refreshError="1"/>
      <sheetData sheetId="16675" refreshError="1"/>
      <sheetData sheetId="16676" refreshError="1"/>
      <sheetData sheetId="16677" refreshError="1"/>
      <sheetData sheetId="16678" refreshError="1"/>
      <sheetData sheetId="16679" refreshError="1"/>
      <sheetData sheetId="16680" refreshError="1"/>
      <sheetData sheetId="16681" refreshError="1"/>
      <sheetData sheetId="16682" refreshError="1"/>
      <sheetData sheetId="16683" refreshError="1"/>
      <sheetData sheetId="16684" refreshError="1"/>
      <sheetData sheetId="16685" refreshError="1"/>
      <sheetData sheetId="16686" refreshError="1"/>
      <sheetData sheetId="16687" refreshError="1"/>
      <sheetData sheetId="16688" refreshError="1"/>
      <sheetData sheetId="16689" refreshError="1"/>
      <sheetData sheetId="16690" refreshError="1"/>
      <sheetData sheetId="16691" refreshError="1"/>
      <sheetData sheetId="16692" refreshError="1"/>
      <sheetData sheetId="16693" refreshError="1"/>
      <sheetData sheetId="16694" refreshError="1"/>
      <sheetData sheetId="16695" refreshError="1"/>
      <sheetData sheetId="16696" refreshError="1"/>
      <sheetData sheetId="16697" refreshError="1"/>
      <sheetData sheetId="16698" refreshError="1"/>
      <sheetData sheetId="16699" refreshError="1"/>
      <sheetData sheetId="16700" refreshError="1"/>
      <sheetData sheetId="16701" refreshError="1"/>
      <sheetData sheetId="16702" refreshError="1"/>
      <sheetData sheetId="16703" refreshError="1"/>
      <sheetData sheetId="16704" refreshError="1"/>
      <sheetData sheetId="16705" refreshError="1"/>
      <sheetData sheetId="16706" refreshError="1"/>
      <sheetData sheetId="16707" refreshError="1"/>
      <sheetData sheetId="16708" refreshError="1"/>
      <sheetData sheetId="16709" refreshError="1"/>
      <sheetData sheetId="16710" refreshError="1"/>
      <sheetData sheetId="16711" refreshError="1"/>
      <sheetData sheetId="16712" refreshError="1"/>
      <sheetData sheetId="16713" refreshError="1"/>
      <sheetData sheetId="16714" refreshError="1"/>
      <sheetData sheetId="16715" refreshError="1"/>
      <sheetData sheetId="16716" refreshError="1"/>
      <sheetData sheetId="16717" refreshError="1"/>
      <sheetData sheetId="16718" refreshError="1"/>
      <sheetData sheetId="16719" refreshError="1"/>
      <sheetData sheetId="16720" refreshError="1"/>
      <sheetData sheetId="16721" refreshError="1"/>
      <sheetData sheetId="16722" refreshError="1"/>
      <sheetData sheetId="16723" refreshError="1"/>
      <sheetData sheetId="16724" refreshError="1"/>
      <sheetData sheetId="16725" refreshError="1"/>
      <sheetData sheetId="16726" refreshError="1"/>
      <sheetData sheetId="16727" refreshError="1"/>
      <sheetData sheetId="16728" refreshError="1"/>
      <sheetData sheetId="16729" refreshError="1"/>
      <sheetData sheetId="16730" refreshError="1"/>
      <sheetData sheetId="16731" refreshError="1"/>
      <sheetData sheetId="16732" refreshError="1"/>
      <sheetData sheetId="16733" refreshError="1"/>
      <sheetData sheetId="16734" refreshError="1"/>
      <sheetData sheetId="16735" refreshError="1"/>
      <sheetData sheetId="16736" refreshError="1"/>
      <sheetData sheetId="16737" refreshError="1"/>
      <sheetData sheetId="16738" refreshError="1"/>
      <sheetData sheetId="16739" refreshError="1"/>
      <sheetData sheetId="16740" refreshError="1"/>
      <sheetData sheetId="16741" refreshError="1"/>
      <sheetData sheetId="16742" refreshError="1"/>
      <sheetData sheetId="16743" refreshError="1"/>
      <sheetData sheetId="16744" refreshError="1"/>
      <sheetData sheetId="16745" refreshError="1"/>
      <sheetData sheetId="16746" refreshError="1"/>
      <sheetData sheetId="16747" refreshError="1"/>
      <sheetData sheetId="16748" refreshError="1"/>
      <sheetData sheetId="16749" refreshError="1"/>
      <sheetData sheetId="16750" refreshError="1"/>
      <sheetData sheetId="16751" refreshError="1"/>
      <sheetData sheetId="16752" refreshError="1"/>
      <sheetData sheetId="16753" refreshError="1"/>
      <sheetData sheetId="16754" refreshError="1"/>
      <sheetData sheetId="16755" refreshError="1"/>
      <sheetData sheetId="16756" refreshError="1"/>
      <sheetData sheetId="16757" refreshError="1"/>
      <sheetData sheetId="16758" refreshError="1"/>
      <sheetData sheetId="16759" refreshError="1"/>
      <sheetData sheetId="16760" refreshError="1"/>
      <sheetData sheetId="16761" refreshError="1"/>
      <sheetData sheetId="16762" refreshError="1"/>
      <sheetData sheetId="16763" refreshError="1"/>
      <sheetData sheetId="16764" refreshError="1"/>
      <sheetData sheetId="16765" refreshError="1"/>
      <sheetData sheetId="16766" refreshError="1"/>
      <sheetData sheetId="16767" refreshError="1"/>
      <sheetData sheetId="16768" refreshError="1"/>
      <sheetData sheetId="16769" refreshError="1"/>
      <sheetData sheetId="16770" refreshError="1"/>
      <sheetData sheetId="16771" refreshError="1"/>
      <sheetData sheetId="16772" refreshError="1"/>
      <sheetData sheetId="16773" refreshError="1"/>
      <sheetData sheetId="16774" refreshError="1"/>
      <sheetData sheetId="16775" refreshError="1"/>
      <sheetData sheetId="16776" refreshError="1"/>
      <sheetData sheetId="16777" refreshError="1"/>
      <sheetData sheetId="16778" refreshError="1"/>
      <sheetData sheetId="16779" refreshError="1"/>
      <sheetData sheetId="16780" refreshError="1"/>
      <sheetData sheetId="16781" refreshError="1"/>
      <sheetData sheetId="16782" refreshError="1"/>
      <sheetData sheetId="16783" refreshError="1"/>
      <sheetData sheetId="16784" refreshError="1"/>
      <sheetData sheetId="16785" refreshError="1"/>
      <sheetData sheetId="16786" refreshError="1"/>
      <sheetData sheetId="16787" refreshError="1"/>
      <sheetData sheetId="16788" refreshError="1"/>
      <sheetData sheetId="16789" refreshError="1"/>
      <sheetData sheetId="16790" refreshError="1"/>
      <sheetData sheetId="16791" refreshError="1"/>
      <sheetData sheetId="16792" refreshError="1"/>
      <sheetData sheetId="16793" refreshError="1"/>
      <sheetData sheetId="16794" refreshError="1"/>
      <sheetData sheetId="16795" refreshError="1"/>
      <sheetData sheetId="16796" refreshError="1"/>
      <sheetData sheetId="16797" refreshError="1"/>
      <sheetData sheetId="16798" refreshError="1"/>
      <sheetData sheetId="16799" refreshError="1"/>
      <sheetData sheetId="16800" refreshError="1"/>
      <sheetData sheetId="16801" refreshError="1"/>
      <sheetData sheetId="16802" refreshError="1"/>
      <sheetData sheetId="16803" refreshError="1"/>
      <sheetData sheetId="16804" refreshError="1"/>
      <sheetData sheetId="16805" refreshError="1"/>
      <sheetData sheetId="16806" refreshError="1"/>
      <sheetData sheetId="16807" refreshError="1"/>
      <sheetData sheetId="16808" refreshError="1"/>
      <sheetData sheetId="16809" refreshError="1"/>
      <sheetData sheetId="16810" refreshError="1"/>
      <sheetData sheetId="16811" refreshError="1"/>
      <sheetData sheetId="16812" refreshError="1"/>
      <sheetData sheetId="16813" refreshError="1"/>
      <sheetData sheetId="16814" refreshError="1"/>
      <sheetData sheetId="16815" refreshError="1"/>
      <sheetData sheetId="16816" refreshError="1"/>
      <sheetData sheetId="16817" refreshError="1"/>
      <sheetData sheetId="16818" refreshError="1"/>
      <sheetData sheetId="16819" refreshError="1"/>
      <sheetData sheetId="16820" refreshError="1"/>
      <sheetData sheetId="16821" refreshError="1"/>
      <sheetData sheetId="16822" refreshError="1"/>
      <sheetData sheetId="16823" refreshError="1"/>
      <sheetData sheetId="16824" refreshError="1"/>
      <sheetData sheetId="16825" refreshError="1"/>
      <sheetData sheetId="16826" refreshError="1"/>
      <sheetData sheetId="16827" refreshError="1"/>
      <sheetData sheetId="16828" refreshError="1"/>
      <sheetData sheetId="16829" refreshError="1"/>
      <sheetData sheetId="16830" refreshError="1"/>
      <sheetData sheetId="16831" refreshError="1"/>
      <sheetData sheetId="16832" refreshError="1"/>
      <sheetData sheetId="16833" refreshError="1"/>
      <sheetData sheetId="16834" refreshError="1"/>
      <sheetData sheetId="16835" refreshError="1"/>
      <sheetData sheetId="16836" refreshError="1"/>
      <sheetData sheetId="16837" refreshError="1"/>
      <sheetData sheetId="16838" refreshError="1"/>
      <sheetData sheetId="16839" refreshError="1"/>
      <sheetData sheetId="16840" refreshError="1"/>
      <sheetData sheetId="16841" refreshError="1"/>
      <sheetData sheetId="16842" refreshError="1"/>
      <sheetData sheetId="16843" refreshError="1"/>
      <sheetData sheetId="16844" refreshError="1"/>
      <sheetData sheetId="16845" refreshError="1"/>
      <sheetData sheetId="16846" refreshError="1"/>
      <sheetData sheetId="16847" refreshError="1"/>
      <sheetData sheetId="16848" refreshError="1"/>
      <sheetData sheetId="16849" refreshError="1"/>
      <sheetData sheetId="16850" refreshError="1"/>
      <sheetData sheetId="16851" refreshError="1"/>
      <sheetData sheetId="16852" refreshError="1"/>
      <sheetData sheetId="16853" refreshError="1"/>
      <sheetData sheetId="16854" refreshError="1"/>
      <sheetData sheetId="16855" refreshError="1"/>
      <sheetData sheetId="16856" refreshError="1"/>
      <sheetData sheetId="16857" refreshError="1"/>
      <sheetData sheetId="16858" refreshError="1"/>
      <sheetData sheetId="16859" refreshError="1"/>
      <sheetData sheetId="16860" refreshError="1"/>
      <sheetData sheetId="16861" refreshError="1"/>
      <sheetData sheetId="16862" refreshError="1"/>
      <sheetData sheetId="16863" refreshError="1"/>
      <sheetData sheetId="16864" refreshError="1"/>
      <sheetData sheetId="16865" refreshError="1"/>
      <sheetData sheetId="16866" refreshError="1"/>
      <sheetData sheetId="16867" refreshError="1"/>
      <sheetData sheetId="16868" refreshError="1"/>
      <sheetData sheetId="16869" refreshError="1"/>
      <sheetData sheetId="16870" refreshError="1"/>
      <sheetData sheetId="16871" refreshError="1"/>
      <sheetData sheetId="16872" refreshError="1"/>
      <sheetData sheetId="16873" refreshError="1"/>
      <sheetData sheetId="16874" refreshError="1"/>
      <sheetData sheetId="16875" refreshError="1"/>
      <sheetData sheetId="16876" refreshError="1"/>
      <sheetData sheetId="16877" refreshError="1"/>
      <sheetData sheetId="16878" refreshError="1"/>
      <sheetData sheetId="16879" refreshError="1"/>
      <sheetData sheetId="16880" refreshError="1"/>
      <sheetData sheetId="16881" refreshError="1"/>
      <sheetData sheetId="16882" refreshError="1"/>
      <sheetData sheetId="16883" refreshError="1"/>
      <sheetData sheetId="16884" refreshError="1"/>
      <sheetData sheetId="16885" refreshError="1"/>
      <sheetData sheetId="16886" refreshError="1"/>
      <sheetData sheetId="16887" refreshError="1"/>
      <sheetData sheetId="16888" refreshError="1"/>
      <sheetData sheetId="16889" refreshError="1"/>
      <sheetData sheetId="16890" refreshError="1"/>
      <sheetData sheetId="16891" refreshError="1"/>
      <sheetData sheetId="16892" refreshError="1"/>
      <sheetData sheetId="16893" refreshError="1"/>
      <sheetData sheetId="16894" refreshError="1"/>
      <sheetData sheetId="16895" refreshError="1"/>
      <sheetData sheetId="16896" refreshError="1"/>
      <sheetData sheetId="16897" refreshError="1"/>
      <sheetData sheetId="16898" refreshError="1"/>
      <sheetData sheetId="16899" refreshError="1"/>
      <sheetData sheetId="16900" refreshError="1"/>
      <sheetData sheetId="16901" refreshError="1"/>
      <sheetData sheetId="16902" refreshError="1"/>
      <sheetData sheetId="16903" refreshError="1"/>
      <sheetData sheetId="16904" refreshError="1"/>
      <sheetData sheetId="16905" refreshError="1"/>
      <sheetData sheetId="16906" refreshError="1"/>
      <sheetData sheetId="16907" refreshError="1"/>
      <sheetData sheetId="16908" refreshError="1"/>
      <sheetData sheetId="16909" refreshError="1"/>
      <sheetData sheetId="16910" refreshError="1"/>
      <sheetData sheetId="16911" refreshError="1"/>
      <sheetData sheetId="16912" refreshError="1"/>
      <sheetData sheetId="16913" refreshError="1"/>
      <sheetData sheetId="16914" refreshError="1"/>
      <sheetData sheetId="16915" refreshError="1"/>
      <sheetData sheetId="16916" refreshError="1"/>
      <sheetData sheetId="16917" refreshError="1"/>
      <sheetData sheetId="16918" refreshError="1"/>
      <sheetData sheetId="16919" refreshError="1"/>
      <sheetData sheetId="16920" refreshError="1"/>
      <sheetData sheetId="16921" refreshError="1"/>
      <sheetData sheetId="16922" refreshError="1"/>
      <sheetData sheetId="16923" refreshError="1"/>
      <sheetData sheetId="16924" refreshError="1"/>
      <sheetData sheetId="16925" refreshError="1"/>
      <sheetData sheetId="16926" refreshError="1"/>
      <sheetData sheetId="16927" refreshError="1"/>
      <sheetData sheetId="16928" refreshError="1"/>
      <sheetData sheetId="16929" refreshError="1"/>
      <sheetData sheetId="16930" refreshError="1"/>
      <sheetData sheetId="16931" refreshError="1"/>
      <sheetData sheetId="16932" refreshError="1"/>
      <sheetData sheetId="16933" refreshError="1"/>
      <sheetData sheetId="16934" refreshError="1"/>
      <sheetData sheetId="16935" refreshError="1"/>
      <sheetData sheetId="16936" refreshError="1"/>
      <sheetData sheetId="16937" refreshError="1"/>
      <sheetData sheetId="16938" refreshError="1"/>
      <sheetData sheetId="16939" refreshError="1"/>
      <sheetData sheetId="16940" refreshError="1"/>
      <sheetData sheetId="16941" refreshError="1"/>
      <sheetData sheetId="16942" refreshError="1"/>
      <sheetData sheetId="16943" refreshError="1"/>
      <sheetData sheetId="16944" refreshError="1"/>
      <sheetData sheetId="16945" refreshError="1"/>
      <sheetData sheetId="16946" refreshError="1"/>
      <sheetData sheetId="16947" refreshError="1"/>
      <sheetData sheetId="16948" refreshError="1"/>
      <sheetData sheetId="16949" refreshError="1"/>
      <sheetData sheetId="16950" refreshError="1"/>
      <sheetData sheetId="16951" refreshError="1"/>
      <sheetData sheetId="16952" refreshError="1"/>
      <sheetData sheetId="16953" refreshError="1"/>
      <sheetData sheetId="16954" refreshError="1"/>
      <sheetData sheetId="16955" refreshError="1"/>
      <sheetData sheetId="16956" refreshError="1"/>
      <sheetData sheetId="16957" refreshError="1"/>
      <sheetData sheetId="16958" refreshError="1"/>
      <sheetData sheetId="16959" refreshError="1"/>
      <sheetData sheetId="16960" refreshError="1"/>
      <sheetData sheetId="16961" refreshError="1"/>
      <sheetData sheetId="16962" refreshError="1"/>
      <sheetData sheetId="16963" refreshError="1"/>
      <sheetData sheetId="16964" refreshError="1"/>
      <sheetData sheetId="16965" refreshError="1"/>
      <sheetData sheetId="16966" refreshError="1"/>
      <sheetData sheetId="16967" refreshError="1"/>
      <sheetData sheetId="16968" refreshError="1"/>
      <sheetData sheetId="16969" refreshError="1"/>
      <sheetData sheetId="16970" refreshError="1"/>
      <sheetData sheetId="16971" refreshError="1"/>
      <sheetData sheetId="16972" refreshError="1"/>
      <sheetData sheetId="16973" refreshError="1"/>
      <sheetData sheetId="16974" refreshError="1"/>
      <sheetData sheetId="16975" refreshError="1"/>
      <sheetData sheetId="16976" refreshError="1"/>
      <sheetData sheetId="16977" refreshError="1"/>
      <sheetData sheetId="16978" refreshError="1"/>
      <sheetData sheetId="16979" refreshError="1"/>
      <sheetData sheetId="16980" refreshError="1"/>
      <sheetData sheetId="16981" refreshError="1"/>
      <sheetData sheetId="16982" refreshError="1"/>
      <sheetData sheetId="16983" refreshError="1"/>
      <sheetData sheetId="16984" refreshError="1"/>
      <sheetData sheetId="16985" refreshError="1"/>
      <sheetData sheetId="16986" refreshError="1"/>
      <sheetData sheetId="16987" refreshError="1"/>
      <sheetData sheetId="16988" refreshError="1"/>
      <sheetData sheetId="16989" refreshError="1"/>
      <sheetData sheetId="16990" refreshError="1"/>
      <sheetData sheetId="16991" refreshError="1"/>
      <sheetData sheetId="16992" refreshError="1"/>
      <sheetData sheetId="16993" refreshError="1"/>
      <sheetData sheetId="16994" refreshError="1"/>
      <sheetData sheetId="16995" refreshError="1"/>
      <sheetData sheetId="16996" refreshError="1"/>
      <sheetData sheetId="16997" refreshError="1"/>
      <sheetData sheetId="16998" refreshError="1"/>
      <sheetData sheetId="16999" refreshError="1"/>
      <sheetData sheetId="17000" refreshError="1"/>
      <sheetData sheetId="17001" refreshError="1"/>
      <sheetData sheetId="17002" refreshError="1"/>
      <sheetData sheetId="17003" refreshError="1"/>
      <sheetData sheetId="17004" refreshError="1"/>
      <sheetData sheetId="17005" refreshError="1"/>
      <sheetData sheetId="17006" refreshError="1"/>
      <sheetData sheetId="17007" refreshError="1"/>
      <sheetData sheetId="17008" refreshError="1"/>
      <sheetData sheetId="17009" refreshError="1"/>
      <sheetData sheetId="17010" refreshError="1"/>
      <sheetData sheetId="17011" refreshError="1"/>
      <sheetData sheetId="17012" refreshError="1"/>
      <sheetData sheetId="17013" refreshError="1"/>
      <sheetData sheetId="17014" refreshError="1"/>
      <sheetData sheetId="17015" refreshError="1"/>
      <sheetData sheetId="17016" refreshError="1"/>
      <sheetData sheetId="17017" refreshError="1"/>
      <sheetData sheetId="17018" refreshError="1"/>
      <sheetData sheetId="17019" refreshError="1"/>
      <sheetData sheetId="17020" refreshError="1"/>
      <sheetData sheetId="17021" refreshError="1"/>
      <sheetData sheetId="17022" refreshError="1"/>
      <sheetData sheetId="17023" refreshError="1"/>
      <sheetData sheetId="17024" refreshError="1"/>
      <sheetData sheetId="17025" refreshError="1"/>
      <sheetData sheetId="17026" refreshError="1"/>
      <sheetData sheetId="17027" refreshError="1"/>
      <sheetData sheetId="17028" refreshError="1"/>
      <sheetData sheetId="17029" refreshError="1"/>
      <sheetData sheetId="17030" refreshError="1"/>
      <sheetData sheetId="17031" refreshError="1"/>
      <sheetData sheetId="17032" refreshError="1"/>
      <sheetData sheetId="17033" refreshError="1"/>
      <sheetData sheetId="17034" refreshError="1"/>
      <sheetData sheetId="17035" refreshError="1"/>
      <sheetData sheetId="17036" refreshError="1"/>
      <sheetData sheetId="17037" refreshError="1"/>
      <sheetData sheetId="17038" refreshError="1"/>
      <sheetData sheetId="17039" refreshError="1"/>
      <sheetData sheetId="17040" refreshError="1"/>
      <sheetData sheetId="17041" refreshError="1"/>
      <sheetData sheetId="17042" refreshError="1"/>
      <sheetData sheetId="17043" refreshError="1"/>
      <sheetData sheetId="17044" refreshError="1"/>
      <sheetData sheetId="17045" refreshError="1"/>
      <sheetData sheetId="17046" refreshError="1"/>
      <sheetData sheetId="17047" refreshError="1"/>
      <sheetData sheetId="17048" refreshError="1"/>
      <sheetData sheetId="17049" refreshError="1"/>
      <sheetData sheetId="17050" refreshError="1"/>
      <sheetData sheetId="17051" refreshError="1"/>
      <sheetData sheetId="17052" refreshError="1"/>
      <sheetData sheetId="17053" refreshError="1"/>
      <sheetData sheetId="17054" refreshError="1"/>
      <sheetData sheetId="17055" refreshError="1"/>
      <sheetData sheetId="17056" refreshError="1"/>
      <sheetData sheetId="17057" refreshError="1"/>
      <sheetData sheetId="17058" refreshError="1"/>
      <sheetData sheetId="17059" refreshError="1"/>
      <sheetData sheetId="17060" refreshError="1"/>
      <sheetData sheetId="17061" refreshError="1"/>
      <sheetData sheetId="17062" refreshError="1"/>
      <sheetData sheetId="17063" refreshError="1"/>
      <sheetData sheetId="17064" refreshError="1"/>
      <sheetData sheetId="17065" refreshError="1"/>
      <sheetData sheetId="17066" refreshError="1"/>
      <sheetData sheetId="17067" refreshError="1"/>
      <sheetData sheetId="17068" refreshError="1"/>
      <sheetData sheetId="17069" refreshError="1"/>
      <sheetData sheetId="17070" refreshError="1"/>
      <sheetData sheetId="17071" refreshError="1"/>
      <sheetData sheetId="17072" refreshError="1"/>
      <sheetData sheetId="17073" refreshError="1"/>
      <sheetData sheetId="17074" refreshError="1"/>
      <sheetData sheetId="17075" refreshError="1"/>
      <sheetData sheetId="17076" refreshError="1"/>
      <sheetData sheetId="17077" refreshError="1"/>
      <sheetData sheetId="17078" refreshError="1"/>
      <sheetData sheetId="17079" refreshError="1"/>
      <sheetData sheetId="17080" refreshError="1"/>
      <sheetData sheetId="17081" refreshError="1"/>
      <sheetData sheetId="17082" refreshError="1"/>
      <sheetData sheetId="17083" refreshError="1"/>
      <sheetData sheetId="17084" refreshError="1"/>
      <sheetData sheetId="17085" refreshError="1"/>
      <sheetData sheetId="17086" refreshError="1"/>
      <sheetData sheetId="17087" refreshError="1"/>
      <sheetData sheetId="17088" refreshError="1"/>
      <sheetData sheetId="17089" refreshError="1"/>
      <sheetData sheetId="17090" refreshError="1"/>
      <sheetData sheetId="17091" refreshError="1"/>
      <sheetData sheetId="17092" refreshError="1"/>
      <sheetData sheetId="17093" refreshError="1"/>
      <sheetData sheetId="17094" refreshError="1"/>
      <sheetData sheetId="17095" refreshError="1"/>
      <sheetData sheetId="17096" refreshError="1"/>
      <sheetData sheetId="17097" refreshError="1"/>
      <sheetData sheetId="17098" refreshError="1"/>
      <sheetData sheetId="17099" refreshError="1"/>
      <sheetData sheetId="17100" refreshError="1"/>
      <sheetData sheetId="17101" refreshError="1"/>
      <sheetData sheetId="17102" refreshError="1"/>
      <sheetData sheetId="17103" refreshError="1"/>
      <sheetData sheetId="17104" refreshError="1"/>
      <sheetData sheetId="17105" refreshError="1"/>
      <sheetData sheetId="17106" refreshError="1"/>
      <sheetData sheetId="17107" refreshError="1"/>
      <sheetData sheetId="17108" refreshError="1"/>
      <sheetData sheetId="17109" refreshError="1"/>
      <sheetData sheetId="17110" refreshError="1"/>
      <sheetData sheetId="17111" refreshError="1"/>
      <sheetData sheetId="17112" refreshError="1"/>
      <sheetData sheetId="17113" refreshError="1"/>
      <sheetData sheetId="17114" refreshError="1"/>
      <sheetData sheetId="17115" refreshError="1"/>
      <sheetData sheetId="17116" refreshError="1"/>
      <sheetData sheetId="17117" refreshError="1"/>
      <sheetData sheetId="17118" refreshError="1"/>
      <sheetData sheetId="17119" refreshError="1"/>
      <sheetData sheetId="17120" refreshError="1"/>
      <sheetData sheetId="17121" refreshError="1"/>
      <sheetData sheetId="17122" refreshError="1"/>
      <sheetData sheetId="17123" refreshError="1"/>
      <sheetData sheetId="17124" refreshError="1"/>
      <sheetData sheetId="17125" refreshError="1"/>
      <sheetData sheetId="17126" refreshError="1"/>
      <sheetData sheetId="17127" refreshError="1"/>
      <sheetData sheetId="17128" refreshError="1"/>
      <sheetData sheetId="17129" refreshError="1"/>
      <sheetData sheetId="17130" refreshError="1"/>
      <sheetData sheetId="17131" refreshError="1"/>
      <sheetData sheetId="17132" refreshError="1"/>
      <sheetData sheetId="17133" refreshError="1"/>
      <sheetData sheetId="17134" refreshError="1"/>
      <sheetData sheetId="17135" refreshError="1"/>
      <sheetData sheetId="17136" refreshError="1"/>
      <sheetData sheetId="17137" refreshError="1"/>
      <sheetData sheetId="17138" refreshError="1"/>
      <sheetData sheetId="17139" refreshError="1"/>
      <sheetData sheetId="17140" refreshError="1"/>
      <sheetData sheetId="17141" refreshError="1"/>
      <sheetData sheetId="17142" refreshError="1"/>
      <sheetData sheetId="17143" refreshError="1"/>
      <sheetData sheetId="17144" refreshError="1"/>
      <sheetData sheetId="17145" refreshError="1"/>
      <sheetData sheetId="17146" refreshError="1"/>
      <sheetData sheetId="17147" refreshError="1"/>
      <sheetData sheetId="17148" refreshError="1"/>
      <sheetData sheetId="17149" refreshError="1"/>
      <sheetData sheetId="17150" refreshError="1"/>
      <sheetData sheetId="17151" refreshError="1"/>
      <sheetData sheetId="17152" refreshError="1"/>
      <sheetData sheetId="17153" refreshError="1"/>
      <sheetData sheetId="17154" refreshError="1"/>
      <sheetData sheetId="17155" refreshError="1"/>
      <sheetData sheetId="17156" refreshError="1"/>
      <sheetData sheetId="17157" refreshError="1"/>
      <sheetData sheetId="17158" refreshError="1"/>
      <sheetData sheetId="17159" refreshError="1"/>
      <sheetData sheetId="17160" refreshError="1"/>
      <sheetData sheetId="17161" refreshError="1"/>
      <sheetData sheetId="17162" refreshError="1"/>
      <sheetData sheetId="17163" refreshError="1"/>
      <sheetData sheetId="17164" refreshError="1"/>
      <sheetData sheetId="17165" refreshError="1"/>
      <sheetData sheetId="17166" refreshError="1"/>
      <sheetData sheetId="17167" refreshError="1"/>
      <sheetData sheetId="17168" refreshError="1"/>
      <sheetData sheetId="17169" refreshError="1"/>
      <sheetData sheetId="17170" refreshError="1"/>
      <sheetData sheetId="17171" refreshError="1"/>
      <sheetData sheetId="17172" refreshError="1"/>
      <sheetData sheetId="17173" refreshError="1"/>
      <sheetData sheetId="17174" refreshError="1"/>
      <sheetData sheetId="17175" refreshError="1"/>
      <sheetData sheetId="17176" refreshError="1"/>
      <sheetData sheetId="17177" refreshError="1"/>
      <sheetData sheetId="17178" refreshError="1"/>
      <sheetData sheetId="17179" refreshError="1"/>
      <sheetData sheetId="17180" refreshError="1"/>
      <sheetData sheetId="17181" refreshError="1"/>
      <sheetData sheetId="17182" refreshError="1"/>
      <sheetData sheetId="17183" refreshError="1"/>
      <sheetData sheetId="17184" refreshError="1"/>
      <sheetData sheetId="17185" refreshError="1"/>
      <sheetData sheetId="17186" refreshError="1"/>
      <sheetData sheetId="17187" refreshError="1"/>
      <sheetData sheetId="17188" refreshError="1"/>
      <sheetData sheetId="17189" refreshError="1"/>
      <sheetData sheetId="17190" refreshError="1"/>
      <sheetData sheetId="17191" refreshError="1"/>
      <sheetData sheetId="17192" refreshError="1"/>
      <sheetData sheetId="17193" refreshError="1"/>
      <sheetData sheetId="17194" refreshError="1"/>
      <sheetData sheetId="17195"/>
      <sheetData sheetId="17196" refreshError="1"/>
      <sheetData sheetId="17197" refreshError="1"/>
      <sheetData sheetId="17198" refreshError="1"/>
      <sheetData sheetId="17199">
        <row r="1">
          <cell r="A1" t="str">
            <v>CODE</v>
          </cell>
        </row>
      </sheetData>
      <sheetData sheetId="17200" refreshError="1"/>
      <sheetData sheetId="17201" refreshError="1"/>
      <sheetData sheetId="17202">
        <row r="1">
          <cell r="A1" t="str">
            <v>CODE</v>
          </cell>
        </row>
      </sheetData>
      <sheetData sheetId="17203" refreshError="1"/>
      <sheetData sheetId="17204" refreshError="1"/>
      <sheetData sheetId="17205" refreshError="1"/>
      <sheetData sheetId="17206" refreshError="1"/>
      <sheetData sheetId="17207" refreshError="1"/>
      <sheetData sheetId="17208">
        <row r="1">
          <cell r="A1" t="str">
            <v>CODE</v>
          </cell>
        </row>
      </sheetData>
      <sheetData sheetId="17209">
        <row r="1">
          <cell r="A1" t="str">
            <v>CODE</v>
          </cell>
        </row>
      </sheetData>
      <sheetData sheetId="17210" refreshError="1"/>
      <sheetData sheetId="17211">
        <row r="1">
          <cell r="A1" t="str">
            <v>CODE</v>
          </cell>
        </row>
      </sheetData>
      <sheetData sheetId="17212">
        <row r="1">
          <cell r="A1" t="str">
            <v>CODE</v>
          </cell>
        </row>
      </sheetData>
      <sheetData sheetId="17213">
        <row r="1">
          <cell r="A1" t="str">
            <v>CODE</v>
          </cell>
        </row>
      </sheetData>
      <sheetData sheetId="17214">
        <row r="1">
          <cell r="A1" t="str">
            <v>CODE</v>
          </cell>
        </row>
      </sheetData>
      <sheetData sheetId="17215" refreshError="1"/>
      <sheetData sheetId="17216" refreshError="1"/>
      <sheetData sheetId="17217" refreshError="1"/>
      <sheetData sheetId="17218" refreshError="1"/>
      <sheetData sheetId="17219" refreshError="1"/>
      <sheetData sheetId="17220" refreshError="1"/>
      <sheetData sheetId="17221" refreshError="1"/>
      <sheetData sheetId="17222" refreshError="1"/>
      <sheetData sheetId="17223" refreshError="1"/>
      <sheetData sheetId="17224">
        <row r="1">
          <cell r="A1" t="str">
            <v>CODE</v>
          </cell>
        </row>
      </sheetData>
      <sheetData sheetId="17225">
        <row r="1">
          <cell r="A1" t="str">
            <v>CODE</v>
          </cell>
        </row>
      </sheetData>
      <sheetData sheetId="17226">
        <row r="1">
          <cell r="A1" t="str">
            <v>CODE</v>
          </cell>
        </row>
      </sheetData>
      <sheetData sheetId="17227">
        <row r="1">
          <cell r="A1" t="str">
            <v>CODE</v>
          </cell>
        </row>
      </sheetData>
      <sheetData sheetId="17228">
        <row r="1">
          <cell r="A1" t="str">
            <v>CODE</v>
          </cell>
        </row>
      </sheetData>
      <sheetData sheetId="17229">
        <row r="1">
          <cell r="A1" t="str">
            <v>CODE</v>
          </cell>
        </row>
      </sheetData>
      <sheetData sheetId="17230">
        <row r="1">
          <cell r="A1" t="str">
            <v>CODE</v>
          </cell>
        </row>
      </sheetData>
      <sheetData sheetId="17231">
        <row r="1">
          <cell r="A1" t="str">
            <v>CODE</v>
          </cell>
        </row>
      </sheetData>
      <sheetData sheetId="17232">
        <row r="1">
          <cell r="A1" t="str">
            <v>CODE</v>
          </cell>
        </row>
      </sheetData>
      <sheetData sheetId="17233">
        <row r="1">
          <cell r="A1" t="str">
            <v>CODE</v>
          </cell>
        </row>
      </sheetData>
      <sheetData sheetId="17234">
        <row r="1">
          <cell r="A1" t="str">
            <v>CODE</v>
          </cell>
        </row>
      </sheetData>
      <sheetData sheetId="17235">
        <row r="1">
          <cell r="A1" t="str">
            <v>CODE</v>
          </cell>
        </row>
      </sheetData>
      <sheetData sheetId="17236">
        <row r="1">
          <cell r="A1" t="str">
            <v>CODE</v>
          </cell>
        </row>
      </sheetData>
      <sheetData sheetId="17237">
        <row r="1">
          <cell r="A1" t="str">
            <v>CODE</v>
          </cell>
        </row>
      </sheetData>
      <sheetData sheetId="17238">
        <row r="1">
          <cell r="A1" t="str">
            <v>CODE</v>
          </cell>
        </row>
      </sheetData>
      <sheetData sheetId="17239" refreshError="1"/>
      <sheetData sheetId="17240" refreshError="1"/>
      <sheetData sheetId="17241" refreshError="1"/>
      <sheetData sheetId="17242">
        <row r="1">
          <cell r="A1" t="str">
            <v>CODE</v>
          </cell>
        </row>
      </sheetData>
      <sheetData sheetId="17243">
        <row r="1">
          <cell r="A1" t="str">
            <v>CODE</v>
          </cell>
        </row>
      </sheetData>
      <sheetData sheetId="17244">
        <row r="1">
          <cell r="A1" t="str">
            <v>CODE</v>
          </cell>
        </row>
      </sheetData>
      <sheetData sheetId="17245" refreshError="1"/>
      <sheetData sheetId="17246">
        <row r="1">
          <cell r="A1" t="str">
            <v>CODE</v>
          </cell>
        </row>
      </sheetData>
      <sheetData sheetId="17247">
        <row r="1">
          <cell r="A1" t="str">
            <v>CODE</v>
          </cell>
        </row>
      </sheetData>
      <sheetData sheetId="17248">
        <row r="1">
          <cell r="A1" t="str">
            <v>CODE</v>
          </cell>
        </row>
      </sheetData>
      <sheetData sheetId="17249">
        <row r="1">
          <cell r="A1" t="str">
            <v>CODE</v>
          </cell>
        </row>
      </sheetData>
      <sheetData sheetId="17250">
        <row r="1">
          <cell r="A1" t="str">
            <v>CODE</v>
          </cell>
        </row>
      </sheetData>
      <sheetData sheetId="17251">
        <row r="1">
          <cell r="A1" t="str">
            <v>CODE</v>
          </cell>
        </row>
      </sheetData>
      <sheetData sheetId="17252">
        <row r="1">
          <cell r="A1" t="str">
            <v>CODE</v>
          </cell>
        </row>
      </sheetData>
      <sheetData sheetId="17253">
        <row r="1">
          <cell r="A1" t="str">
            <v>CODE</v>
          </cell>
        </row>
      </sheetData>
      <sheetData sheetId="17254" refreshError="1"/>
      <sheetData sheetId="17255">
        <row r="1">
          <cell r="A1" t="str">
            <v>CODE</v>
          </cell>
        </row>
      </sheetData>
      <sheetData sheetId="17256" refreshError="1"/>
      <sheetData sheetId="17257">
        <row r="1">
          <cell r="A1" t="str">
            <v>CODE</v>
          </cell>
        </row>
      </sheetData>
      <sheetData sheetId="17258">
        <row r="1">
          <cell r="A1" t="str">
            <v>CODE</v>
          </cell>
        </row>
      </sheetData>
      <sheetData sheetId="17259">
        <row r="1">
          <cell r="A1" t="str">
            <v>CODE</v>
          </cell>
        </row>
      </sheetData>
      <sheetData sheetId="17260">
        <row r="1">
          <cell r="A1" t="str">
            <v>CODE</v>
          </cell>
        </row>
      </sheetData>
      <sheetData sheetId="17261">
        <row r="1">
          <cell r="A1" t="str">
            <v>CODE</v>
          </cell>
        </row>
      </sheetData>
      <sheetData sheetId="17262">
        <row r="1">
          <cell r="A1" t="str">
            <v>CODE</v>
          </cell>
        </row>
      </sheetData>
      <sheetData sheetId="17263">
        <row r="1">
          <cell r="A1" t="str">
            <v>CODE</v>
          </cell>
        </row>
      </sheetData>
      <sheetData sheetId="17264">
        <row r="1">
          <cell r="A1" t="str">
            <v>CODE</v>
          </cell>
        </row>
      </sheetData>
      <sheetData sheetId="17265" refreshError="1"/>
      <sheetData sheetId="17266" refreshError="1"/>
      <sheetData sheetId="17267">
        <row r="1">
          <cell r="A1" t="str">
            <v>CODE</v>
          </cell>
        </row>
      </sheetData>
      <sheetData sheetId="17268" refreshError="1"/>
      <sheetData sheetId="17269">
        <row r="1">
          <cell r="A1" t="str">
            <v>CODE</v>
          </cell>
        </row>
      </sheetData>
      <sheetData sheetId="17270">
        <row r="1">
          <cell r="A1" t="str">
            <v>CODE</v>
          </cell>
        </row>
      </sheetData>
      <sheetData sheetId="17271" refreshError="1"/>
      <sheetData sheetId="17272" refreshError="1"/>
      <sheetData sheetId="17273" refreshError="1"/>
      <sheetData sheetId="17274" refreshError="1"/>
      <sheetData sheetId="17275" refreshError="1"/>
      <sheetData sheetId="17276" refreshError="1"/>
      <sheetData sheetId="17277" refreshError="1"/>
      <sheetData sheetId="17278" refreshError="1"/>
      <sheetData sheetId="17279" refreshError="1"/>
      <sheetData sheetId="17280" refreshError="1"/>
      <sheetData sheetId="17281" refreshError="1"/>
      <sheetData sheetId="17282" refreshError="1"/>
      <sheetData sheetId="17283" refreshError="1"/>
      <sheetData sheetId="17284" refreshError="1"/>
      <sheetData sheetId="17285" refreshError="1"/>
      <sheetData sheetId="17286" refreshError="1"/>
      <sheetData sheetId="17287" refreshError="1"/>
      <sheetData sheetId="17288" refreshError="1"/>
      <sheetData sheetId="17289" refreshError="1"/>
      <sheetData sheetId="17290" refreshError="1"/>
      <sheetData sheetId="17291" refreshError="1"/>
      <sheetData sheetId="17292" refreshError="1"/>
      <sheetData sheetId="17293" refreshError="1"/>
      <sheetData sheetId="17294" refreshError="1"/>
      <sheetData sheetId="17295" refreshError="1"/>
      <sheetData sheetId="17296" refreshError="1"/>
      <sheetData sheetId="17297" refreshError="1"/>
      <sheetData sheetId="17298" refreshError="1"/>
      <sheetData sheetId="17299" refreshError="1"/>
      <sheetData sheetId="17300" refreshError="1"/>
      <sheetData sheetId="17301" refreshError="1"/>
      <sheetData sheetId="17302" refreshError="1"/>
      <sheetData sheetId="17303" refreshError="1"/>
      <sheetData sheetId="17304" refreshError="1"/>
      <sheetData sheetId="17305" refreshError="1"/>
      <sheetData sheetId="17306" refreshError="1"/>
      <sheetData sheetId="17307" refreshError="1"/>
      <sheetData sheetId="17308" refreshError="1"/>
      <sheetData sheetId="17309" refreshError="1"/>
      <sheetData sheetId="17310" refreshError="1"/>
      <sheetData sheetId="17311" refreshError="1"/>
      <sheetData sheetId="17312" refreshError="1"/>
      <sheetData sheetId="17313" refreshError="1"/>
      <sheetData sheetId="17314" refreshError="1"/>
      <sheetData sheetId="17315" refreshError="1"/>
      <sheetData sheetId="17316" refreshError="1"/>
      <sheetData sheetId="17317" refreshError="1"/>
      <sheetData sheetId="17318" refreshError="1"/>
      <sheetData sheetId="17319" refreshError="1"/>
      <sheetData sheetId="17320" refreshError="1"/>
      <sheetData sheetId="17321" refreshError="1"/>
      <sheetData sheetId="17322" refreshError="1"/>
      <sheetData sheetId="17323" refreshError="1"/>
      <sheetData sheetId="17324" refreshError="1"/>
      <sheetData sheetId="17325" refreshError="1"/>
      <sheetData sheetId="17326" refreshError="1"/>
      <sheetData sheetId="17327" refreshError="1"/>
      <sheetData sheetId="17328" refreshError="1"/>
      <sheetData sheetId="17329" refreshError="1"/>
      <sheetData sheetId="17330" refreshError="1"/>
      <sheetData sheetId="17331" refreshError="1"/>
      <sheetData sheetId="17332" refreshError="1"/>
      <sheetData sheetId="17333" refreshError="1"/>
      <sheetData sheetId="17334" refreshError="1"/>
      <sheetData sheetId="17335" refreshError="1"/>
      <sheetData sheetId="17336" refreshError="1"/>
      <sheetData sheetId="17337" refreshError="1"/>
      <sheetData sheetId="17338" refreshError="1"/>
      <sheetData sheetId="17339" refreshError="1"/>
      <sheetData sheetId="17340" refreshError="1"/>
      <sheetData sheetId="17341" refreshError="1"/>
      <sheetData sheetId="17342" refreshError="1"/>
      <sheetData sheetId="17343" refreshError="1"/>
      <sheetData sheetId="17344" refreshError="1"/>
      <sheetData sheetId="17345" refreshError="1"/>
      <sheetData sheetId="17346" refreshError="1"/>
      <sheetData sheetId="17347" refreshError="1"/>
      <sheetData sheetId="17348" refreshError="1"/>
      <sheetData sheetId="17349" refreshError="1"/>
      <sheetData sheetId="17350" refreshError="1"/>
      <sheetData sheetId="17351" refreshError="1"/>
      <sheetData sheetId="17352" refreshError="1"/>
      <sheetData sheetId="17353" refreshError="1"/>
      <sheetData sheetId="17354" refreshError="1"/>
      <sheetData sheetId="17355" refreshError="1"/>
      <sheetData sheetId="17356" refreshError="1"/>
      <sheetData sheetId="17357" refreshError="1"/>
      <sheetData sheetId="17358" refreshError="1"/>
      <sheetData sheetId="17359" refreshError="1"/>
      <sheetData sheetId="17360" refreshError="1"/>
      <sheetData sheetId="17361" refreshError="1"/>
      <sheetData sheetId="17362" refreshError="1"/>
      <sheetData sheetId="17363" refreshError="1"/>
      <sheetData sheetId="17364" refreshError="1"/>
      <sheetData sheetId="17365" refreshError="1"/>
      <sheetData sheetId="17366" refreshError="1"/>
      <sheetData sheetId="17367" refreshError="1"/>
      <sheetData sheetId="17368" refreshError="1"/>
      <sheetData sheetId="17369"/>
      <sheetData sheetId="17370"/>
      <sheetData sheetId="17371"/>
      <sheetData sheetId="17372" refreshError="1"/>
      <sheetData sheetId="17373" refreshError="1"/>
      <sheetData sheetId="17374" refreshError="1"/>
      <sheetData sheetId="17375" refreshError="1"/>
      <sheetData sheetId="17376" refreshError="1"/>
      <sheetData sheetId="17377" refreshError="1"/>
      <sheetData sheetId="17378" refreshError="1"/>
      <sheetData sheetId="17379" refreshError="1"/>
      <sheetData sheetId="17380" refreshError="1"/>
      <sheetData sheetId="17381" refreshError="1"/>
      <sheetData sheetId="17382" refreshError="1"/>
      <sheetData sheetId="17383" refreshError="1"/>
      <sheetData sheetId="17384" refreshError="1"/>
      <sheetData sheetId="17385" refreshError="1"/>
      <sheetData sheetId="17386" refreshError="1"/>
      <sheetData sheetId="17387" refreshError="1"/>
      <sheetData sheetId="17388" refreshError="1"/>
      <sheetData sheetId="17389" refreshError="1"/>
      <sheetData sheetId="17390" refreshError="1"/>
      <sheetData sheetId="17391" refreshError="1"/>
      <sheetData sheetId="17392" refreshError="1"/>
      <sheetData sheetId="17393" refreshError="1"/>
      <sheetData sheetId="17394" refreshError="1"/>
      <sheetData sheetId="17395" refreshError="1"/>
      <sheetData sheetId="17396" refreshError="1"/>
      <sheetData sheetId="17397" refreshError="1"/>
      <sheetData sheetId="17398" refreshError="1"/>
      <sheetData sheetId="17399" refreshError="1"/>
      <sheetData sheetId="17400" refreshError="1"/>
      <sheetData sheetId="17401" refreshError="1"/>
      <sheetData sheetId="17402" refreshError="1"/>
      <sheetData sheetId="17403" refreshError="1"/>
      <sheetData sheetId="17404" refreshError="1"/>
      <sheetData sheetId="17405" refreshError="1"/>
      <sheetData sheetId="17406" refreshError="1"/>
      <sheetData sheetId="17407" refreshError="1"/>
      <sheetData sheetId="17408" refreshError="1"/>
      <sheetData sheetId="17409" refreshError="1"/>
      <sheetData sheetId="17410" refreshError="1"/>
      <sheetData sheetId="17411" refreshError="1"/>
      <sheetData sheetId="17412" refreshError="1"/>
      <sheetData sheetId="17413" refreshError="1"/>
      <sheetData sheetId="17414" refreshError="1"/>
      <sheetData sheetId="17415" refreshError="1"/>
      <sheetData sheetId="17416" refreshError="1"/>
      <sheetData sheetId="17417" refreshError="1"/>
      <sheetData sheetId="17418" refreshError="1"/>
      <sheetData sheetId="17419" refreshError="1"/>
      <sheetData sheetId="17420" refreshError="1"/>
      <sheetData sheetId="17421" refreshError="1"/>
      <sheetData sheetId="17422" refreshError="1"/>
      <sheetData sheetId="17423" refreshError="1"/>
      <sheetData sheetId="17424" refreshError="1"/>
      <sheetData sheetId="17425" refreshError="1"/>
      <sheetData sheetId="17426" refreshError="1"/>
      <sheetData sheetId="17427">
        <row r="1">
          <cell r="A1" t="str">
            <v>CODE</v>
          </cell>
        </row>
      </sheetData>
      <sheetData sheetId="17428" refreshError="1"/>
      <sheetData sheetId="17429" refreshError="1"/>
      <sheetData sheetId="17430" refreshError="1"/>
      <sheetData sheetId="17431" refreshError="1"/>
      <sheetData sheetId="17432" refreshError="1"/>
      <sheetData sheetId="17433" refreshError="1"/>
      <sheetData sheetId="17434" refreshError="1"/>
      <sheetData sheetId="17435" refreshError="1"/>
      <sheetData sheetId="17436" refreshError="1"/>
      <sheetData sheetId="17437" refreshError="1"/>
      <sheetData sheetId="17438" refreshError="1"/>
      <sheetData sheetId="17439" refreshError="1"/>
      <sheetData sheetId="17440" refreshError="1"/>
      <sheetData sheetId="17441" refreshError="1"/>
      <sheetData sheetId="17442" refreshError="1"/>
      <sheetData sheetId="17443" refreshError="1"/>
      <sheetData sheetId="17444" refreshError="1"/>
      <sheetData sheetId="17445" refreshError="1"/>
      <sheetData sheetId="17446" refreshError="1"/>
      <sheetData sheetId="17447" refreshError="1"/>
      <sheetData sheetId="17448" refreshError="1"/>
      <sheetData sheetId="17449" refreshError="1"/>
      <sheetData sheetId="17450" refreshError="1"/>
      <sheetData sheetId="17451" refreshError="1"/>
      <sheetData sheetId="17452" refreshError="1"/>
      <sheetData sheetId="17453" refreshError="1"/>
      <sheetData sheetId="17454" refreshError="1"/>
      <sheetData sheetId="17455" refreshError="1"/>
      <sheetData sheetId="17456" refreshError="1"/>
      <sheetData sheetId="17457" refreshError="1"/>
      <sheetData sheetId="17458" refreshError="1"/>
      <sheetData sheetId="17459" refreshError="1"/>
      <sheetData sheetId="17460" refreshError="1"/>
      <sheetData sheetId="17461" refreshError="1"/>
      <sheetData sheetId="17462" refreshError="1"/>
      <sheetData sheetId="17463" refreshError="1"/>
      <sheetData sheetId="17464" refreshError="1"/>
      <sheetData sheetId="17465" refreshError="1"/>
      <sheetData sheetId="17466" refreshError="1"/>
      <sheetData sheetId="17467" refreshError="1"/>
      <sheetData sheetId="17468" refreshError="1"/>
      <sheetData sheetId="17469" refreshError="1"/>
      <sheetData sheetId="17470" refreshError="1"/>
      <sheetData sheetId="17471" refreshError="1"/>
      <sheetData sheetId="17472" refreshError="1"/>
      <sheetData sheetId="17473" refreshError="1"/>
      <sheetData sheetId="17474" refreshError="1"/>
      <sheetData sheetId="17475" refreshError="1"/>
      <sheetData sheetId="17476" refreshError="1"/>
      <sheetData sheetId="17477" refreshError="1"/>
      <sheetData sheetId="17478" refreshError="1"/>
      <sheetData sheetId="17479" refreshError="1"/>
      <sheetData sheetId="17480" refreshError="1"/>
      <sheetData sheetId="17481" refreshError="1"/>
      <sheetData sheetId="17482" refreshError="1"/>
      <sheetData sheetId="17483" refreshError="1"/>
      <sheetData sheetId="17484" refreshError="1"/>
      <sheetData sheetId="17485" refreshError="1"/>
      <sheetData sheetId="17486" refreshError="1"/>
      <sheetData sheetId="17487" refreshError="1"/>
      <sheetData sheetId="17488" refreshError="1"/>
      <sheetData sheetId="17489" refreshError="1"/>
      <sheetData sheetId="17490" refreshError="1"/>
      <sheetData sheetId="17491" refreshError="1"/>
      <sheetData sheetId="17492" refreshError="1"/>
      <sheetData sheetId="17493" refreshError="1"/>
      <sheetData sheetId="17494" refreshError="1"/>
      <sheetData sheetId="17495" refreshError="1"/>
      <sheetData sheetId="17496" refreshError="1"/>
      <sheetData sheetId="17497" refreshError="1"/>
      <sheetData sheetId="17498" refreshError="1"/>
      <sheetData sheetId="17499" refreshError="1"/>
      <sheetData sheetId="17500" refreshError="1"/>
      <sheetData sheetId="17501" refreshError="1"/>
      <sheetData sheetId="17502" refreshError="1"/>
      <sheetData sheetId="17503" refreshError="1"/>
      <sheetData sheetId="17504" refreshError="1"/>
      <sheetData sheetId="17505" refreshError="1"/>
      <sheetData sheetId="17506" refreshError="1"/>
      <sheetData sheetId="17507" refreshError="1"/>
      <sheetData sheetId="17508" refreshError="1"/>
      <sheetData sheetId="17509" refreshError="1"/>
      <sheetData sheetId="17510" refreshError="1"/>
      <sheetData sheetId="17511" refreshError="1"/>
      <sheetData sheetId="17512" refreshError="1"/>
      <sheetData sheetId="17513" refreshError="1"/>
      <sheetData sheetId="17514" refreshError="1"/>
      <sheetData sheetId="17515" refreshError="1"/>
      <sheetData sheetId="17516" refreshError="1"/>
      <sheetData sheetId="17517" refreshError="1"/>
      <sheetData sheetId="17518" refreshError="1"/>
      <sheetData sheetId="17519" refreshError="1"/>
      <sheetData sheetId="17520" refreshError="1"/>
      <sheetData sheetId="17521" refreshError="1"/>
      <sheetData sheetId="17522" refreshError="1"/>
      <sheetData sheetId="17523" refreshError="1"/>
      <sheetData sheetId="17524" refreshError="1"/>
      <sheetData sheetId="17525" refreshError="1"/>
      <sheetData sheetId="17526" refreshError="1"/>
      <sheetData sheetId="17527" refreshError="1"/>
      <sheetData sheetId="17528" refreshError="1"/>
      <sheetData sheetId="17529" refreshError="1"/>
      <sheetData sheetId="17530" refreshError="1"/>
      <sheetData sheetId="17531" refreshError="1"/>
      <sheetData sheetId="17532" refreshError="1"/>
      <sheetData sheetId="17533" refreshError="1"/>
      <sheetData sheetId="17534" refreshError="1"/>
      <sheetData sheetId="17535" refreshError="1"/>
      <sheetData sheetId="17536" refreshError="1"/>
      <sheetData sheetId="17537" refreshError="1"/>
      <sheetData sheetId="17538" refreshError="1"/>
      <sheetData sheetId="17539" refreshError="1"/>
      <sheetData sheetId="17540" refreshError="1"/>
      <sheetData sheetId="17541" refreshError="1"/>
      <sheetData sheetId="17542" refreshError="1"/>
      <sheetData sheetId="17543" refreshError="1"/>
      <sheetData sheetId="17544" refreshError="1"/>
      <sheetData sheetId="17545" refreshError="1"/>
      <sheetData sheetId="17546" refreshError="1"/>
      <sheetData sheetId="17547" refreshError="1"/>
      <sheetData sheetId="17548" refreshError="1"/>
      <sheetData sheetId="17549" refreshError="1"/>
      <sheetData sheetId="17550" refreshError="1"/>
      <sheetData sheetId="17551" refreshError="1"/>
      <sheetData sheetId="17552" refreshError="1"/>
      <sheetData sheetId="17553" refreshError="1"/>
      <sheetData sheetId="17554" refreshError="1"/>
      <sheetData sheetId="17555" refreshError="1"/>
      <sheetData sheetId="17556" refreshError="1"/>
      <sheetData sheetId="17557" refreshError="1"/>
      <sheetData sheetId="17558" refreshError="1"/>
      <sheetData sheetId="17559" refreshError="1"/>
      <sheetData sheetId="17560" refreshError="1"/>
      <sheetData sheetId="17561" refreshError="1"/>
      <sheetData sheetId="17562" refreshError="1"/>
      <sheetData sheetId="17563" refreshError="1"/>
      <sheetData sheetId="17564" refreshError="1"/>
      <sheetData sheetId="17565" refreshError="1"/>
      <sheetData sheetId="17566" refreshError="1"/>
      <sheetData sheetId="17567" refreshError="1"/>
      <sheetData sheetId="17568" refreshError="1"/>
      <sheetData sheetId="17569" refreshError="1"/>
      <sheetData sheetId="17570" refreshError="1"/>
      <sheetData sheetId="17571" refreshError="1"/>
      <sheetData sheetId="17572" refreshError="1"/>
      <sheetData sheetId="17573" refreshError="1"/>
      <sheetData sheetId="17574" refreshError="1"/>
      <sheetData sheetId="17575" refreshError="1"/>
      <sheetData sheetId="17576" refreshError="1"/>
      <sheetData sheetId="17577" refreshError="1"/>
      <sheetData sheetId="17578" refreshError="1"/>
      <sheetData sheetId="17579" refreshError="1"/>
      <sheetData sheetId="17580" refreshError="1"/>
      <sheetData sheetId="17581" refreshError="1"/>
      <sheetData sheetId="17582" refreshError="1"/>
      <sheetData sheetId="17583" refreshError="1"/>
      <sheetData sheetId="17584" refreshError="1"/>
      <sheetData sheetId="17585" refreshError="1"/>
      <sheetData sheetId="17586" refreshError="1"/>
      <sheetData sheetId="17587" refreshError="1"/>
      <sheetData sheetId="17588" refreshError="1"/>
      <sheetData sheetId="17589" refreshError="1"/>
      <sheetData sheetId="17590" refreshError="1"/>
      <sheetData sheetId="17591" refreshError="1"/>
      <sheetData sheetId="17592" refreshError="1"/>
      <sheetData sheetId="17593" refreshError="1"/>
      <sheetData sheetId="17594" refreshError="1"/>
      <sheetData sheetId="17595" refreshError="1"/>
      <sheetData sheetId="17596" refreshError="1"/>
      <sheetData sheetId="17597" refreshError="1"/>
      <sheetData sheetId="17598" refreshError="1"/>
      <sheetData sheetId="17599" refreshError="1"/>
      <sheetData sheetId="17600" refreshError="1"/>
      <sheetData sheetId="17601" refreshError="1"/>
      <sheetData sheetId="17602" refreshError="1"/>
      <sheetData sheetId="17603" refreshError="1"/>
      <sheetData sheetId="17604" refreshError="1"/>
      <sheetData sheetId="17605" refreshError="1"/>
      <sheetData sheetId="17606" refreshError="1"/>
      <sheetData sheetId="17607" refreshError="1"/>
      <sheetData sheetId="17608" refreshError="1"/>
      <sheetData sheetId="17609" refreshError="1"/>
      <sheetData sheetId="17610" refreshError="1"/>
      <sheetData sheetId="17611" refreshError="1"/>
      <sheetData sheetId="17612" refreshError="1"/>
      <sheetData sheetId="17613" refreshError="1"/>
      <sheetData sheetId="17614" refreshError="1"/>
      <sheetData sheetId="17615" refreshError="1"/>
      <sheetData sheetId="17616" refreshError="1"/>
      <sheetData sheetId="17617" refreshError="1"/>
      <sheetData sheetId="17618" refreshError="1"/>
      <sheetData sheetId="17619" refreshError="1"/>
      <sheetData sheetId="17620" refreshError="1"/>
      <sheetData sheetId="17621" refreshError="1"/>
      <sheetData sheetId="17622" refreshError="1"/>
      <sheetData sheetId="17623" refreshError="1"/>
      <sheetData sheetId="17624" refreshError="1"/>
      <sheetData sheetId="17625" refreshError="1"/>
      <sheetData sheetId="17626" refreshError="1"/>
      <sheetData sheetId="17627" refreshError="1"/>
      <sheetData sheetId="17628" refreshError="1"/>
      <sheetData sheetId="17629" refreshError="1"/>
      <sheetData sheetId="17630" refreshError="1"/>
      <sheetData sheetId="17631" refreshError="1"/>
      <sheetData sheetId="17632" refreshError="1"/>
      <sheetData sheetId="17633" refreshError="1"/>
      <sheetData sheetId="17634" refreshError="1"/>
      <sheetData sheetId="17635" refreshError="1"/>
      <sheetData sheetId="17636" refreshError="1"/>
      <sheetData sheetId="17637" refreshError="1"/>
      <sheetData sheetId="17638" refreshError="1"/>
      <sheetData sheetId="17639" refreshError="1"/>
      <sheetData sheetId="17640" refreshError="1"/>
      <sheetData sheetId="17641" refreshError="1"/>
      <sheetData sheetId="17642" refreshError="1"/>
      <sheetData sheetId="17643" refreshError="1"/>
      <sheetData sheetId="17644" refreshError="1"/>
      <sheetData sheetId="17645" refreshError="1"/>
      <sheetData sheetId="17646" refreshError="1"/>
      <sheetData sheetId="17647" refreshError="1"/>
      <sheetData sheetId="17648" refreshError="1"/>
      <sheetData sheetId="17649" refreshError="1"/>
      <sheetData sheetId="17650" refreshError="1"/>
      <sheetData sheetId="17651" refreshError="1"/>
      <sheetData sheetId="17652" refreshError="1"/>
      <sheetData sheetId="17653" refreshError="1"/>
      <sheetData sheetId="17654" refreshError="1"/>
      <sheetData sheetId="17655" refreshError="1"/>
      <sheetData sheetId="17656" refreshError="1"/>
      <sheetData sheetId="17657" refreshError="1"/>
      <sheetData sheetId="17658" refreshError="1"/>
      <sheetData sheetId="17659" refreshError="1"/>
      <sheetData sheetId="17660" refreshError="1"/>
      <sheetData sheetId="17661" refreshError="1"/>
      <sheetData sheetId="17662" refreshError="1"/>
      <sheetData sheetId="17663" refreshError="1"/>
      <sheetData sheetId="17664" refreshError="1"/>
      <sheetData sheetId="17665" refreshError="1"/>
      <sheetData sheetId="17666" refreshError="1"/>
      <sheetData sheetId="17667" refreshError="1"/>
      <sheetData sheetId="17668" refreshError="1"/>
      <sheetData sheetId="17669" refreshError="1"/>
      <sheetData sheetId="17670" refreshError="1"/>
      <sheetData sheetId="17671" refreshError="1"/>
      <sheetData sheetId="17672" refreshError="1"/>
      <sheetData sheetId="17673" refreshError="1"/>
      <sheetData sheetId="17674" refreshError="1"/>
      <sheetData sheetId="17675" refreshError="1"/>
      <sheetData sheetId="17676" refreshError="1"/>
      <sheetData sheetId="17677" refreshError="1"/>
      <sheetData sheetId="17678" refreshError="1"/>
      <sheetData sheetId="17679" refreshError="1"/>
      <sheetData sheetId="17680" refreshError="1"/>
      <sheetData sheetId="17681" refreshError="1"/>
      <sheetData sheetId="17682" refreshError="1"/>
      <sheetData sheetId="17683" refreshError="1"/>
      <sheetData sheetId="17684" refreshError="1"/>
      <sheetData sheetId="17685" refreshError="1"/>
      <sheetData sheetId="17686" refreshError="1"/>
      <sheetData sheetId="17687" refreshError="1"/>
      <sheetData sheetId="17688" refreshError="1"/>
      <sheetData sheetId="17689" refreshError="1"/>
      <sheetData sheetId="17690" refreshError="1"/>
      <sheetData sheetId="17691" refreshError="1"/>
      <sheetData sheetId="17692" refreshError="1"/>
      <sheetData sheetId="17693" refreshError="1"/>
      <sheetData sheetId="17694" refreshError="1"/>
      <sheetData sheetId="17695" refreshError="1"/>
      <sheetData sheetId="17696" refreshError="1"/>
      <sheetData sheetId="17697" refreshError="1"/>
      <sheetData sheetId="17698" refreshError="1"/>
      <sheetData sheetId="17699" refreshError="1"/>
      <sheetData sheetId="17700" refreshError="1"/>
      <sheetData sheetId="17701" refreshError="1"/>
      <sheetData sheetId="17702" refreshError="1"/>
      <sheetData sheetId="17703" refreshError="1"/>
      <sheetData sheetId="17704" refreshError="1"/>
      <sheetData sheetId="17705" refreshError="1"/>
      <sheetData sheetId="17706" refreshError="1"/>
      <sheetData sheetId="17707" refreshError="1"/>
      <sheetData sheetId="17708" refreshError="1"/>
      <sheetData sheetId="17709" refreshError="1"/>
      <sheetData sheetId="17710" refreshError="1"/>
      <sheetData sheetId="17711" refreshError="1"/>
      <sheetData sheetId="17712" refreshError="1"/>
      <sheetData sheetId="17713" refreshError="1"/>
      <sheetData sheetId="17714" refreshError="1"/>
      <sheetData sheetId="17715" refreshError="1"/>
      <sheetData sheetId="17716" refreshError="1"/>
      <sheetData sheetId="17717" refreshError="1"/>
      <sheetData sheetId="17718" refreshError="1"/>
      <sheetData sheetId="17719" refreshError="1"/>
      <sheetData sheetId="17720" refreshError="1"/>
      <sheetData sheetId="17721" refreshError="1"/>
      <sheetData sheetId="17722" refreshError="1"/>
      <sheetData sheetId="17723" refreshError="1"/>
      <sheetData sheetId="17724" refreshError="1"/>
      <sheetData sheetId="17725" refreshError="1"/>
      <sheetData sheetId="17726" refreshError="1"/>
      <sheetData sheetId="17727" refreshError="1"/>
      <sheetData sheetId="17728" refreshError="1"/>
      <sheetData sheetId="17729" refreshError="1"/>
      <sheetData sheetId="17730" refreshError="1"/>
      <sheetData sheetId="17731" refreshError="1"/>
      <sheetData sheetId="17732" refreshError="1"/>
      <sheetData sheetId="17733" refreshError="1"/>
      <sheetData sheetId="17734" refreshError="1"/>
      <sheetData sheetId="17735" refreshError="1"/>
      <sheetData sheetId="17736" refreshError="1"/>
      <sheetData sheetId="17737" refreshError="1"/>
      <sheetData sheetId="17738" refreshError="1"/>
      <sheetData sheetId="17739" refreshError="1"/>
      <sheetData sheetId="17740" refreshError="1"/>
      <sheetData sheetId="17741" refreshError="1"/>
      <sheetData sheetId="17742" refreshError="1"/>
      <sheetData sheetId="17743" refreshError="1"/>
      <sheetData sheetId="17744" refreshError="1"/>
      <sheetData sheetId="17745" refreshError="1"/>
      <sheetData sheetId="17746" refreshError="1"/>
      <sheetData sheetId="17747" refreshError="1"/>
      <sheetData sheetId="17748" refreshError="1"/>
      <sheetData sheetId="17749" refreshError="1"/>
      <sheetData sheetId="17750" refreshError="1"/>
      <sheetData sheetId="17751" refreshError="1"/>
      <sheetData sheetId="17752" refreshError="1"/>
      <sheetData sheetId="17753" refreshError="1"/>
      <sheetData sheetId="17754" refreshError="1"/>
      <sheetData sheetId="17755" refreshError="1"/>
      <sheetData sheetId="17756" refreshError="1"/>
      <sheetData sheetId="17757" refreshError="1"/>
      <sheetData sheetId="17758" refreshError="1"/>
      <sheetData sheetId="17759" refreshError="1"/>
      <sheetData sheetId="17760" refreshError="1"/>
      <sheetData sheetId="17761">
        <row r="5">
          <cell r="A5">
            <v>1</v>
          </cell>
        </row>
      </sheetData>
      <sheetData sheetId="17762">
        <row r="1">
          <cell r="A1" t="str">
            <v>ASSET_NUMBER</v>
          </cell>
        </row>
      </sheetData>
      <sheetData sheetId="17763">
        <row r="1">
          <cell r="A1" t="str">
            <v>Loan Calculator</v>
          </cell>
        </row>
      </sheetData>
      <sheetData sheetId="17764" refreshError="1"/>
      <sheetData sheetId="17765" refreshError="1"/>
      <sheetData sheetId="17766" refreshError="1"/>
      <sheetData sheetId="17767" refreshError="1"/>
      <sheetData sheetId="17768" refreshError="1"/>
      <sheetData sheetId="17769" refreshError="1"/>
      <sheetData sheetId="17770" refreshError="1"/>
      <sheetData sheetId="17771" refreshError="1"/>
      <sheetData sheetId="17772" refreshError="1"/>
      <sheetData sheetId="17773" refreshError="1"/>
      <sheetData sheetId="17774"/>
      <sheetData sheetId="17775" refreshError="1"/>
      <sheetData sheetId="17776" refreshError="1"/>
      <sheetData sheetId="17777" refreshError="1"/>
      <sheetData sheetId="17778" refreshError="1"/>
      <sheetData sheetId="17779" refreshError="1"/>
      <sheetData sheetId="17780" refreshError="1"/>
      <sheetData sheetId="17781" refreshError="1"/>
      <sheetData sheetId="17782" refreshError="1"/>
      <sheetData sheetId="17783">
        <row r="1">
          <cell r="A1" t="str">
            <v>ASSET_NUMBER</v>
          </cell>
        </row>
      </sheetData>
      <sheetData sheetId="17784">
        <row r="5">
          <cell r="A5">
            <v>1</v>
          </cell>
        </row>
      </sheetData>
      <sheetData sheetId="17785">
        <row r="5">
          <cell r="A5">
            <v>1</v>
          </cell>
        </row>
      </sheetData>
      <sheetData sheetId="17786">
        <row r="5">
          <cell r="A5">
            <v>1</v>
          </cell>
        </row>
      </sheetData>
      <sheetData sheetId="17787">
        <row r="5">
          <cell r="A5">
            <v>1</v>
          </cell>
        </row>
      </sheetData>
      <sheetData sheetId="17788">
        <row r="1">
          <cell r="A1" t="str">
            <v>ASSET_NUMBER</v>
          </cell>
        </row>
      </sheetData>
      <sheetData sheetId="17789">
        <row r="5">
          <cell r="A5">
            <v>1</v>
          </cell>
        </row>
      </sheetData>
      <sheetData sheetId="17790">
        <row r="5">
          <cell r="A5">
            <v>1</v>
          </cell>
        </row>
      </sheetData>
      <sheetData sheetId="17791">
        <row r="5">
          <cell r="A5">
            <v>1</v>
          </cell>
        </row>
      </sheetData>
      <sheetData sheetId="17792">
        <row r="5">
          <cell r="A5">
            <v>1</v>
          </cell>
        </row>
      </sheetData>
      <sheetData sheetId="17793" refreshError="1"/>
      <sheetData sheetId="17794" refreshError="1"/>
      <sheetData sheetId="17795" refreshError="1"/>
      <sheetData sheetId="17796" refreshError="1"/>
      <sheetData sheetId="17797" refreshError="1"/>
      <sheetData sheetId="17798" refreshError="1"/>
      <sheetData sheetId="17799" refreshError="1"/>
      <sheetData sheetId="17800" refreshError="1"/>
      <sheetData sheetId="17801" refreshError="1"/>
      <sheetData sheetId="17802" refreshError="1"/>
      <sheetData sheetId="17803" refreshError="1"/>
      <sheetData sheetId="17804" refreshError="1"/>
      <sheetData sheetId="17805" refreshError="1"/>
      <sheetData sheetId="17806" refreshError="1"/>
      <sheetData sheetId="17807" refreshError="1"/>
      <sheetData sheetId="17808" refreshError="1"/>
      <sheetData sheetId="17809" refreshError="1"/>
      <sheetData sheetId="17810" refreshError="1"/>
      <sheetData sheetId="17811" refreshError="1"/>
      <sheetData sheetId="17812" refreshError="1"/>
      <sheetData sheetId="17813" refreshError="1"/>
      <sheetData sheetId="17814" refreshError="1"/>
      <sheetData sheetId="17815" refreshError="1"/>
      <sheetData sheetId="17816" refreshError="1"/>
      <sheetData sheetId="17817" refreshError="1"/>
      <sheetData sheetId="17818" refreshError="1"/>
      <sheetData sheetId="17819" refreshError="1"/>
      <sheetData sheetId="17820" refreshError="1"/>
      <sheetData sheetId="17821" refreshError="1"/>
      <sheetData sheetId="17822" refreshError="1"/>
      <sheetData sheetId="17823" refreshError="1"/>
      <sheetData sheetId="17824" refreshError="1"/>
      <sheetData sheetId="17825" refreshError="1"/>
      <sheetData sheetId="17826" refreshError="1"/>
      <sheetData sheetId="17827" refreshError="1"/>
      <sheetData sheetId="17828" refreshError="1"/>
      <sheetData sheetId="17829" refreshError="1"/>
      <sheetData sheetId="17830" refreshError="1"/>
      <sheetData sheetId="17831" refreshError="1"/>
      <sheetData sheetId="17832" refreshError="1"/>
      <sheetData sheetId="17833" refreshError="1"/>
      <sheetData sheetId="17834" refreshError="1"/>
      <sheetData sheetId="17835" refreshError="1"/>
      <sheetData sheetId="17836">
        <row r="131">
          <cell r="A131" t="str">
            <v>40000</v>
          </cell>
        </row>
      </sheetData>
      <sheetData sheetId="17837">
        <row r="1">
          <cell r="A1" t="str">
            <v>CODE</v>
          </cell>
        </row>
      </sheetData>
      <sheetData sheetId="17838">
        <row r="5">
          <cell r="P5">
            <v>31932614</v>
          </cell>
        </row>
      </sheetData>
      <sheetData sheetId="17839"/>
      <sheetData sheetId="17840">
        <row r="1">
          <cell r="A1" t="str">
            <v>CODE</v>
          </cell>
        </row>
      </sheetData>
      <sheetData sheetId="17841"/>
      <sheetData sheetId="17842" refreshError="1"/>
      <sheetData sheetId="17843" refreshError="1"/>
      <sheetData sheetId="17844" refreshError="1"/>
      <sheetData sheetId="17845" refreshError="1"/>
      <sheetData sheetId="17846" refreshError="1"/>
      <sheetData sheetId="17847" refreshError="1"/>
      <sheetData sheetId="17848" refreshError="1"/>
      <sheetData sheetId="17849" refreshError="1"/>
      <sheetData sheetId="17850" refreshError="1"/>
      <sheetData sheetId="17851" refreshError="1"/>
      <sheetData sheetId="17852" refreshError="1"/>
      <sheetData sheetId="17853" refreshError="1"/>
      <sheetData sheetId="17854" refreshError="1"/>
      <sheetData sheetId="17855" refreshError="1"/>
      <sheetData sheetId="17856" refreshError="1"/>
      <sheetData sheetId="17857" refreshError="1"/>
      <sheetData sheetId="17858" refreshError="1"/>
      <sheetData sheetId="17859" refreshError="1"/>
      <sheetData sheetId="17860" refreshError="1"/>
      <sheetData sheetId="17861" refreshError="1"/>
      <sheetData sheetId="17862" refreshError="1"/>
      <sheetData sheetId="17863" refreshError="1"/>
      <sheetData sheetId="17864" refreshError="1"/>
      <sheetData sheetId="17865" refreshError="1"/>
      <sheetData sheetId="17866" refreshError="1"/>
      <sheetData sheetId="17867" refreshError="1"/>
      <sheetData sheetId="17868" refreshError="1"/>
      <sheetData sheetId="17869" refreshError="1"/>
      <sheetData sheetId="17870" refreshError="1"/>
      <sheetData sheetId="17871" refreshError="1"/>
      <sheetData sheetId="17872" refreshError="1"/>
      <sheetData sheetId="17873" refreshError="1"/>
      <sheetData sheetId="17874" refreshError="1"/>
      <sheetData sheetId="17875" refreshError="1"/>
      <sheetData sheetId="17876">
        <row r="1">
          <cell r="A1" t="str">
            <v>MU</v>
          </cell>
        </row>
      </sheetData>
      <sheetData sheetId="17877" refreshError="1"/>
      <sheetData sheetId="17878"/>
      <sheetData sheetId="17879" refreshError="1"/>
      <sheetData sheetId="17880" refreshError="1"/>
      <sheetData sheetId="17881" refreshError="1"/>
      <sheetData sheetId="17882" refreshError="1"/>
      <sheetData sheetId="17883" refreshError="1"/>
      <sheetData sheetId="17884" refreshError="1"/>
      <sheetData sheetId="17885" refreshError="1"/>
      <sheetData sheetId="17886" refreshError="1"/>
      <sheetData sheetId="17887" refreshError="1"/>
      <sheetData sheetId="17888" refreshError="1"/>
      <sheetData sheetId="17889" refreshError="1"/>
      <sheetData sheetId="17890" refreshError="1"/>
      <sheetData sheetId="17891" refreshError="1"/>
      <sheetData sheetId="17892" refreshError="1"/>
      <sheetData sheetId="17893" refreshError="1"/>
      <sheetData sheetId="17894" refreshError="1"/>
      <sheetData sheetId="17895" refreshError="1"/>
      <sheetData sheetId="17896" refreshError="1"/>
      <sheetData sheetId="17897" refreshError="1"/>
      <sheetData sheetId="17898" refreshError="1"/>
      <sheetData sheetId="17899" refreshError="1"/>
      <sheetData sheetId="17900" refreshError="1"/>
      <sheetData sheetId="17901" refreshError="1"/>
      <sheetData sheetId="17902" refreshError="1"/>
      <sheetData sheetId="17903" refreshError="1"/>
      <sheetData sheetId="17904" refreshError="1"/>
      <sheetData sheetId="17905" refreshError="1"/>
      <sheetData sheetId="17906" refreshError="1"/>
      <sheetData sheetId="17907" refreshError="1"/>
      <sheetData sheetId="17908" refreshError="1"/>
      <sheetData sheetId="17909" refreshError="1"/>
      <sheetData sheetId="17910" refreshError="1"/>
      <sheetData sheetId="17911" refreshError="1"/>
      <sheetData sheetId="17912" refreshError="1"/>
      <sheetData sheetId="17913" refreshError="1"/>
      <sheetData sheetId="17914" refreshError="1"/>
      <sheetData sheetId="17915" refreshError="1"/>
      <sheetData sheetId="17916" refreshError="1"/>
      <sheetData sheetId="17917" refreshError="1"/>
      <sheetData sheetId="17918" refreshError="1"/>
      <sheetData sheetId="17919" refreshError="1"/>
      <sheetData sheetId="17920" refreshError="1"/>
      <sheetData sheetId="17921" refreshError="1"/>
      <sheetData sheetId="17922" refreshError="1"/>
      <sheetData sheetId="17923" refreshError="1"/>
      <sheetData sheetId="17924" refreshError="1"/>
      <sheetData sheetId="17925" refreshError="1"/>
      <sheetData sheetId="17926" refreshError="1"/>
      <sheetData sheetId="17927" refreshError="1"/>
      <sheetData sheetId="17928" refreshError="1"/>
      <sheetData sheetId="17929" refreshError="1"/>
      <sheetData sheetId="17930" refreshError="1"/>
      <sheetData sheetId="17931" refreshError="1"/>
      <sheetData sheetId="17932" refreshError="1"/>
      <sheetData sheetId="17933" refreshError="1"/>
      <sheetData sheetId="17934" refreshError="1"/>
      <sheetData sheetId="17935" refreshError="1"/>
      <sheetData sheetId="17936" refreshError="1"/>
      <sheetData sheetId="17937" refreshError="1"/>
      <sheetData sheetId="17938" refreshError="1"/>
      <sheetData sheetId="17939" refreshError="1"/>
      <sheetData sheetId="17940" refreshError="1"/>
      <sheetData sheetId="17941" refreshError="1"/>
      <sheetData sheetId="17942" refreshError="1"/>
      <sheetData sheetId="17943" refreshError="1"/>
      <sheetData sheetId="17944" refreshError="1"/>
      <sheetData sheetId="17945" refreshError="1"/>
      <sheetData sheetId="17946" refreshError="1"/>
      <sheetData sheetId="17947" refreshError="1"/>
      <sheetData sheetId="17948" refreshError="1"/>
      <sheetData sheetId="17949" refreshError="1"/>
      <sheetData sheetId="17950" refreshError="1"/>
      <sheetData sheetId="17951" refreshError="1"/>
      <sheetData sheetId="17952" refreshError="1"/>
      <sheetData sheetId="17953" refreshError="1"/>
      <sheetData sheetId="17954" refreshError="1"/>
      <sheetData sheetId="17955" refreshError="1"/>
      <sheetData sheetId="17956" refreshError="1"/>
      <sheetData sheetId="17957" refreshError="1"/>
      <sheetData sheetId="17958" refreshError="1"/>
      <sheetData sheetId="17959" refreshError="1"/>
      <sheetData sheetId="17960" refreshError="1"/>
      <sheetData sheetId="17961" refreshError="1"/>
      <sheetData sheetId="17962" refreshError="1"/>
      <sheetData sheetId="17963" refreshError="1"/>
      <sheetData sheetId="17964" refreshError="1"/>
      <sheetData sheetId="17965" refreshError="1"/>
      <sheetData sheetId="17966" refreshError="1"/>
      <sheetData sheetId="17967" refreshError="1"/>
      <sheetData sheetId="17968" refreshError="1"/>
      <sheetData sheetId="17969" refreshError="1"/>
      <sheetData sheetId="17970" refreshError="1"/>
      <sheetData sheetId="17971" refreshError="1"/>
      <sheetData sheetId="17972" refreshError="1"/>
      <sheetData sheetId="17973" refreshError="1"/>
      <sheetData sheetId="17974" refreshError="1"/>
      <sheetData sheetId="17975" refreshError="1"/>
      <sheetData sheetId="17976" refreshError="1"/>
      <sheetData sheetId="17977" refreshError="1"/>
      <sheetData sheetId="17978" refreshError="1"/>
      <sheetData sheetId="17979" refreshError="1"/>
      <sheetData sheetId="17980" refreshError="1"/>
      <sheetData sheetId="17981" refreshError="1"/>
      <sheetData sheetId="17982" refreshError="1"/>
      <sheetData sheetId="17983" refreshError="1"/>
      <sheetData sheetId="17984" refreshError="1"/>
      <sheetData sheetId="17985" refreshError="1"/>
      <sheetData sheetId="17986" refreshError="1"/>
      <sheetData sheetId="17987" refreshError="1"/>
      <sheetData sheetId="17988" refreshError="1"/>
      <sheetData sheetId="17989" refreshError="1"/>
      <sheetData sheetId="17990" refreshError="1"/>
      <sheetData sheetId="17991" refreshError="1"/>
      <sheetData sheetId="17992" refreshError="1"/>
      <sheetData sheetId="17993" refreshError="1"/>
      <sheetData sheetId="17994" refreshError="1"/>
      <sheetData sheetId="17995" refreshError="1"/>
      <sheetData sheetId="17996" refreshError="1"/>
      <sheetData sheetId="17997" refreshError="1"/>
      <sheetData sheetId="17998" refreshError="1"/>
      <sheetData sheetId="17999" refreshError="1"/>
      <sheetData sheetId="18000" refreshError="1"/>
      <sheetData sheetId="18001" refreshError="1"/>
      <sheetData sheetId="18002" refreshError="1"/>
      <sheetData sheetId="18003" refreshError="1"/>
      <sheetData sheetId="18004" refreshError="1"/>
      <sheetData sheetId="18005" refreshError="1"/>
      <sheetData sheetId="18006" refreshError="1"/>
      <sheetData sheetId="18007" refreshError="1"/>
      <sheetData sheetId="18008" refreshError="1"/>
      <sheetData sheetId="18009" refreshError="1"/>
      <sheetData sheetId="18010" refreshError="1"/>
      <sheetData sheetId="18011" refreshError="1"/>
      <sheetData sheetId="18012" refreshError="1"/>
      <sheetData sheetId="18013" refreshError="1"/>
      <sheetData sheetId="18014" refreshError="1"/>
      <sheetData sheetId="18015" refreshError="1"/>
      <sheetData sheetId="18016" refreshError="1"/>
      <sheetData sheetId="18017" refreshError="1"/>
      <sheetData sheetId="18018" refreshError="1"/>
      <sheetData sheetId="18019" refreshError="1"/>
      <sheetData sheetId="18020" refreshError="1"/>
      <sheetData sheetId="18021" refreshError="1"/>
      <sheetData sheetId="18022" refreshError="1"/>
      <sheetData sheetId="18023" refreshError="1"/>
      <sheetData sheetId="18024" refreshError="1"/>
      <sheetData sheetId="18025" refreshError="1"/>
      <sheetData sheetId="18026" refreshError="1"/>
      <sheetData sheetId="18027" refreshError="1"/>
      <sheetData sheetId="18028" refreshError="1"/>
      <sheetData sheetId="18029" refreshError="1"/>
      <sheetData sheetId="18030" refreshError="1"/>
      <sheetData sheetId="18031" refreshError="1"/>
      <sheetData sheetId="18032" refreshError="1"/>
      <sheetData sheetId="18033" refreshError="1"/>
      <sheetData sheetId="18034" refreshError="1"/>
      <sheetData sheetId="18035" refreshError="1"/>
      <sheetData sheetId="18036" refreshError="1"/>
      <sheetData sheetId="18037" refreshError="1"/>
      <sheetData sheetId="18038" refreshError="1"/>
      <sheetData sheetId="18039" refreshError="1"/>
      <sheetData sheetId="18040" refreshError="1"/>
      <sheetData sheetId="18041" refreshError="1"/>
      <sheetData sheetId="18042" refreshError="1"/>
      <sheetData sheetId="18043" refreshError="1"/>
      <sheetData sheetId="18044" refreshError="1"/>
      <sheetData sheetId="18045" refreshError="1"/>
      <sheetData sheetId="18046" refreshError="1"/>
      <sheetData sheetId="18047" refreshError="1"/>
      <sheetData sheetId="18048" refreshError="1"/>
      <sheetData sheetId="18049" refreshError="1"/>
      <sheetData sheetId="18050" refreshError="1"/>
      <sheetData sheetId="18051" refreshError="1"/>
      <sheetData sheetId="18052" refreshError="1"/>
      <sheetData sheetId="18053" refreshError="1"/>
      <sheetData sheetId="18054" refreshError="1"/>
      <sheetData sheetId="18055" refreshError="1"/>
      <sheetData sheetId="18056" refreshError="1"/>
      <sheetData sheetId="18057" refreshError="1"/>
      <sheetData sheetId="18058" refreshError="1"/>
      <sheetData sheetId="18059" refreshError="1"/>
      <sheetData sheetId="18060" refreshError="1"/>
      <sheetData sheetId="18061" refreshError="1"/>
      <sheetData sheetId="18062" refreshError="1"/>
      <sheetData sheetId="18063" refreshError="1"/>
      <sheetData sheetId="18064" refreshError="1"/>
      <sheetData sheetId="18065" refreshError="1"/>
      <sheetData sheetId="18066" refreshError="1"/>
      <sheetData sheetId="18067" refreshError="1"/>
      <sheetData sheetId="18068" refreshError="1"/>
      <sheetData sheetId="18069" refreshError="1"/>
      <sheetData sheetId="18070" refreshError="1"/>
      <sheetData sheetId="18071" refreshError="1"/>
      <sheetData sheetId="18072" refreshError="1"/>
      <sheetData sheetId="18073" refreshError="1"/>
      <sheetData sheetId="18074" refreshError="1"/>
      <sheetData sheetId="18075" refreshError="1"/>
      <sheetData sheetId="18076" refreshError="1"/>
      <sheetData sheetId="18077" refreshError="1"/>
      <sheetData sheetId="18078" refreshError="1"/>
      <sheetData sheetId="18079" refreshError="1"/>
      <sheetData sheetId="18080" refreshError="1"/>
      <sheetData sheetId="18081" refreshError="1"/>
      <sheetData sheetId="18082" refreshError="1"/>
      <sheetData sheetId="18083" refreshError="1"/>
      <sheetData sheetId="18084" refreshError="1"/>
      <sheetData sheetId="18085" refreshError="1"/>
      <sheetData sheetId="18086" refreshError="1"/>
      <sheetData sheetId="18087" refreshError="1"/>
      <sheetData sheetId="18088"/>
      <sheetData sheetId="18089" refreshError="1"/>
      <sheetData sheetId="18090" refreshError="1"/>
      <sheetData sheetId="18091" refreshError="1"/>
      <sheetData sheetId="18092" refreshError="1"/>
      <sheetData sheetId="18093" refreshError="1"/>
      <sheetData sheetId="18094" refreshError="1"/>
      <sheetData sheetId="18095"/>
      <sheetData sheetId="18096"/>
      <sheetData sheetId="18097"/>
      <sheetData sheetId="18098"/>
      <sheetData sheetId="18099"/>
      <sheetData sheetId="18100"/>
      <sheetData sheetId="18101"/>
      <sheetData sheetId="18102"/>
      <sheetData sheetId="18103"/>
      <sheetData sheetId="18104"/>
      <sheetData sheetId="18105"/>
      <sheetData sheetId="18106" refreshError="1"/>
      <sheetData sheetId="18107" refreshError="1"/>
      <sheetData sheetId="18108" refreshError="1"/>
      <sheetData sheetId="18109" refreshError="1"/>
      <sheetData sheetId="18110"/>
      <sheetData sheetId="18111">
        <row r="5">
          <cell r="A5">
            <v>1</v>
          </cell>
        </row>
      </sheetData>
      <sheetData sheetId="18112"/>
      <sheetData sheetId="18113"/>
      <sheetData sheetId="18114"/>
      <sheetData sheetId="18115">
        <row r="5">
          <cell r="A5">
            <v>1</v>
          </cell>
        </row>
      </sheetData>
      <sheetData sheetId="18116"/>
      <sheetData sheetId="18117"/>
      <sheetData sheetId="18118">
        <row r="5">
          <cell r="A5">
            <v>1</v>
          </cell>
        </row>
      </sheetData>
      <sheetData sheetId="18119"/>
      <sheetData sheetId="18120" refreshError="1"/>
      <sheetData sheetId="18121" refreshError="1"/>
      <sheetData sheetId="18122" refreshError="1"/>
      <sheetData sheetId="18123" refreshError="1"/>
      <sheetData sheetId="18124" refreshError="1"/>
      <sheetData sheetId="18125" refreshError="1"/>
      <sheetData sheetId="18126" refreshError="1"/>
      <sheetData sheetId="18127" refreshError="1"/>
      <sheetData sheetId="18128" refreshError="1"/>
      <sheetData sheetId="18129" refreshError="1"/>
      <sheetData sheetId="18130" refreshError="1"/>
      <sheetData sheetId="18131" refreshError="1"/>
      <sheetData sheetId="18132" refreshError="1"/>
      <sheetData sheetId="18133" refreshError="1"/>
      <sheetData sheetId="18134" refreshError="1"/>
      <sheetData sheetId="18135" refreshError="1"/>
      <sheetData sheetId="18136" refreshError="1"/>
      <sheetData sheetId="18137" refreshError="1"/>
      <sheetData sheetId="18138" refreshError="1"/>
      <sheetData sheetId="18139" refreshError="1"/>
      <sheetData sheetId="18140" refreshError="1"/>
      <sheetData sheetId="18141" refreshError="1"/>
      <sheetData sheetId="18142" refreshError="1"/>
      <sheetData sheetId="18143" refreshError="1"/>
      <sheetData sheetId="18144" refreshError="1"/>
      <sheetData sheetId="18145" refreshError="1"/>
      <sheetData sheetId="18146"/>
      <sheetData sheetId="18147"/>
      <sheetData sheetId="18148"/>
      <sheetData sheetId="18149"/>
      <sheetData sheetId="18150"/>
      <sheetData sheetId="18151"/>
      <sheetData sheetId="18152"/>
      <sheetData sheetId="18153"/>
      <sheetData sheetId="18154"/>
      <sheetData sheetId="18155">
        <row r="5">
          <cell r="B5" t="str">
            <v>B-5</v>
          </cell>
        </row>
      </sheetData>
      <sheetData sheetId="18156">
        <row r="5">
          <cell r="B5" t="str">
            <v>B-5</v>
          </cell>
        </row>
      </sheetData>
      <sheetData sheetId="18157"/>
      <sheetData sheetId="18158"/>
      <sheetData sheetId="18159"/>
      <sheetData sheetId="18160"/>
      <sheetData sheetId="18161"/>
      <sheetData sheetId="18162"/>
      <sheetData sheetId="18163"/>
      <sheetData sheetId="18164"/>
      <sheetData sheetId="18165"/>
      <sheetData sheetId="18166">
        <row r="1">
          <cell r="A1" t="str">
            <v>03</v>
          </cell>
        </row>
      </sheetData>
      <sheetData sheetId="18167">
        <row r="5">
          <cell r="B5" t="str">
            <v>B-5</v>
          </cell>
        </row>
      </sheetData>
      <sheetData sheetId="18168" refreshError="1"/>
      <sheetData sheetId="18169" refreshError="1"/>
      <sheetData sheetId="18170" refreshError="1"/>
      <sheetData sheetId="18171" refreshError="1"/>
      <sheetData sheetId="18172"/>
      <sheetData sheetId="18173"/>
      <sheetData sheetId="18174"/>
      <sheetData sheetId="18175" refreshError="1"/>
      <sheetData sheetId="18176" refreshError="1"/>
      <sheetData sheetId="18177"/>
      <sheetData sheetId="18178"/>
      <sheetData sheetId="18179"/>
      <sheetData sheetId="18180" refreshError="1"/>
      <sheetData sheetId="18181" refreshError="1"/>
      <sheetData sheetId="18182" refreshError="1"/>
      <sheetData sheetId="18183" refreshError="1"/>
      <sheetData sheetId="18184"/>
      <sheetData sheetId="18185"/>
      <sheetData sheetId="18186"/>
      <sheetData sheetId="18187"/>
      <sheetData sheetId="18188"/>
      <sheetData sheetId="18189" refreshError="1"/>
      <sheetData sheetId="18190" refreshError="1"/>
      <sheetData sheetId="18191" refreshError="1"/>
      <sheetData sheetId="18192" refreshError="1"/>
      <sheetData sheetId="18193" refreshError="1"/>
      <sheetData sheetId="18194" refreshError="1"/>
      <sheetData sheetId="18195" refreshError="1"/>
      <sheetData sheetId="18196" refreshError="1"/>
      <sheetData sheetId="18197" refreshError="1"/>
      <sheetData sheetId="18198" refreshError="1"/>
      <sheetData sheetId="18199">
        <row r="5">
          <cell r="A5">
            <v>1</v>
          </cell>
        </row>
      </sheetData>
      <sheetData sheetId="18200"/>
      <sheetData sheetId="18201"/>
      <sheetData sheetId="18202">
        <row r="10">
          <cell r="C10">
            <v>127060800.33999997</v>
          </cell>
        </row>
      </sheetData>
      <sheetData sheetId="18203" refreshError="1"/>
      <sheetData sheetId="18204" refreshError="1"/>
      <sheetData sheetId="18205" refreshError="1"/>
      <sheetData sheetId="18206" refreshError="1"/>
      <sheetData sheetId="18207" refreshError="1"/>
      <sheetData sheetId="18208" refreshError="1"/>
      <sheetData sheetId="18209" refreshError="1"/>
      <sheetData sheetId="18210" refreshError="1"/>
      <sheetData sheetId="18211" refreshError="1"/>
      <sheetData sheetId="18212" refreshError="1"/>
      <sheetData sheetId="18213" refreshError="1"/>
      <sheetData sheetId="18214" refreshError="1"/>
      <sheetData sheetId="18215" refreshError="1"/>
      <sheetData sheetId="18216" refreshError="1"/>
      <sheetData sheetId="18217" refreshError="1"/>
      <sheetData sheetId="18218" refreshError="1"/>
      <sheetData sheetId="18219" refreshError="1"/>
      <sheetData sheetId="18220" refreshError="1"/>
      <sheetData sheetId="18221" refreshError="1"/>
      <sheetData sheetId="18222" refreshError="1"/>
      <sheetData sheetId="18223" refreshError="1"/>
      <sheetData sheetId="18224" refreshError="1"/>
      <sheetData sheetId="18225" refreshError="1"/>
      <sheetData sheetId="18226" refreshError="1"/>
      <sheetData sheetId="18227" refreshError="1"/>
      <sheetData sheetId="18228" refreshError="1"/>
      <sheetData sheetId="18229" refreshError="1"/>
      <sheetData sheetId="18230" refreshError="1"/>
      <sheetData sheetId="18231" refreshError="1"/>
      <sheetData sheetId="18232" refreshError="1"/>
      <sheetData sheetId="18233" refreshError="1"/>
      <sheetData sheetId="18234" refreshError="1"/>
      <sheetData sheetId="18235" refreshError="1"/>
      <sheetData sheetId="18236" refreshError="1"/>
      <sheetData sheetId="18237" refreshError="1"/>
      <sheetData sheetId="18238" refreshError="1"/>
      <sheetData sheetId="18239" refreshError="1"/>
      <sheetData sheetId="18240" refreshError="1"/>
      <sheetData sheetId="18241" refreshError="1"/>
      <sheetData sheetId="18242" refreshError="1"/>
      <sheetData sheetId="18243" refreshError="1"/>
      <sheetData sheetId="18244" refreshError="1"/>
      <sheetData sheetId="18245" refreshError="1"/>
      <sheetData sheetId="18246" refreshError="1"/>
      <sheetData sheetId="18247" refreshError="1"/>
      <sheetData sheetId="18248" refreshError="1"/>
      <sheetData sheetId="18249" refreshError="1"/>
      <sheetData sheetId="18250" refreshError="1"/>
      <sheetData sheetId="18251" refreshError="1"/>
      <sheetData sheetId="18252" refreshError="1"/>
      <sheetData sheetId="18253" refreshError="1"/>
      <sheetData sheetId="18254" refreshError="1"/>
      <sheetData sheetId="18255" refreshError="1"/>
      <sheetData sheetId="18256" refreshError="1"/>
      <sheetData sheetId="18257" refreshError="1"/>
      <sheetData sheetId="18258" refreshError="1"/>
      <sheetData sheetId="18259" refreshError="1"/>
      <sheetData sheetId="18260" refreshError="1"/>
      <sheetData sheetId="18261" refreshError="1"/>
      <sheetData sheetId="18262" refreshError="1"/>
      <sheetData sheetId="18263" refreshError="1"/>
      <sheetData sheetId="18264" refreshError="1"/>
      <sheetData sheetId="18265" refreshError="1"/>
      <sheetData sheetId="18266" refreshError="1"/>
      <sheetData sheetId="18267" refreshError="1"/>
      <sheetData sheetId="18268" refreshError="1"/>
      <sheetData sheetId="18269" refreshError="1"/>
      <sheetData sheetId="18270" refreshError="1"/>
      <sheetData sheetId="18271" refreshError="1"/>
      <sheetData sheetId="18272" refreshError="1"/>
      <sheetData sheetId="18273" refreshError="1"/>
      <sheetData sheetId="18274" refreshError="1"/>
      <sheetData sheetId="18275" refreshError="1"/>
      <sheetData sheetId="18276" refreshError="1"/>
      <sheetData sheetId="18277" refreshError="1"/>
      <sheetData sheetId="18278" refreshError="1"/>
      <sheetData sheetId="18279" refreshError="1"/>
      <sheetData sheetId="18280" refreshError="1"/>
      <sheetData sheetId="18281" refreshError="1"/>
      <sheetData sheetId="18282" refreshError="1"/>
      <sheetData sheetId="18283" refreshError="1"/>
      <sheetData sheetId="18284" refreshError="1"/>
      <sheetData sheetId="18285" refreshError="1"/>
      <sheetData sheetId="18286" refreshError="1"/>
      <sheetData sheetId="18287" refreshError="1"/>
      <sheetData sheetId="18288" refreshError="1"/>
      <sheetData sheetId="18289" refreshError="1"/>
      <sheetData sheetId="18290" refreshError="1"/>
      <sheetData sheetId="18291" refreshError="1"/>
      <sheetData sheetId="18292" refreshError="1"/>
      <sheetData sheetId="18293" refreshError="1"/>
      <sheetData sheetId="18294" refreshError="1"/>
      <sheetData sheetId="18295" refreshError="1"/>
      <sheetData sheetId="18296" refreshError="1"/>
      <sheetData sheetId="18297" refreshError="1"/>
      <sheetData sheetId="18298" refreshError="1"/>
      <sheetData sheetId="18299" refreshError="1"/>
      <sheetData sheetId="18300" refreshError="1"/>
      <sheetData sheetId="18301" refreshError="1"/>
      <sheetData sheetId="18302" refreshError="1"/>
      <sheetData sheetId="18303" refreshError="1"/>
      <sheetData sheetId="18304" refreshError="1"/>
      <sheetData sheetId="18305" refreshError="1"/>
      <sheetData sheetId="18306" refreshError="1"/>
      <sheetData sheetId="18307" refreshError="1"/>
      <sheetData sheetId="18308" refreshError="1"/>
      <sheetData sheetId="18309" refreshError="1"/>
      <sheetData sheetId="18310" refreshError="1"/>
      <sheetData sheetId="18311" refreshError="1"/>
      <sheetData sheetId="18312" refreshError="1"/>
      <sheetData sheetId="18313"/>
      <sheetData sheetId="18314"/>
      <sheetData sheetId="18315"/>
      <sheetData sheetId="18316">
        <row r="5">
          <cell r="A5">
            <v>1</v>
          </cell>
        </row>
      </sheetData>
      <sheetData sheetId="18317"/>
      <sheetData sheetId="18318"/>
      <sheetData sheetId="18319"/>
      <sheetData sheetId="18320"/>
      <sheetData sheetId="18321"/>
      <sheetData sheetId="18322">
        <row r="11">
          <cell r="C11" t="str">
            <v>AED</v>
          </cell>
        </row>
      </sheetData>
      <sheetData sheetId="18323" refreshError="1"/>
      <sheetData sheetId="18324" refreshError="1"/>
      <sheetData sheetId="18325" refreshError="1"/>
      <sheetData sheetId="18326" refreshError="1"/>
      <sheetData sheetId="18327" refreshError="1"/>
      <sheetData sheetId="18328"/>
      <sheetData sheetId="18329"/>
      <sheetData sheetId="18330"/>
      <sheetData sheetId="18331"/>
      <sheetData sheetId="18332"/>
      <sheetData sheetId="18333"/>
      <sheetData sheetId="18334"/>
      <sheetData sheetId="18335"/>
      <sheetData sheetId="18336"/>
      <sheetData sheetId="18337"/>
      <sheetData sheetId="18338"/>
      <sheetData sheetId="18339"/>
      <sheetData sheetId="18340" refreshError="1"/>
      <sheetData sheetId="18341" refreshError="1"/>
      <sheetData sheetId="18342" refreshError="1"/>
      <sheetData sheetId="18343" refreshError="1"/>
      <sheetData sheetId="18344" refreshError="1"/>
      <sheetData sheetId="18345" refreshError="1"/>
      <sheetData sheetId="18346" refreshError="1"/>
      <sheetData sheetId="18347" refreshError="1"/>
      <sheetData sheetId="18348" refreshError="1"/>
      <sheetData sheetId="18349" refreshError="1"/>
      <sheetData sheetId="18350" refreshError="1"/>
      <sheetData sheetId="18351" refreshError="1"/>
      <sheetData sheetId="18352" refreshError="1"/>
      <sheetData sheetId="18353" refreshError="1"/>
      <sheetData sheetId="18354" refreshError="1"/>
      <sheetData sheetId="18355" refreshError="1"/>
      <sheetData sheetId="18356" refreshError="1"/>
      <sheetData sheetId="18357" refreshError="1"/>
      <sheetData sheetId="18358"/>
      <sheetData sheetId="18359">
        <row r="8">
          <cell r="B8">
            <v>22303773</v>
          </cell>
        </row>
      </sheetData>
      <sheetData sheetId="18360"/>
      <sheetData sheetId="18361"/>
      <sheetData sheetId="18362"/>
      <sheetData sheetId="18363"/>
      <sheetData sheetId="18364"/>
      <sheetData sheetId="18365"/>
      <sheetData sheetId="18366" refreshError="1"/>
      <sheetData sheetId="18367" refreshError="1"/>
      <sheetData sheetId="18368"/>
      <sheetData sheetId="18369"/>
      <sheetData sheetId="18370">
        <row r="8">
          <cell r="B8">
            <v>22303773</v>
          </cell>
        </row>
      </sheetData>
      <sheetData sheetId="18371" refreshError="1"/>
      <sheetData sheetId="18372" refreshError="1"/>
      <sheetData sheetId="18373" refreshError="1"/>
      <sheetData sheetId="18374" refreshError="1"/>
      <sheetData sheetId="18375" refreshError="1"/>
      <sheetData sheetId="18376" refreshError="1"/>
      <sheetData sheetId="18377" refreshError="1"/>
      <sheetData sheetId="18378"/>
      <sheetData sheetId="18379" refreshError="1"/>
      <sheetData sheetId="18380"/>
      <sheetData sheetId="18381"/>
      <sheetData sheetId="18382" refreshError="1"/>
      <sheetData sheetId="18383" refreshError="1"/>
      <sheetData sheetId="18384"/>
      <sheetData sheetId="18385" refreshError="1"/>
      <sheetData sheetId="18386" refreshError="1"/>
      <sheetData sheetId="18387" refreshError="1"/>
      <sheetData sheetId="18388" refreshError="1"/>
      <sheetData sheetId="18389" refreshError="1"/>
      <sheetData sheetId="18390">
        <row r="28">
          <cell r="D28">
            <v>369900.28</v>
          </cell>
        </row>
      </sheetData>
      <sheetData sheetId="18391" refreshError="1"/>
      <sheetData sheetId="18392" refreshError="1"/>
      <sheetData sheetId="18393" refreshError="1"/>
      <sheetData sheetId="18394" refreshError="1"/>
      <sheetData sheetId="18395" refreshError="1"/>
      <sheetData sheetId="18396" refreshError="1"/>
      <sheetData sheetId="18397" refreshError="1"/>
      <sheetData sheetId="18398" refreshError="1"/>
      <sheetData sheetId="18399" refreshError="1"/>
      <sheetData sheetId="18400" refreshError="1"/>
      <sheetData sheetId="18401" refreshError="1"/>
      <sheetData sheetId="18402" refreshError="1"/>
      <sheetData sheetId="18403" refreshError="1"/>
      <sheetData sheetId="18404" refreshError="1"/>
      <sheetData sheetId="18405" refreshError="1"/>
      <sheetData sheetId="18406"/>
      <sheetData sheetId="18407" refreshError="1"/>
      <sheetData sheetId="18408" refreshError="1"/>
      <sheetData sheetId="18409" refreshError="1"/>
      <sheetData sheetId="18410" refreshError="1"/>
      <sheetData sheetId="18411"/>
      <sheetData sheetId="18412">
        <row r="140">
          <cell r="E140">
            <v>63913884</v>
          </cell>
        </row>
      </sheetData>
      <sheetData sheetId="18413"/>
      <sheetData sheetId="18414" refreshError="1"/>
      <sheetData sheetId="18415" refreshError="1"/>
      <sheetData sheetId="18416" refreshError="1"/>
      <sheetData sheetId="18417" refreshError="1"/>
      <sheetData sheetId="18418" refreshError="1"/>
      <sheetData sheetId="18419" refreshError="1"/>
      <sheetData sheetId="18420" refreshError="1"/>
      <sheetData sheetId="18421" refreshError="1"/>
      <sheetData sheetId="18422" refreshError="1"/>
      <sheetData sheetId="18423" refreshError="1"/>
      <sheetData sheetId="18424" refreshError="1"/>
      <sheetData sheetId="18425" refreshError="1"/>
      <sheetData sheetId="18426"/>
      <sheetData sheetId="18427"/>
      <sheetData sheetId="18428"/>
      <sheetData sheetId="18429"/>
      <sheetData sheetId="18430"/>
      <sheetData sheetId="18431"/>
      <sheetData sheetId="18432"/>
      <sheetData sheetId="18433"/>
      <sheetData sheetId="18434"/>
      <sheetData sheetId="18435"/>
      <sheetData sheetId="18436"/>
      <sheetData sheetId="18437"/>
      <sheetData sheetId="18438"/>
      <sheetData sheetId="18439"/>
      <sheetData sheetId="18440">
        <row r="22">
          <cell r="B22">
            <v>100000</v>
          </cell>
        </row>
      </sheetData>
      <sheetData sheetId="18441"/>
      <sheetData sheetId="18442"/>
      <sheetData sheetId="18443"/>
      <sheetData sheetId="18444" refreshError="1"/>
      <sheetData sheetId="18445"/>
      <sheetData sheetId="18446"/>
      <sheetData sheetId="18447"/>
      <sheetData sheetId="18448"/>
      <sheetData sheetId="18449" refreshError="1"/>
      <sheetData sheetId="18450" refreshError="1"/>
      <sheetData sheetId="18451" refreshError="1"/>
      <sheetData sheetId="18452"/>
      <sheetData sheetId="18453" refreshError="1"/>
      <sheetData sheetId="18454" refreshError="1"/>
      <sheetData sheetId="18455" refreshError="1"/>
      <sheetData sheetId="18456" refreshError="1"/>
      <sheetData sheetId="18457" refreshError="1"/>
      <sheetData sheetId="18458" refreshError="1"/>
      <sheetData sheetId="18459" refreshError="1"/>
      <sheetData sheetId="18460" refreshError="1"/>
      <sheetData sheetId="18461" refreshError="1"/>
      <sheetData sheetId="18462" refreshError="1"/>
      <sheetData sheetId="18463" refreshError="1"/>
      <sheetData sheetId="18464" refreshError="1"/>
      <sheetData sheetId="18465" refreshError="1"/>
      <sheetData sheetId="18466" refreshError="1"/>
      <sheetData sheetId="18467" refreshError="1"/>
      <sheetData sheetId="18468" refreshError="1"/>
      <sheetData sheetId="18469" refreshError="1"/>
      <sheetData sheetId="18470" refreshError="1"/>
      <sheetData sheetId="18471" refreshError="1"/>
      <sheetData sheetId="18472" refreshError="1"/>
      <sheetData sheetId="18473" refreshError="1"/>
      <sheetData sheetId="18474" refreshError="1"/>
      <sheetData sheetId="18475" refreshError="1"/>
      <sheetData sheetId="18476" refreshError="1"/>
      <sheetData sheetId="18477" refreshError="1"/>
      <sheetData sheetId="18478" refreshError="1"/>
      <sheetData sheetId="18479" refreshError="1"/>
      <sheetData sheetId="18480" refreshError="1"/>
      <sheetData sheetId="18481" refreshError="1"/>
      <sheetData sheetId="18482" refreshError="1"/>
      <sheetData sheetId="18483" refreshError="1"/>
      <sheetData sheetId="18484" refreshError="1"/>
      <sheetData sheetId="18485" refreshError="1"/>
      <sheetData sheetId="18486" refreshError="1"/>
      <sheetData sheetId="18487" refreshError="1"/>
      <sheetData sheetId="18488" refreshError="1"/>
      <sheetData sheetId="18489" refreshError="1"/>
      <sheetData sheetId="18490" refreshError="1"/>
      <sheetData sheetId="18491" refreshError="1"/>
      <sheetData sheetId="18492" refreshError="1"/>
      <sheetData sheetId="18493" refreshError="1"/>
      <sheetData sheetId="18494" refreshError="1"/>
      <sheetData sheetId="18495" refreshError="1"/>
      <sheetData sheetId="18496" refreshError="1"/>
      <sheetData sheetId="18497" refreshError="1"/>
      <sheetData sheetId="18498" refreshError="1"/>
      <sheetData sheetId="18499" refreshError="1"/>
      <sheetData sheetId="18500" refreshError="1"/>
      <sheetData sheetId="18501" refreshError="1"/>
      <sheetData sheetId="18502" refreshError="1"/>
      <sheetData sheetId="18503" refreshError="1"/>
      <sheetData sheetId="18504" refreshError="1"/>
      <sheetData sheetId="18505" refreshError="1"/>
      <sheetData sheetId="18506" refreshError="1"/>
      <sheetData sheetId="18507" refreshError="1"/>
      <sheetData sheetId="18508" refreshError="1"/>
      <sheetData sheetId="18509" refreshError="1"/>
      <sheetData sheetId="18510" refreshError="1"/>
      <sheetData sheetId="18511" refreshError="1"/>
      <sheetData sheetId="18512" refreshError="1"/>
      <sheetData sheetId="18513" refreshError="1"/>
      <sheetData sheetId="18514" refreshError="1"/>
      <sheetData sheetId="18515" refreshError="1"/>
      <sheetData sheetId="18516" refreshError="1"/>
      <sheetData sheetId="18517" refreshError="1"/>
      <sheetData sheetId="18518" refreshError="1"/>
      <sheetData sheetId="18519" refreshError="1"/>
      <sheetData sheetId="18520" refreshError="1"/>
      <sheetData sheetId="18521" refreshError="1"/>
      <sheetData sheetId="18522" refreshError="1"/>
      <sheetData sheetId="18523" refreshError="1"/>
      <sheetData sheetId="18524" refreshError="1"/>
      <sheetData sheetId="18525" refreshError="1"/>
      <sheetData sheetId="18526" refreshError="1"/>
      <sheetData sheetId="18527" refreshError="1"/>
      <sheetData sheetId="18528" refreshError="1"/>
      <sheetData sheetId="18529" refreshError="1"/>
      <sheetData sheetId="18530" refreshError="1"/>
      <sheetData sheetId="18531" refreshError="1"/>
      <sheetData sheetId="18532"/>
      <sheetData sheetId="18533"/>
      <sheetData sheetId="18534"/>
      <sheetData sheetId="18535"/>
      <sheetData sheetId="18536"/>
      <sheetData sheetId="18537"/>
      <sheetData sheetId="18538"/>
      <sheetData sheetId="18539"/>
      <sheetData sheetId="18540"/>
      <sheetData sheetId="18541"/>
      <sheetData sheetId="18542"/>
      <sheetData sheetId="18543"/>
      <sheetData sheetId="18544"/>
      <sheetData sheetId="18545"/>
      <sheetData sheetId="18546"/>
      <sheetData sheetId="18547"/>
      <sheetData sheetId="18548"/>
      <sheetData sheetId="18549"/>
      <sheetData sheetId="18550"/>
      <sheetData sheetId="18551"/>
      <sheetData sheetId="18552"/>
      <sheetData sheetId="18553"/>
      <sheetData sheetId="18554"/>
      <sheetData sheetId="18555"/>
      <sheetData sheetId="18556"/>
      <sheetData sheetId="18557"/>
      <sheetData sheetId="18558"/>
      <sheetData sheetId="18559"/>
      <sheetData sheetId="18560"/>
      <sheetData sheetId="18561"/>
      <sheetData sheetId="18562"/>
      <sheetData sheetId="18563" refreshError="1"/>
      <sheetData sheetId="18564" refreshError="1"/>
      <sheetData sheetId="18565" refreshError="1"/>
      <sheetData sheetId="18566" refreshError="1"/>
      <sheetData sheetId="18567" refreshError="1"/>
      <sheetData sheetId="18568" refreshError="1"/>
      <sheetData sheetId="18569"/>
      <sheetData sheetId="18570" refreshError="1"/>
      <sheetData sheetId="18571" refreshError="1"/>
      <sheetData sheetId="18572" refreshError="1"/>
      <sheetData sheetId="18573" refreshError="1"/>
      <sheetData sheetId="18574" refreshError="1"/>
      <sheetData sheetId="18575" refreshError="1"/>
      <sheetData sheetId="18576" refreshError="1"/>
      <sheetData sheetId="18577" refreshError="1"/>
      <sheetData sheetId="18578" refreshError="1"/>
      <sheetData sheetId="18579" refreshError="1"/>
      <sheetData sheetId="18580" refreshError="1"/>
      <sheetData sheetId="18581" refreshError="1"/>
      <sheetData sheetId="18582" refreshError="1"/>
      <sheetData sheetId="18583" refreshError="1"/>
      <sheetData sheetId="18584" refreshError="1"/>
      <sheetData sheetId="18585"/>
      <sheetData sheetId="18586"/>
      <sheetData sheetId="18587"/>
      <sheetData sheetId="18588"/>
      <sheetData sheetId="18589"/>
      <sheetData sheetId="18590"/>
      <sheetData sheetId="18591"/>
      <sheetData sheetId="18592"/>
      <sheetData sheetId="18593"/>
      <sheetData sheetId="18594"/>
      <sheetData sheetId="18595"/>
      <sheetData sheetId="18596"/>
      <sheetData sheetId="18597"/>
      <sheetData sheetId="18598"/>
      <sheetData sheetId="18599"/>
      <sheetData sheetId="18600"/>
      <sheetData sheetId="18601" refreshError="1"/>
      <sheetData sheetId="18602" refreshError="1"/>
      <sheetData sheetId="18603" refreshError="1"/>
      <sheetData sheetId="18604" refreshError="1"/>
      <sheetData sheetId="18605" refreshError="1"/>
      <sheetData sheetId="18606" refreshError="1"/>
      <sheetData sheetId="18607" refreshError="1"/>
      <sheetData sheetId="18608" refreshError="1"/>
      <sheetData sheetId="18609" refreshError="1"/>
      <sheetData sheetId="18610" refreshError="1"/>
      <sheetData sheetId="18611" refreshError="1"/>
      <sheetData sheetId="18612" refreshError="1"/>
      <sheetData sheetId="18613" refreshError="1"/>
      <sheetData sheetId="18614" refreshError="1"/>
      <sheetData sheetId="18615" refreshError="1"/>
      <sheetData sheetId="18616" refreshError="1"/>
      <sheetData sheetId="18617" refreshError="1"/>
      <sheetData sheetId="18618" refreshError="1"/>
      <sheetData sheetId="18619" refreshError="1"/>
      <sheetData sheetId="18620" refreshError="1"/>
      <sheetData sheetId="18621" refreshError="1"/>
      <sheetData sheetId="18622" refreshError="1"/>
      <sheetData sheetId="18623" refreshError="1"/>
      <sheetData sheetId="18624" refreshError="1"/>
      <sheetData sheetId="18625" refreshError="1"/>
      <sheetData sheetId="18626" refreshError="1"/>
      <sheetData sheetId="18627" refreshError="1"/>
      <sheetData sheetId="18628" refreshError="1"/>
      <sheetData sheetId="18629" refreshError="1"/>
      <sheetData sheetId="18630" refreshError="1"/>
      <sheetData sheetId="18631" refreshError="1"/>
      <sheetData sheetId="18632" refreshError="1"/>
      <sheetData sheetId="18633" refreshError="1"/>
      <sheetData sheetId="18634" refreshError="1"/>
      <sheetData sheetId="18635" refreshError="1"/>
      <sheetData sheetId="18636" refreshError="1"/>
      <sheetData sheetId="18637" refreshError="1"/>
      <sheetData sheetId="18638" refreshError="1"/>
      <sheetData sheetId="18639" refreshError="1"/>
      <sheetData sheetId="18640" refreshError="1"/>
      <sheetData sheetId="18641" refreshError="1"/>
      <sheetData sheetId="18642" refreshError="1"/>
      <sheetData sheetId="18643" refreshError="1"/>
      <sheetData sheetId="18644" refreshError="1"/>
      <sheetData sheetId="18645" refreshError="1"/>
      <sheetData sheetId="18646" refreshError="1"/>
      <sheetData sheetId="18647" refreshError="1"/>
      <sheetData sheetId="18648" refreshError="1"/>
      <sheetData sheetId="18649" refreshError="1"/>
      <sheetData sheetId="18650" refreshError="1"/>
      <sheetData sheetId="18651" refreshError="1"/>
      <sheetData sheetId="18652" refreshError="1"/>
      <sheetData sheetId="18653" refreshError="1"/>
      <sheetData sheetId="18654" refreshError="1"/>
      <sheetData sheetId="18655" refreshError="1"/>
      <sheetData sheetId="18656" refreshError="1"/>
      <sheetData sheetId="18657" refreshError="1"/>
      <sheetData sheetId="18658" refreshError="1"/>
      <sheetData sheetId="18659" refreshError="1"/>
      <sheetData sheetId="18660" refreshError="1"/>
      <sheetData sheetId="18661" refreshError="1"/>
      <sheetData sheetId="18662" refreshError="1"/>
      <sheetData sheetId="18663" refreshError="1"/>
      <sheetData sheetId="18664" refreshError="1"/>
      <sheetData sheetId="18665" refreshError="1"/>
      <sheetData sheetId="18666" refreshError="1"/>
      <sheetData sheetId="18667" refreshError="1"/>
      <sheetData sheetId="18668" refreshError="1"/>
      <sheetData sheetId="18669" refreshError="1"/>
      <sheetData sheetId="18670" refreshError="1"/>
      <sheetData sheetId="18671" refreshError="1"/>
      <sheetData sheetId="18672" refreshError="1"/>
      <sheetData sheetId="18673" refreshError="1"/>
      <sheetData sheetId="18674" refreshError="1"/>
      <sheetData sheetId="18675" refreshError="1"/>
      <sheetData sheetId="18676"/>
      <sheetData sheetId="18677"/>
      <sheetData sheetId="18678"/>
      <sheetData sheetId="18679"/>
      <sheetData sheetId="18680"/>
      <sheetData sheetId="18681"/>
      <sheetData sheetId="18682"/>
      <sheetData sheetId="18683">
        <row r="626">
          <cell r="D626">
            <v>-7005925</v>
          </cell>
        </row>
      </sheetData>
      <sheetData sheetId="18684" refreshError="1"/>
      <sheetData sheetId="18685" refreshError="1"/>
      <sheetData sheetId="18686" refreshError="1"/>
      <sheetData sheetId="18687" refreshError="1"/>
      <sheetData sheetId="18688" refreshError="1"/>
      <sheetData sheetId="18689" refreshError="1"/>
      <sheetData sheetId="18690" refreshError="1"/>
      <sheetData sheetId="18691" refreshError="1"/>
      <sheetData sheetId="18692" refreshError="1"/>
      <sheetData sheetId="18693" refreshError="1"/>
      <sheetData sheetId="18694" refreshError="1"/>
      <sheetData sheetId="18695" refreshError="1"/>
      <sheetData sheetId="18696" refreshError="1"/>
      <sheetData sheetId="18697" refreshError="1"/>
      <sheetData sheetId="18698" refreshError="1"/>
      <sheetData sheetId="18699" refreshError="1"/>
      <sheetData sheetId="18700" refreshError="1"/>
      <sheetData sheetId="18701" refreshError="1"/>
      <sheetData sheetId="18702" refreshError="1"/>
      <sheetData sheetId="18703" refreshError="1"/>
      <sheetData sheetId="18704" refreshError="1"/>
      <sheetData sheetId="18705" refreshError="1"/>
      <sheetData sheetId="18706" refreshError="1"/>
      <sheetData sheetId="18707" refreshError="1"/>
      <sheetData sheetId="18708" refreshError="1"/>
      <sheetData sheetId="18709" refreshError="1"/>
      <sheetData sheetId="18710" refreshError="1"/>
      <sheetData sheetId="18711" refreshError="1"/>
      <sheetData sheetId="18712" refreshError="1"/>
      <sheetData sheetId="18713" refreshError="1"/>
      <sheetData sheetId="18714" refreshError="1"/>
      <sheetData sheetId="18715" refreshError="1"/>
      <sheetData sheetId="18716" refreshError="1"/>
      <sheetData sheetId="18717" refreshError="1"/>
      <sheetData sheetId="18718" refreshError="1"/>
      <sheetData sheetId="18719" refreshError="1"/>
      <sheetData sheetId="18720" refreshError="1"/>
      <sheetData sheetId="18721" refreshError="1"/>
      <sheetData sheetId="18722" refreshError="1"/>
      <sheetData sheetId="18723" refreshError="1"/>
      <sheetData sheetId="18724" refreshError="1"/>
      <sheetData sheetId="18725" refreshError="1"/>
      <sheetData sheetId="18726" refreshError="1"/>
      <sheetData sheetId="18727" refreshError="1"/>
      <sheetData sheetId="18728" refreshError="1"/>
      <sheetData sheetId="18729" refreshError="1"/>
      <sheetData sheetId="18730" refreshError="1"/>
      <sheetData sheetId="18731" refreshError="1"/>
      <sheetData sheetId="18732" refreshError="1"/>
      <sheetData sheetId="18733" refreshError="1"/>
      <sheetData sheetId="18734" refreshError="1"/>
      <sheetData sheetId="18735" refreshError="1"/>
      <sheetData sheetId="18736" refreshError="1"/>
      <sheetData sheetId="18737" refreshError="1"/>
      <sheetData sheetId="18738" refreshError="1"/>
      <sheetData sheetId="18739" refreshError="1"/>
      <sheetData sheetId="18740" refreshError="1"/>
      <sheetData sheetId="18741" refreshError="1"/>
      <sheetData sheetId="18742" refreshError="1"/>
      <sheetData sheetId="18743" refreshError="1"/>
      <sheetData sheetId="18744" refreshError="1"/>
      <sheetData sheetId="18745" refreshError="1"/>
      <sheetData sheetId="18746" refreshError="1"/>
      <sheetData sheetId="18747" refreshError="1"/>
      <sheetData sheetId="18748" refreshError="1"/>
      <sheetData sheetId="18749" refreshError="1"/>
      <sheetData sheetId="18750" refreshError="1"/>
      <sheetData sheetId="18751" refreshError="1"/>
      <sheetData sheetId="18752" refreshError="1"/>
      <sheetData sheetId="18753" refreshError="1"/>
      <sheetData sheetId="18754" refreshError="1"/>
      <sheetData sheetId="18755" refreshError="1"/>
      <sheetData sheetId="18756" refreshError="1"/>
      <sheetData sheetId="18757" refreshError="1"/>
      <sheetData sheetId="18758" refreshError="1"/>
      <sheetData sheetId="18759" refreshError="1"/>
      <sheetData sheetId="18760" refreshError="1"/>
      <sheetData sheetId="18761" refreshError="1"/>
      <sheetData sheetId="18762">
        <row r="10">
          <cell r="D10">
            <v>119093113.53842101</v>
          </cell>
        </row>
      </sheetData>
      <sheetData sheetId="18763">
        <row r="25">
          <cell r="D25">
            <v>568922403.96307397</v>
          </cell>
        </row>
      </sheetData>
      <sheetData sheetId="18764">
        <row r="2">
          <cell r="B2" t="str">
            <v>sasa</v>
          </cell>
        </row>
      </sheetData>
      <sheetData sheetId="18765" refreshError="1"/>
      <sheetData sheetId="18766"/>
      <sheetData sheetId="18767" refreshError="1"/>
      <sheetData sheetId="18768" refreshError="1"/>
      <sheetData sheetId="18769" refreshError="1"/>
      <sheetData sheetId="18770" refreshError="1"/>
      <sheetData sheetId="18771" refreshError="1"/>
      <sheetData sheetId="18772" refreshError="1"/>
      <sheetData sheetId="18773" refreshError="1"/>
      <sheetData sheetId="18774" refreshError="1"/>
      <sheetData sheetId="18775" refreshError="1"/>
      <sheetData sheetId="18776" refreshError="1"/>
      <sheetData sheetId="18777" refreshError="1"/>
      <sheetData sheetId="18778" refreshError="1"/>
      <sheetData sheetId="18779" refreshError="1"/>
      <sheetData sheetId="18780" refreshError="1"/>
      <sheetData sheetId="18781" refreshError="1"/>
      <sheetData sheetId="18782"/>
      <sheetData sheetId="18783" refreshError="1"/>
      <sheetData sheetId="18784" refreshError="1"/>
      <sheetData sheetId="18785" refreshError="1"/>
      <sheetData sheetId="18786" refreshError="1"/>
      <sheetData sheetId="18787" refreshError="1"/>
      <sheetData sheetId="18788"/>
      <sheetData sheetId="18789" refreshError="1"/>
      <sheetData sheetId="18790" refreshError="1"/>
      <sheetData sheetId="18791" refreshError="1"/>
      <sheetData sheetId="18792" refreshError="1"/>
      <sheetData sheetId="18793" refreshError="1"/>
      <sheetData sheetId="18794"/>
      <sheetData sheetId="18795" refreshError="1"/>
      <sheetData sheetId="18796" refreshError="1"/>
      <sheetData sheetId="18797"/>
      <sheetData sheetId="18798"/>
      <sheetData sheetId="18799" refreshError="1"/>
      <sheetData sheetId="18800" refreshError="1"/>
      <sheetData sheetId="18801" refreshError="1"/>
      <sheetData sheetId="18802" refreshError="1"/>
      <sheetData sheetId="18803" refreshError="1"/>
      <sheetData sheetId="18804" refreshError="1"/>
      <sheetData sheetId="18805" refreshError="1"/>
      <sheetData sheetId="18806" refreshError="1"/>
      <sheetData sheetId="18807" refreshError="1"/>
      <sheetData sheetId="18808" refreshError="1"/>
      <sheetData sheetId="18809" refreshError="1"/>
      <sheetData sheetId="18810" refreshError="1"/>
      <sheetData sheetId="18811" refreshError="1"/>
      <sheetData sheetId="18812" refreshError="1"/>
      <sheetData sheetId="18813" refreshError="1"/>
      <sheetData sheetId="18814" refreshError="1"/>
      <sheetData sheetId="18815" refreshError="1"/>
      <sheetData sheetId="18816" refreshError="1"/>
      <sheetData sheetId="18817" refreshError="1"/>
      <sheetData sheetId="18818"/>
      <sheetData sheetId="18819" refreshError="1"/>
      <sheetData sheetId="18820"/>
      <sheetData sheetId="18821" refreshError="1"/>
      <sheetData sheetId="18822"/>
      <sheetData sheetId="18823"/>
      <sheetData sheetId="18824" refreshError="1"/>
      <sheetData sheetId="18825" refreshError="1"/>
      <sheetData sheetId="18826"/>
      <sheetData sheetId="18827" refreshError="1"/>
      <sheetData sheetId="18828" refreshError="1"/>
      <sheetData sheetId="18829" refreshError="1"/>
      <sheetData sheetId="18830" refreshError="1"/>
      <sheetData sheetId="18831" refreshError="1"/>
      <sheetData sheetId="18832" refreshError="1"/>
      <sheetData sheetId="18833" refreshError="1"/>
      <sheetData sheetId="18834" refreshError="1"/>
      <sheetData sheetId="18835" refreshError="1"/>
      <sheetData sheetId="18836" refreshError="1"/>
      <sheetData sheetId="18837" refreshError="1"/>
      <sheetData sheetId="18838" refreshError="1"/>
      <sheetData sheetId="18839"/>
      <sheetData sheetId="18840"/>
      <sheetData sheetId="18841"/>
      <sheetData sheetId="18842"/>
      <sheetData sheetId="18843"/>
      <sheetData sheetId="18844"/>
      <sheetData sheetId="18845" refreshError="1"/>
      <sheetData sheetId="18846" refreshError="1"/>
      <sheetData sheetId="18847" refreshError="1"/>
      <sheetData sheetId="18848" refreshError="1"/>
      <sheetData sheetId="18849" refreshError="1"/>
      <sheetData sheetId="18850" refreshError="1"/>
      <sheetData sheetId="18851" refreshError="1"/>
      <sheetData sheetId="18852" refreshError="1"/>
      <sheetData sheetId="18853" refreshError="1"/>
      <sheetData sheetId="18854" refreshError="1"/>
      <sheetData sheetId="18855" refreshError="1"/>
      <sheetData sheetId="18856" refreshError="1"/>
      <sheetData sheetId="18857" refreshError="1"/>
      <sheetData sheetId="18858" refreshError="1"/>
      <sheetData sheetId="18859" refreshError="1"/>
      <sheetData sheetId="18860" refreshError="1"/>
      <sheetData sheetId="18861" refreshError="1"/>
      <sheetData sheetId="18862" refreshError="1"/>
      <sheetData sheetId="18863" refreshError="1"/>
      <sheetData sheetId="18864" refreshError="1"/>
      <sheetData sheetId="18865" refreshError="1"/>
      <sheetData sheetId="18866" refreshError="1"/>
      <sheetData sheetId="18867"/>
      <sheetData sheetId="18868" refreshError="1"/>
      <sheetData sheetId="18869" refreshError="1"/>
      <sheetData sheetId="18870" refreshError="1"/>
      <sheetData sheetId="18871" refreshError="1"/>
      <sheetData sheetId="18872" refreshError="1"/>
      <sheetData sheetId="18873" refreshError="1"/>
      <sheetData sheetId="18874" refreshError="1"/>
      <sheetData sheetId="18875" refreshError="1"/>
      <sheetData sheetId="18876" refreshError="1"/>
      <sheetData sheetId="18877" refreshError="1"/>
      <sheetData sheetId="18878" refreshError="1"/>
      <sheetData sheetId="18879" refreshError="1"/>
      <sheetData sheetId="18880" refreshError="1"/>
      <sheetData sheetId="18881" refreshError="1"/>
      <sheetData sheetId="18882" refreshError="1"/>
      <sheetData sheetId="18883" refreshError="1"/>
      <sheetData sheetId="18884" refreshError="1"/>
      <sheetData sheetId="18885" refreshError="1"/>
      <sheetData sheetId="18886" refreshError="1"/>
      <sheetData sheetId="18887" refreshError="1"/>
      <sheetData sheetId="18888" refreshError="1"/>
      <sheetData sheetId="18889" refreshError="1"/>
      <sheetData sheetId="18890" refreshError="1"/>
      <sheetData sheetId="18891" refreshError="1"/>
      <sheetData sheetId="18892" refreshError="1"/>
      <sheetData sheetId="18893" refreshError="1"/>
      <sheetData sheetId="18894"/>
      <sheetData sheetId="18895"/>
      <sheetData sheetId="18896"/>
      <sheetData sheetId="18897"/>
      <sheetData sheetId="18898"/>
      <sheetData sheetId="18899"/>
      <sheetData sheetId="18900"/>
      <sheetData sheetId="18901"/>
      <sheetData sheetId="18902"/>
      <sheetData sheetId="18903"/>
      <sheetData sheetId="18904" refreshError="1"/>
      <sheetData sheetId="18905" refreshError="1"/>
      <sheetData sheetId="18906" refreshError="1"/>
      <sheetData sheetId="18907" refreshError="1"/>
      <sheetData sheetId="18908" refreshError="1"/>
      <sheetData sheetId="18909" refreshError="1"/>
      <sheetData sheetId="18910" refreshError="1"/>
      <sheetData sheetId="18911" refreshError="1"/>
      <sheetData sheetId="18912" refreshError="1"/>
      <sheetData sheetId="18913" refreshError="1"/>
      <sheetData sheetId="18914" refreshError="1"/>
      <sheetData sheetId="18915" refreshError="1"/>
      <sheetData sheetId="18916" refreshError="1"/>
      <sheetData sheetId="18917" refreshError="1"/>
      <sheetData sheetId="18918" refreshError="1"/>
      <sheetData sheetId="18919" refreshError="1"/>
      <sheetData sheetId="18920" refreshError="1"/>
      <sheetData sheetId="18921" refreshError="1"/>
      <sheetData sheetId="18922" refreshError="1"/>
      <sheetData sheetId="18923" refreshError="1"/>
      <sheetData sheetId="18924" refreshError="1"/>
      <sheetData sheetId="18925" refreshError="1"/>
      <sheetData sheetId="18926" refreshError="1"/>
      <sheetData sheetId="18927" refreshError="1"/>
      <sheetData sheetId="18928" refreshError="1"/>
      <sheetData sheetId="18929" refreshError="1"/>
      <sheetData sheetId="18930" refreshError="1"/>
      <sheetData sheetId="18931" refreshError="1"/>
      <sheetData sheetId="18932" refreshError="1"/>
      <sheetData sheetId="18933" refreshError="1"/>
      <sheetData sheetId="18934" refreshError="1"/>
      <sheetData sheetId="18935"/>
      <sheetData sheetId="18936"/>
      <sheetData sheetId="18937"/>
      <sheetData sheetId="18938"/>
      <sheetData sheetId="18939"/>
      <sheetData sheetId="18940"/>
      <sheetData sheetId="18941" refreshError="1"/>
      <sheetData sheetId="18942" refreshError="1"/>
      <sheetData sheetId="18943" refreshError="1"/>
      <sheetData sheetId="18944" refreshError="1"/>
      <sheetData sheetId="18945" refreshError="1"/>
      <sheetData sheetId="18946" refreshError="1"/>
      <sheetData sheetId="18947" refreshError="1"/>
      <sheetData sheetId="18948" refreshError="1"/>
      <sheetData sheetId="18949" refreshError="1"/>
      <sheetData sheetId="18950" refreshError="1"/>
      <sheetData sheetId="18951" refreshError="1"/>
      <sheetData sheetId="18952" refreshError="1"/>
      <sheetData sheetId="18953" refreshError="1"/>
      <sheetData sheetId="18954" refreshError="1"/>
      <sheetData sheetId="18955" refreshError="1"/>
      <sheetData sheetId="18956" refreshError="1"/>
      <sheetData sheetId="18957" refreshError="1"/>
      <sheetData sheetId="18958" refreshError="1"/>
      <sheetData sheetId="18959" refreshError="1"/>
      <sheetData sheetId="18960" refreshError="1"/>
      <sheetData sheetId="18961" refreshError="1"/>
      <sheetData sheetId="18962" refreshError="1"/>
      <sheetData sheetId="18963" refreshError="1"/>
      <sheetData sheetId="18964" refreshError="1"/>
      <sheetData sheetId="18965" refreshError="1"/>
      <sheetData sheetId="18966" refreshError="1"/>
      <sheetData sheetId="18967" refreshError="1"/>
      <sheetData sheetId="18968" refreshError="1"/>
      <sheetData sheetId="18969" refreshError="1"/>
      <sheetData sheetId="18970" refreshError="1"/>
      <sheetData sheetId="18971" refreshError="1"/>
      <sheetData sheetId="18972" refreshError="1"/>
      <sheetData sheetId="18973" refreshError="1"/>
      <sheetData sheetId="18974" refreshError="1"/>
      <sheetData sheetId="18975"/>
      <sheetData sheetId="18976"/>
      <sheetData sheetId="18977" refreshError="1"/>
      <sheetData sheetId="18978"/>
      <sheetData sheetId="18979" refreshError="1"/>
      <sheetData sheetId="18980" refreshError="1"/>
      <sheetData sheetId="18981" refreshError="1"/>
      <sheetData sheetId="18982" refreshError="1"/>
      <sheetData sheetId="18983" refreshError="1"/>
      <sheetData sheetId="18984">
        <row r="1">
          <cell r="A1" t="str">
            <v>Loan Calculator</v>
          </cell>
        </row>
      </sheetData>
      <sheetData sheetId="18985"/>
      <sheetData sheetId="18986"/>
      <sheetData sheetId="18987"/>
      <sheetData sheetId="18988"/>
      <sheetData sheetId="18989">
        <row r="1">
          <cell r="A1" t="str">
            <v>Loan Calculator</v>
          </cell>
        </row>
      </sheetData>
      <sheetData sheetId="18990"/>
      <sheetData sheetId="18991"/>
      <sheetData sheetId="18992"/>
      <sheetData sheetId="18993">
        <row r="1">
          <cell r="A1" t="str">
            <v>Loan Calculator</v>
          </cell>
        </row>
      </sheetData>
      <sheetData sheetId="18994"/>
      <sheetData sheetId="18995"/>
      <sheetData sheetId="18996"/>
      <sheetData sheetId="18997"/>
      <sheetData sheetId="18998">
        <row r="1">
          <cell r="A1" t="str">
            <v>Loan Calculator</v>
          </cell>
        </row>
      </sheetData>
      <sheetData sheetId="18999"/>
      <sheetData sheetId="19000"/>
      <sheetData sheetId="19001"/>
      <sheetData sheetId="19002"/>
      <sheetData sheetId="19003">
        <row r="1">
          <cell r="A1" t="str">
            <v>Loan Calculator</v>
          </cell>
        </row>
      </sheetData>
      <sheetData sheetId="19004"/>
      <sheetData sheetId="19005"/>
      <sheetData sheetId="19006"/>
      <sheetData sheetId="19007"/>
      <sheetData sheetId="19008">
        <row r="1">
          <cell r="A1" t="str">
            <v>Loan Calculator</v>
          </cell>
        </row>
      </sheetData>
      <sheetData sheetId="19009"/>
      <sheetData sheetId="19010"/>
      <sheetData sheetId="19011"/>
      <sheetData sheetId="19012"/>
      <sheetData sheetId="19013">
        <row r="1">
          <cell r="A1" t="str">
            <v>Loan Calculator</v>
          </cell>
        </row>
      </sheetData>
      <sheetData sheetId="19014"/>
      <sheetData sheetId="19015" refreshError="1"/>
      <sheetData sheetId="19016" refreshError="1"/>
      <sheetData sheetId="19017" refreshError="1"/>
      <sheetData sheetId="19018" refreshError="1"/>
      <sheetData sheetId="19019" refreshError="1"/>
      <sheetData sheetId="19020" refreshError="1"/>
      <sheetData sheetId="19021" refreshError="1"/>
      <sheetData sheetId="19022" refreshError="1"/>
      <sheetData sheetId="19023" refreshError="1"/>
      <sheetData sheetId="19024" refreshError="1"/>
      <sheetData sheetId="19025" refreshError="1"/>
      <sheetData sheetId="19026" refreshError="1"/>
      <sheetData sheetId="19027" refreshError="1"/>
      <sheetData sheetId="19028" refreshError="1"/>
      <sheetData sheetId="19029" refreshError="1"/>
      <sheetData sheetId="19030" refreshError="1"/>
      <sheetData sheetId="19031" refreshError="1"/>
      <sheetData sheetId="19032" refreshError="1"/>
      <sheetData sheetId="19033" refreshError="1"/>
      <sheetData sheetId="19034" refreshError="1"/>
      <sheetData sheetId="19035" refreshError="1"/>
      <sheetData sheetId="19036" refreshError="1"/>
      <sheetData sheetId="19037" refreshError="1"/>
      <sheetData sheetId="19038" refreshError="1"/>
      <sheetData sheetId="19039" refreshError="1"/>
      <sheetData sheetId="19040" refreshError="1"/>
      <sheetData sheetId="19041" refreshError="1"/>
      <sheetData sheetId="19042" refreshError="1"/>
      <sheetData sheetId="19043" refreshError="1"/>
      <sheetData sheetId="19044" refreshError="1"/>
      <sheetData sheetId="19045" refreshError="1"/>
      <sheetData sheetId="19046" refreshError="1"/>
      <sheetData sheetId="19047" refreshError="1"/>
      <sheetData sheetId="19048" refreshError="1"/>
      <sheetData sheetId="19049"/>
      <sheetData sheetId="19050"/>
      <sheetData sheetId="19051"/>
      <sheetData sheetId="19052" refreshError="1"/>
      <sheetData sheetId="19053"/>
      <sheetData sheetId="19054"/>
      <sheetData sheetId="19055"/>
      <sheetData sheetId="19056"/>
      <sheetData sheetId="19057"/>
      <sheetData sheetId="19058"/>
      <sheetData sheetId="19059"/>
      <sheetData sheetId="19060"/>
      <sheetData sheetId="19061"/>
      <sheetData sheetId="19062"/>
      <sheetData sheetId="19063"/>
      <sheetData sheetId="19064"/>
      <sheetData sheetId="19065"/>
      <sheetData sheetId="19066"/>
      <sheetData sheetId="19067"/>
      <sheetData sheetId="19068"/>
      <sheetData sheetId="19069"/>
      <sheetData sheetId="19070"/>
      <sheetData sheetId="19071"/>
      <sheetData sheetId="19072"/>
      <sheetData sheetId="19073"/>
      <sheetData sheetId="19074"/>
      <sheetData sheetId="19075"/>
      <sheetData sheetId="19076"/>
      <sheetData sheetId="19077"/>
      <sheetData sheetId="19078"/>
      <sheetData sheetId="19079"/>
      <sheetData sheetId="19080"/>
      <sheetData sheetId="19081"/>
      <sheetData sheetId="19082"/>
      <sheetData sheetId="19083"/>
      <sheetData sheetId="19084"/>
      <sheetData sheetId="19085"/>
      <sheetData sheetId="19086"/>
      <sheetData sheetId="19087"/>
      <sheetData sheetId="19088"/>
      <sheetData sheetId="19089"/>
      <sheetData sheetId="19090"/>
      <sheetData sheetId="19091"/>
      <sheetData sheetId="19092"/>
      <sheetData sheetId="19093"/>
      <sheetData sheetId="19094"/>
      <sheetData sheetId="19095"/>
      <sheetData sheetId="19096"/>
      <sheetData sheetId="19097"/>
      <sheetData sheetId="19098"/>
      <sheetData sheetId="19099"/>
      <sheetData sheetId="19100"/>
      <sheetData sheetId="19101"/>
      <sheetData sheetId="19102"/>
      <sheetData sheetId="19103"/>
      <sheetData sheetId="19104"/>
      <sheetData sheetId="19105"/>
      <sheetData sheetId="19106"/>
      <sheetData sheetId="19107"/>
      <sheetData sheetId="19108"/>
      <sheetData sheetId="19109"/>
      <sheetData sheetId="19110"/>
      <sheetData sheetId="19111"/>
      <sheetData sheetId="19112"/>
      <sheetData sheetId="19113"/>
      <sheetData sheetId="19114"/>
      <sheetData sheetId="19115"/>
      <sheetData sheetId="19116"/>
      <sheetData sheetId="19117"/>
      <sheetData sheetId="19118"/>
      <sheetData sheetId="19119"/>
      <sheetData sheetId="19120"/>
      <sheetData sheetId="19121"/>
      <sheetData sheetId="19122"/>
      <sheetData sheetId="19123"/>
      <sheetData sheetId="19124" refreshError="1"/>
      <sheetData sheetId="19125" refreshError="1"/>
      <sheetData sheetId="19126" refreshError="1"/>
      <sheetData sheetId="19127" refreshError="1"/>
      <sheetData sheetId="19128" refreshError="1"/>
      <sheetData sheetId="19129" refreshError="1"/>
      <sheetData sheetId="19130" refreshError="1"/>
      <sheetData sheetId="19131" refreshError="1"/>
      <sheetData sheetId="19132" refreshError="1"/>
      <sheetData sheetId="19133" refreshError="1"/>
      <sheetData sheetId="19134" refreshError="1"/>
      <sheetData sheetId="19135"/>
      <sheetData sheetId="19136" refreshError="1"/>
      <sheetData sheetId="19137" refreshError="1"/>
      <sheetData sheetId="19138" refreshError="1"/>
      <sheetData sheetId="19139" refreshError="1"/>
      <sheetData sheetId="19140" refreshError="1"/>
      <sheetData sheetId="19141" refreshError="1"/>
      <sheetData sheetId="19142" refreshError="1"/>
      <sheetData sheetId="19143" refreshError="1"/>
      <sheetData sheetId="19144"/>
      <sheetData sheetId="19145" refreshError="1"/>
      <sheetData sheetId="19146" refreshError="1"/>
      <sheetData sheetId="19147" refreshError="1"/>
      <sheetData sheetId="19148" refreshError="1"/>
      <sheetData sheetId="19149" refreshError="1"/>
      <sheetData sheetId="19150" refreshError="1"/>
      <sheetData sheetId="19151" refreshError="1"/>
      <sheetData sheetId="19152" refreshError="1"/>
      <sheetData sheetId="19153" refreshError="1"/>
      <sheetData sheetId="19154" refreshError="1"/>
      <sheetData sheetId="19155" refreshError="1"/>
      <sheetData sheetId="19156" refreshError="1"/>
      <sheetData sheetId="19157" refreshError="1"/>
      <sheetData sheetId="19158" refreshError="1"/>
      <sheetData sheetId="19159" refreshError="1"/>
      <sheetData sheetId="19160" refreshError="1"/>
      <sheetData sheetId="19161" refreshError="1"/>
      <sheetData sheetId="19162" refreshError="1"/>
      <sheetData sheetId="19163" refreshError="1"/>
      <sheetData sheetId="19164" refreshError="1"/>
      <sheetData sheetId="19165" refreshError="1"/>
      <sheetData sheetId="19166" refreshError="1"/>
      <sheetData sheetId="19167" refreshError="1"/>
      <sheetData sheetId="19168" refreshError="1"/>
      <sheetData sheetId="19169" refreshError="1"/>
      <sheetData sheetId="19170" refreshError="1"/>
      <sheetData sheetId="19171" refreshError="1"/>
      <sheetData sheetId="19172" refreshError="1"/>
      <sheetData sheetId="19173" refreshError="1"/>
      <sheetData sheetId="19174" refreshError="1"/>
      <sheetData sheetId="19175" refreshError="1"/>
      <sheetData sheetId="19176" refreshError="1"/>
      <sheetData sheetId="19177" refreshError="1"/>
      <sheetData sheetId="19178" refreshError="1"/>
      <sheetData sheetId="19179" refreshError="1"/>
      <sheetData sheetId="19180" refreshError="1"/>
      <sheetData sheetId="19181" refreshError="1"/>
      <sheetData sheetId="19182" refreshError="1"/>
      <sheetData sheetId="19183" refreshError="1"/>
      <sheetData sheetId="19184" refreshError="1"/>
      <sheetData sheetId="19185" refreshError="1"/>
      <sheetData sheetId="19186" refreshError="1"/>
      <sheetData sheetId="19187" refreshError="1"/>
      <sheetData sheetId="19188" refreshError="1"/>
      <sheetData sheetId="19189" refreshError="1"/>
      <sheetData sheetId="19190" refreshError="1"/>
      <sheetData sheetId="19191" refreshError="1"/>
      <sheetData sheetId="19192" refreshError="1"/>
      <sheetData sheetId="19193" refreshError="1"/>
      <sheetData sheetId="19194" refreshError="1"/>
      <sheetData sheetId="19195" refreshError="1"/>
      <sheetData sheetId="19196" refreshError="1"/>
      <sheetData sheetId="19197" refreshError="1"/>
      <sheetData sheetId="19198" refreshError="1"/>
      <sheetData sheetId="19199" refreshError="1"/>
      <sheetData sheetId="19200" refreshError="1"/>
      <sheetData sheetId="19201" refreshError="1"/>
      <sheetData sheetId="19202" refreshError="1"/>
      <sheetData sheetId="19203" refreshError="1"/>
      <sheetData sheetId="19204" refreshError="1"/>
      <sheetData sheetId="19205" refreshError="1"/>
      <sheetData sheetId="19206" refreshError="1"/>
      <sheetData sheetId="19207" refreshError="1"/>
      <sheetData sheetId="19208" refreshError="1"/>
      <sheetData sheetId="19209" refreshError="1"/>
      <sheetData sheetId="19210" refreshError="1"/>
      <sheetData sheetId="19211" refreshError="1"/>
      <sheetData sheetId="19212" refreshError="1"/>
      <sheetData sheetId="19213" refreshError="1"/>
      <sheetData sheetId="19214" refreshError="1"/>
      <sheetData sheetId="19215" refreshError="1"/>
      <sheetData sheetId="19216" refreshError="1"/>
      <sheetData sheetId="19217" refreshError="1"/>
      <sheetData sheetId="19218" refreshError="1"/>
      <sheetData sheetId="19219" refreshError="1"/>
      <sheetData sheetId="19220" refreshError="1"/>
      <sheetData sheetId="19221" refreshError="1"/>
      <sheetData sheetId="19222" refreshError="1"/>
      <sheetData sheetId="19223" refreshError="1"/>
      <sheetData sheetId="19224" refreshError="1"/>
      <sheetData sheetId="19225" refreshError="1"/>
      <sheetData sheetId="19226" refreshError="1"/>
      <sheetData sheetId="19227" refreshError="1"/>
      <sheetData sheetId="19228" refreshError="1"/>
      <sheetData sheetId="19229" refreshError="1"/>
      <sheetData sheetId="19230" refreshError="1"/>
      <sheetData sheetId="19231" refreshError="1"/>
      <sheetData sheetId="19232" refreshError="1"/>
      <sheetData sheetId="19233" refreshError="1"/>
      <sheetData sheetId="19234" refreshError="1"/>
      <sheetData sheetId="19235" refreshError="1"/>
      <sheetData sheetId="19236" refreshError="1"/>
      <sheetData sheetId="19237" refreshError="1"/>
      <sheetData sheetId="19238" refreshError="1"/>
      <sheetData sheetId="19239" refreshError="1"/>
      <sheetData sheetId="19240" refreshError="1"/>
      <sheetData sheetId="19241" refreshError="1"/>
      <sheetData sheetId="19242" refreshError="1"/>
      <sheetData sheetId="19243" refreshError="1"/>
      <sheetData sheetId="19244" refreshError="1"/>
      <sheetData sheetId="19245" refreshError="1"/>
      <sheetData sheetId="19246" refreshError="1"/>
      <sheetData sheetId="19247" refreshError="1"/>
      <sheetData sheetId="19248" refreshError="1"/>
      <sheetData sheetId="19249" refreshError="1"/>
      <sheetData sheetId="19250" refreshError="1"/>
      <sheetData sheetId="19251" refreshError="1"/>
      <sheetData sheetId="19252" refreshError="1"/>
      <sheetData sheetId="19253" refreshError="1"/>
      <sheetData sheetId="19254" refreshError="1"/>
      <sheetData sheetId="19255" refreshError="1"/>
      <sheetData sheetId="19256" refreshError="1"/>
      <sheetData sheetId="19257" refreshError="1"/>
      <sheetData sheetId="19258" refreshError="1"/>
      <sheetData sheetId="19259" refreshError="1"/>
      <sheetData sheetId="19260"/>
      <sheetData sheetId="19261">
        <row r="8">
          <cell r="B8" t="str">
            <v>DPE002</v>
          </cell>
        </row>
      </sheetData>
      <sheetData sheetId="19262">
        <row r="1">
          <cell r="A1" t="str">
            <v>Customer Name</v>
          </cell>
        </row>
      </sheetData>
      <sheetData sheetId="19263" refreshError="1"/>
      <sheetData sheetId="19264" refreshError="1"/>
      <sheetData sheetId="19265" refreshError="1"/>
      <sheetData sheetId="19266" refreshError="1"/>
      <sheetData sheetId="19267" refreshError="1"/>
      <sheetData sheetId="19268" refreshError="1"/>
      <sheetData sheetId="19269" refreshError="1"/>
      <sheetData sheetId="19270" refreshError="1"/>
      <sheetData sheetId="19271" refreshError="1"/>
      <sheetData sheetId="19272" refreshError="1"/>
      <sheetData sheetId="19273" refreshError="1"/>
      <sheetData sheetId="19274" refreshError="1"/>
      <sheetData sheetId="19275" refreshError="1"/>
      <sheetData sheetId="19276" refreshError="1"/>
      <sheetData sheetId="19277" refreshError="1"/>
      <sheetData sheetId="19278" refreshError="1"/>
      <sheetData sheetId="19279" refreshError="1"/>
      <sheetData sheetId="19280" refreshError="1"/>
      <sheetData sheetId="19281" refreshError="1"/>
      <sheetData sheetId="19282" refreshError="1"/>
      <sheetData sheetId="19283" refreshError="1"/>
      <sheetData sheetId="19284" refreshError="1"/>
      <sheetData sheetId="19285" refreshError="1"/>
      <sheetData sheetId="19286" refreshError="1"/>
      <sheetData sheetId="19287" refreshError="1"/>
      <sheetData sheetId="19288" refreshError="1"/>
      <sheetData sheetId="19289" refreshError="1"/>
      <sheetData sheetId="19290" refreshError="1"/>
      <sheetData sheetId="19291" refreshError="1"/>
      <sheetData sheetId="19292" refreshError="1"/>
      <sheetData sheetId="19293"/>
      <sheetData sheetId="19294"/>
      <sheetData sheetId="19295"/>
      <sheetData sheetId="19296"/>
      <sheetData sheetId="19297"/>
      <sheetData sheetId="19298"/>
      <sheetData sheetId="19299"/>
      <sheetData sheetId="19300"/>
      <sheetData sheetId="19301">
        <row r="1">
          <cell r="A1" t="str">
            <v>PARTICULARS</v>
          </cell>
        </row>
      </sheetData>
      <sheetData sheetId="19302"/>
      <sheetData sheetId="19303">
        <row r="32">
          <cell r="BF32" t="e">
            <v>#REF!</v>
          </cell>
        </row>
      </sheetData>
      <sheetData sheetId="19304"/>
      <sheetData sheetId="19305"/>
      <sheetData sheetId="19306">
        <row r="433">
          <cell r="F433">
            <v>0</v>
          </cell>
        </row>
      </sheetData>
      <sheetData sheetId="19307"/>
      <sheetData sheetId="19308"/>
      <sheetData sheetId="19309"/>
      <sheetData sheetId="19310"/>
      <sheetData sheetId="19311"/>
      <sheetData sheetId="19312"/>
      <sheetData sheetId="19313">
        <row r="1">
          <cell r="E1">
            <v>3.7037037037037035E-2</v>
          </cell>
        </row>
      </sheetData>
      <sheetData sheetId="19314">
        <row r="6">
          <cell r="I6" t="str">
            <v>2011</v>
          </cell>
        </row>
      </sheetData>
      <sheetData sheetId="19315">
        <row r="2">
          <cell r="A2" t="str">
            <v>A101001</v>
          </cell>
        </row>
      </sheetData>
      <sheetData sheetId="19316">
        <row r="8">
          <cell r="B8" t="str">
            <v>DPE002</v>
          </cell>
        </row>
      </sheetData>
      <sheetData sheetId="19317">
        <row r="433">
          <cell r="F433">
            <v>0</v>
          </cell>
        </row>
      </sheetData>
      <sheetData sheetId="19318">
        <row r="433">
          <cell r="F433">
            <v>0</v>
          </cell>
        </row>
      </sheetData>
      <sheetData sheetId="19319"/>
      <sheetData sheetId="19320"/>
      <sheetData sheetId="19321"/>
      <sheetData sheetId="19322">
        <row r="8">
          <cell r="B8" t="str">
            <v>DPE002</v>
          </cell>
        </row>
      </sheetData>
      <sheetData sheetId="19323"/>
      <sheetData sheetId="19324"/>
      <sheetData sheetId="19325"/>
      <sheetData sheetId="19326">
        <row r="1">
          <cell r="A1" t="str">
            <v>Customer Name</v>
          </cell>
        </row>
      </sheetData>
      <sheetData sheetId="19327">
        <row r="6">
          <cell r="I6" t="str">
            <v>2011</v>
          </cell>
        </row>
      </sheetData>
      <sheetData sheetId="19328">
        <row r="32">
          <cell r="BF32" t="e">
            <v>#REF!</v>
          </cell>
        </row>
      </sheetData>
      <sheetData sheetId="19329">
        <row r="6">
          <cell r="I6" t="str">
            <v>2011</v>
          </cell>
        </row>
      </sheetData>
      <sheetData sheetId="19330">
        <row r="8">
          <cell r="B8" t="str">
            <v>DPE002</v>
          </cell>
        </row>
      </sheetData>
      <sheetData sheetId="19331">
        <row r="8">
          <cell r="B8" t="str">
            <v>DPE002</v>
          </cell>
        </row>
      </sheetData>
      <sheetData sheetId="19332">
        <row r="6">
          <cell r="I6" t="str">
            <v>2011</v>
          </cell>
        </row>
      </sheetData>
      <sheetData sheetId="19333"/>
      <sheetData sheetId="19334"/>
      <sheetData sheetId="19335">
        <row r="8">
          <cell r="B8" t="str">
            <v>DPE002</v>
          </cell>
        </row>
      </sheetData>
      <sheetData sheetId="19336" refreshError="1"/>
      <sheetData sheetId="19337" refreshError="1"/>
      <sheetData sheetId="19338" refreshError="1"/>
      <sheetData sheetId="19339">
        <row r="6">
          <cell r="I6" t="str">
            <v>2011</v>
          </cell>
        </row>
      </sheetData>
      <sheetData sheetId="19340" refreshError="1"/>
      <sheetData sheetId="19341" refreshError="1"/>
      <sheetData sheetId="19342" refreshError="1"/>
      <sheetData sheetId="19343" refreshError="1"/>
      <sheetData sheetId="19344" refreshError="1"/>
      <sheetData sheetId="19345" refreshError="1"/>
      <sheetData sheetId="19346" refreshError="1"/>
      <sheetData sheetId="19347"/>
      <sheetData sheetId="19348"/>
      <sheetData sheetId="19349">
        <row r="6">
          <cell r="I6" t="str">
            <v>2011</v>
          </cell>
        </row>
      </sheetData>
      <sheetData sheetId="19350"/>
      <sheetData sheetId="19351">
        <row r="6">
          <cell r="I6" t="str">
            <v>2011</v>
          </cell>
        </row>
      </sheetData>
      <sheetData sheetId="19352">
        <row r="8">
          <cell r="B8" t="str">
            <v>DPE002</v>
          </cell>
        </row>
      </sheetData>
      <sheetData sheetId="19353">
        <row r="8">
          <cell r="B8" t="str">
            <v>DPE002</v>
          </cell>
        </row>
      </sheetData>
      <sheetData sheetId="19354"/>
      <sheetData sheetId="19355"/>
      <sheetData sheetId="19356">
        <row r="6">
          <cell r="I6" t="str">
            <v>2011</v>
          </cell>
        </row>
      </sheetData>
      <sheetData sheetId="19357" refreshError="1"/>
      <sheetData sheetId="19358" refreshError="1"/>
      <sheetData sheetId="19359" refreshError="1"/>
      <sheetData sheetId="19360">
        <row r="8">
          <cell r="B8" t="str">
            <v>DPE002</v>
          </cell>
        </row>
      </sheetData>
      <sheetData sheetId="19361" refreshError="1"/>
      <sheetData sheetId="19362" refreshError="1"/>
      <sheetData sheetId="19363" refreshError="1"/>
      <sheetData sheetId="19364" refreshError="1"/>
      <sheetData sheetId="19365" refreshError="1"/>
      <sheetData sheetId="19366" refreshError="1"/>
      <sheetData sheetId="19367">
        <row r="2">
          <cell r="A2" t="str">
            <v>A001</v>
          </cell>
        </row>
      </sheetData>
      <sheetData sheetId="19368"/>
      <sheetData sheetId="19369" refreshError="1"/>
      <sheetData sheetId="19370">
        <row r="1">
          <cell r="A1" t="str">
            <v>Customer Name</v>
          </cell>
        </row>
      </sheetData>
      <sheetData sheetId="19371">
        <row r="6">
          <cell r="I6" t="str">
            <v>2011</v>
          </cell>
        </row>
      </sheetData>
      <sheetData sheetId="19372"/>
      <sheetData sheetId="19373">
        <row r="6">
          <cell r="I6" t="str">
            <v>2011</v>
          </cell>
        </row>
      </sheetData>
      <sheetData sheetId="19374">
        <row r="1">
          <cell r="A1" t="str">
            <v>Customer Name</v>
          </cell>
        </row>
      </sheetData>
      <sheetData sheetId="19375">
        <row r="2">
          <cell r="A2" t="str">
            <v>A101001</v>
          </cell>
        </row>
      </sheetData>
      <sheetData sheetId="19376" refreshError="1"/>
      <sheetData sheetId="19377" refreshError="1"/>
      <sheetData sheetId="19378" refreshError="1"/>
      <sheetData sheetId="19379" refreshError="1"/>
      <sheetData sheetId="19380" refreshError="1"/>
      <sheetData sheetId="19381" refreshError="1"/>
      <sheetData sheetId="19382" refreshError="1"/>
      <sheetData sheetId="19383" refreshError="1"/>
      <sheetData sheetId="19384" refreshError="1"/>
      <sheetData sheetId="19385" refreshError="1"/>
      <sheetData sheetId="19386" refreshError="1"/>
      <sheetData sheetId="19387" refreshError="1"/>
      <sheetData sheetId="19388" refreshError="1"/>
      <sheetData sheetId="19389" refreshError="1"/>
      <sheetData sheetId="19390" refreshError="1"/>
      <sheetData sheetId="19391" refreshError="1"/>
      <sheetData sheetId="19392" refreshError="1"/>
      <sheetData sheetId="19393" refreshError="1"/>
      <sheetData sheetId="19394" refreshError="1"/>
      <sheetData sheetId="19395" refreshError="1"/>
      <sheetData sheetId="19396" refreshError="1"/>
      <sheetData sheetId="19397" refreshError="1"/>
      <sheetData sheetId="19398" refreshError="1"/>
      <sheetData sheetId="19399" refreshError="1"/>
      <sheetData sheetId="19400" refreshError="1"/>
      <sheetData sheetId="19401" refreshError="1"/>
      <sheetData sheetId="19402" refreshError="1"/>
      <sheetData sheetId="19403" refreshError="1"/>
      <sheetData sheetId="19404" refreshError="1"/>
      <sheetData sheetId="19405" refreshError="1"/>
      <sheetData sheetId="19406" refreshError="1"/>
      <sheetData sheetId="19407" refreshError="1"/>
      <sheetData sheetId="19408" refreshError="1"/>
      <sheetData sheetId="19409" refreshError="1"/>
      <sheetData sheetId="19410" refreshError="1"/>
      <sheetData sheetId="19411" refreshError="1"/>
      <sheetData sheetId="19412" refreshError="1"/>
      <sheetData sheetId="19413" refreshError="1"/>
      <sheetData sheetId="19414" refreshError="1"/>
      <sheetData sheetId="19415" refreshError="1"/>
      <sheetData sheetId="19416" refreshError="1"/>
      <sheetData sheetId="19417" refreshError="1"/>
      <sheetData sheetId="19418" refreshError="1"/>
      <sheetData sheetId="19419" refreshError="1"/>
      <sheetData sheetId="19420" refreshError="1"/>
      <sheetData sheetId="19421" refreshError="1"/>
      <sheetData sheetId="19422" refreshError="1"/>
      <sheetData sheetId="19423" refreshError="1"/>
      <sheetData sheetId="19424" refreshError="1"/>
      <sheetData sheetId="19425" refreshError="1"/>
      <sheetData sheetId="19426" refreshError="1"/>
      <sheetData sheetId="19427" refreshError="1"/>
      <sheetData sheetId="19428" refreshError="1"/>
      <sheetData sheetId="19429" refreshError="1"/>
      <sheetData sheetId="19430" refreshError="1"/>
      <sheetData sheetId="19431" refreshError="1"/>
      <sheetData sheetId="19432" refreshError="1"/>
      <sheetData sheetId="19433" refreshError="1"/>
      <sheetData sheetId="19434" refreshError="1"/>
      <sheetData sheetId="19435" refreshError="1"/>
      <sheetData sheetId="19436" refreshError="1"/>
      <sheetData sheetId="19437" refreshError="1"/>
      <sheetData sheetId="19438" refreshError="1"/>
      <sheetData sheetId="19439" refreshError="1"/>
      <sheetData sheetId="19440" refreshError="1"/>
      <sheetData sheetId="19441" refreshError="1"/>
      <sheetData sheetId="19442" refreshError="1"/>
      <sheetData sheetId="19443" refreshError="1"/>
      <sheetData sheetId="19444" refreshError="1"/>
      <sheetData sheetId="19445" refreshError="1"/>
      <sheetData sheetId="19446" refreshError="1"/>
      <sheetData sheetId="19447" refreshError="1"/>
      <sheetData sheetId="19448" refreshError="1"/>
      <sheetData sheetId="19449" refreshError="1"/>
      <sheetData sheetId="19450" refreshError="1"/>
      <sheetData sheetId="19451" refreshError="1"/>
      <sheetData sheetId="19452" refreshError="1"/>
      <sheetData sheetId="19453" refreshError="1"/>
      <sheetData sheetId="19454" refreshError="1"/>
      <sheetData sheetId="19455" refreshError="1"/>
      <sheetData sheetId="19456" refreshError="1"/>
      <sheetData sheetId="19457" refreshError="1"/>
      <sheetData sheetId="19458" refreshError="1"/>
      <sheetData sheetId="19459" refreshError="1"/>
      <sheetData sheetId="19460" refreshError="1"/>
      <sheetData sheetId="19461" refreshError="1"/>
      <sheetData sheetId="19462" refreshError="1"/>
      <sheetData sheetId="19463" refreshError="1"/>
      <sheetData sheetId="19464" refreshError="1"/>
      <sheetData sheetId="19465" refreshError="1"/>
      <sheetData sheetId="19466" refreshError="1"/>
      <sheetData sheetId="19467" refreshError="1"/>
      <sheetData sheetId="19468" refreshError="1"/>
      <sheetData sheetId="19469" refreshError="1"/>
      <sheetData sheetId="19470" refreshError="1"/>
      <sheetData sheetId="19471" refreshError="1"/>
      <sheetData sheetId="19472" refreshError="1"/>
      <sheetData sheetId="19473" refreshError="1"/>
      <sheetData sheetId="19474" refreshError="1"/>
      <sheetData sheetId="19475" refreshError="1"/>
      <sheetData sheetId="19476" refreshError="1"/>
      <sheetData sheetId="19477" refreshError="1"/>
      <sheetData sheetId="19478" refreshError="1"/>
      <sheetData sheetId="19479" refreshError="1"/>
      <sheetData sheetId="19480" refreshError="1"/>
      <sheetData sheetId="19481" refreshError="1"/>
      <sheetData sheetId="19482" refreshError="1"/>
      <sheetData sheetId="19483" refreshError="1"/>
      <sheetData sheetId="19484" refreshError="1"/>
      <sheetData sheetId="19485" refreshError="1"/>
      <sheetData sheetId="19486" refreshError="1"/>
      <sheetData sheetId="19487" refreshError="1"/>
      <sheetData sheetId="19488" refreshError="1"/>
      <sheetData sheetId="19489" refreshError="1"/>
      <sheetData sheetId="19490" refreshError="1"/>
      <sheetData sheetId="19491" refreshError="1"/>
      <sheetData sheetId="19492" refreshError="1"/>
      <sheetData sheetId="19493" refreshError="1"/>
      <sheetData sheetId="19494" refreshError="1"/>
      <sheetData sheetId="19495" refreshError="1"/>
      <sheetData sheetId="19496" refreshError="1"/>
      <sheetData sheetId="19497" refreshError="1"/>
      <sheetData sheetId="19498" refreshError="1"/>
      <sheetData sheetId="19499" refreshError="1"/>
      <sheetData sheetId="19500" refreshError="1"/>
      <sheetData sheetId="19501" refreshError="1"/>
      <sheetData sheetId="19502" refreshError="1"/>
      <sheetData sheetId="19503" refreshError="1"/>
      <sheetData sheetId="19504" refreshError="1"/>
      <sheetData sheetId="19505" refreshError="1"/>
      <sheetData sheetId="19506" refreshError="1"/>
      <sheetData sheetId="19507" refreshError="1"/>
      <sheetData sheetId="19508" refreshError="1"/>
      <sheetData sheetId="19509" refreshError="1"/>
      <sheetData sheetId="19510" refreshError="1"/>
      <sheetData sheetId="19511" refreshError="1"/>
      <sheetData sheetId="19512" refreshError="1"/>
      <sheetData sheetId="19513" refreshError="1"/>
      <sheetData sheetId="19514" refreshError="1"/>
      <sheetData sheetId="19515" refreshError="1"/>
      <sheetData sheetId="19516" refreshError="1"/>
      <sheetData sheetId="19517" refreshError="1"/>
      <sheetData sheetId="19518" refreshError="1"/>
      <sheetData sheetId="19519" refreshError="1"/>
      <sheetData sheetId="19520" refreshError="1"/>
      <sheetData sheetId="19521" refreshError="1"/>
      <sheetData sheetId="19522" refreshError="1"/>
      <sheetData sheetId="19523" refreshError="1"/>
      <sheetData sheetId="19524" refreshError="1"/>
      <sheetData sheetId="19525" refreshError="1"/>
      <sheetData sheetId="19526" refreshError="1"/>
      <sheetData sheetId="19527" refreshError="1"/>
      <sheetData sheetId="19528" refreshError="1"/>
      <sheetData sheetId="19529" refreshError="1"/>
      <sheetData sheetId="19530" refreshError="1"/>
      <sheetData sheetId="19531" refreshError="1"/>
      <sheetData sheetId="19532" refreshError="1"/>
      <sheetData sheetId="19533" refreshError="1"/>
      <sheetData sheetId="19534" refreshError="1"/>
      <sheetData sheetId="19535" refreshError="1"/>
      <sheetData sheetId="19536" refreshError="1"/>
      <sheetData sheetId="19537" refreshError="1"/>
      <sheetData sheetId="19538" refreshError="1"/>
      <sheetData sheetId="19539" refreshError="1"/>
      <sheetData sheetId="19540" refreshError="1"/>
      <sheetData sheetId="19541" refreshError="1"/>
      <sheetData sheetId="19542" refreshError="1"/>
      <sheetData sheetId="19543" refreshError="1"/>
      <sheetData sheetId="19544" refreshError="1"/>
      <sheetData sheetId="19545" refreshError="1"/>
      <sheetData sheetId="19546" refreshError="1"/>
      <sheetData sheetId="19547" refreshError="1"/>
      <sheetData sheetId="19548" refreshError="1"/>
      <sheetData sheetId="19549" refreshError="1"/>
      <sheetData sheetId="19550" refreshError="1"/>
      <sheetData sheetId="19551" refreshError="1"/>
      <sheetData sheetId="19552" refreshError="1"/>
      <sheetData sheetId="19553" refreshError="1"/>
      <sheetData sheetId="19554" refreshError="1"/>
      <sheetData sheetId="19555"/>
      <sheetData sheetId="19556" refreshError="1"/>
      <sheetData sheetId="19557" refreshError="1"/>
      <sheetData sheetId="19558" refreshError="1"/>
      <sheetData sheetId="19559" refreshError="1"/>
      <sheetData sheetId="19560"/>
      <sheetData sheetId="19561"/>
      <sheetData sheetId="19562"/>
      <sheetData sheetId="19563"/>
      <sheetData sheetId="19564"/>
      <sheetData sheetId="19565"/>
      <sheetData sheetId="19566"/>
      <sheetData sheetId="19567"/>
      <sheetData sheetId="19568"/>
      <sheetData sheetId="19569"/>
      <sheetData sheetId="19570"/>
      <sheetData sheetId="19571"/>
      <sheetData sheetId="19572"/>
      <sheetData sheetId="19573"/>
      <sheetData sheetId="19574"/>
      <sheetData sheetId="19575"/>
      <sheetData sheetId="19576"/>
      <sheetData sheetId="19577"/>
      <sheetData sheetId="19578" refreshError="1"/>
      <sheetData sheetId="19579"/>
      <sheetData sheetId="19580"/>
      <sheetData sheetId="19581"/>
      <sheetData sheetId="19582"/>
      <sheetData sheetId="19583"/>
      <sheetData sheetId="19584"/>
      <sheetData sheetId="19585"/>
      <sheetData sheetId="19586"/>
      <sheetData sheetId="19587" refreshError="1"/>
      <sheetData sheetId="19588" refreshError="1"/>
      <sheetData sheetId="19589" refreshError="1"/>
      <sheetData sheetId="19590" refreshError="1"/>
      <sheetData sheetId="19591"/>
      <sheetData sheetId="19592"/>
      <sheetData sheetId="19593"/>
      <sheetData sheetId="19594" refreshError="1"/>
      <sheetData sheetId="19595" refreshError="1"/>
      <sheetData sheetId="19596" refreshError="1"/>
      <sheetData sheetId="19597" refreshError="1"/>
      <sheetData sheetId="19598" refreshError="1"/>
      <sheetData sheetId="19599" refreshError="1"/>
      <sheetData sheetId="19600" refreshError="1"/>
      <sheetData sheetId="19601" refreshError="1"/>
      <sheetData sheetId="19602" refreshError="1"/>
      <sheetData sheetId="19603" refreshError="1"/>
      <sheetData sheetId="19604" refreshError="1"/>
      <sheetData sheetId="19605" refreshError="1"/>
      <sheetData sheetId="19606" refreshError="1"/>
      <sheetData sheetId="19607" refreshError="1"/>
      <sheetData sheetId="19608" refreshError="1"/>
      <sheetData sheetId="19609" refreshError="1"/>
      <sheetData sheetId="19610" refreshError="1"/>
      <sheetData sheetId="19611" refreshError="1"/>
      <sheetData sheetId="19612" refreshError="1"/>
      <sheetData sheetId="19613" refreshError="1"/>
      <sheetData sheetId="19614" refreshError="1"/>
      <sheetData sheetId="19615" refreshError="1"/>
      <sheetData sheetId="19616"/>
      <sheetData sheetId="19617" refreshError="1"/>
      <sheetData sheetId="19618" refreshError="1"/>
      <sheetData sheetId="19619" refreshError="1"/>
      <sheetData sheetId="19620" refreshError="1"/>
      <sheetData sheetId="19621" refreshError="1"/>
      <sheetData sheetId="19622" refreshError="1"/>
      <sheetData sheetId="19623" refreshError="1"/>
      <sheetData sheetId="19624" refreshError="1"/>
      <sheetData sheetId="19625" refreshError="1"/>
      <sheetData sheetId="19626" refreshError="1"/>
      <sheetData sheetId="19627"/>
      <sheetData sheetId="19628"/>
      <sheetData sheetId="19629"/>
      <sheetData sheetId="19630"/>
      <sheetData sheetId="19631"/>
      <sheetData sheetId="19632"/>
      <sheetData sheetId="19633"/>
      <sheetData sheetId="19634"/>
      <sheetData sheetId="19635"/>
      <sheetData sheetId="19636"/>
      <sheetData sheetId="19637"/>
      <sheetData sheetId="19638"/>
      <sheetData sheetId="19639"/>
      <sheetData sheetId="19640"/>
      <sheetData sheetId="19641"/>
      <sheetData sheetId="19642"/>
      <sheetData sheetId="19643"/>
      <sheetData sheetId="19644"/>
      <sheetData sheetId="19645"/>
      <sheetData sheetId="19646"/>
      <sheetData sheetId="19647"/>
      <sheetData sheetId="19648"/>
      <sheetData sheetId="19649"/>
      <sheetData sheetId="19650"/>
      <sheetData sheetId="19651"/>
      <sheetData sheetId="19652"/>
      <sheetData sheetId="19653"/>
      <sheetData sheetId="19654"/>
      <sheetData sheetId="19655"/>
      <sheetData sheetId="19656"/>
      <sheetData sheetId="19657"/>
      <sheetData sheetId="19658"/>
      <sheetData sheetId="19659"/>
      <sheetData sheetId="19660"/>
      <sheetData sheetId="19661"/>
      <sheetData sheetId="19662"/>
      <sheetData sheetId="19663"/>
      <sheetData sheetId="19664"/>
      <sheetData sheetId="19665"/>
      <sheetData sheetId="19666"/>
      <sheetData sheetId="19667"/>
      <sheetData sheetId="19668"/>
      <sheetData sheetId="19669"/>
      <sheetData sheetId="19670"/>
      <sheetData sheetId="19671"/>
      <sheetData sheetId="19672"/>
      <sheetData sheetId="19673"/>
      <sheetData sheetId="19674"/>
      <sheetData sheetId="19675"/>
      <sheetData sheetId="19676"/>
      <sheetData sheetId="19677"/>
      <sheetData sheetId="19678"/>
      <sheetData sheetId="19679"/>
      <sheetData sheetId="19680"/>
      <sheetData sheetId="19681"/>
      <sheetData sheetId="19682"/>
      <sheetData sheetId="19683"/>
      <sheetData sheetId="19684"/>
      <sheetData sheetId="19685"/>
      <sheetData sheetId="19686"/>
      <sheetData sheetId="19687"/>
      <sheetData sheetId="19688"/>
      <sheetData sheetId="19689"/>
      <sheetData sheetId="19690"/>
      <sheetData sheetId="19691"/>
      <sheetData sheetId="19692"/>
      <sheetData sheetId="19693" refreshError="1"/>
      <sheetData sheetId="19694" refreshError="1"/>
      <sheetData sheetId="19695">
        <row r="4">
          <cell r="C4">
            <v>1506</v>
          </cell>
        </row>
      </sheetData>
      <sheetData sheetId="19696" refreshError="1"/>
      <sheetData sheetId="19697">
        <row r="2">
          <cell r="A2" t="str">
            <v>Eml. ID</v>
          </cell>
        </row>
      </sheetData>
      <sheetData sheetId="19698" refreshError="1"/>
      <sheetData sheetId="19699" refreshError="1"/>
      <sheetData sheetId="19700" refreshError="1"/>
      <sheetData sheetId="19701" refreshError="1"/>
      <sheetData sheetId="19702" refreshError="1"/>
      <sheetData sheetId="19703" refreshError="1"/>
      <sheetData sheetId="19704" refreshError="1"/>
      <sheetData sheetId="19705" refreshError="1"/>
      <sheetData sheetId="19706" refreshError="1"/>
      <sheetData sheetId="19707" refreshError="1"/>
      <sheetData sheetId="19708" refreshError="1"/>
      <sheetData sheetId="19709" refreshError="1"/>
      <sheetData sheetId="19710" refreshError="1"/>
      <sheetData sheetId="19711" refreshError="1"/>
      <sheetData sheetId="19712" refreshError="1"/>
      <sheetData sheetId="19713" refreshError="1"/>
      <sheetData sheetId="19714" refreshError="1"/>
      <sheetData sheetId="19715" refreshError="1"/>
      <sheetData sheetId="19716" refreshError="1"/>
      <sheetData sheetId="19717" refreshError="1"/>
      <sheetData sheetId="19718" refreshError="1"/>
      <sheetData sheetId="19719" refreshError="1"/>
      <sheetData sheetId="19720" refreshError="1"/>
      <sheetData sheetId="19721" refreshError="1"/>
      <sheetData sheetId="19722" refreshError="1"/>
      <sheetData sheetId="19723" refreshError="1"/>
      <sheetData sheetId="19724" refreshError="1"/>
      <sheetData sheetId="19725" refreshError="1"/>
      <sheetData sheetId="19726" refreshError="1"/>
      <sheetData sheetId="19727" refreshError="1"/>
      <sheetData sheetId="19728" refreshError="1"/>
      <sheetData sheetId="19729" refreshError="1"/>
      <sheetData sheetId="19730" refreshError="1"/>
      <sheetData sheetId="19731" refreshError="1"/>
      <sheetData sheetId="19732" refreshError="1"/>
      <sheetData sheetId="19733" refreshError="1"/>
      <sheetData sheetId="19734" refreshError="1"/>
      <sheetData sheetId="19735" refreshError="1"/>
      <sheetData sheetId="19736" refreshError="1"/>
      <sheetData sheetId="19737" refreshError="1"/>
      <sheetData sheetId="19738" refreshError="1"/>
      <sheetData sheetId="19739" refreshError="1"/>
      <sheetData sheetId="19740" refreshError="1"/>
      <sheetData sheetId="19741" refreshError="1"/>
      <sheetData sheetId="19742" refreshError="1"/>
      <sheetData sheetId="19743" refreshError="1"/>
      <sheetData sheetId="19744" refreshError="1"/>
      <sheetData sheetId="19745" refreshError="1"/>
      <sheetData sheetId="19746" refreshError="1"/>
      <sheetData sheetId="19747" refreshError="1"/>
      <sheetData sheetId="19748" refreshError="1"/>
      <sheetData sheetId="19749" refreshError="1"/>
      <sheetData sheetId="19750" refreshError="1"/>
      <sheetData sheetId="19751" refreshError="1"/>
      <sheetData sheetId="19752" refreshError="1"/>
      <sheetData sheetId="19753" refreshError="1"/>
      <sheetData sheetId="19754" refreshError="1"/>
      <sheetData sheetId="19755" refreshError="1"/>
      <sheetData sheetId="19756" refreshError="1"/>
      <sheetData sheetId="19757" refreshError="1"/>
      <sheetData sheetId="19758" refreshError="1"/>
      <sheetData sheetId="19759" refreshError="1"/>
      <sheetData sheetId="19760" refreshError="1"/>
      <sheetData sheetId="19761" refreshError="1"/>
      <sheetData sheetId="19762" refreshError="1"/>
      <sheetData sheetId="19763" refreshError="1"/>
      <sheetData sheetId="19764" refreshError="1"/>
      <sheetData sheetId="19765" refreshError="1"/>
      <sheetData sheetId="19766" refreshError="1"/>
      <sheetData sheetId="19767" refreshError="1"/>
      <sheetData sheetId="19768" refreshError="1"/>
      <sheetData sheetId="19769" refreshError="1"/>
      <sheetData sheetId="19770" refreshError="1"/>
      <sheetData sheetId="19771" refreshError="1"/>
      <sheetData sheetId="19772" refreshError="1"/>
      <sheetData sheetId="19773" refreshError="1"/>
      <sheetData sheetId="19774" refreshError="1"/>
      <sheetData sheetId="19775" refreshError="1"/>
      <sheetData sheetId="19776" refreshError="1"/>
      <sheetData sheetId="19777" refreshError="1"/>
      <sheetData sheetId="19778" refreshError="1"/>
      <sheetData sheetId="19779" refreshError="1"/>
      <sheetData sheetId="19780" refreshError="1"/>
      <sheetData sheetId="19781" refreshError="1"/>
      <sheetData sheetId="19782" refreshError="1"/>
      <sheetData sheetId="19783" refreshError="1"/>
      <sheetData sheetId="19784" refreshError="1"/>
      <sheetData sheetId="19785" refreshError="1"/>
      <sheetData sheetId="19786" refreshError="1"/>
      <sheetData sheetId="19787" refreshError="1"/>
      <sheetData sheetId="19788" refreshError="1"/>
      <sheetData sheetId="19789" refreshError="1"/>
      <sheetData sheetId="19790" refreshError="1"/>
      <sheetData sheetId="19791" refreshError="1"/>
      <sheetData sheetId="19792" refreshError="1"/>
      <sheetData sheetId="19793" refreshError="1"/>
      <sheetData sheetId="19794" refreshError="1"/>
      <sheetData sheetId="19795" refreshError="1"/>
      <sheetData sheetId="19796" refreshError="1"/>
      <sheetData sheetId="19797" refreshError="1"/>
      <sheetData sheetId="19798" refreshError="1"/>
      <sheetData sheetId="19799" refreshError="1"/>
      <sheetData sheetId="19800" refreshError="1"/>
      <sheetData sheetId="19801" refreshError="1"/>
      <sheetData sheetId="19802" refreshError="1"/>
      <sheetData sheetId="19803" refreshError="1"/>
      <sheetData sheetId="19804" refreshError="1"/>
      <sheetData sheetId="19805" refreshError="1"/>
      <sheetData sheetId="19806" refreshError="1"/>
      <sheetData sheetId="19807" refreshError="1"/>
      <sheetData sheetId="19808" refreshError="1"/>
      <sheetData sheetId="19809" refreshError="1"/>
      <sheetData sheetId="19810" refreshError="1"/>
      <sheetData sheetId="19811" refreshError="1"/>
      <sheetData sheetId="19812" refreshError="1"/>
      <sheetData sheetId="19813" refreshError="1"/>
      <sheetData sheetId="19814" refreshError="1"/>
      <sheetData sheetId="19815" refreshError="1"/>
      <sheetData sheetId="19816" refreshError="1"/>
      <sheetData sheetId="19817" refreshError="1"/>
      <sheetData sheetId="19818" refreshError="1"/>
      <sheetData sheetId="19819" refreshError="1"/>
      <sheetData sheetId="19820" refreshError="1"/>
      <sheetData sheetId="19821" refreshError="1"/>
      <sheetData sheetId="19822" refreshError="1"/>
      <sheetData sheetId="19823" refreshError="1"/>
      <sheetData sheetId="19824" refreshError="1"/>
      <sheetData sheetId="19825" refreshError="1"/>
      <sheetData sheetId="19826" refreshError="1"/>
      <sheetData sheetId="19827" refreshError="1"/>
      <sheetData sheetId="19828" refreshError="1"/>
      <sheetData sheetId="19829" refreshError="1"/>
      <sheetData sheetId="19830" refreshError="1"/>
      <sheetData sheetId="19831" refreshError="1"/>
      <sheetData sheetId="19832" refreshError="1"/>
      <sheetData sheetId="19833" refreshError="1"/>
      <sheetData sheetId="19834" refreshError="1"/>
      <sheetData sheetId="19835" refreshError="1"/>
      <sheetData sheetId="19836" refreshError="1"/>
      <sheetData sheetId="19837" refreshError="1"/>
      <sheetData sheetId="19838" refreshError="1"/>
      <sheetData sheetId="19839" refreshError="1"/>
      <sheetData sheetId="19840" refreshError="1"/>
      <sheetData sheetId="19841" refreshError="1"/>
      <sheetData sheetId="19842" refreshError="1"/>
      <sheetData sheetId="19843" refreshError="1"/>
      <sheetData sheetId="19844" refreshError="1"/>
      <sheetData sheetId="19845" refreshError="1"/>
      <sheetData sheetId="19846" refreshError="1"/>
      <sheetData sheetId="19847" refreshError="1"/>
      <sheetData sheetId="19848" refreshError="1"/>
      <sheetData sheetId="19849" refreshError="1"/>
      <sheetData sheetId="19850" refreshError="1"/>
      <sheetData sheetId="19851" refreshError="1"/>
      <sheetData sheetId="19852" refreshError="1"/>
      <sheetData sheetId="19853" refreshError="1"/>
      <sheetData sheetId="19854" refreshError="1"/>
      <sheetData sheetId="19855" refreshError="1"/>
      <sheetData sheetId="19856" refreshError="1"/>
      <sheetData sheetId="19857" refreshError="1"/>
      <sheetData sheetId="19858" refreshError="1"/>
      <sheetData sheetId="19859" refreshError="1"/>
      <sheetData sheetId="19860" refreshError="1"/>
      <sheetData sheetId="19861" refreshError="1"/>
      <sheetData sheetId="19862" refreshError="1"/>
      <sheetData sheetId="19863" refreshError="1"/>
      <sheetData sheetId="19864" refreshError="1"/>
      <sheetData sheetId="19865" refreshError="1"/>
      <sheetData sheetId="19866" refreshError="1"/>
      <sheetData sheetId="19867" refreshError="1"/>
      <sheetData sheetId="19868" refreshError="1"/>
      <sheetData sheetId="19869" refreshError="1"/>
      <sheetData sheetId="19870" refreshError="1"/>
      <sheetData sheetId="19871" refreshError="1"/>
      <sheetData sheetId="19872" refreshError="1"/>
      <sheetData sheetId="19873" refreshError="1"/>
      <sheetData sheetId="19874" refreshError="1"/>
      <sheetData sheetId="19875"/>
      <sheetData sheetId="19876"/>
      <sheetData sheetId="19877" refreshError="1"/>
      <sheetData sheetId="19878" refreshError="1"/>
      <sheetData sheetId="19879" refreshError="1"/>
      <sheetData sheetId="19880" refreshError="1"/>
      <sheetData sheetId="19881" refreshError="1"/>
      <sheetData sheetId="19882"/>
      <sheetData sheetId="19883" refreshError="1"/>
      <sheetData sheetId="19884" refreshError="1"/>
      <sheetData sheetId="19885" refreshError="1"/>
      <sheetData sheetId="19886" refreshError="1"/>
      <sheetData sheetId="19887" refreshError="1"/>
      <sheetData sheetId="19888"/>
      <sheetData sheetId="19889"/>
      <sheetData sheetId="19890" refreshError="1"/>
      <sheetData sheetId="19891" refreshError="1"/>
      <sheetData sheetId="19892" refreshError="1"/>
      <sheetData sheetId="19893" refreshError="1"/>
      <sheetData sheetId="19894" refreshError="1"/>
      <sheetData sheetId="19895" refreshError="1"/>
      <sheetData sheetId="19896" refreshError="1"/>
      <sheetData sheetId="19897" refreshError="1"/>
      <sheetData sheetId="19898" refreshError="1"/>
      <sheetData sheetId="19899" refreshError="1"/>
      <sheetData sheetId="19900" refreshError="1"/>
      <sheetData sheetId="19901" refreshError="1"/>
      <sheetData sheetId="19902" refreshError="1"/>
      <sheetData sheetId="19903" refreshError="1"/>
      <sheetData sheetId="19904" refreshError="1"/>
      <sheetData sheetId="19905" refreshError="1"/>
      <sheetData sheetId="19906" refreshError="1"/>
      <sheetData sheetId="19907" refreshError="1"/>
      <sheetData sheetId="19908" refreshError="1"/>
      <sheetData sheetId="19909" refreshError="1"/>
      <sheetData sheetId="19910" refreshError="1"/>
      <sheetData sheetId="19911" refreshError="1"/>
      <sheetData sheetId="19912" refreshError="1"/>
      <sheetData sheetId="19913" refreshError="1"/>
      <sheetData sheetId="19914" refreshError="1"/>
      <sheetData sheetId="19915" refreshError="1"/>
      <sheetData sheetId="19916" refreshError="1"/>
      <sheetData sheetId="19917"/>
      <sheetData sheetId="19918"/>
      <sheetData sheetId="19919" refreshError="1"/>
      <sheetData sheetId="19920" refreshError="1"/>
      <sheetData sheetId="19921" refreshError="1"/>
      <sheetData sheetId="19922" refreshError="1"/>
      <sheetData sheetId="19923" refreshError="1"/>
      <sheetData sheetId="19924" refreshError="1"/>
      <sheetData sheetId="19925" refreshError="1"/>
      <sheetData sheetId="19926" refreshError="1"/>
      <sheetData sheetId="19927"/>
      <sheetData sheetId="19928"/>
      <sheetData sheetId="19929"/>
      <sheetData sheetId="19930"/>
      <sheetData sheetId="19931"/>
      <sheetData sheetId="19932"/>
      <sheetData sheetId="19933"/>
      <sheetData sheetId="19934"/>
      <sheetData sheetId="19935"/>
      <sheetData sheetId="19936"/>
      <sheetData sheetId="19937" refreshError="1"/>
      <sheetData sheetId="19938"/>
      <sheetData sheetId="19939"/>
      <sheetData sheetId="19940"/>
      <sheetData sheetId="19941"/>
      <sheetData sheetId="19942"/>
      <sheetData sheetId="19943"/>
      <sheetData sheetId="19944"/>
      <sheetData sheetId="19945"/>
      <sheetData sheetId="19946"/>
      <sheetData sheetId="19947"/>
      <sheetData sheetId="19948"/>
      <sheetData sheetId="19949"/>
      <sheetData sheetId="19950"/>
      <sheetData sheetId="19951"/>
      <sheetData sheetId="19952"/>
      <sheetData sheetId="19953"/>
      <sheetData sheetId="19954"/>
      <sheetData sheetId="19955"/>
      <sheetData sheetId="19956"/>
      <sheetData sheetId="19957"/>
      <sheetData sheetId="19958"/>
      <sheetData sheetId="19959" refreshError="1"/>
      <sheetData sheetId="19960"/>
      <sheetData sheetId="19961"/>
      <sheetData sheetId="19962"/>
      <sheetData sheetId="19963"/>
      <sheetData sheetId="19964"/>
      <sheetData sheetId="19965"/>
      <sheetData sheetId="19966"/>
      <sheetData sheetId="19967"/>
      <sheetData sheetId="19968"/>
      <sheetData sheetId="19969"/>
      <sheetData sheetId="19970"/>
      <sheetData sheetId="19971"/>
      <sheetData sheetId="19972"/>
      <sheetData sheetId="19973"/>
      <sheetData sheetId="19974"/>
      <sheetData sheetId="19975"/>
      <sheetData sheetId="19976"/>
      <sheetData sheetId="19977"/>
      <sheetData sheetId="19978"/>
      <sheetData sheetId="19979"/>
      <sheetData sheetId="19980"/>
      <sheetData sheetId="19981"/>
      <sheetData sheetId="19982"/>
      <sheetData sheetId="19983"/>
      <sheetData sheetId="19984"/>
      <sheetData sheetId="19985"/>
      <sheetData sheetId="19986"/>
      <sheetData sheetId="19987"/>
      <sheetData sheetId="19988"/>
      <sheetData sheetId="19989"/>
      <sheetData sheetId="19990"/>
      <sheetData sheetId="19991" refreshError="1"/>
      <sheetData sheetId="19992" refreshError="1"/>
      <sheetData sheetId="19993" refreshError="1"/>
      <sheetData sheetId="19994"/>
      <sheetData sheetId="19995" refreshError="1"/>
      <sheetData sheetId="19996"/>
      <sheetData sheetId="19997"/>
      <sheetData sheetId="19998"/>
      <sheetData sheetId="19999"/>
      <sheetData sheetId="20000"/>
      <sheetData sheetId="20001"/>
      <sheetData sheetId="20002"/>
      <sheetData sheetId="20003"/>
      <sheetData sheetId="20004"/>
      <sheetData sheetId="20005"/>
      <sheetData sheetId="20006"/>
      <sheetData sheetId="20007"/>
      <sheetData sheetId="20008"/>
      <sheetData sheetId="20009"/>
      <sheetData sheetId="20010"/>
      <sheetData sheetId="20011"/>
      <sheetData sheetId="20012"/>
      <sheetData sheetId="20013"/>
      <sheetData sheetId="20014"/>
      <sheetData sheetId="20015"/>
      <sheetData sheetId="20016"/>
      <sheetData sheetId="20017"/>
      <sheetData sheetId="20018"/>
      <sheetData sheetId="20019"/>
      <sheetData sheetId="20020"/>
      <sheetData sheetId="20021"/>
      <sheetData sheetId="20022"/>
      <sheetData sheetId="20023"/>
      <sheetData sheetId="20024"/>
      <sheetData sheetId="20025"/>
      <sheetData sheetId="20026"/>
      <sheetData sheetId="20027"/>
      <sheetData sheetId="20028"/>
      <sheetData sheetId="20029"/>
      <sheetData sheetId="20030"/>
      <sheetData sheetId="20031"/>
      <sheetData sheetId="20032"/>
      <sheetData sheetId="20033"/>
      <sheetData sheetId="20034"/>
      <sheetData sheetId="20035"/>
      <sheetData sheetId="20036"/>
      <sheetData sheetId="20037"/>
      <sheetData sheetId="20038"/>
      <sheetData sheetId="20039"/>
      <sheetData sheetId="20040"/>
      <sheetData sheetId="20041"/>
      <sheetData sheetId="20042"/>
      <sheetData sheetId="20043"/>
      <sheetData sheetId="20044" refreshError="1"/>
      <sheetData sheetId="20045" refreshError="1"/>
      <sheetData sheetId="20046" refreshError="1"/>
      <sheetData sheetId="20047" refreshError="1"/>
      <sheetData sheetId="20048" refreshError="1"/>
      <sheetData sheetId="20049"/>
      <sheetData sheetId="20050"/>
      <sheetData sheetId="20051" refreshError="1"/>
      <sheetData sheetId="20052" refreshError="1"/>
      <sheetData sheetId="20053" refreshError="1"/>
      <sheetData sheetId="20054" refreshError="1"/>
      <sheetData sheetId="20055" refreshError="1"/>
      <sheetData sheetId="20056" refreshError="1"/>
      <sheetData sheetId="20057" refreshError="1"/>
      <sheetData sheetId="20058" refreshError="1"/>
      <sheetData sheetId="20059" refreshError="1"/>
      <sheetData sheetId="20060" refreshError="1"/>
      <sheetData sheetId="20061" refreshError="1"/>
      <sheetData sheetId="20062" refreshError="1"/>
      <sheetData sheetId="20063" refreshError="1"/>
      <sheetData sheetId="20064" refreshError="1"/>
      <sheetData sheetId="20065" refreshError="1"/>
      <sheetData sheetId="20066" refreshError="1"/>
      <sheetData sheetId="20067" refreshError="1"/>
      <sheetData sheetId="20068" refreshError="1"/>
      <sheetData sheetId="20069" refreshError="1"/>
      <sheetData sheetId="20070" refreshError="1"/>
      <sheetData sheetId="20071"/>
      <sheetData sheetId="20072" refreshError="1"/>
      <sheetData sheetId="20073"/>
      <sheetData sheetId="20074"/>
      <sheetData sheetId="20075"/>
      <sheetData sheetId="20076"/>
      <sheetData sheetId="20077"/>
      <sheetData sheetId="20078" refreshError="1"/>
      <sheetData sheetId="20079" refreshError="1"/>
      <sheetData sheetId="20080" refreshError="1"/>
      <sheetData sheetId="20081" refreshError="1"/>
      <sheetData sheetId="20082"/>
      <sheetData sheetId="20083"/>
      <sheetData sheetId="20084"/>
      <sheetData sheetId="20085"/>
      <sheetData sheetId="20086"/>
      <sheetData sheetId="20087"/>
      <sheetData sheetId="20088"/>
      <sheetData sheetId="20089"/>
      <sheetData sheetId="20090" refreshError="1"/>
      <sheetData sheetId="20091" refreshError="1"/>
      <sheetData sheetId="20092"/>
      <sheetData sheetId="20093"/>
      <sheetData sheetId="20094"/>
      <sheetData sheetId="20095"/>
      <sheetData sheetId="20096"/>
      <sheetData sheetId="20097"/>
      <sheetData sheetId="20098"/>
      <sheetData sheetId="20099" refreshError="1"/>
      <sheetData sheetId="20100">
        <row r="29">
          <cell r="I29">
            <v>51237040</v>
          </cell>
        </row>
      </sheetData>
      <sheetData sheetId="20101" refreshError="1"/>
      <sheetData sheetId="20102" refreshError="1"/>
      <sheetData sheetId="20103">
        <row r="17">
          <cell r="I17">
            <v>45770225</v>
          </cell>
        </row>
      </sheetData>
      <sheetData sheetId="20104">
        <row r="124">
          <cell r="F124">
            <v>358020</v>
          </cell>
        </row>
      </sheetData>
      <sheetData sheetId="20105">
        <row r="21">
          <cell r="I21">
            <v>72507240</v>
          </cell>
        </row>
      </sheetData>
      <sheetData sheetId="20106" refreshError="1"/>
      <sheetData sheetId="20107"/>
      <sheetData sheetId="20108">
        <row r="1">
          <cell r="B1" t="str">
            <v>JSW  STEEL LIMITED ( Dolvi Unit)</v>
          </cell>
        </row>
      </sheetData>
      <sheetData sheetId="20109">
        <row r="32">
          <cell r="G32">
            <v>2210167.4900000002</v>
          </cell>
        </row>
      </sheetData>
      <sheetData sheetId="20110"/>
      <sheetData sheetId="20111"/>
      <sheetData sheetId="20112"/>
      <sheetData sheetId="20113"/>
      <sheetData sheetId="20114"/>
      <sheetData sheetId="20115"/>
      <sheetData sheetId="20116"/>
      <sheetData sheetId="20117"/>
      <sheetData sheetId="20118"/>
      <sheetData sheetId="20119"/>
      <sheetData sheetId="20120"/>
      <sheetData sheetId="20121"/>
      <sheetData sheetId="20122"/>
      <sheetData sheetId="20123"/>
      <sheetData sheetId="20124"/>
      <sheetData sheetId="20125"/>
      <sheetData sheetId="20126"/>
      <sheetData sheetId="20127"/>
      <sheetData sheetId="20128"/>
      <sheetData sheetId="20129"/>
      <sheetData sheetId="20130"/>
      <sheetData sheetId="20131"/>
      <sheetData sheetId="20132"/>
      <sheetData sheetId="20133"/>
      <sheetData sheetId="20134"/>
      <sheetData sheetId="20135"/>
      <sheetData sheetId="20136"/>
      <sheetData sheetId="20137"/>
      <sheetData sheetId="20138"/>
      <sheetData sheetId="20139"/>
      <sheetData sheetId="20140"/>
      <sheetData sheetId="20141"/>
      <sheetData sheetId="20142"/>
      <sheetData sheetId="20143"/>
      <sheetData sheetId="20144"/>
      <sheetData sheetId="20145"/>
      <sheetData sheetId="20146"/>
      <sheetData sheetId="20147"/>
      <sheetData sheetId="20148"/>
      <sheetData sheetId="20149"/>
      <sheetData sheetId="20150"/>
      <sheetData sheetId="20151"/>
      <sheetData sheetId="20152"/>
      <sheetData sheetId="20153"/>
      <sheetData sheetId="20154"/>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25"/>
      <sheetName val="Sheet4"/>
      <sheetName val="PLAN_FEB97"/>
      <sheetName val="Estimates"/>
      <sheetName val="CPIPE"/>
      <sheetName val="S2groupcode"/>
      <sheetName val="Index"/>
      <sheetName val="Embk top (2)"/>
      <sheetName val="준검 내역서"/>
      <sheetName val="LOCAL RATES"/>
      <sheetName val="Cal"/>
      <sheetName val="Data"/>
      <sheetName val="Erection grider"/>
      <sheetName val="Voucher"/>
      <sheetName val="doq-10"/>
      <sheetName val="BHANDUP"/>
      <sheetName val="Rates_PVC"/>
      <sheetName val="Headings"/>
      <sheetName val="Sump_cal"/>
      <sheetName val="BOQ"/>
      <sheetName val="MOTOR"/>
      <sheetName val="RCC,Ret. Wall"/>
      <sheetName val="S3workplanqty"/>
    </sheetNames>
    <sheetDataSet>
      <sheetData sheetId="0" refreshError="1"/>
      <sheetData sheetId="1" refreshError="1"/>
      <sheetData sheetId="2" refreshError="1">
        <row r="2">
          <cell r="A2">
            <v>100000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Index"/>
      <sheetName val="Top Sheet"/>
      <sheetName val="Slots"/>
      <sheetName val="BalanceSheet"/>
      <sheetName val="BS_Schedules"/>
      <sheetName val="Custom_Reserve"/>
      <sheetName val="SOCE"/>
      <sheetName val="ProfitLoss"/>
      <sheetName val="PL_Schedules"/>
      <sheetName val="Reserves"/>
      <sheetName val="Minority"/>
      <sheetName val="FA"/>
      <sheetName val="CashFlows"/>
      <sheetName val="CFS_Link"/>
      <sheetName val="Adj_Entries"/>
      <sheetName val="Perm_Entries"/>
      <sheetName val="Consol Trial"/>
      <sheetName val="Trial"/>
      <sheetName val="Forex_Rates"/>
      <sheetName val="Linkage"/>
      <sheetName val="Listing"/>
      <sheetName val="InterI"/>
      <sheetName val="InterW"/>
      <sheetName val="InterE"/>
      <sheetName val="C_NC"/>
      <sheetName val="Admin Consol"/>
      <sheetName val="ContingentL"/>
      <sheetName val="Investments"/>
      <sheetName val="RelatedParty"/>
      <sheetName val="Other Notes"/>
      <sheetName val="ICinventory"/>
      <sheetName val="ICassets"/>
      <sheetName val="Int"/>
      <sheetName val="Intmove"/>
      <sheetName val="P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2">
          <cell r="B2" t="str">
            <v>Listing!B4:B146</v>
          </cell>
        </row>
        <row r="4">
          <cell r="P4" t="str">
            <v>Balance Sheet</v>
          </cell>
        </row>
        <row r="5">
          <cell r="P5" t="str">
            <v>Profit and Loss</v>
          </cell>
        </row>
        <row r="6">
          <cell r="P6" t="str">
            <v>TrialBalance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SL at 31 Dec 01 Problem"/>
      <sheetName val="LSL at 31 Dec 01"/>
      <sheetName val="LSL at 31 Dec 01 VCO"/>
      <sheetName val="LSL at 31 Dec 01 NVRI"/>
      <sheetName val="Sheet2"/>
      <sheetName val="Sheet3"/>
    </sheetNames>
    <sheetDataSet>
      <sheetData sheetId="0" refreshError="1">
        <row r="27">
          <cell r="F27">
            <v>0</v>
          </cell>
          <cell r="G27">
            <v>5.0000000000000001E-3</v>
          </cell>
        </row>
        <row r="28">
          <cell r="F28">
            <v>1</v>
          </cell>
          <cell r="G28">
            <v>0.01</v>
          </cell>
        </row>
        <row r="29">
          <cell r="F29">
            <v>2</v>
          </cell>
          <cell r="G29">
            <v>0.15</v>
          </cell>
        </row>
        <row r="30">
          <cell r="F30">
            <v>3</v>
          </cell>
          <cell r="G30">
            <v>0.2</v>
          </cell>
        </row>
        <row r="31">
          <cell r="F31">
            <v>4</v>
          </cell>
          <cell r="G31">
            <v>0.3</v>
          </cell>
        </row>
        <row r="32">
          <cell r="F32">
            <v>5</v>
          </cell>
          <cell r="G32">
            <v>0.4</v>
          </cell>
        </row>
        <row r="33">
          <cell r="F33">
            <v>6</v>
          </cell>
          <cell r="G33">
            <v>0.5</v>
          </cell>
        </row>
        <row r="34">
          <cell r="F34">
            <v>7</v>
          </cell>
          <cell r="G34">
            <v>0.7</v>
          </cell>
        </row>
        <row r="35">
          <cell r="F35">
            <v>8</v>
          </cell>
          <cell r="G35">
            <v>0.8</v>
          </cell>
        </row>
        <row r="36">
          <cell r="F36">
            <v>9</v>
          </cell>
          <cell r="G36">
            <v>0.9</v>
          </cell>
        </row>
        <row r="37">
          <cell r="F37">
            <v>10</v>
          </cell>
          <cell r="G37">
            <v>1</v>
          </cell>
        </row>
      </sheetData>
      <sheetData sheetId="1" refreshError="1">
        <row r="27">
          <cell r="F27">
            <v>0</v>
          </cell>
          <cell r="G27">
            <v>5.0000000000000001E-3</v>
          </cell>
        </row>
        <row r="28">
          <cell r="F28">
            <v>1</v>
          </cell>
          <cell r="G28">
            <v>0.01</v>
          </cell>
        </row>
        <row r="29">
          <cell r="F29">
            <v>2</v>
          </cell>
          <cell r="G29">
            <v>0.15</v>
          </cell>
        </row>
        <row r="30">
          <cell r="F30">
            <v>3</v>
          </cell>
          <cell r="G30">
            <v>0.2</v>
          </cell>
        </row>
        <row r="31">
          <cell r="F31">
            <v>4</v>
          </cell>
          <cell r="G31">
            <v>0.3</v>
          </cell>
        </row>
        <row r="32">
          <cell r="F32">
            <v>5</v>
          </cell>
          <cell r="G32">
            <v>0.4</v>
          </cell>
        </row>
        <row r="33">
          <cell r="F33">
            <v>6</v>
          </cell>
          <cell r="G33">
            <v>0.5</v>
          </cell>
        </row>
        <row r="34">
          <cell r="F34">
            <v>7</v>
          </cell>
          <cell r="G34">
            <v>0.7</v>
          </cell>
        </row>
        <row r="35">
          <cell r="F35">
            <v>8</v>
          </cell>
          <cell r="G35">
            <v>0.8</v>
          </cell>
        </row>
        <row r="36">
          <cell r="F36">
            <v>9</v>
          </cell>
          <cell r="G36">
            <v>0.9</v>
          </cell>
        </row>
        <row r="37">
          <cell r="F37">
            <v>10</v>
          </cell>
          <cell r="G37">
            <v>1</v>
          </cell>
        </row>
      </sheetData>
      <sheetData sheetId="2" refreshError="1"/>
      <sheetData sheetId="3" refreshError="1"/>
      <sheetData sheetId="4" refreshError="1"/>
      <sheetData sheetId="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arterwise (2) Lac "/>
      <sheetName val="Main lac"/>
      <sheetName val="Main"/>
      <sheetName val="HO &amp; Works"/>
      <sheetName val="Quarterwise"/>
      <sheetName val="Share Div"/>
      <sheetName val="S Receipts"/>
      <sheetName val="S Receipt HO"/>
      <sheetName val="Software Services"/>
      <sheetName val="Sheet1"/>
      <sheetName val="570001"/>
      <sheetName val="5607120"/>
      <sheetName val="Exch-diff New"/>
      <sheetName val="Estimates"/>
      <sheetName val="PLAN_FEB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ING"/>
      <sheetName val="Cont.Liab."/>
      <sheetName val="3"/>
      <sheetName val="4"/>
      <sheetName val="5"/>
      <sheetName val="ENCL6"/>
      <sheetName val="ENCL6 (2)"/>
      <sheetName val="encl-6-Working Apr'03-MAR'04"/>
      <sheetName val="encl-6-Apr'03 to MAR'04"/>
      <sheetName val="netting"/>
      <sheetName val="ENCL7 "/>
      <sheetName val="Encl.8"/>
      <sheetName val="Bk. Bal."/>
      <sheetName val="ENCL9"/>
      <sheetName val="ENCL10"/>
      <sheetName val="ENCL10 (A)"/>
      <sheetName val="ENCL11"/>
      <sheetName val="Encl.12"/>
      <sheetName val="Site Stock"/>
      <sheetName val="ENCL13"/>
      <sheetName val="Liab"/>
      <sheetName val="Mat. Liab."/>
      <sheetName val="ENCL-14"/>
      <sheetName val="Abstract15-03-04"/>
      <sheetName val="ENCL15"/>
      <sheetName val="ENCL16"/>
      <sheetName val="ENCL17"/>
      <sheetName val="ENCL18"/>
      <sheetName val="ENCL19"/>
      <sheetName val="ENCL20"/>
      <sheetName val="ENCL21"/>
      <sheetName val="ABSTRACT"/>
      <sheetName val="ENCL22B"/>
      <sheetName val="ENCL23"/>
      <sheetName val="ENCL24"/>
      <sheetName val="ENCL25 "/>
      <sheetName val="ENCL26"/>
      <sheetName val="ENCL27"/>
      <sheetName val="ENCL28"/>
      <sheetName val="ENCL29"/>
      <sheetName val="Sheet1"/>
      <sheetName val="S3workplanqty"/>
      <sheetName val="Main"/>
      <sheetName val="Lawson"/>
      <sheetName val="Material"/>
    </sheetNames>
    <sheetDataSet>
      <sheetData sheetId="0">
        <row r="5">
          <cell r="B5" t="str">
            <v>A/C Code</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5">
          <cell r="B5" t="str">
            <v>A/C Code</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S1BOQ"/>
      <sheetName val="S2groupcode"/>
      <sheetName val="S3workplanqty"/>
      <sheetName val="S3workplanAmt"/>
      <sheetName val="S4Timecycle"/>
      <sheetName val="S5Esc"/>
      <sheetName val="S6Matqty-code"/>
      <sheetName val="S7Matqty-group"/>
      <sheetName val="S8Matexp-code"/>
      <sheetName val="S9wastage"/>
      <sheetName val="S11EQPnorm"/>
      <sheetName val="S12EQPhrs"/>
      <sheetName val="S12-Subtotals"/>
      <sheetName val="S13Cons"/>
      <sheetName val="S14Spares"/>
      <sheetName val="S15Pol"/>
      <sheetName val="S16Elec"/>
      <sheetName val="load&amp;DG"/>
      <sheetName val="S17Power"/>
      <sheetName val="S18Eqplan"/>
      <sheetName val="S19CAP"/>
      <sheetName val="DEPRI"/>
      <sheetName val="S20MSEitems"/>
      <sheetName val="S21Subcon"/>
      <sheetName val="S22PRW"/>
      <sheetName val="S23Mannos."/>
      <sheetName val="Officer Budget Form"/>
      <sheetName val="S24Mancost"/>
      <sheetName val="S25EQPrep"/>
      <sheetName val="S26Eqphire"/>
      <sheetName val="S27EQPlease"/>
      <sheetName val="S28Rev"/>
      <sheetName val="S29PrelimItem"/>
      <sheetName val="S30Prelplant"/>
      <sheetName val="S31Preitem"/>
      <sheetName val="S32Prelexp"/>
      <sheetName val="S33prelexdet"/>
      <sheetName val="S34Dircost"/>
      <sheetName val="S35Indircost"/>
      <sheetName val="S36Prelimcost"/>
      <sheetName val="S37UnitCost"/>
      <sheetName val="S38Stock"/>
      <sheetName val="S39Liability"/>
      <sheetName val="S40Milestones"/>
      <sheetName val="S42HSE"/>
      <sheetName val="PLAN_FEB97"/>
      <sheetName val="EQUIP II 2004 - 2005"/>
    </sheetNames>
    <sheetDataSet>
      <sheetData sheetId="0">
        <row r="1">
          <cell r="HS1">
            <v>100000</v>
          </cell>
        </row>
      </sheetData>
      <sheetData sheetId="1"/>
      <sheetData sheetId="2"/>
      <sheetData sheetId="3"/>
      <sheetData sheetId="4"/>
      <sheetData sheetId="5"/>
      <sheetData sheetId="6"/>
      <sheetData sheetId="7"/>
      <sheetData sheetId="8"/>
      <sheetData sheetId="9"/>
      <sheetData sheetId="10"/>
      <sheetData sheetId="11" refreshError="1">
        <row r="1">
          <cell r="HS1">
            <v>100000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_TURBHE1214"/>
      <sheetName val="TB_TURBHE1213"/>
      <sheetName val="GRP"/>
    </sheetNames>
    <sheetDataSet>
      <sheetData sheetId="0">
        <row r="2">
          <cell r="B2" t="str">
            <v>BALMER LAWRIE - VAN LEER LTD.</v>
          </cell>
          <cell r="U2">
            <v>-6.120002269744873</v>
          </cell>
          <cell r="W2">
            <v>-2.28999924659729</v>
          </cell>
          <cell r="Y2">
            <v>186617.46999692917</v>
          </cell>
          <cell r="Z2">
            <v>0</v>
          </cell>
          <cell r="AA2">
            <v>186617.46999692917</v>
          </cell>
          <cell r="AB2">
            <v>93308.734998464584</v>
          </cell>
        </row>
        <row r="3">
          <cell r="B3" t="str">
            <v>FORMAT FOR TRIAL BALANCE AS ON PARTICULAR DATE</v>
          </cell>
        </row>
        <row r="4">
          <cell r="B4">
            <v>-8.4100022315979004</v>
          </cell>
          <cell r="S4" t="str">
            <v>CLOSING ERP</v>
          </cell>
          <cell r="U4" t="str">
            <v>OPENING BALANCE</v>
          </cell>
          <cell r="W4" t="str">
            <v>TRASACTIONS</v>
          </cell>
          <cell r="Y4" t="str">
            <v>CLOSING BALANCE</v>
          </cell>
        </row>
        <row r="5">
          <cell r="D5" t="str">
            <v>SDCT</v>
          </cell>
          <cell r="F5" t="str">
            <v>PCDT</v>
          </cell>
          <cell r="H5" t="str">
            <v>PCDC</v>
          </cell>
          <cell r="J5" t="str">
            <v>PCDN</v>
          </cell>
          <cell r="L5" t="str">
            <v>CORP</v>
          </cell>
          <cell r="N5" t="str">
            <v>OTHER</v>
          </cell>
          <cell r="P5" t="str">
            <v>TOTAL</v>
          </cell>
          <cell r="S5" t="str">
            <v>SDCT</v>
          </cell>
          <cell r="T5" t="str">
            <v>PCDT</v>
          </cell>
          <cell r="U5" t="str">
            <v>SDCT</v>
          </cell>
          <cell r="V5" t="str">
            <v>PCDT</v>
          </cell>
          <cell r="W5" t="str">
            <v>SDCT</v>
          </cell>
          <cell r="X5" t="str">
            <v>PCDT</v>
          </cell>
          <cell r="Y5" t="str">
            <v>SDCT</v>
          </cell>
          <cell r="Z5" t="str">
            <v>PCDT</v>
          </cell>
        </row>
        <row r="6">
          <cell r="B6" t="str">
            <v>GL CODE</v>
          </cell>
          <cell r="C6" t="str">
            <v>ACCOUNT HEAD</v>
          </cell>
        </row>
        <row r="8">
          <cell r="D8" t="str">
            <v>DR.</v>
          </cell>
          <cell r="E8" t="str">
            <v>CR.</v>
          </cell>
          <cell r="F8" t="str">
            <v>DR.</v>
          </cell>
          <cell r="G8" t="str">
            <v>CR.</v>
          </cell>
          <cell r="H8" t="str">
            <v>DR.</v>
          </cell>
          <cell r="I8" t="str">
            <v>CR.</v>
          </cell>
          <cell r="J8" t="str">
            <v>DR.</v>
          </cell>
          <cell r="K8" t="str">
            <v>CR.</v>
          </cell>
          <cell r="L8" t="str">
            <v>DR.</v>
          </cell>
          <cell r="M8" t="str">
            <v>CR.</v>
          </cell>
          <cell r="N8" t="str">
            <v>DR.</v>
          </cell>
          <cell r="O8" t="str">
            <v>CR.</v>
          </cell>
          <cell r="P8" t="str">
            <v>DR.</v>
          </cell>
          <cell r="Q8" t="str">
            <v>CR.</v>
          </cell>
        </row>
        <row r="10">
          <cell r="B10">
            <v>11025</v>
          </cell>
          <cell r="C10" t="str">
            <v>PRODUCT SALES (5010)</v>
          </cell>
          <cell r="D10">
            <v>650583109.55999994</v>
          </cell>
          <cell r="E10">
            <v>-1750718377</v>
          </cell>
          <cell r="F10">
            <v>12475766.15</v>
          </cell>
          <cell r="G10">
            <v>-2117511046.21</v>
          </cell>
          <cell r="H10">
            <v>262979</v>
          </cell>
          <cell r="I10">
            <v>-11386103.65</v>
          </cell>
          <cell r="J10">
            <v>3047619.5</v>
          </cell>
          <cell r="K10">
            <v>-3561016.53</v>
          </cell>
          <cell r="L10">
            <v>0</v>
          </cell>
          <cell r="M10">
            <v>0</v>
          </cell>
          <cell r="N10">
            <v>0</v>
          </cell>
          <cell r="O10">
            <v>0</v>
          </cell>
          <cell r="P10">
            <v>666369474.21000004</v>
          </cell>
          <cell r="Q10">
            <v>-3883176543.3899999</v>
          </cell>
          <cell r="S10">
            <v>-1100135267.4400001</v>
          </cell>
          <cell r="T10">
            <v>-2116671801.74</v>
          </cell>
          <cell r="U10">
            <v>-589445743</v>
          </cell>
          <cell r="V10">
            <v>-1097876545</v>
          </cell>
          <cell r="W10">
            <v>-510689524.44000006</v>
          </cell>
          <cell r="X10">
            <v>-1018795256.74</v>
          </cell>
          <cell r="Y10">
            <v>-510689524.44000006</v>
          </cell>
          <cell r="Z10">
            <v>-1018795256.74</v>
          </cell>
          <cell r="AA10">
            <v>-1529484781.1800001</v>
          </cell>
          <cell r="AC10">
            <v>11025</v>
          </cell>
          <cell r="AD10">
            <v>0</v>
          </cell>
        </row>
        <row r="11">
          <cell r="S11">
            <v>0</v>
          </cell>
          <cell r="T11">
            <v>0</v>
          </cell>
          <cell r="U11">
            <v>0</v>
          </cell>
          <cell r="V11">
            <v>0</v>
          </cell>
          <cell r="W11">
            <v>0</v>
          </cell>
          <cell r="X11">
            <v>0</v>
          </cell>
          <cell r="Y11">
            <v>0</v>
          </cell>
          <cell r="Z11">
            <v>0</v>
          </cell>
          <cell r="AA11">
            <v>0</v>
          </cell>
          <cell r="AC11">
            <v>0</v>
          </cell>
          <cell r="AD11">
            <v>0</v>
          </cell>
        </row>
        <row r="12">
          <cell r="B12">
            <v>11030</v>
          </cell>
          <cell r="C12" t="str">
            <v>PRODUCT SALES ACCOUNT (5000) (OTHHER THAN FG [SO-POSTING])</v>
          </cell>
          <cell r="D12">
            <v>1111340</v>
          </cell>
          <cell r="E12">
            <v>-2248467</v>
          </cell>
          <cell r="F12">
            <v>42358379.490000002</v>
          </cell>
          <cell r="G12">
            <v>-52834410.189999998</v>
          </cell>
          <cell r="H12">
            <v>0</v>
          </cell>
          <cell r="I12">
            <v>0</v>
          </cell>
          <cell r="J12">
            <v>0</v>
          </cell>
          <cell r="K12">
            <v>0</v>
          </cell>
          <cell r="L12">
            <v>0</v>
          </cell>
          <cell r="M12">
            <v>0</v>
          </cell>
          <cell r="N12">
            <v>0</v>
          </cell>
          <cell r="O12">
            <v>0</v>
          </cell>
          <cell r="P12">
            <v>43469719.490000002</v>
          </cell>
          <cell r="Q12">
            <v>-55082877.189999998</v>
          </cell>
          <cell r="S12">
            <v>-1137127</v>
          </cell>
          <cell r="T12">
            <v>-10476030.699999996</v>
          </cell>
          <cell r="U12">
            <v>-1135927</v>
          </cell>
          <cell r="V12">
            <v>-4364696.2</v>
          </cell>
          <cell r="W12">
            <v>-1200</v>
          </cell>
          <cell r="X12">
            <v>-6111334.4999999953</v>
          </cell>
          <cell r="Y12">
            <v>-1200</v>
          </cell>
          <cell r="Z12">
            <v>-6111334.4999999953</v>
          </cell>
          <cell r="AA12">
            <v>-6112534.4999999953</v>
          </cell>
          <cell r="AC12">
            <v>11030</v>
          </cell>
          <cell r="AD12">
            <v>0</v>
          </cell>
        </row>
        <row r="13">
          <cell r="S13">
            <v>0</v>
          </cell>
          <cell r="T13">
            <v>0</v>
          </cell>
          <cell r="U13">
            <v>0</v>
          </cell>
          <cell r="V13">
            <v>0</v>
          </cell>
          <cell r="W13">
            <v>0</v>
          </cell>
          <cell r="X13">
            <v>0</v>
          </cell>
          <cell r="Y13">
            <v>0</v>
          </cell>
          <cell r="Z13">
            <v>0</v>
          </cell>
          <cell r="AA13">
            <v>0</v>
          </cell>
          <cell r="AC13">
            <v>0</v>
          </cell>
          <cell r="AD13">
            <v>0</v>
          </cell>
        </row>
        <row r="14">
          <cell r="B14">
            <v>11035</v>
          </cell>
          <cell r="C14" t="str">
            <v>SCRAP SALES (GENERATED OUT OF PROCESS) (5100)</v>
          </cell>
          <cell r="D14">
            <v>434089</v>
          </cell>
          <cell r="E14">
            <v>-130862594.59999999</v>
          </cell>
          <cell r="F14">
            <v>433381.5</v>
          </cell>
          <cell r="G14">
            <v>-3432345.15</v>
          </cell>
          <cell r="H14">
            <v>0</v>
          </cell>
          <cell r="I14">
            <v>0</v>
          </cell>
          <cell r="J14">
            <v>0</v>
          </cell>
          <cell r="K14">
            <v>0</v>
          </cell>
          <cell r="L14">
            <v>0</v>
          </cell>
          <cell r="M14">
            <v>0</v>
          </cell>
          <cell r="N14">
            <v>0</v>
          </cell>
          <cell r="O14">
            <v>0</v>
          </cell>
          <cell r="P14">
            <v>867470.5</v>
          </cell>
          <cell r="Q14">
            <v>-134294939.75</v>
          </cell>
          <cell r="S14">
            <v>-130428505.59999999</v>
          </cell>
          <cell r="T14">
            <v>-2998963.65</v>
          </cell>
          <cell r="U14">
            <v>-70763796.5</v>
          </cell>
          <cell r="V14">
            <v>-1610630.65</v>
          </cell>
          <cell r="W14">
            <v>-59664709.099999994</v>
          </cell>
          <cell r="X14">
            <v>-1388333</v>
          </cell>
          <cell r="Y14">
            <v>-59664709.099999994</v>
          </cell>
          <cell r="Z14">
            <v>-1388333</v>
          </cell>
          <cell r="AA14">
            <v>-61053042.099999994</v>
          </cell>
          <cell r="AC14">
            <v>11035</v>
          </cell>
          <cell r="AD14">
            <v>0</v>
          </cell>
        </row>
        <row r="15">
          <cell r="S15">
            <v>0</v>
          </cell>
          <cell r="T15">
            <v>0</v>
          </cell>
          <cell r="U15">
            <v>0</v>
          </cell>
          <cell r="V15">
            <v>0</v>
          </cell>
          <cell r="W15">
            <v>0</v>
          </cell>
          <cell r="X15">
            <v>0</v>
          </cell>
          <cell r="Y15">
            <v>0</v>
          </cell>
          <cell r="Z15">
            <v>0</v>
          </cell>
          <cell r="AA15">
            <v>0</v>
          </cell>
          <cell r="AC15">
            <v>0</v>
          </cell>
          <cell r="AD15">
            <v>0</v>
          </cell>
        </row>
        <row r="16">
          <cell r="B16">
            <v>11040</v>
          </cell>
          <cell r="C16" t="str">
            <v>SCRAP SALES - MISC (N)</v>
          </cell>
          <cell r="D16">
            <v>0</v>
          </cell>
          <cell r="E16">
            <v>-147776.97</v>
          </cell>
          <cell r="F16">
            <v>0</v>
          </cell>
          <cell r="G16">
            <v>0</v>
          </cell>
          <cell r="H16">
            <v>0</v>
          </cell>
          <cell r="I16">
            <v>0</v>
          </cell>
          <cell r="J16">
            <v>0</v>
          </cell>
          <cell r="K16">
            <v>0</v>
          </cell>
          <cell r="L16">
            <v>0</v>
          </cell>
          <cell r="M16">
            <v>0</v>
          </cell>
          <cell r="N16">
            <v>0</v>
          </cell>
          <cell r="O16">
            <v>0</v>
          </cell>
          <cell r="P16">
            <v>0</v>
          </cell>
          <cell r="Q16">
            <v>-147776.97</v>
          </cell>
          <cell r="S16">
            <v>-147776.97</v>
          </cell>
          <cell r="T16">
            <v>0</v>
          </cell>
          <cell r="U16">
            <v>-147776.97</v>
          </cell>
          <cell r="V16">
            <v>0</v>
          </cell>
          <cell r="W16">
            <v>0</v>
          </cell>
          <cell r="X16">
            <v>0</v>
          </cell>
          <cell r="Y16">
            <v>0</v>
          </cell>
          <cell r="Z16">
            <v>0</v>
          </cell>
          <cell r="AA16">
            <v>0</v>
          </cell>
          <cell r="AC16">
            <v>11040</v>
          </cell>
          <cell r="AD16">
            <v>0</v>
          </cell>
        </row>
        <row r="17">
          <cell r="S17">
            <v>0</v>
          </cell>
          <cell r="T17">
            <v>0</v>
          </cell>
          <cell r="U17">
            <v>0</v>
          </cell>
          <cell r="V17">
            <v>0</v>
          </cell>
          <cell r="W17">
            <v>0</v>
          </cell>
          <cell r="X17">
            <v>0</v>
          </cell>
          <cell r="Y17">
            <v>0</v>
          </cell>
          <cell r="Z17">
            <v>0</v>
          </cell>
          <cell r="AA17">
            <v>0</v>
          </cell>
          <cell r="AC17">
            <v>0</v>
          </cell>
          <cell r="AD17">
            <v>0</v>
          </cell>
        </row>
        <row r="18">
          <cell r="B18">
            <v>11205</v>
          </cell>
          <cell r="C18" t="str">
            <v>DEPB BENIFIT A/C (INCOME FROM DEPB)</v>
          </cell>
          <cell r="D18">
            <v>1564648</v>
          </cell>
          <cell r="E18">
            <v>-17339008</v>
          </cell>
          <cell r="F18">
            <v>0</v>
          </cell>
          <cell r="G18">
            <v>-6264</v>
          </cell>
          <cell r="H18">
            <v>0</v>
          </cell>
          <cell r="I18">
            <v>0</v>
          </cell>
          <cell r="J18">
            <v>0</v>
          </cell>
          <cell r="K18">
            <v>0</v>
          </cell>
          <cell r="L18">
            <v>0</v>
          </cell>
          <cell r="M18">
            <v>0</v>
          </cell>
          <cell r="N18">
            <v>0</v>
          </cell>
          <cell r="O18">
            <v>0</v>
          </cell>
          <cell r="P18">
            <v>1564648</v>
          </cell>
          <cell r="Q18">
            <v>-17345272</v>
          </cell>
          <cell r="S18">
            <v>-15774360</v>
          </cell>
          <cell r="T18">
            <v>-6264</v>
          </cell>
          <cell r="U18">
            <v>-12989350.5</v>
          </cell>
          <cell r="V18">
            <v>0</v>
          </cell>
          <cell r="W18">
            <v>-2785009.5</v>
          </cell>
          <cell r="X18">
            <v>-6264</v>
          </cell>
          <cell r="Y18">
            <v>-2785009.5</v>
          </cell>
          <cell r="Z18">
            <v>-6264</v>
          </cell>
          <cell r="AA18">
            <v>-2791273.5</v>
          </cell>
          <cell r="AC18">
            <v>11205</v>
          </cell>
          <cell r="AD18">
            <v>0</v>
          </cell>
        </row>
        <row r="19">
          <cell r="S19">
            <v>0</v>
          </cell>
          <cell r="T19">
            <v>0</v>
          </cell>
          <cell r="U19">
            <v>0</v>
          </cell>
          <cell r="V19">
            <v>0</v>
          </cell>
          <cell r="W19">
            <v>0</v>
          </cell>
          <cell r="X19">
            <v>0</v>
          </cell>
          <cell r="Y19">
            <v>0</v>
          </cell>
          <cell r="Z19">
            <v>0</v>
          </cell>
          <cell r="AA19">
            <v>0</v>
          </cell>
          <cell r="AC19">
            <v>0</v>
          </cell>
          <cell r="AD19">
            <v>0</v>
          </cell>
        </row>
        <row r="20">
          <cell r="B20">
            <v>11210</v>
          </cell>
          <cell r="C20" t="str">
            <v>MARKETING &amp; MANAGEMENT FEES (INCOME) (5210)</v>
          </cell>
          <cell r="D20">
            <v>0</v>
          </cell>
          <cell r="E20">
            <v>0</v>
          </cell>
          <cell r="F20">
            <v>0</v>
          </cell>
          <cell r="G20">
            <v>0</v>
          </cell>
          <cell r="H20">
            <v>0</v>
          </cell>
          <cell r="I20">
            <v>0</v>
          </cell>
          <cell r="J20">
            <v>0</v>
          </cell>
          <cell r="K20">
            <v>0</v>
          </cell>
          <cell r="L20">
            <v>0</v>
          </cell>
          <cell r="M20">
            <v>-8863450</v>
          </cell>
          <cell r="N20">
            <v>0</v>
          </cell>
          <cell r="O20">
            <v>0</v>
          </cell>
          <cell r="P20">
            <v>0</v>
          </cell>
          <cell r="Q20">
            <v>0</v>
          </cell>
          <cell r="S20">
            <v>-8863450</v>
          </cell>
          <cell r="T20">
            <v>0</v>
          </cell>
          <cell r="U20">
            <v>-8863450</v>
          </cell>
          <cell r="V20">
            <v>0</v>
          </cell>
          <cell r="W20">
            <v>0</v>
          </cell>
          <cell r="X20">
            <v>0</v>
          </cell>
          <cell r="Y20">
            <v>0</v>
          </cell>
          <cell r="Z20">
            <v>0</v>
          </cell>
          <cell r="AA20">
            <v>0</v>
          </cell>
          <cell r="AC20">
            <v>11210</v>
          </cell>
          <cell r="AD20">
            <v>0</v>
          </cell>
        </row>
        <row r="21">
          <cell r="S21">
            <v>0</v>
          </cell>
          <cell r="T21">
            <v>0</v>
          </cell>
          <cell r="U21">
            <v>0</v>
          </cell>
          <cell r="V21">
            <v>0</v>
          </cell>
          <cell r="W21">
            <v>0</v>
          </cell>
          <cell r="X21">
            <v>0</v>
          </cell>
          <cell r="Y21">
            <v>0</v>
          </cell>
          <cell r="Z21">
            <v>0</v>
          </cell>
          <cell r="AA21">
            <v>0</v>
          </cell>
          <cell r="AC21">
            <v>0</v>
          </cell>
          <cell r="AD21">
            <v>0</v>
          </cell>
        </row>
        <row r="22">
          <cell r="B22">
            <v>11215</v>
          </cell>
          <cell r="C22" t="str">
            <v>INTEREST RECEIVED (5150)</v>
          </cell>
          <cell r="D22">
            <v>761310</v>
          </cell>
          <cell r="E22">
            <v>-999747.87</v>
          </cell>
          <cell r="F22">
            <v>9668</v>
          </cell>
          <cell r="G22">
            <v>-755678</v>
          </cell>
          <cell r="H22">
            <v>0</v>
          </cell>
          <cell r="I22">
            <v>0</v>
          </cell>
          <cell r="J22">
            <v>0</v>
          </cell>
          <cell r="K22">
            <v>0</v>
          </cell>
          <cell r="L22">
            <v>23892</v>
          </cell>
          <cell r="M22">
            <v>-58776.63</v>
          </cell>
          <cell r="N22">
            <v>0</v>
          </cell>
          <cell r="O22">
            <v>0</v>
          </cell>
          <cell r="P22">
            <v>770978</v>
          </cell>
          <cell r="Q22">
            <v>-1755425.87</v>
          </cell>
          <cell r="S22">
            <v>-273322.5</v>
          </cell>
          <cell r="T22">
            <v>-746010</v>
          </cell>
          <cell r="U22">
            <v>-272129.5</v>
          </cell>
          <cell r="V22">
            <v>-728875</v>
          </cell>
          <cell r="W22">
            <v>-1193</v>
          </cell>
          <cell r="X22">
            <v>-17135</v>
          </cell>
          <cell r="Y22">
            <v>-1193</v>
          </cell>
          <cell r="Z22">
            <v>-17135</v>
          </cell>
          <cell r="AA22">
            <v>-18328</v>
          </cell>
          <cell r="AC22">
            <v>11215</v>
          </cell>
          <cell r="AD22">
            <v>0</v>
          </cell>
        </row>
        <row r="23">
          <cell r="S23">
            <v>0</v>
          </cell>
          <cell r="T23">
            <v>0</v>
          </cell>
          <cell r="U23">
            <v>0</v>
          </cell>
          <cell r="V23">
            <v>0</v>
          </cell>
          <cell r="W23">
            <v>0</v>
          </cell>
          <cell r="X23">
            <v>0</v>
          </cell>
          <cell r="Y23">
            <v>0</v>
          </cell>
          <cell r="Z23">
            <v>0</v>
          </cell>
          <cell r="AA23">
            <v>0</v>
          </cell>
          <cell r="AC23">
            <v>0</v>
          </cell>
          <cell r="AD23">
            <v>0</v>
          </cell>
        </row>
        <row r="24">
          <cell r="B24">
            <v>11220</v>
          </cell>
          <cell r="C24" t="str">
            <v>PROVISION (DRS) NO LONGER REQUIRED W/BACK (5180)</v>
          </cell>
          <cell r="D24">
            <v>0</v>
          </cell>
          <cell r="E24">
            <v>0</v>
          </cell>
          <cell r="F24">
            <v>197207</v>
          </cell>
          <cell r="G24">
            <v>-197207</v>
          </cell>
          <cell r="H24">
            <v>0</v>
          </cell>
          <cell r="I24">
            <v>0</v>
          </cell>
          <cell r="J24">
            <v>0</v>
          </cell>
          <cell r="K24">
            <v>0</v>
          </cell>
          <cell r="L24">
            <v>0</v>
          </cell>
          <cell r="M24">
            <v>0</v>
          </cell>
          <cell r="N24">
            <v>0</v>
          </cell>
          <cell r="O24">
            <v>0</v>
          </cell>
          <cell r="P24">
            <v>197207</v>
          </cell>
          <cell r="Q24">
            <v>-197207</v>
          </cell>
          <cell r="S24">
            <v>0</v>
          </cell>
          <cell r="T24">
            <v>0</v>
          </cell>
          <cell r="U24">
            <v>0</v>
          </cell>
          <cell r="V24">
            <v>0</v>
          </cell>
          <cell r="W24">
            <v>0</v>
          </cell>
          <cell r="X24">
            <v>0</v>
          </cell>
          <cell r="Y24">
            <v>0</v>
          </cell>
          <cell r="Z24">
            <v>0</v>
          </cell>
          <cell r="AA24">
            <v>0</v>
          </cell>
          <cell r="AC24">
            <v>11220</v>
          </cell>
          <cell r="AD24">
            <v>0</v>
          </cell>
        </row>
        <row r="25">
          <cell r="S25">
            <v>0</v>
          </cell>
          <cell r="T25">
            <v>0</v>
          </cell>
          <cell r="U25">
            <v>0</v>
          </cell>
          <cell r="V25">
            <v>0</v>
          </cell>
          <cell r="W25">
            <v>0</v>
          </cell>
          <cell r="X25">
            <v>0</v>
          </cell>
          <cell r="Y25">
            <v>0</v>
          </cell>
          <cell r="Z25">
            <v>0</v>
          </cell>
          <cell r="AA25">
            <v>0</v>
          </cell>
          <cell r="AC25">
            <v>0</v>
          </cell>
          <cell r="AD25">
            <v>0</v>
          </cell>
        </row>
        <row r="26">
          <cell r="B26">
            <v>11225</v>
          </cell>
          <cell r="C26" t="str">
            <v>SUNDRY CREDIT BALANCES WRITTEN BACK (5235)</v>
          </cell>
          <cell r="D26">
            <v>0</v>
          </cell>
          <cell r="E26">
            <v>-742186.15</v>
          </cell>
          <cell r="F26">
            <v>0</v>
          </cell>
          <cell r="G26">
            <v>-107739.02</v>
          </cell>
          <cell r="H26">
            <v>0</v>
          </cell>
          <cell r="I26">
            <v>0</v>
          </cell>
          <cell r="J26">
            <v>0</v>
          </cell>
          <cell r="K26">
            <v>0</v>
          </cell>
          <cell r="L26">
            <v>0</v>
          </cell>
          <cell r="M26">
            <v>0</v>
          </cell>
          <cell r="N26">
            <v>0</v>
          </cell>
          <cell r="O26">
            <v>0</v>
          </cell>
          <cell r="P26">
            <v>0</v>
          </cell>
          <cell r="Q26">
            <v>-849925.17</v>
          </cell>
          <cell r="S26">
            <v>-742186.15</v>
          </cell>
          <cell r="T26">
            <v>-107739.02</v>
          </cell>
          <cell r="U26">
            <v>-738482.15</v>
          </cell>
          <cell r="V26">
            <v>-55651.67</v>
          </cell>
          <cell r="W26">
            <v>-3704</v>
          </cell>
          <cell r="X26">
            <v>-52087.350000000006</v>
          </cell>
          <cell r="Y26">
            <v>-3704</v>
          </cell>
          <cell r="Z26">
            <v>-52087.350000000006</v>
          </cell>
          <cell r="AA26">
            <v>-55791.350000000006</v>
          </cell>
          <cell r="AC26">
            <v>11225</v>
          </cell>
          <cell r="AD26">
            <v>0</v>
          </cell>
        </row>
        <row r="27">
          <cell r="S27">
            <v>0</v>
          </cell>
          <cell r="T27">
            <v>0</v>
          </cell>
          <cell r="U27">
            <v>0</v>
          </cell>
          <cell r="V27">
            <v>0</v>
          </cell>
          <cell r="W27">
            <v>0</v>
          </cell>
          <cell r="X27">
            <v>0</v>
          </cell>
          <cell r="Y27">
            <v>0</v>
          </cell>
          <cell r="Z27">
            <v>0</v>
          </cell>
          <cell r="AA27">
            <v>0</v>
          </cell>
          <cell r="AC27">
            <v>0</v>
          </cell>
          <cell r="AD27">
            <v>0</v>
          </cell>
        </row>
        <row r="28">
          <cell r="B28">
            <v>11230</v>
          </cell>
          <cell r="C28" t="str">
            <v>LIABILITIES NO LONGER REQUIRED WRITTEN BACK</v>
          </cell>
          <cell r="D28">
            <v>0</v>
          </cell>
          <cell r="E28">
            <v>-1586281</v>
          </cell>
          <cell r="F28">
            <v>0</v>
          </cell>
          <cell r="G28">
            <v>-1080450.5600000001</v>
          </cell>
          <cell r="H28">
            <v>0</v>
          </cell>
          <cell r="I28">
            <v>0</v>
          </cell>
          <cell r="J28">
            <v>0</v>
          </cell>
          <cell r="K28">
            <v>0</v>
          </cell>
          <cell r="L28">
            <v>0</v>
          </cell>
          <cell r="M28">
            <v>-29450302</v>
          </cell>
          <cell r="N28">
            <v>0</v>
          </cell>
          <cell r="O28">
            <v>0</v>
          </cell>
          <cell r="P28">
            <v>0</v>
          </cell>
          <cell r="Q28">
            <v>-2666731.56</v>
          </cell>
          <cell r="S28">
            <v>-31036583</v>
          </cell>
          <cell r="T28">
            <v>-1080450.5600000001</v>
          </cell>
          <cell r="U28">
            <v>-31036583</v>
          </cell>
          <cell r="V28">
            <v>-1080450.5600000001</v>
          </cell>
          <cell r="W28">
            <v>0</v>
          </cell>
          <cell r="X28">
            <v>0</v>
          </cell>
          <cell r="Y28">
            <v>0</v>
          </cell>
          <cell r="Z28">
            <v>0</v>
          </cell>
          <cell r="AA28">
            <v>0</v>
          </cell>
          <cell r="AC28">
            <v>11230</v>
          </cell>
          <cell r="AD28">
            <v>0</v>
          </cell>
        </row>
        <row r="29">
          <cell r="S29">
            <v>0</v>
          </cell>
          <cell r="T29">
            <v>0</v>
          </cell>
          <cell r="U29">
            <v>0</v>
          </cell>
          <cell r="V29">
            <v>0</v>
          </cell>
          <cell r="W29">
            <v>0</v>
          </cell>
          <cell r="X29">
            <v>0</v>
          </cell>
          <cell r="Y29">
            <v>0</v>
          </cell>
          <cell r="Z29">
            <v>0</v>
          </cell>
          <cell r="AA29">
            <v>0</v>
          </cell>
          <cell r="AC29">
            <v>0</v>
          </cell>
          <cell r="AD29">
            <v>0</v>
          </cell>
        </row>
        <row r="30">
          <cell r="B30">
            <v>11240</v>
          </cell>
          <cell r="C30" t="str">
            <v>PROFIT ON SALE OF ASSETS (5170)</v>
          </cell>
          <cell r="D30">
            <v>0</v>
          </cell>
          <cell r="E30">
            <v>-42029</v>
          </cell>
          <cell r="F30">
            <v>0</v>
          </cell>
          <cell r="G30">
            <v>0</v>
          </cell>
          <cell r="H30">
            <v>0</v>
          </cell>
          <cell r="I30">
            <v>0</v>
          </cell>
          <cell r="J30">
            <v>0</v>
          </cell>
          <cell r="K30">
            <v>0</v>
          </cell>
          <cell r="L30">
            <v>0</v>
          </cell>
          <cell r="M30">
            <v>0</v>
          </cell>
          <cell r="N30">
            <v>0</v>
          </cell>
          <cell r="O30">
            <v>0</v>
          </cell>
          <cell r="P30">
            <v>0</v>
          </cell>
          <cell r="Q30">
            <v>-42029</v>
          </cell>
          <cell r="S30">
            <v>-42029</v>
          </cell>
          <cell r="T30">
            <v>0</v>
          </cell>
          <cell r="U30">
            <v>-40529</v>
          </cell>
          <cell r="V30">
            <v>0</v>
          </cell>
          <cell r="W30">
            <v>-1500</v>
          </cell>
          <cell r="X30">
            <v>0</v>
          </cell>
          <cell r="Y30">
            <v>-1500</v>
          </cell>
          <cell r="Z30">
            <v>0</v>
          </cell>
          <cell r="AA30">
            <v>-1500</v>
          </cell>
          <cell r="AC30">
            <v>11240</v>
          </cell>
          <cell r="AD30">
            <v>0</v>
          </cell>
        </row>
        <row r="31">
          <cell r="S31">
            <v>0</v>
          </cell>
          <cell r="T31">
            <v>0</v>
          </cell>
          <cell r="U31">
            <v>0</v>
          </cell>
          <cell r="V31">
            <v>0</v>
          </cell>
          <cell r="W31">
            <v>0</v>
          </cell>
          <cell r="X31">
            <v>0</v>
          </cell>
          <cell r="Y31">
            <v>0</v>
          </cell>
          <cell r="Z31">
            <v>0</v>
          </cell>
          <cell r="AA31">
            <v>0</v>
          </cell>
          <cell r="AC31">
            <v>0</v>
          </cell>
          <cell r="AD31">
            <v>0</v>
          </cell>
        </row>
        <row r="32">
          <cell r="B32">
            <v>11245</v>
          </cell>
          <cell r="C32" t="str">
            <v>DIVIDEND INCOME (5240)</v>
          </cell>
          <cell r="D32">
            <v>0</v>
          </cell>
          <cell r="E32">
            <v>0</v>
          </cell>
          <cell r="F32">
            <v>0</v>
          </cell>
          <cell r="G32">
            <v>0</v>
          </cell>
          <cell r="H32">
            <v>0</v>
          </cell>
          <cell r="I32">
            <v>0</v>
          </cell>
          <cell r="J32">
            <v>0</v>
          </cell>
          <cell r="K32">
            <v>0</v>
          </cell>
          <cell r="L32">
            <v>0</v>
          </cell>
          <cell r="M32">
            <v>-24123000</v>
          </cell>
          <cell r="N32">
            <v>0</v>
          </cell>
          <cell r="O32">
            <v>0</v>
          </cell>
          <cell r="P32">
            <v>0</v>
          </cell>
          <cell r="Q32">
            <v>0</v>
          </cell>
          <cell r="S32">
            <v>-24123000</v>
          </cell>
          <cell r="T32">
            <v>0</v>
          </cell>
          <cell r="U32">
            <v>-10098000</v>
          </cell>
          <cell r="V32">
            <v>0</v>
          </cell>
          <cell r="W32">
            <v>-14025000</v>
          </cell>
          <cell r="X32">
            <v>0</v>
          </cell>
          <cell r="Y32">
            <v>-14025000</v>
          </cell>
          <cell r="Z32">
            <v>0</v>
          </cell>
          <cell r="AA32">
            <v>-14025000</v>
          </cell>
          <cell r="AC32">
            <v>11245</v>
          </cell>
          <cell r="AD32">
            <v>0</v>
          </cell>
        </row>
        <row r="33">
          <cell r="S33">
            <v>0</v>
          </cell>
          <cell r="T33">
            <v>0</v>
          </cell>
          <cell r="U33">
            <v>0</v>
          </cell>
          <cell r="V33">
            <v>0</v>
          </cell>
          <cell r="W33">
            <v>0</v>
          </cell>
          <cell r="X33">
            <v>0</v>
          </cell>
          <cell r="Y33">
            <v>0</v>
          </cell>
          <cell r="Z33">
            <v>0</v>
          </cell>
          <cell r="AA33">
            <v>0</v>
          </cell>
          <cell r="AC33">
            <v>0</v>
          </cell>
          <cell r="AD33">
            <v>0</v>
          </cell>
        </row>
        <row r="34">
          <cell r="B34">
            <v>12140</v>
          </cell>
          <cell r="C34" t="str">
            <v>ROUNDING OF DIFF A/C</v>
          </cell>
          <cell r="D34">
            <v>0</v>
          </cell>
          <cell r="E34">
            <v>0</v>
          </cell>
          <cell r="F34">
            <v>0</v>
          </cell>
          <cell r="G34">
            <v>0</v>
          </cell>
          <cell r="H34">
            <v>0</v>
          </cell>
          <cell r="I34">
            <v>0</v>
          </cell>
          <cell r="J34">
            <v>0</v>
          </cell>
          <cell r="K34">
            <v>0</v>
          </cell>
          <cell r="L34">
            <v>0</v>
          </cell>
          <cell r="M34">
            <v>0</v>
          </cell>
          <cell r="N34">
            <v>0.11</v>
          </cell>
          <cell r="O34">
            <v>-0.01</v>
          </cell>
          <cell r="P34">
            <v>0.11</v>
          </cell>
          <cell r="Q34">
            <v>-0.01</v>
          </cell>
          <cell r="S34">
            <v>0.1</v>
          </cell>
          <cell r="T34">
            <v>0</v>
          </cell>
          <cell r="U34">
            <v>0.03</v>
          </cell>
          <cell r="V34">
            <v>0</v>
          </cell>
          <cell r="W34">
            <v>7.0000000000000007E-2</v>
          </cell>
          <cell r="X34">
            <v>0</v>
          </cell>
          <cell r="Y34">
            <v>7.0000000000000007E-2</v>
          </cell>
          <cell r="Z34">
            <v>0</v>
          </cell>
          <cell r="AA34">
            <v>7.0000000000000007E-2</v>
          </cell>
          <cell r="AC34">
            <v>12140</v>
          </cell>
          <cell r="AD34">
            <v>0</v>
          </cell>
        </row>
        <row r="35">
          <cell r="S35">
            <v>0</v>
          </cell>
          <cell r="T35">
            <v>0</v>
          </cell>
          <cell r="U35">
            <v>0</v>
          </cell>
          <cell r="V35">
            <v>0</v>
          </cell>
          <cell r="W35">
            <v>0</v>
          </cell>
          <cell r="X35">
            <v>0</v>
          </cell>
          <cell r="Y35">
            <v>0</v>
          </cell>
          <cell r="Z35">
            <v>0</v>
          </cell>
          <cell r="AA35">
            <v>0</v>
          </cell>
          <cell r="AC35">
            <v>0</v>
          </cell>
          <cell r="AD35">
            <v>0</v>
          </cell>
        </row>
        <row r="36">
          <cell r="B36">
            <v>12142</v>
          </cell>
          <cell r="C36" t="str">
            <v>ORDER INVOICE ROUNDING (SYS)</v>
          </cell>
          <cell r="D36">
            <v>650.53</v>
          </cell>
          <cell r="E36">
            <v>-865.06</v>
          </cell>
          <cell r="F36">
            <v>1404.18</v>
          </cell>
          <cell r="G36">
            <v>-1617.77</v>
          </cell>
          <cell r="H36">
            <v>6.13</v>
          </cell>
          <cell r="I36">
            <v>-10.17</v>
          </cell>
          <cell r="J36">
            <v>1.19</v>
          </cell>
          <cell r="K36">
            <v>-1.8</v>
          </cell>
          <cell r="L36">
            <v>0</v>
          </cell>
          <cell r="M36">
            <v>0</v>
          </cell>
          <cell r="N36">
            <v>0</v>
          </cell>
          <cell r="O36">
            <v>0</v>
          </cell>
          <cell r="P36">
            <v>2062.0300000000002</v>
          </cell>
          <cell r="Q36">
            <v>-2494.8000000000002</v>
          </cell>
          <cell r="S36">
            <v>-214.52999999999997</v>
          </cell>
          <cell r="T36">
            <v>-218.23999999999992</v>
          </cell>
          <cell r="U36">
            <v>-31.7</v>
          </cell>
          <cell r="V36">
            <v>-129.33000000000001</v>
          </cell>
          <cell r="W36">
            <v>-182.82999999999998</v>
          </cell>
          <cell r="X36">
            <v>-88.909999999999911</v>
          </cell>
          <cell r="Y36">
            <v>-182.82999999999998</v>
          </cell>
          <cell r="Z36">
            <v>-88.909999999999911</v>
          </cell>
          <cell r="AA36">
            <v>-271.7399999999999</v>
          </cell>
          <cell r="AC36">
            <v>12142</v>
          </cell>
          <cell r="AD36">
            <v>0</v>
          </cell>
        </row>
        <row r="37">
          <cell r="S37">
            <v>0</v>
          </cell>
          <cell r="T37">
            <v>0</v>
          </cell>
          <cell r="U37">
            <v>0</v>
          </cell>
          <cell r="V37">
            <v>0</v>
          </cell>
          <cell r="W37">
            <v>0</v>
          </cell>
          <cell r="X37">
            <v>0</v>
          </cell>
          <cell r="Y37">
            <v>0</v>
          </cell>
          <cell r="Z37">
            <v>0</v>
          </cell>
          <cell r="AA37">
            <v>0</v>
          </cell>
          <cell r="AC37">
            <v>0</v>
          </cell>
          <cell r="AD37">
            <v>0</v>
          </cell>
        </row>
        <row r="38">
          <cell r="B38">
            <v>12145</v>
          </cell>
          <cell r="C38" t="str">
            <v>DISCOUNT RECEIVED</v>
          </cell>
          <cell r="D38">
            <v>250883.4</v>
          </cell>
          <cell r="E38">
            <v>-872827.9</v>
          </cell>
          <cell r="F38">
            <v>20529</v>
          </cell>
          <cell r="G38">
            <v>-2504473.85</v>
          </cell>
          <cell r="H38">
            <v>0</v>
          </cell>
          <cell r="I38">
            <v>0</v>
          </cell>
          <cell r="J38">
            <v>0</v>
          </cell>
          <cell r="K38">
            <v>0</v>
          </cell>
          <cell r="L38">
            <v>0</v>
          </cell>
          <cell r="M38">
            <v>0</v>
          </cell>
          <cell r="N38">
            <v>0</v>
          </cell>
          <cell r="O38">
            <v>0</v>
          </cell>
          <cell r="P38">
            <v>271412.40000000002</v>
          </cell>
          <cell r="Q38">
            <v>-3377301.75</v>
          </cell>
          <cell r="S38">
            <v>-621944.5</v>
          </cell>
          <cell r="T38">
            <v>-2483944.85</v>
          </cell>
          <cell r="U38">
            <v>-524711.5</v>
          </cell>
          <cell r="V38">
            <v>-2444163.85</v>
          </cell>
          <cell r="W38">
            <v>-97233</v>
          </cell>
          <cell r="X38">
            <v>-39781</v>
          </cell>
          <cell r="Y38">
            <v>-97233</v>
          </cell>
          <cell r="Z38">
            <v>-39781</v>
          </cell>
          <cell r="AA38">
            <v>-137014</v>
          </cell>
          <cell r="AC38">
            <v>12145</v>
          </cell>
          <cell r="AD38">
            <v>0</v>
          </cell>
        </row>
        <row r="39">
          <cell r="S39">
            <v>0</v>
          </cell>
          <cell r="T39">
            <v>0</v>
          </cell>
          <cell r="U39">
            <v>0</v>
          </cell>
          <cell r="V39">
            <v>0</v>
          </cell>
          <cell r="W39">
            <v>0</v>
          </cell>
          <cell r="X39">
            <v>0</v>
          </cell>
          <cell r="Y39">
            <v>0</v>
          </cell>
          <cell r="Z39">
            <v>0</v>
          </cell>
          <cell r="AA39">
            <v>0</v>
          </cell>
          <cell r="AC39">
            <v>0</v>
          </cell>
          <cell r="AD39">
            <v>0</v>
          </cell>
        </row>
        <row r="40">
          <cell r="B40">
            <v>12146</v>
          </cell>
          <cell r="C40" t="str">
            <v>OPENING STOCK OF RAW MATERIALS</v>
          </cell>
          <cell r="D40">
            <v>33200792</v>
          </cell>
          <cell r="E40">
            <v>0</v>
          </cell>
          <cell r="F40">
            <v>36262050</v>
          </cell>
          <cell r="G40">
            <v>0</v>
          </cell>
          <cell r="H40">
            <v>0</v>
          </cell>
          <cell r="I40">
            <v>0</v>
          </cell>
          <cell r="J40">
            <v>0</v>
          </cell>
          <cell r="K40">
            <v>0</v>
          </cell>
          <cell r="L40">
            <v>0</v>
          </cell>
          <cell r="M40">
            <v>0</v>
          </cell>
          <cell r="N40">
            <v>0</v>
          </cell>
          <cell r="O40">
            <v>0</v>
          </cell>
          <cell r="P40">
            <v>69462842</v>
          </cell>
          <cell r="Q40">
            <v>0</v>
          </cell>
          <cell r="S40">
            <v>33200792</v>
          </cell>
          <cell r="T40">
            <v>36262050</v>
          </cell>
          <cell r="U40">
            <v>33200792</v>
          </cell>
          <cell r="V40">
            <v>36262050</v>
          </cell>
          <cell r="W40">
            <v>0</v>
          </cell>
          <cell r="X40">
            <v>0</v>
          </cell>
          <cell r="Y40">
            <v>0</v>
          </cell>
          <cell r="Z40">
            <v>0</v>
          </cell>
          <cell r="AA40">
            <v>0</v>
          </cell>
          <cell r="AC40">
            <v>12146</v>
          </cell>
          <cell r="AD40">
            <v>0</v>
          </cell>
        </row>
        <row r="41">
          <cell r="S41">
            <v>0</v>
          </cell>
          <cell r="T41">
            <v>0</v>
          </cell>
          <cell r="U41">
            <v>0</v>
          </cell>
          <cell r="V41">
            <v>0</v>
          </cell>
          <cell r="W41">
            <v>0</v>
          </cell>
          <cell r="X41">
            <v>0</v>
          </cell>
          <cell r="Y41">
            <v>0</v>
          </cell>
          <cell r="Z41">
            <v>0</v>
          </cell>
          <cell r="AA41">
            <v>0</v>
          </cell>
          <cell r="AC41">
            <v>0</v>
          </cell>
          <cell r="AD41">
            <v>0</v>
          </cell>
        </row>
        <row r="42">
          <cell r="B42">
            <v>12150</v>
          </cell>
          <cell r="C42" t="str">
            <v>RAW MATERIAL CONSUMED (BOM)</v>
          </cell>
          <cell r="D42">
            <v>840884366.23000002</v>
          </cell>
          <cell r="E42">
            <v>-496331339.38</v>
          </cell>
          <cell r="F42">
            <v>2267199843.5500002</v>
          </cell>
          <cell r="G42">
            <v>-1515447172.76</v>
          </cell>
          <cell r="H42">
            <v>16711911.109999999</v>
          </cell>
          <cell r="I42">
            <v>-8180066.3899999997</v>
          </cell>
          <cell r="J42">
            <v>1848790.32</v>
          </cell>
          <cell r="K42">
            <v>-1452738.52</v>
          </cell>
          <cell r="L42">
            <v>0</v>
          </cell>
          <cell r="M42">
            <v>0</v>
          </cell>
          <cell r="N42">
            <v>0</v>
          </cell>
          <cell r="O42">
            <v>0</v>
          </cell>
          <cell r="P42">
            <v>3126644911.21</v>
          </cell>
          <cell r="Q42">
            <v>-2021411317.05</v>
          </cell>
          <cell r="S42">
            <v>344553026.85000002</v>
          </cell>
          <cell r="T42">
            <v>760680567.3100003</v>
          </cell>
          <cell r="U42">
            <v>0</v>
          </cell>
          <cell r="V42">
            <v>0</v>
          </cell>
          <cell r="W42">
            <v>344553026.85000002</v>
          </cell>
          <cell r="X42">
            <v>760680567.3100003</v>
          </cell>
          <cell r="Y42">
            <v>344553026.85000002</v>
          </cell>
          <cell r="Z42">
            <v>760680567.3100003</v>
          </cell>
          <cell r="AA42">
            <v>1105233594.1600003</v>
          </cell>
          <cell r="AC42">
            <v>12150</v>
          </cell>
          <cell r="AD42">
            <v>0</v>
          </cell>
        </row>
        <row r="43">
          <cell r="S43">
            <v>0</v>
          </cell>
          <cell r="T43">
            <v>0</v>
          </cell>
          <cell r="U43">
            <v>0</v>
          </cell>
          <cell r="V43">
            <v>0</v>
          </cell>
          <cell r="W43">
            <v>0</v>
          </cell>
          <cell r="X43">
            <v>0</v>
          </cell>
          <cell r="Y43">
            <v>0</v>
          </cell>
          <cell r="Z43">
            <v>0</v>
          </cell>
          <cell r="AA43">
            <v>0</v>
          </cell>
          <cell r="AC43">
            <v>0</v>
          </cell>
          <cell r="AD43">
            <v>0</v>
          </cell>
        </row>
        <row r="44">
          <cell r="B44">
            <v>12151</v>
          </cell>
          <cell r="C44" t="str">
            <v>IMPORT BOOKING DIFF IF MISC CHG. (CHARGED OFF)</v>
          </cell>
          <cell r="D44">
            <v>73103.600000000006</v>
          </cell>
          <cell r="E44">
            <v>-171554.33</v>
          </cell>
          <cell r="F44">
            <v>1144940.51</v>
          </cell>
          <cell r="G44">
            <v>-178856.86</v>
          </cell>
          <cell r="H44">
            <v>0</v>
          </cell>
          <cell r="I44">
            <v>0</v>
          </cell>
          <cell r="J44">
            <v>0</v>
          </cell>
          <cell r="K44">
            <v>0</v>
          </cell>
          <cell r="L44">
            <v>0</v>
          </cell>
          <cell r="M44">
            <v>0</v>
          </cell>
          <cell r="N44">
            <v>0</v>
          </cell>
          <cell r="O44">
            <v>0</v>
          </cell>
          <cell r="P44">
            <v>1218044.1100000001</v>
          </cell>
          <cell r="Q44">
            <v>-350411.19</v>
          </cell>
          <cell r="S44">
            <v>-98450.729999999981</v>
          </cell>
          <cell r="T44">
            <v>966083.65</v>
          </cell>
          <cell r="U44">
            <v>-98450.73</v>
          </cell>
          <cell r="V44">
            <v>957638.14</v>
          </cell>
          <cell r="W44">
            <v>0</v>
          </cell>
          <cell r="X44">
            <v>8445.5100000000093</v>
          </cell>
          <cell r="Y44">
            <v>0</v>
          </cell>
          <cell r="Z44">
            <v>8445.5100000000093</v>
          </cell>
          <cell r="AA44">
            <v>8445.5100000000093</v>
          </cell>
          <cell r="AC44">
            <v>12151</v>
          </cell>
          <cell r="AD44">
            <v>0</v>
          </cell>
        </row>
        <row r="45">
          <cell r="S45">
            <v>0</v>
          </cell>
          <cell r="T45">
            <v>0</v>
          </cell>
          <cell r="U45">
            <v>0</v>
          </cell>
          <cell r="V45">
            <v>0</v>
          </cell>
          <cell r="W45">
            <v>0</v>
          </cell>
          <cell r="X45">
            <v>0</v>
          </cell>
          <cell r="Y45">
            <v>0</v>
          </cell>
          <cell r="Z45">
            <v>0</v>
          </cell>
          <cell r="AA45">
            <v>0</v>
          </cell>
          <cell r="AC45">
            <v>0</v>
          </cell>
          <cell r="AD45">
            <v>0</v>
          </cell>
        </row>
        <row r="46">
          <cell r="B46">
            <v>12152</v>
          </cell>
          <cell r="C46" t="str">
            <v>TRANSPORT ACCOUNT PURCHASE (6102)</v>
          </cell>
          <cell r="D46">
            <v>3168980.5</v>
          </cell>
          <cell r="E46">
            <v>-614546</v>
          </cell>
          <cell r="F46">
            <v>3981381.61</v>
          </cell>
          <cell r="G46">
            <v>-158275.49</v>
          </cell>
          <cell r="H46">
            <v>0</v>
          </cell>
          <cell r="I46">
            <v>0</v>
          </cell>
          <cell r="J46">
            <v>0</v>
          </cell>
          <cell r="K46">
            <v>0</v>
          </cell>
          <cell r="L46">
            <v>11075</v>
          </cell>
          <cell r="M46">
            <v>0</v>
          </cell>
          <cell r="N46">
            <v>0</v>
          </cell>
          <cell r="O46">
            <v>0</v>
          </cell>
          <cell r="P46">
            <v>7150362.1100000003</v>
          </cell>
          <cell r="Q46">
            <v>-772821.49</v>
          </cell>
          <cell r="S46">
            <v>2565509.5</v>
          </cell>
          <cell r="T46">
            <v>3823106.12</v>
          </cell>
          <cell r="U46">
            <v>1666780.9</v>
          </cell>
          <cell r="V46">
            <v>2345171.31</v>
          </cell>
          <cell r="W46">
            <v>898728.60000000009</v>
          </cell>
          <cell r="X46">
            <v>1477934.81</v>
          </cell>
          <cell r="Y46">
            <v>898728.60000000009</v>
          </cell>
          <cell r="Z46">
            <v>1477934.81</v>
          </cell>
          <cell r="AA46">
            <v>2376663.41</v>
          </cell>
          <cell r="AC46">
            <v>12152</v>
          </cell>
          <cell r="AD46">
            <v>0</v>
          </cell>
        </row>
        <row r="47">
          <cell r="S47">
            <v>0</v>
          </cell>
          <cell r="T47">
            <v>0</v>
          </cell>
          <cell r="U47">
            <v>0</v>
          </cell>
          <cell r="V47">
            <v>0</v>
          </cell>
          <cell r="W47">
            <v>0</v>
          </cell>
          <cell r="X47">
            <v>0</v>
          </cell>
          <cell r="Y47">
            <v>0</v>
          </cell>
          <cell r="Z47">
            <v>0</v>
          </cell>
          <cell r="AA47">
            <v>0</v>
          </cell>
          <cell r="AC47">
            <v>0</v>
          </cell>
          <cell r="AD47">
            <v>0</v>
          </cell>
        </row>
        <row r="48">
          <cell r="B48">
            <v>12153</v>
          </cell>
          <cell r="C48" t="str">
            <v>CONSUMPTION RAW MATERIALS (OTHER THAN BOM)</v>
          </cell>
          <cell r="D48">
            <v>225828</v>
          </cell>
          <cell r="E48">
            <v>-225828</v>
          </cell>
          <cell r="F48">
            <v>0</v>
          </cell>
          <cell r="G48">
            <v>0</v>
          </cell>
          <cell r="H48">
            <v>0</v>
          </cell>
          <cell r="I48">
            <v>0</v>
          </cell>
          <cell r="J48">
            <v>0</v>
          </cell>
          <cell r="K48">
            <v>0</v>
          </cell>
          <cell r="L48">
            <v>0</v>
          </cell>
          <cell r="M48">
            <v>0</v>
          </cell>
          <cell r="N48">
            <v>0</v>
          </cell>
          <cell r="O48">
            <v>0</v>
          </cell>
          <cell r="P48">
            <v>225828</v>
          </cell>
          <cell r="Q48">
            <v>-225828</v>
          </cell>
          <cell r="S48">
            <v>0</v>
          </cell>
          <cell r="T48">
            <v>0</v>
          </cell>
          <cell r="U48">
            <v>0</v>
          </cell>
          <cell r="V48">
            <v>0</v>
          </cell>
          <cell r="W48">
            <v>0</v>
          </cell>
          <cell r="X48">
            <v>0</v>
          </cell>
          <cell r="Y48">
            <v>0</v>
          </cell>
          <cell r="Z48">
            <v>0</v>
          </cell>
          <cell r="AA48">
            <v>0</v>
          </cell>
          <cell r="AC48">
            <v>12153</v>
          </cell>
          <cell r="AD48">
            <v>0</v>
          </cell>
        </row>
        <row r="49">
          <cell r="S49">
            <v>0</v>
          </cell>
          <cell r="T49">
            <v>0</v>
          </cell>
          <cell r="U49">
            <v>0</v>
          </cell>
          <cell r="V49">
            <v>0</v>
          </cell>
          <cell r="W49">
            <v>0</v>
          </cell>
          <cell r="X49">
            <v>0</v>
          </cell>
          <cell r="Y49">
            <v>0</v>
          </cell>
          <cell r="Z49">
            <v>0</v>
          </cell>
          <cell r="AA49">
            <v>0</v>
          </cell>
          <cell r="AC49">
            <v>0</v>
          </cell>
          <cell r="AD49">
            <v>0</v>
          </cell>
        </row>
        <row r="50">
          <cell r="B50">
            <v>12155</v>
          </cell>
          <cell r="C50" t="str">
            <v>PLATING CHEMICALS CONSUMED (OTHER THAN BOM)</v>
          </cell>
          <cell r="D50">
            <v>12079655.18</v>
          </cell>
          <cell r="E50">
            <v>-6332229.4199999999</v>
          </cell>
          <cell r="F50">
            <v>0</v>
          </cell>
          <cell r="G50">
            <v>0</v>
          </cell>
          <cell r="H50">
            <v>0</v>
          </cell>
          <cell r="I50">
            <v>0</v>
          </cell>
          <cell r="J50">
            <v>0</v>
          </cell>
          <cell r="K50">
            <v>0</v>
          </cell>
          <cell r="L50">
            <v>0</v>
          </cell>
          <cell r="M50">
            <v>0</v>
          </cell>
          <cell r="N50">
            <v>0</v>
          </cell>
          <cell r="O50">
            <v>0</v>
          </cell>
          <cell r="P50">
            <v>12079655.18</v>
          </cell>
          <cell r="Q50">
            <v>-6332229.4199999999</v>
          </cell>
          <cell r="S50">
            <v>5747425.7599999998</v>
          </cell>
          <cell r="T50">
            <v>0</v>
          </cell>
          <cell r="U50">
            <v>0</v>
          </cell>
          <cell r="V50">
            <v>0</v>
          </cell>
          <cell r="W50">
            <v>5747425.7599999998</v>
          </cell>
          <cell r="X50">
            <v>0</v>
          </cell>
          <cell r="Y50">
            <v>5747425.7599999998</v>
          </cell>
          <cell r="Z50">
            <v>0</v>
          </cell>
          <cell r="AA50">
            <v>5747425.7599999998</v>
          </cell>
          <cell r="AC50">
            <v>12155</v>
          </cell>
          <cell r="AD50">
            <v>0</v>
          </cell>
        </row>
        <row r="51">
          <cell r="S51">
            <v>0</v>
          </cell>
          <cell r="T51">
            <v>0</v>
          </cell>
          <cell r="U51">
            <v>0</v>
          </cell>
          <cell r="V51">
            <v>0</v>
          </cell>
          <cell r="W51">
            <v>0</v>
          </cell>
          <cell r="X51">
            <v>0</v>
          </cell>
          <cell r="Y51">
            <v>0</v>
          </cell>
          <cell r="Z51">
            <v>0</v>
          </cell>
          <cell r="AA51">
            <v>0</v>
          </cell>
          <cell r="AC51">
            <v>0</v>
          </cell>
          <cell r="AD51">
            <v>0</v>
          </cell>
        </row>
        <row r="52">
          <cell r="B52">
            <v>12160</v>
          </cell>
          <cell r="C52" t="str">
            <v>NMMC EXPENSE ACCOUNT</v>
          </cell>
          <cell r="D52">
            <v>7353748.4400000004</v>
          </cell>
          <cell r="E52">
            <v>-500473.4</v>
          </cell>
          <cell r="F52">
            <v>7121429.1699999999</v>
          </cell>
          <cell r="G52">
            <v>-979779.48</v>
          </cell>
          <cell r="H52">
            <v>0</v>
          </cell>
          <cell r="I52">
            <v>0</v>
          </cell>
          <cell r="J52">
            <v>0</v>
          </cell>
          <cell r="K52">
            <v>0</v>
          </cell>
          <cell r="L52">
            <v>291</v>
          </cell>
          <cell r="M52">
            <v>-25774.55</v>
          </cell>
          <cell r="N52">
            <v>0</v>
          </cell>
          <cell r="O52">
            <v>0</v>
          </cell>
          <cell r="P52">
            <v>14475177.609999999</v>
          </cell>
          <cell r="Q52">
            <v>-1480252.88</v>
          </cell>
          <cell r="S52">
            <v>6827791.4900000002</v>
          </cell>
          <cell r="T52">
            <v>6141649.6899999995</v>
          </cell>
          <cell r="U52">
            <v>3383381.57</v>
          </cell>
          <cell r="V52">
            <v>5205621.83</v>
          </cell>
          <cell r="W52">
            <v>3444409.9200000004</v>
          </cell>
          <cell r="X52">
            <v>936027.8599999994</v>
          </cell>
          <cell r="Y52">
            <v>3444409.9200000004</v>
          </cell>
          <cell r="Z52">
            <v>936027.8599999994</v>
          </cell>
          <cell r="AA52">
            <v>4380437.7799999993</v>
          </cell>
          <cell r="AC52">
            <v>12160</v>
          </cell>
          <cell r="AD52">
            <v>0</v>
          </cell>
        </row>
        <row r="53">
          <cell r="S53">
            <v>0</v>
          </cell>
          <cell r="T53">
            <v>0</v>
          </cell>
          <cell r="U53">
            <v>0</v>
          </cell>
          <cell r="V53">
            <v>0</v>
          </cell>
          <cell r="W53">
            <v>0</v>
          </cell>
          <cell r="X53">
            <v>0</v>
          </cell>
          <cell r="Y53">
            <v>0</v>
          </cell>
          <cell r="Z53">
            <v>0</v>
          </cell>
          <cell r="AA53">
            <v>0</v>
          </cell>
          <cell r="AC53">
            <v>0</v>
          </cell>
          <cell r="AD53">
            <v>0</v>
          </cell>
        </row>
        <row r="54">
          <cell r="B54">
            <v>12165</v>
          </cell>
          <cell r="C54" t="str">
            <v>OCTROI ON PURCHASE</v>
          </cell>
          <cell r="D54">
            <v>14089</v>
          </cell>
          <cell r="E54">
            <v>0</v>
          </cell>
          <cell r="F54">
            <v>50131</v>
          </cell>
          <cell r="G54">
            <v>0</v>
          </cell>
          <cell r="H54">
            <v>0</v>
          </cell>
          <cell r="I54">
            <v>0</v>
          </cell>
          <cell r="J54">
            <v>0</v>
          </cell>
          <cell r="K54">
            <v>0</v>
          </cell>
          <cell r="L54">
            <v>0</v>
          </cell>
          <cell r="M54">
            <v>0</v>
          </cell>
          <cell r="N54">
            <v>0</v>
          </cell>
          <cell r="O54">
            <v>0</v>
          </cell>
          <cell r="P54">
            <v>64220</v>
          </cell>
          <cell r="Q54">
            <v>0</v>
          </cell>
          <cell r="S54">
            <v>14089</v>
          </cell>
          <cell r="T54">
            <v>50131</v>
          </cell>
          <cell r="U54">
            <v>14089</v>
          </cell>
          <cell r="V54">
            <v>50131</v>
          </cell>
          <cell r="W54">
            <v>0</v>
          </cell>
          <cell r="X54">
            <v>0</v>
          </cell>
          <cell r="Y54">
            <v>0</v>
          </cell>
          <cell r="Z54">
            <v>0</v>
          </cell>
          <cell r="AA54">
            <v>0</v>
          </cell>
          <cell r="AC54">
            <v>12165</v>
          </cell>
          <cell r="AD54">
            <v>0</v>
          </cell>
        </row>
        <row r="55">
          <cell r="S55">
            <v>0</v>
          </cell>
          <cell r="T55">
            <v>0</v>
          </cell>
          <cell r="U55">
            <v>0</v>
          </cell>
          <cell r="V55">
            <v>0</v>
          </cell>
          <cell r="W55">
            <v>0</v>
          </cell>
          <cell r="X55">
            <v>0</v>
          </cell>
          <cell r="Y55">
            <v>0</v>
          </cell>
          <cell r="Z55">
            <v>0</v>
          </cell>
          <cell r="AA55">
            <v>0</v>
          </cell>
          <cell r="AC55">
            <v>0</v>
          </cell>
          <cell r="AD55">
            <v>0</v>
          </cell>
        </row>
        <row r="56">
          <cell r="B56">
            <v>12170</v>
          </cell>
          <cell r="C56" t="str">
            <v>CST EXPENSES ACCOUNT</v>
          </cell>
          <cell r="D56">
            <v>288040.27</v>
          </cell>
          <cell r="E56">
            <v>-8669.2000000000007</v>
          </cell>
          <cell r="F56">
            <v>811590.66</v>
          </cell>
          <cell r="G56">
            <v>-102170.04</v>
          </cell>
          <cell r="H56">
            <v>0</v>
          </cell>
          <cell r="I56">
            <v>0</v>
          </cell>
          <cell r="J56">
            <v>0</v>
          </cell>
          <cell r="K56">
            <v>0</v>
          </cell>
          <cell r="L56">
            <v>0</v>
          </cell>
          <cell r="M56">
            <v>0</v>
          </cell>
          <cell r="N56">
            <v>0</v>
          </cell>
          <cell r="O56">
            <v>0</v>
          </cell>
          <cell r="P56">
            <v>1099630.93</v>
          </cell>
          <cell r="Q56">
            <v>-110839.24</v>
          </cell>
          <cell r="S56">
            <v>279371.07</v>
          </cell>
          <cell r="T56">
            <v>709420.62</v>
          </cell>
          <cell r="U56">
            <v>99064.72</v>
          </cell>
          <cell r="V56">
            <v>284824.94</v>
          </cell>
          <cell r="W56">
            <v>180306.35</v>
          </cell>
          <cell r="X56">
            <v>424595.68</v>
          </cell>
          <cell r="Y56">
            <v>180306.35</v>
          </cell>
          <cell r="Z56">
            <v>424595.68</v>
          </cell>
          <cell r="AA56">
            <v>604902.03</v>
          </cell>
          <cell r="AC56">
            <v>12170</v>
          </cell>
          <cell r="AD56">
            <v>0</v>
          </cell>
        </row>
        <row r="57">
          <cell r="S57">
            <v>0</v>
          </cell>
          <cell r="T57">
            <v>0</v>
          </cell>
          <cell r="U57">
            <v>0</v>
          </cell>
          <cell r="V57">
            <v>0</v>
          </cell>
          <cell r="W57">
            <v>0</v>
          </cell>
          <cell r="X57">
            <v>0</v>
          </cell>
          <cell r="Y57">
            <v>0</v>
          </cell>
          <cell r="Z57">
            <v>0</v>
          </cell>
          <cell r="AA57">
            <v>0</v>
          </cell>
          <cell r="AC57">
            <v>0</v>
          </cell>
          <cell r="AD57">
            <v>0</v>
          </cell>
        </row>
        <row r="58">
          <cell r="B58">
            <v>12175</v>
          </cell>
          <cell r="C58" t="str">
            <v>Excise duty on FG Stock (Purchase/Consumption)</v>
          </cell>
          <cell r="D58">
            <v>2166858</v>
          </cell>
          <cell r="E58">
            <v>-4550086</v>
          </cell>
          <cell r="F58">
            <v>2034874</v>
          </cell>
          <cell r="G58">
            <v>-2082529</v>
          </cell>
          <cell r="H58">
            <v>0</v>
          </cell>
          <cell r="I58">
            <v>0</v>
          </cell>
          <cell r="J58">
            <v>0</v>
          </cell>
          <cell r="K58">
            <v>0</v>
          </cell>
          <cell r="L58">
            <v>0</v>
          </cell>
          <cell r="M58">
            <v>0</v>
          </cell>
          <cell r="N58">
            <v>0</v>
          </cell>
          <cell r="O58">
            <v>0</v>
          </cell>
          <cell r="P58">
            <v>4201732</v>
          </cell>
          <cell r="Q58">
            <v>-6632615</v>
          </cell>
          <cell r="S58">
            <v>-2383228</v>
          </cell>
          <cell r="T58">
            <v>-47655</v>
          </cell>
          <cell r="U58">
            <v>-2383228</v>
          </cell>
          <cell r="V58">
            <v>-47655</v>
          </cell>
          <cell r="W58">
            <v>0</v>
          </cell>
          <cell r="X58">
            <v>0</v>
          </cell>
          <cell r="Y58">
            <v>0</v>
          </cell>
          <cell r="Z58">
            <v>0</v>
          </cell>
          <cell r="AA58">
            <v>0</v>
          </cell>
          <cell r="AC58">
            <v>12175</v>
          </cell>
          <cell r="AD58">
            <v>0</v>
          </cell>
        </row>
        <row r="59">
          <cell r="S59">
            <v>0</v>
          </cell>
          <cell r="T59">
            <v>0</v>
          </cell>
          <cell r="U59">
            <v>0</v>
          </cell>
          <cell r="V59">
            <v>0</v>
          </cell>
          <cell r="W59">
            <v>0</v>
          </cell>
          <cell r="X59">
            <v>0</v>
          </cell>
          <cell r="Y59">
            <v>0</v>
          </cell>
          <cell r="Z59">
            <v>0</v>
          </cell>
          <cell r="AA59">
            <v>0</v>
          </cell>
          <cell r="AC59">
            <v>0</v>
          </cell>
          <cell r="AD59">
            <v>0</v>
          </cell>
        </row>
        <row r="60">
          <cell r="B60">
            <v>12209</v>
          </cell>
          <cell r="C60" t="str">
            <v>CLOSING STOCK OF RAW MATL (P&amp;L)</v>
          </cell>
          <cell r="D60">
            <v>1056372</v>
          </cell>
          <cell r="E60">
            <v>-22887534</v>
          </cell>
          <cell r="F60">
            <v>0</v>
          </cell>
          <cell r="G60">
            <v>-81191528.340000004</v>
          </cell>
          <cell r="H60">
            <v>0</v>
          </cell>
          <cell r="I60">
            <v>0</v>
          </cell>
          <cell r="J60">
            <v>0</v>
          </cell>
          <cell r="K60">
            <v>0</v>
          </cell>
          <cell r="L60">
            <v>0</v>
          </cell>
          <cell r="M60">
            <v>0</v>
          </cell>
          <cell r="N60">
            <v>0</v>
          </cell>
          <cell r="O60">
            <v>0</v>
          </cell>
          <cell r="P60">
            <v>1056372</v>
          </cell>
          <cell r="Q60">
            <v>-104079062.34</v>
          </cell>
          <cell r="S60">
            <v>-21831162</v>
          </cell>
          <cell r="T60">
            <v>-81191528.340000004</v>
          </cell>
          <cell r="U60">
            <v>-21831162</v>
          </cell>
          <cell r="V60">
            <v>-43486568.340000004</v>
          </cell>
          <cell r="W60">
            <v>0</v>
          </cell>
          <cell r="X60">
            <v>-37704960</v>
          </cell>
          <cell r="Y60">
            <v>0</v>
          </cell>
          <cell r="Z60">
            <v>-37704960</v>
          </cell>
          <cell r="AA60">
            <v>-37704960</v>
          </cell>
          <cell r="AC60">
            <v>12209</v>
          </cell>
          <cell r="AD60">
            <v>0</v>
          </cell>
        </row>
        <row r="61">
          <cell r="S61">
            <v>0</v>
          </cell>
          <cell r="T61">
            <v>0</v>
          </cell>
          <cell r="U61">
            <v>0</v>
          </cell>
          <cell r="V61">
            <v>0</v>
          </cell>
          <cell r="W61">
            <v>0</v>
          </cell>
          <cell r="X61">
            <v>0</v>
          </cell>
          <cell r="Y61">
            <v>0</v>
          </cell>
          <cell r="Z61">
            <v>0</v>
          </cell>
          <cell r="AA61">
            <v>0</v>
          </cell>
          <cell r="AC61">
            <v>0</v>
          </cell>
          <cell r="AD61">
            <v>0</v>
          </cell>
        </row>
        <row r="62">
          <cell r="B62">
            <v>12221</v>
          </cell>
          <cell r="C62" t="str">
            <v>OPENING STOCK OF PACKING MATERIALS</v>
          </cell>
          <cell r="D62">
            <v>1103807</v>
          </cell>
          <cell r="E62">
            <v>0</v>
          </cell>
          <cell r="F62">
            <v>0</v>
          </cell>
          <cell r="G62">
            <v>0</v>
          </cell>
          <cell r="H62">
            <v>0</v>
          </cell>
          <cell r="I62">
            <v>0</v>
          </cell>
          <cell r="J62">
            <v>0</v>
          </cell>
          <cell r="K62">
            <v>0</v>
          </cell>
          <cell r="L62">
            <v>0</v>
          </cell>
          <cell r="M62">
            <v>0</v>
          </cell>
          <cell r="N62">
            <v>0</v>
          </cell>
          <cell r="O62">
            <v>0</v>
          </cell>
          <cell r="P62">
            <v>1103807</v>
          </cell>
          <cell r="Q62">
            <v>0</v>
          </cell>
          <cell r="S62">
            <v>1103807</v>
          </cell>
          <cell r="T62">
            <v>0</v>
          </cell>
          <cell r="U62">
            <v>1103807</v>
          </cell>
          <cell r="V62">
            <v>0</v>
          </cell>
          <cell r="W62">
            <v>0</v>
          </cell>
          <cell r="X62">
            <v>0</v>
          </cell>
          <cell r="Y62">
            <v>0</v>
          </cell>
          <cell r="Z62">
            <v>0</v>
          </cell>
          <cell r="AA62">
            <v>0</v>
          </cell>
          <cell r="AC62">
            <v>12221</v>
          </cell>
          <cell r="AD62">
            <v>0</v>
          </cell>
        </row>
        <row r="63">
          <cell r="S63">
            <v>0</v>
          </cell>
          <cell r="T63">
            <v>0</v>
          </cell>
          <cell r="U63">
            <v>0</v>
          </cell>
          <cell r="V63">
            <v>0</v>
          </cell>
          <cell r="W63">
            <v>0</v>
          </cell>
          <cell r="X63">
            <v>0</v>
          </cell>
          <cell r="Y63">
            <v>0</v>
          </cell>
          <cell r="Z63">
            <v>0</v>
          </cell>
          <cell r="AA63">
            <v>0</v>
          </cell>
          <cell r="AC63">
            <v>0</v>
          </cell>
          <cell r="AD63">
            <v>0</v>
          </cell>
        </row>
        <row r="64">
          <cell r="B64">
            <v>12225</v>
          </cell>
          <cell r="C64" t="str">
            <v>PACKING MATERIAL CONSUMED</v>
          </cell>
          <cell r="D64">
            <v>1758474.42</v>
          </cell>
          <cell r="E64">
            <v>-799206.74</v>
          </cell>
          <cell r="F64">
            <v>0</v>
          </cell>
          <cell r="G64">
            <v>0</v>
          </cell>
          <cell r="H64">
            <v>0</v>
          </cell>
          <cell r="I64">
            <v>0</v>
          </cell>
          <cell r="J64">
            <v>0</v>
          </cell>
          <cell r="K64">
            <v>0</v>
          </cell>
          <cell r="L64">
            <v>0</v>
          </cell>
          <cell r="M64">
            <v>0</v>
          </cell>
          <cell r="N64">
            <v>0</v>
          </cell>
          <cell r="O64">
            <v>0</v>
          </cell>
          <cell r="P64">
            <v>1758474.42</v>
          </cell>
          <cell r="Q64">
            <v>-799206.74</v>
          </cell>
          <cell r="S64">
            <v>959267.67999999993</v>
          </cell>
          <cell r="T64">
            <v>0</v>
          </cell>
          <cell r="U64">
            <v>0</v>
          </cell>
          <cell r="V64">
            <v>0</v>
          </cell>
          <cell r="W64">
            <v>959267.67999999993</v>
          </cell>
          <cell r="X64">
            <v>0</v>
          </cell>
          <cell r="Y64">
            <v>959267.67999999993</v>
          </cell>
          <cell r="Z64">
            <v>0</v>
          </cell>
          <cell r="AA64">
            <v>959267.67999999993</v>
          </cell>
          <cell r="AC64">
            <v>12225</v>
          </cell>
          <cell r="AD64">
            <v>0</v>
          </cell>
        </row>
        <row r="65">
          <cell r="S65">
            <v>0</v>
          </cell>
          <cell r="T65">
            <v>0</v>
          </cell>
          <cell r="U65">
            <v>0</v>
          </cell>
          <cell r="V65">
            <v>0</v>
          </cell>
          <cell r="W65">
            <v>0</v>
          </cell>
          <cell r="X65">
            <v>0</v>
          </cell>
          <cell r="Y65">
            <v>0</v>
          </cell>
          <cell r="Z65">
            <v>0</v>
          </cell>
          <cell r="AA65">
            <v>0</v>
          </cell>
          <cell r="AC65">
            <v>0</v>
          </cell>
          <cell r="AD65">
            <v>0</v>
          </cell>
        </row>
        <row r="66">
          <cell r="B66">
            <v>12264</v>
          </cell>
          <cell r="C66" t="str">
            <v>CLOSING STOCK OF PACKINGMATL (P&amp;L)</v>
          </cell>
          <cell r="D66">
            <v>0</v>
          </cell>
          <cell r="E66">
            <v>-768697</v>
          </cell>
          <cell r="F66">
            <v>0</v>
          </cell>
          <cell r="G66">
            <v>0</v>
          </cell>
          <cell r="H66">
            <v>0</v>
          </cell>
          <cell r="I66">
            <v>0</v>
          </cell>
          <cell r="J66">
            <v>0</v>
          </cell>
          <cell r="K66">
            <v>0</v>
          </cell>
          <cell r="L66">
            <v>0</v>
          </cell>
          <cell r="M66">
            <v>0</v>
          </cell>
          <cell r="N66">
            <v>0</v>
          </cell>
          <cell r="O66">
            <v>0</v>
          </cell>
          <cell r="P66">
            <v>0</v>
          </cell>
          <cell r="Q66">
            <v>-768697</v>
          </cell>
          <cell r="S66">
            <v>-768697</v>
          </cell>
          <cell r="T66">
            <v>0</v>
          </cell>
          <cell r="U66">
            <v>-768697</v>
          </cell>
          <cell r="V66">
            <v>0</v>
          </cell>
          <cell r="W66">
            <v>0</v>
          </cell>
          <cell r="X66">
            <v>0</v>
          </cell>
          <cell r="Y66">
            <v>0</v>
          </cell>
          <cell r="Z66">
            <v>0</v>
          </cell>
          <cell r="AA66">
            <v>0</v>
          </cell>
          <cell r="AC66">
            <v>12264</v>
          </cell>
          <cell r="AD66">
            <v>0</v>
          </cell>
        </row>
        <row r="67">
          <cell r="S67">
            <v>0</v>
          </cell>
          <cell r="T67">
            <v>0</v>
          </cell>
          <cell r="U67">
            <v>0</v>
          </cell>
          <cell r="V67">
            <v>0</v>
          </cell>
          <cell r="W67">
            <v>0</v>
          </cell>
          <cell r="X67">
            <v>0</v>
          </cell>
          <cell r="Y67">
            <v>0</v>
          </cell>
          <cell r="Z67">
            <v>0</v>
          </cell>
          <cell r="AA67">
            <v>0</v>
          </cell>
          <cell r="AC67">
            <v>0</v>
          </cell>
          <cell r="AD67">
            <v>0</v>
          </cell>
        </row>
        <row r="68">
          <cell r="B68">
            <v>13102</v>
          </cell>
          <cell r="C68" t="str">
            <v>STOCK VALUATION DIFF A/C (WIP)</v>
          </cell>
          <cell r="D68">
            <v>4632379197.3900003</v>
          </cell>
          <cell r="E68">
            <v>-4621020679.6599998</v>
          </cell>
          <cell r="F68">
            <v>10230530274.370001</v>
          </cell>
          <cell r="G68">
            <v>-10231532174.23</v>
          </cell>
          <cell r="H68">
            <v>0.31</v>
          </cell>
          <cell r="I68">
            <v>0</v>
          </cell>
          <cell r="J68">
            <v>1.31</v>
          </cell>
          <cell r="K68">
            <v>-0.92</v>
          </cell>
          <cell r="L68">
            <v>5056.25</v>
          </cell>
          <cell r="M68">
            <v>0</v>
          </cell>
          <cell r="N68">
            <v>196208599.80000001</v>
          </cell>
          <cell r="O68">
            <v>-132172619.14</v>
          </cell>
          <cell r="P68">
            <v>15059118073.18</v>
          </cell>
          <cell r="Q68">
            <v>-14984725473.950001</v>
          </cell>
          <cell r="S68">
            <v>75399554.640000507</v>
          </cell>
          <cell r="T68">
            <v>-1001899.1599987029</v>
          </cell>
          <cell r="U68">
            <v>0</v>
          </cell>
          <cell r="V68">
            <v>0</v>
          </cell>
          <cell r="W68">
            <v>75399554.640000507</v>
          </cell>
          <cell r="X68">
            <v>-1001899.1599987029</v>
          </cell>
          <cell r="Y68">
            <v>75399554.640000507</v>
          </cell>
          <cell r="Z68">
            <v>-1001899.1599987029</v>
          </cell>
          <cell r="AA68">
            <v>74397655.480001807</v>
          </cell>
          <cell r="AC68">
            <v>13102</v>
          </cell>
          <cell r="AD68">
            <v>0</v>
          </cell>
        </row>
        <row r="69">
          <cell r="S69">
            <v>0</v>
          </cell>
          <cell r="T69">
            <v>0</v>
          </cell>
          <cell r="U69">
            <v>0</v>
          </cell>
          <cell r="V69">
            <v>0</v>
          </cell>
          <cell r="W69">
            <v>0</v>
          </cell>
          <cell r="X69">
            <v>0</v>
          </cell>
          <cell r="Y69">
            <v>0</v>
          </cell>
          <cell r="Z69">
            <v>0</v>
          </cell>
          <cell r="AA69">
            <v>0</v>
          </cell>
          <cell r="AC69">
            <v>0</v>
          </cell>
          <cell r="AD69">
            <v>0</v>
          </cell>
        </row>
        <row r="70">
          <cell r="B70">
            <v>13110</v>
          </cell>
          <cell r="C70" t="str">
            <v>OPENING STOCK OF STORES SPARES</v>
          </cell>
          <cell r="D70">
            <v>22107498</v>
          </cell>
          <cell r="E70">
            <v>0</v>
          </cell>
          <cell r="F70">
            <v>9132317</v>
          </cell>
          <cell r="G70">
            <v>0</v>
          </cell>
          <cell r="H70">
            <v>0</v>
          </cell>
          <cell r="I70">
            <v>0</v>
          </cell>
          <cell r="J70">
            <v>0</v>
          </cell>
          <cell r="K70">
            <v>0</v>
          </cell>
          <cell r="L70">
            <v>0</v>
          </cell>
          <cell r="M70">
            <v>0</v>
          </cell>
          <cell r="N70">
            <v>0</v>
          </cell>
          <cell r="O70">
            <v>0</v>
          </cell>
          <cell r="P70">
            <v>31239815</v>
          </cell>
          <cell r="Q70">
            <v>0</v>
          </cell>
          <cell r="S70">
            <v>22107498</v>
          </cell>
          <cell r="T70">
            <v>9132317</v>
          </cell>
          <cell r="U70">
            <v>22107498</v>
          </cell>
          <cell r="V70">
            <v>9132317</v>
          </cell>
          <cell r="W70">
            <v>0</v>
          </cell>
          <cell r="X70">
            <v>0</v>
          </cell>
          <cell r="Y70">
            <v>0</v>
          </cell>
          <cell r="Z70">
            <v>0</v>
          </cell>
          <cell r="AA70">
            <v>0</v>
          </cell>
          <cell r="AC70">
            <v>13110</v>
          </cell>
          <cell r="AD70">
            <v>0</v>
          </cell>
        </row>
        <row r="71">
          <cell r="S71">
            <v>0</v>
          </cell>
          <cell r="T71">
            <v>0</v>
          </cell>
          <cell r="U71">
            <v>0</v>
          </cell>
          <cell r="V71">
            <v>0</v>
          </cell>
          <cell r="W71">
            <v>0</v>
          </cell>
          <cell r="X71">
            <v>0</v>
          </cell>
          <cell r="Y71">
            <v>0</v>
          </cell>
          <cell r="Z71">
            <v>0</v>
          </cell>
          <cell r="AA71">
            <v>0</v>
          </cell>
          <cell r="AC71">
            <v>0</v>
          </cell>
          <cell r="AD71">
            <v>0</v>
          </cell>
        </row>
        <row r="72">
          <cell r="B72">
            <v>13111</v>
          </cell>
          <cell r="C72" t="str">
            <v>STORES, SPARE PARTS, CONSUMABLES CONSUMED</v>
          </cell>
          <cell r="D72">
            <v>71628122.319999993</v>
          </cell>
          <cell r="E72">
            <v>-42019293.799999997</v>
          </cell>
          <cell r="F72">
            <v>18912242.489999998</v>
          </cell>
          <cell r="G72">
            <v>-9717913.9800000004</v>
          </cell>
          <cell r="H72">
            <v>117522.3</v>
          </cell>
          <cell r="I72">
            <v>-217698.38</v>
          </cell>
          <cell r="J72">
            <v>0</v>
          </cell>
          <cell r="K72">
            <v>0</v>
          </cell>
          <cell r="L72">
            <v>0</v>
          </cell>
          <cell r="M72">
            <v>0</v>
          </cell>
          <cell r="N72">
            <v>37225.22</v>
          </cell>
          <cell r="O72">
            <v>-1811.04</v>
          </cell>
          <cell r="P72">
            <v>90695112.329999998</v>
          </cell>
          <cell r="Q72">
            <v>-51956717.200000003</v>
          </cell>
          <cell r="S72">
            <v>29644242.699999996</v>
          </cell>
          <cell r="T72">
            <v>9094152.4299999978</v>
          </cell>
          <cell r="U72">
            <v>0</v>
          </cell>
          <cell r="V72">
            <v>0</v>
          </cell>
          <cell r="W72">
            <v>29644242.699999996</v>
          </cell>
          <cell r="X72">
            <v>9094152.4299999978</v>
          </cell>
          <cell r="Y72">
            <v>29644242.699999996</v>
          </cell>
          <cell r="Z72">
            <v>9094152.4299999978</v>
          </cell>
          <cell r="AA72">
            <v>38738395.129999995</v>
          </cell>
          <cell r="AC72">
            <v>13111</v>
          </cell>
          <cell r="AD72">
            <v>0</v>
          </cell>
        </row>
        <row r="73">
          <cell r="S73">
            <v>0</v>
          </cell>
          <cell r="T73">
            <v>0</v>
          </cell>
          <cell r="U73">
            <v>0</v>
          </cell>
          <cell r="V73">
            <v>0</v>
          </cell>
          <cell r="W73">
            <v>0</v>
          </cell>
          <cell r="X73">
            <v>0</v>
          </cell>
          <cell r="Y73">
            <v>0</v>
          </cell>
          <cell r="Z73">
            <v>0</v>
          </cell>
          <cell r="AA73">
            <v>0</v>
          </cell>
          <cell r="AC73">
            <v>0</v>
          </cell>
          <cell r="AD73">
            <v>0</v>
          </cell>
        </row>
        <row r="74">
          <cell r="B74">
            <v>13115</v>
          </cell>
          <cell r="C74" t="str">
            <v>OTHER MANUFACTURING EXP/ SERVICES (6250)</v>
          </cell>
          <cell r="D74">
            <v>2893971.95</v>
          </cell>
          <cell r="E74">
            <v>-15257</v>
          </cell>
          <cell r="F74">
            <v>12966946.68</v>
          </cell>
          <cell r="G74">
            <v>-7248430.21</v>
          </cell>
          <cell r="H74">
            <v>0</v>
          </cell>
          <cell r="I74">
            <v>-61500</v>
          </cell>
          <cell r="J74">
            <v>0</v>
          </cell>
          <cell r="K74">
            <v>0</v>
          </cell>
          <cell r="L74">
            <v>10530</v>
          </cell>
          <cell r="M74">
            <v>0</v>
          </cell>
          <cell r="N74">
            <v>0</v>
          </cell>
          <cell r="O74">
            <v>0</v>
          </cell>
          <cell r="P74">
            <v>15860918.630000001</v>
          </cell>
          <cell r="Q74">
            <v>-7325187.21</v>
          </cell>
          <cell r="S74">
            <v>2889244.95</v>
          </cell>
          <cell r="T74">
            <v>5657016.4699999997</v>
          </cell>
          <cell r="U74">
            <v>1912581.7</v>
          </cell>
          <cell r="V74">
            <v>2153750</v>
          </cell>
          <cell r="W74">
            <v>976663.25000000023</v>
          </cell>
          <cell r="X74">
            <v>3503266.4699999997</v>
          </cell>
          <cell r="Y74">
            <v>976663.25000000023</v>
          </cell>
          <cell r="Z74">
            <v>3503266.4699999997</v>
          </cell>
          <cell r="AA74">
            <v>4479929.72</v>
          </cell>
          <cell r="AC74">
            <v>13115</v>
          </cell>
          <cell r="AD74">
            <v>0</v>
          </cell>
        </row>
        <row r="75">
          <cell r="S75">
            <v>0</v>
          </cell>
          <cell r="T75">
            <v>0</v>
          </cell>
          <cell r="U75">
            <v>0</v>
          </cell>
          <cell r="V75">
            <v>0</v>
          </cell>
          <cell r="W75">
            <v>0</v>
          </cell>
          <cell r="X75">
            <v>0</v>
          </cell>
          <cell r="Y75">
            <v>0</v>
          </cell>
          <cell r="Z75">
            <v>0</v>
          </cell>
          <cell r="AA75">
            <v>0</v>
          </cell>
          <cell r="AC75">
            <v>0</v>
          </cell>
          <cell r="AD75">
            <v>0</v>
          </cell>
        </row>
        <row r="76">
          <cell r="E76" t="str">
            <v>SDCT</v>
          </cell>
          <cell r="F76" t="str">
            <v>PCDT</v>
          </cell>
          <cell r="G76" t="str">
            <v>PCDC</v>
          </cell>
          <cell r="I76" t="str">
            <v>PCDN</v>
          </cell>
          <cell r="K76" t="str">
            <v>CORP</v>
          </cell>
          <cell r="M76" t="str">
            <v>OTHER</v>
          </cell>
          <cell r="O76" t="str">
            <v>TOTAL</v>
          </cell>
          <cell r="U76">
            <v>0</v>
          </cell>
          <cell r="V76">
            <v>0</v>
          </cell>
          <cell r="W76">
            <v>0</v>
          </cell>
          <cell r="X76">
            <v>0</v>
          </cell>
          <cell r="Y76">
            <v>0</v>
          </cell>
          <cell r="Z76">
            <v>0</v>
          </cell>
          <cell r="AA76">
            <v>0</v>
          </cell>
          <cell r="AC76">
            <v>0</v>
          </cell>
          <cell r="AD76">
            <v>0</v>
          </cell>
        </row>
        <row r="77">
          <cell r="B77" t="str">
            <v>GL CODE</v>
          </cell>
          <cell r="C77" t="str">
            <v>ACCOUNT HEAD</v>
          </cell>
          <cell r="S77">
            <v>0</v>
          </cell>
          <cell r="T77">
            <v>0</v>
          </cell>
          <cell r="U77" t="str">
            <v>SDCT</v>
          </cell>
          <cell r="V77" t="str">
            <v>PCDT</v>
          </cell>
          <cell r="Y77">
            <v>0</v>
          </cell>
          <cell r="Z77">
            <v>0</v>
          </cell>
          <cell r="AA77">
            <v>0</v>
          </cell>
          <cell r="AC77">
            <v>0</v>
          </cell>
          <cell r="AD77" t="e">
            <v>#VALUE!</v>
          </cell>
        </row>
        <row r="78">
          <cell r="S78">
            <v>0</v>
          </cell>
          <cell r="T78">
            <v>0</v>
          </cell>
          <cell r="U78">
            <v>0</v>
          </cell>
          <cell r="V78">
            <v>0</v>
          </cell>
          <cell r="W78">
            <v>0</v>
          </cell>
          <cell r="X78">
            <v>0</v>
          </cell>
          <cell r="Y78">
            <v>0</v>
          </cell>
          <cell r="Z78">
            <v>0</v>
          </cell>
          <cell r="AA78">
            <v>0</v>
          </cell>
          <cell r="AC78">
            <v>0</v>
          </cell>
          <cell r="AD78">
            <v>0</v>
          </cell>
        </row>
        <row r="79">
          <cell r="D79" t="str">
            <v>DR.</v>
          </cell>
          <cell r="E79" t="str">
            <v>CR.</v>
          </cell>
          <cell r="F79" t="str">
            <v>DR.</v>
          </cell>
          <cell r="G79" t="str">
            <v>CR.</v>
          </cell>
          <cell r="H79" t="str">
            <v>DR.</v>
          </cell>
          <cell r="I79" t="str">
            <v>CR.</v>
          </cell>
          <cell r="J79" t="str">
            <v>DR.</v>
          </cell>
          <cell r="K79" t="str">
            <v>CR.</v>
          </cell>
          <cell r="L79" t="str">
            <v>DR.</v>
          </cell>
          <cell r="M79" t="str">
            <v>CR.</v>
          </cell>
          <cell r="N79" t="str">
            <v>DR.</v>
          </cell>
          <cell r="O79" t="str">
            <v>CR.</v>
          </cell>
          <cell r="P79" t="str">
            <v>DR.</v>
          </cell>
          <cell r="Q79" t="str">
            <v>CR.</v>
          </cell>
          <cell r="U79">
            <v>0</v>
          </cell>
          <cell r="V79">
            <v>0</v>
          </cell>
          <cell r="W79">
            <v>0</v>
          </cell>
          <cell r="X79">
            <v>0</v>
          </cell>
          <cell r="Y79">
            <v>0</v>
          </cell>
          <cell r="Z79">
            <v>0</v>
          </cell>
          <cell r="AA79">
            <v>0</v>
          </cell>
          <cell r="AC79">
            <v>0</v>
          </cell>
          <cell r="AD79">
            <v>0</v>
          </cell>
        </row>
        <row r="80">
          <cell r="S80">
            <v>0</v>
          </cell>
          <cell r="T80">
            <v>0</v>
          </cell>
          <cell r="U80">
            <v>0</v>
          </cell>
          <cell r="V80">
            <v>0</v>
          </cell>
          <cell r="W80">
            <v>0</v>
          </cell>
          <cell r="X80">
            <v>0</v>
          </cell>
          <cell r="Y80">
            <v>0</v>
          </cell>
          <cell r="Z80">
            <v>0</v>
          </cell>
          <cell r="AA80">
            <v>0</v>
          </cell>
          <cell r="AC80">
            <v>0</v>
          </cell>
          <cell r="AD80">
            <v>0</v>
          </cell>
        </row>
        <row r="81">
          <cell r="S81">
            <v>0</v>
          </cell>
          <cell r="T81">
            <v>0</v>
          </cell>
          <cell r="U81">
            <v>0</v>
          </cell>
          <cell r="V81">
            <v>0</v>
          </cell>
          <cell r="W81">
            <v>0</v>
          </cell>
          <cell r="X81">
            <v>0</v>
          </cell>
          <cell r="Y81">
            <v>0</v>
          </cell>
          <cell r="Z81">
            <v>0</v>
          </cell>
          <cell r="AA81">
            <v>0</v>
          </cell>
          <cell r="AC81">
            <v>0</v>
          </cell>
          <cell r="AD81">
            <v>0</v>
          </cell>
        </row>
        <row r="82">
          <cell r="B82">
            <v>13117</v>
          </cell>
          <cell r="C82" t="str">
            <v>CLOSING STOCK OF STORES SPARES (P&amp;L)</v>
          </cell>
          <cell r="D82">
            <v>14500226</v>
          </cell>
          <cell r="E82">
            <v>-40161102</v>
          </cell>
          <cell r="F82">
            <v>1309337.08</v>
          </cell>
          <cell r="G82">
            <v>-12248982.93</v>
          </cell>
          <cell r="H82">
            <v>0</v>
          </cell>
          <cell r="I82">
            <v>0</v>
          </cell>
          <cell r="J82">
            <v>0</v>
          </cell>
          <cell r="K82">
            <v>0</v>
          </cell>
          <cell r="L82">
            <v>0</v>
          </cell>
          <cell r="M82">
            <v>0</v>
          </cell>
          <cell r="N82">
            <v>0</v>
          </cell>
          <cell r="O82">
            <v>0</v>
          </cell>
          <cell r="P82">
            <v>15809563.08</v>
          </cell>
          <cell r="Q82">
            <v>-52410084.93</v>
          </cell>
          <cell r="S82">
            <v>-25660876</v>
          </cell>
          <cell r="T82">
            <v>-10939645.85</v>
          </cell>
          <cell r="U82">
            <v>-25660876</v>
          </cell>
          <cell r="V82">
            <v>-10939645.85</v>
          </cell>
          <cell r="W82">
            <v>0</v>
          </cell>
          <cell r="X82">
            <v>0</v>
          </cell>
          <cell r="Y82">
            <v>0</v>
          </cell>
          <cell r="Z82">
            <v>0</v>
          </cell>
          <cell r="AA82">
            <v>0</v>
          </cell>
          <cell r="AC82">
            <v>13117</v>
          </cell>
          <cell r="AD82">
            <v>0</v>
          </cell>
        </row>
        <row r="83">
          <cell r="S83">
            <v>0</v>
          </cell>
          <cell r="T83">
            <v>0</v>
          </cell>
          <cell r="U83">
            <v>0</v>
          </cell>
          <cell r="V83">
            <v>0</v>
          </cell>
          <cell r="W83">
            <v>0</v>
          </cell>
          <cell r="X83">
            <v>0</v>
          </cell>
          <cell r="Y83">
            <v>0</v>
          </cell>
          <cell r="Z83">
            <v>0</v>
          </cell>
          <cell r="AA83">
            <v>0</v>
          </cell>
          <cell r="AC83">
            <v>0</v>
          </cell>
          <cell r="AD83">
            <v>0</v>
          </cell>
        </row>
        <row r="84">
          <cell r="B84">
            <v>13121</v>
          </cell>
          <cell r="C84" t="str">
            <v>POWER (FACTORY) (6210)</v>
          </cell>
          <cell r="D84">
            <v>78696025.890000001</v>
          </cell>
          <cell r="E84">
            <v>-12246964.789999999</v>
          </cell>
          <cell r="F84">
            <v>169217653</v>
          </cell>
          <cell r="G84">
            <v>-19197044</v>
          </cell>
          <cell r="H84">
            <v>0</v>
          </cell>
          <cell r="I84">
            <v>0</v>
          </cell>
          <cell r="J84">
            <v>0</v>
          </cell>
          <cell r="K84">
            <v>0</v>
          </cell>
          <cell r="L84">
            <v>34299</v>
          </cell>
          <cell r="M84">
            <v>0</v>
          </cell>
          <cell r="N84">
            <v>0</v>
          </cell>
          <cell r="O84">
            <v>0</v>
          </cell>
          <cell r="P84">
            <v>247913678.88999999</v>
          </cell>
          <cell r="Q84">
            <v>-31444008.789999999</v>
          </cell>
          <cell r="S84">
            <v>66483360.100000001</v>
          </cell>
          <cell r="T84">
            <v>150020609</v>
          </cell>
          <cell r="U84">
            <v>39469372.100000001</v>
          </cell>
          <cell r="V84">
            <v>89105733</v>
          </cell>
          <cell r="W84">
            <v>27013988</v>
          </cell>
          <cell r="X84">
            <v>60914876</v>
          </cell>
          <cell r="Y84">
            <v>27013988</v>
          </cell>
          <cell r="Z84">
            <v>60914876</v>
          </cell>
          <cell r="AA84">
            <v>87928864</v>
          </cell>
          <cell r="AC84">
            <v>13121</v>
          </cell>
          <cell r="AD84">
            <v>0</v>
          </cell>
        </row>
        <row r="85">
          <cell r="S85">
            <v>0</v>
          </cell>
          <cell r="T85">
            <v>0</v>
          </cell>
          <cell r="U85">
            <v>0</v>
          </cell>
          <cell r="V85">
            <v>0</v>
          </cell>
          <cell r="W85">
            <v>0</v>
          </cell>
          <cell r="X85">
            <v>0</v>
          </cell>
          <cell r="Y85">
            <v>0</v>
          </cell>
          <cell r="Z85">
            <v>0</v>
          </cell>
          <cell r="AA85">
            <v>0</v>
          </cell>
          <cell r="AC85">
            <v>0</v>
          </cell>
          <cell r="AD85">
            <v>0</v>
          </cell>
        </row>
        <row r="86">
          <cell r="B86">
            <v>13124</v>
          </cell>
          <cell r="C86" t="str">
            <v>POWER (OFFICE)</v>
          </cell>
          <cell r="D86">
            <v>0</v>
          </cell>
          <cell r="E86">
            <v>0</v>
          </cell>
          <cell r="F86">
            <v>2900</v>
          </cell>
          <cell r="G86">
            <v>0</v>
          </cell>
          <cell r="H86">
            <v>0</v>
          </cell>
          <cell r="I86">
            <v>0</v>
          </cell>
          <cell r="J86">
            <v>0</v>
          </cell>
          <cell r="K86">
            <v>0</v>
          </cell>
          <cell r="L86">
            <v>527601</v>
          </cell>
          <cell r="M86">
            <v>-45660</v>
          </cell>
          <cell r="N86">
            <v>0</v>
          </cell>
          <cell r="O86">
            <v>0</v>
          </cell>
          <cell r="P86">
            <v>2900</v>
          </cell>
          <cell r="Q86">
            <v>0</v>
          </cell>
          <cell r="S86">
            <v>481941</v>
          </cell>
          <cell r="T86">
            <v>2900</v>
          </cell>
          <cell r="U86">
            <v>192558</v>
          </cell>
          <cell r="V86">
            <v>0</v>
          </cell>
          <cell r="W86">
            <v>289383</v>
          </cell>
          <cell r="X86">
            <v>2900</v>
          </cell>
          <cell r="Y86">
            <v>289383</v>
          </cell>
          <cell r="Z86">
            <v>2900</v>
          </cell>
          <cell r="AA86">
            <v>292283</v>
          </cell>
          <cell r="AC86">
            <v>13124</v>
          </cell>
          <cell r="AD86">
            <v>0</v>
          </cell>
        </row>
        <row r="87">
          <cell r="S87">
            <v>0</v>
          </cell>
          <cell r="T87">
            <v>0</v>
          </cell>
          <cell r="U87">
            <v>0</v>
          </cell>
          <cell r="V87">
            <v>0</v>
          </cell>
          <cell r="W87">
            <v>0</v>
          </cell>
          <cell r="X87">
            <v>0</v>
          </cell>
          <cell r="Y87">
            <v>0</v>
          </cell>
          <cell r="Z87">
            <v>0</v>
          </cell>
          <cell r="AA87">
            <v>0</v>
          </cell>
          <cell r="AC87">
            <v>0</v>
          </cell>
          <cell r="AD87">
            <v>0</v>
          </cell>
        </row>
        <row r="88">
          <cell r="B88">
            <v>13132</v>
          </cell>
          <cell r="C88" t="str">
            <v>REPAIRS &amp; MAINT - PLANT &amp; MACHINERY (6310)</v>
          </cell>
          <cell r="D88">
            <v>12182573.949999999</v>
          </cell>
          <cell r="E88">
            <v>-112502.94</v>
          </cell>
          <cell r="F88">
            <v>10699031</v>
          </cell>
          <cell r="G88">
            <v>-835624.87</v>
          </cell>
          <cell r="H88">
            <v>0</v>
          </cell>
          <cell r="I88">
            <v>0</v>
          </cell>
          <cell r="J88">
            <v>0</v>
          </cell>
          <cell r="K88">
            <v>0</v>
          </cell>
          <cell r="L88">
            <v>203954</v>
          </cell>
          <cell r="M88">
            <v>-108000</v>
          </cell>
          <cell r="N88">
            <v>0</v>
          </cell>
          <cell r="O88">
            <v>0</v>
          </cell>
          <cell r="P88">
            <v>22881604.949999999</v>
          </cell>
          <cell r="Q88">
            <v>-948127.81</v>
          </cell>
          <cell r="S88">
            <v>12166025.01</v>
          </cell>
          <cell r="T88">
            <v>9863406.1300000008</v>
          </cell>
          <cell r="U88">
            <v>5773422.1600000001</v>
          </cell>
          <cell r="V88">
            <v>5063249.13</v>
          </cell>
          <cell r="W88">
            <v>6392602.8499999996</v>
          </cell>
          <cell r="X88">
            <v>4800157.0000000009</v>
          </cell>
          <cell r="Y88">
            <v>6392602.8499999996</v>
          </cell>
          <cell r="Z88">
            <v>4800157.0000000009</v>
          </cell>
          <cell r="AA88">
            <v>11192759.850000001</v>
          </cell>
          <cell r="AC88">
            <v>13132</v>
          </cell>
          <cell r="AD88">
            <v>0</v>
          </cell>
        </row>
        <row r="89">
          <cell r="S89">
            <v>0</v>
          </cell>
          <cell r="T89">
            <v>0</v>
          </cell>
          <cell r="U89">
            <v>0</v>
          </cell>
          <cell r="V89">
            <v>0</v>
          </cell>
          <cell r="W89">
            <v>0</v>
          </cell>
          <cell r="X89">
            <v>0</v>
          </cell>
          <cell r="Y89">
            <v>0</v>
          </cell>
          <cell r="Z89">
            <v>0</v>
          </cell>
          <cell r="AA89">
            <v>0</v>
          </cell>
          <cell r="AC89">
            <v>0</v>
          </cell>
          <cell r="AD89">
            <v>0</v>
          </cell>
        </row>
        <row r="90">
          <cell r="B90">
            <v>13137</v>
          </cell>
          <cell r="C90" t="str">
            <v>REPAIRS &amp; MAINT - BUILDING (6320)</v>
          </cell>
          <cell r="D90">
            <v>1881936.1</v>
          </cell>
          <cell r="E90">
            <v>-39710</v>
          </cell>
          <cell r="F90">
            <v>3004161.38</v>
          </cell>
          <cell r="G90">
            <v>-114300.19</v>
          </cell>
          <cell r="H90">
            <v>0</v>
          </cell>
          <cell r="I90">
            <v>0</v>
          </cell>
          <cell r="J90">
            <v>0</v>
          </cell>
          <cell r="K90">
            <v>0</v>
          </cell>
          <cell r="L90">
            <v>118822</v>
          </cell>
          <cell r="M90">
            <v>-1500</v>
          </cell>
          <cell r="N90">
            <v>0</v>
          </cell>
          <cell r="O90">
            <v>0</v>
          </cell>
          <cell r="P90">
            <v>4886097.4800000004</v>
          </cell>
          <cell r="Q90">
            <v>-154010.19</v>
          </cell>
          <cell r="S90">
            <v>1959548.1</v>
          </cell>
          <cell r="T90">
            <v>2889861.19</v>
          </cell>
          <cell r="U90">
            <v>786056.8</v>
          </cell>
          <cell r="V90">
            <v>1515632.19</v>
          </cell>
          <cell r="W90">
            <v>1173491.3</v>
          </cell>
          <cell r="X90">
            <v>1374229</v>
          </cell>
          <cell r="Y90">
            <v>1173491.3</v>
          </cell>
          <cell r="Z90">
            <v>1374229</v>
          </cell>
          <cell r="AA90">
            <v>2547720.2999999998</v>
          </cell>
          <cell r="AC90">
            <v>13137</v>
          </cell>
          <cell r="AD90">
            <v>0</v>
          </cell>
        </row>
        <row r="91">
          <cell r="S91">
            <v>0</v>
          </cell>
          <cell r="T91">
            <v>0</v>
          </cell>
          <cell r="U91">
            <v>0</v>
          </cell>
          <cell r="V91">
            <v>0</v>
          </cell>
          <cell r="W91">
            <v>0</v>
          </cell>
          <cell r="X91">
            <v>0</v>
          </cell>
          <cell r="Y91">
            <v>0</v>
          </cell>
          <cell r="Z91">
            <v>0</v>
          </cell>
          <cell r="AA91">
            <v>0</v>
          </cell>
          <cell r="AC91">
            <v>0</v>
          </cell>
          <cell r="AD91">
            <v>0</v>
          </cell>
        </row>
        <row r="92">
          <cell r="B92">
            <v>13139</v>
          </cell>
          <cell r="C92" t="str">
            <v>GARDEN MAINT.(7473)</v>
          </cell>
          <cell r="D92">
            <v>4350</v>
          </cell>
          <cell r="E92">
            <v>0</v>
          </cell>
          <cell r="F92">
            <v>0</v>
          </cell>
          <cell r="G92">
            <v>0</v>
          </cell>
          <cell r="H92">
            <v>0</v>
          </cell>
          <cell r="I92">
            <v>0</v>
          </cell>
          <cell r="J92">
            <v>0</v>
          </cell>
          <cell r="K92">
            <v>0</v>
          </cell>
          <cell r="L92">
            <v>130663</v>
          </cell>
          <cell r="M92">
            <v>0</v>
          </cell>
          <cell r="N92">
            <v>0</v>
          </cell>
          <cell r="O92">
            <v>0</v>
          </cell>
          <cell r="P92">
            <v>4350</v>
          </cell>
          <cell r="Q92">
            <v>0</v>
          </cell>
          <cell r="S92">
            <v>135013</v>
          </cell>
          <cell r="T92">
            <v>0</v>
          </cell>
          <cell r="U92">
            <v>85088</v>
          </cell>
          <cell r="V92">
            <v>0</v>
          </cell>
          <cell r="W92">
            <v>49925</v>
          </cell>
          <cell r="X92">
            <v>0</v>
          </cell>
          <cell r="Y92">
            <v>49925</v>
          </cell>
          <cell r="Z92">
            <v>0</v>
          </cell>
          <cell r="AA92">
            <v>49925</v>
          </cell>
          <cell r="AC92">
            <v>13139</v>
          </cell>
          <cell r="AD92">
            <v>0</v>
          </cell>
        </row>
        <row r="93">
          <cell r="S93">
            <v>0</v>
          </cell>
          <cell r="T93">
            <v>0</v>
          </cell>
          <cell r="U93">
            <v>0</v>
          </cell>
          <cell r="V93">
            <v>0</v>
          </cell>
          <cell r="W93">
            <v>0</v>
          </cell>
          <cell r="X93">
            <v>0</v>
          </cell>
          <cell r="Y93">
            <v>0</v>
          </cell>
          <cell r="Z93">
            <v>0</v>
          </cell>
          <cell r="AA93">
            <v>0</v>
          </cell>
          <cell r="AC93">
            <v>0</v>
          </cell>
          <cell r="AD93">
            <v>0</v>
          </cell>
        </row>
        <row r="94">
          <cell r="B94">
            <v>13141</v>
          </cell>
          <cell r="C94" t="str">
            <v>REPAIRS TO FURNITURE /EQUIPMENT(6315)</v>
          </cell>
          <cell r="D94">
            <v>11952</v>
          </cell>
          <cell r="E94">
            <v>-10509</v>
          </cell>
          <cell r="F94">
            <v>40676.5</v>
          </cell>
          <cell r="G94">
            <v>-21620</v>
          </cell>
          <cell r="H94">
            <v>0</v>
          </cell>
          <cell r="I94">
            <v>0</v>
          </cell>
          <cell r="J94">
            <v>0</v>
          </cell>
          <cell r="K94">
            <v>0</v>
          </cell>
          <cell r="L94">
            <v>21114</v>
          </cell>
          <cell r="M94">
            <v>-11976</v>
          </cell>
          <cell r="N94">
            <v>0</v>
          </cell>
          <cell r="O94">
            <v>0</v>
          </cell>
          <cell r="P94">
            <v>52628.5</v>
          </cell>
          <cell r="Q94">
            <v>-32129</v>
          </cell>
          <cell r="S94">
            <v>10581</v>
          </cell>
          <cell r="T94">
            <v>19056.5</v>
          </cell>
          <cell r="U94">
            <v>1762</v>
          </cell>
          <cell r="V94">
            <v>14054.5</v>
          </cell>
          <cell r="W94">
            <v>8819</v>
          </cell>
          <cell r="X94">
            <v>5002</v>
          </cell>
          <cell r="Y94">
            <v>8819</v>
          </cell>
          <cell r="Z94">
            <v>5002</v>
          </cell>
          <cell r="AA94">
            <v>13821</v>
          </cell>
          <cell r="AC94">
            <v>13141</v>
          </cell>
          <cell r="AD94">
            <v>0</v>
          </cell>
        </row>
        <row r="95">
          <cell r="S95">
            <v>0</v>
          </cell>
          <cell r="T95">
            <v>0</v>
          </cell>
          <cell r="U95">
            <v>0</v>
          </cell>
          <cell r="V95">
            <v>0</v>
          </cell>
          <cell r="W95">
            <v>0</v>
          </cell>
          <cell r="X95">
            <v>0</v>
          </cell>
          <cell r="Y95">
            <v>0</v>
          </cell>
          <cell r="Z95">
            <v>0</v>
          </cell>
          <cell r="AA95">
            <v>0</v>
          </cell>
          <cell r="AC95">
            <v>0</v>
          </cell>
          <cell r="AD95">
            <v>0</v>
          </cell>
        </row>
        <row r="96">
          <cell r="B96">
            <v>13146</v>
          </cell>
          <cell r="C96" t="str">
            <v>REPAIRS &amp; MAINT - ELECTRICALS (6330)</v>
          </cell>
          <cell r="D96">
            <v>43845</v>
          </cell>
          <cell r="E96">
            <v>-278.10000000000002</v>
          </cell>
          <cell r="F96">
            <v>115638</v>
          </cell>
          <cell r="G96">
            <v>0</v>
          </cell>
          <cell r="H96">
            <v>0</v>
          </cell>
          <cell r="I96">
            <v>0</v>
          </cell>
          <cell r="J96">
            <v>0</v>
          </cell>
          <cell r="K96">
            <v>0</v>
          </cell>
          <cell r="L96">
            <v>12690</v>
          </cell>
          <cell r="M96">
            <v>0</v>
          </cell>
          <cell r="N96">
            <v>0</v>
          </cell>
          <cell r="O96">
            <v>0</v>
          </cell>
          <cell r="P96">
            <v>159483</v>
          </cell>
          <cell r="Q96">
            <v>-278.10000000000002</v>
          </cell>
          <cell r="S96">
            <v>56256.9</v>
          </cell>
          <cell r="T96">
            <v>115638</v>
          </cell>
          <cell r="U96">
            <v>53546.9</v>
          </cell>
          <cell r="V96">
            <v>104853</v>
          </cell>
          <cell r="W96">
            <v>2710</v>
          </cell>
          <cell r="X96">
            <v>10785</v>
          </cell>
          <cell r="Y96">
            <v>2710</v>
          </cell>
          <cell r="Z96">
            <v>10785</v>
          </cell>
          <cell r="AA96">
            <v>13495</v>
          </cell>
          <cell r="AC96">
            <v>13146</v>
          </cell>
          <cell r="AD96">
            <v>0</v>
          </cell>
        </row>
        <row r="97">
          <cell r="S97">
            <v>0</v>
          </cell>
          <cell r="T97">
            <v>0</v>
          </cell>
          <cell r="U97">
            <v>0</v>
          </cell>
          <cell r="V97">
            <v>0</v>
          </cell>
          <cell r="W97">
            <v>0</v>
          </cell>
          <cell r="X97">
            <v>0</v>
          </cell>
          <cell r="Y97">
            <v>0</v>
          </cell>
          <cell r="Z97">
            <v>0</v>
          </cell>
          <cell r="AA97">
            <v>0</v>
          </cell>
          <cell r="AC97">
            <v>0</v>
          </cell>
          <cell r="AD97">
            <v>0</v>
          </cell>
        </row>
        <row r="98">
          <cell r="B98">
            <v>13148</v>
          </cell>
          <cell r="C98" t="str">
            <v>REPAIRS &amp; MAINT - OTHERS (6340)</v>
          </cell>
          <cell r="D98">
            <v>511989</v>
          </cell>
          <cell r="E98">
            <v>-13549</v>
          </cell>
          <cell r="F98">
            <v>90343</v>
          </cell>
          <cell r="G98">
            <v>-1096</v>
          </cell>
          <cell r="H98">
            <v>0</v>
          </cell>
          <cell r="I98">
            <v>0</v>
          </cell>
          <cell r="J98">
            <v>0</v>
          </cell>
          <cell r="K98">
            <v>0</v>
          </cell>
          <cell r="L98">
            <v>2108818</v>
          </cell>
          <cell r="M98">
            <v>-1899906</v>
          </cell>
          <cell r="N98">
            <v>0</v>
          </cell>
          <cell r="O98">
            <v>0</v>
          </cell>
          <cell r="P98">
            <v>602332</v>
          </cell>
          <cell r="Q98">
            <v>-14645</v>
          </cell>
          <cell r="S98">
            <v>707352</v>
          </cell>
          <cell r="T98">
            <v>89247</v>
          </cell>
          <cell r="U98">
            <v>671702</v>
          </cell>
          <cell r="V98">
            <v>75597</v>
          </cell>
          <cell r="W98">
            <v>35650</v>
          </cell>
          <cell r="X98">
            <v>13650</v>
          </cell>
          <cell r="Y98">
            <v>35650</v>
          </cell>
          <cell r="Z98">
            <v>13650</v>
          </cell>
          <cell r="AA98">
            <v>49300</v>
          </cell>
          <cell r="AC98">
            <v>13148</v>
          </cell>
          <cell r="AD98">
            <v>0</v>
          </cell>
        </row>
        <row r="99">
          <cell r="S99">
            <v>0</v>
          </cell>
          <cell r="T99">
            <v>0</v>
          </cell>
          <cell r="U99">
            <v>0</v>
          </cell>
          <cell r="V99">
            <v>0</v>
          </cell>
          <cell r="W99">
            <v>0</v>
          </cell>
          <cell r="X99">
            <v>0</v>
          </cell>
          <cell r="Y99">
            <v>0</v>
          </cell>
          <cell r="Z99">
            <v>0</v>
          </cell>
          <cell r="AA99">
            <v>0</v>
          </cell>
          <cell r="AC99">
            <v>0</v>
          </cell>
          <cell r="AD99">
            <v>0</v>
          </cell>
        </row>
        <row r="100">
          <cell r="B100">
            <v>13204</v>
          </cell>
          <cell r="C100" t="str">
            <v>SALARIES, WAGES, BONUS ETC.(OFFICERS) (6410,12,15,20-2,</v>
          </cell>
          <cell r="D100">
            <v>10957595.539999999</v>
          </cell>
          <cell r="E100">
            <v>-91044</v>
          </cell>
          <cell r="F100">
            <v>18181049.789999999</v>
          </cell>
          <cell r="G100">
            <v>-1873315</v>
          </cell>
          <cell r="H100">
            <v>0</v>
          </cell>
          <cell r="I100">
            <v>0</v>
          </cell>
          <cell r="J100">
            <v>0</v>
          </cell>
          <cell r="K100">
            <v>0</v>
          </cell>
          <cell r="L100">
            <v>15425935.289999999</v>
          </cell>
          <cell r="M100">
            <v>-131510</v>
          </cell>
          <cell r="N100">
            <v>0</v>
          </cell>
          <cell r="O100">
            <v>0</v>
          </cell>
          <cell r="P100">
            <v>29138645.329999998</v>
          </cell>
          <cell r="Q100">
            <v>-1964359</v>
          </cell>
          <cell r="S100">
            <v>26160976.829999998</v>
          </cell>
          <cell r="T100">
            <v>16307734.789999999</v>
          </cell>
          <cell r="U100">
            <v>26004956.66</v>
          </cell>
          <cell r="V100">
            <v>16212189.789999999</v>
          </cell>
          <cell r="W100">
            <v>156020.16999999806</v>
          </cell>
          <cell r="X100">
            <v>95545</v>
          </cell>
          <cell r="Y100">
            <v>156020.16999999806</v>
          </cell>
          <cell r="Z100">
            <v>95545</v>
          </cell>
          <cell r="AA100">
            <v>251565.16999999806</v>
          </cell>
          <cell r="AC100">
            <v>13204</v>
          </cell>
          <cell r="AD100">
            <v>0</v>
          </cell>
        </row>
        <row r="101">
          <cell r="S101">
            <v>0</v>
          </cell>
          <cell r="T101">
            <v>0</v>
          </cell>
          <cell r="U101">
            <v>0</v>
          </cell>
          <cell r="V101">
            <v>0</v>
          </cell>
          <cell r="W101">
            <v>0</v>
          </cell>
          <cell r="X101">
            <v>0</v>
          </cell>
          <cell r="Y101">
            <v>0</v>
          </cell>
          <cell r="Z101">
            <v>0</v>
          </cell>
          <cell r="AA101">
            <v>0</v>
          </cell>
          <cell r="AC101">
            <v>0</v>
          </cell>
          <cell r="AD101">
            <v>0</v>
          </cell>
        </row>
        <row r="102">
          <cell r="B102">
            <v>13207</v>
          </cell>
          <cell r="C102" t="str">
            <v>LEAVE TRAVEL ASSISTANCE (OFFICERS) (6435)</v>
          </cell>
          <cell r="D102">
            <v>629753</v>
          </cell>
          <cell r="E102">
            <v>-27000</v>
          </cell>
          <cell r="F102">
            <v>997347</v>
          </cell>
          <cell r="G102">
            <v>-49050</v>
          </cell>
          <cell r="H102">
            <v>0</v>
          </cell>
          <cell r="I102">
            <v>0</v>
          </cell>
          <cell r="J102">
            <v>0</v>
          </cell>
          <cell r="K102">
            <v>0</v>
          </cell>
          <cell r="L102">
            <v>1001280</v>
          </cell>
          <cell r="M102">
            <v>-53200</v>
          </cell>
          <cell r="N102">
            <v>0</v>
          </cell>
          <cell r="O102">
            <v>0</v>
          </cell>
          <cell r="P102">
            <v>1627100</v>
          </cell>
          <cell r="Q102">
            <v>-76050</v>
          </cell>
          <cell r="S102">
            <v>1550833</v>
          </cell>
          <cell r="T102">
            <v>948297</v>
          </cell>
          <cell r="U102">
            <v>946863</v>
          </cell>
          <cell r="V102">
            <v>567713</v>
          </cell>
          <cell r="W102">
            <v>603970</v>
          </cell>
          <cell r="X102">
            <v>380584</v>
          </cell>
          <cell r="Y102">
            <v>603970</v>
          </cell>
          <cell r="Z102">
            <v>380584</v>
          </cell>
          <cell r="AA102">
            <v>984554</v>
          </cell>
          <cell r="AC102">
            <v>13207</v>
          </cell>
          <cell r="AD102">
            <v>0</v>
          </cell>
        </row>
        <row r="103">
          <cell r="S103">
            <v>0</v>
          </cell>
          <cell r="T103">
            <v>0</v>
          </cell>
          <cell r="U103">
            <v>0</v>
          </cell>
          <cell r="V103">
            <v>0</v>
          </cell>
          <cell r="W103">
            <v>0</v>
          </cell>
          <cell r="X103">
            <v>0</v>
          </cell>
          <cell r="Y103">
            <v>0</v>
          </cell>
          <cell r="Z103">
            <v>0</v>
          </cell>
          <cell r="AA103">
            <v>0</v>
          </cell>
          <cell r="AC103">
            <v>0</v>
          </cell>
          <cell r="AD103">
            <v>0</v>
          </cell>
        </row>
        <row r="104">
          <cell r="B104">
            <v>13208</v>
          </cell>
          <cell r="C104" t="str">
            <v>PERFORMANCE REWARD (OFFICERS)</v>
          </cell>
          <cell r="D104">
            <v>3822800</v>
          </cell>
          <cell r="E104">
            <v>0</v>
          </cell>
          <cell r="F104">
            <v>1000000</v>
          </cell>
          <cell r="G104">
            <v>-197207</v>
          </cell>
          <cell r="H104">
            <v>0</v>
          </cell>
          <cell r="I104">
            <v>0</v>
          </cell>
          <cell r="J104">
            <v>0</v>
          </cell>
          <cell r="K104">
            <v>0</v>
          </cell>
          <cell r="L104">
            <v>550000</v>
          </cell>
          <cell r="M104">
            <v>-281250</v>
          </cell>
          <cell r="N104">
            <v>0</v>
          </cell>
          <cell r="O104">
            <v>0</v>
          </cell>
          <cell r="P104">
            <v>4822800</v>
          </cell>
          <cell r="Q104">
            <v>-197207</v>
          </cell>
          <cell r="S104">
            <v>4091550</v>
          </cell>
          <cell r="T104">
            <v>802793</v>
          </cell>
          <cell r="U104">
            <v>4091550</v>
          </cell>
          <cell r="V104">
            <v>802793</v>
          </cell>
          <cell r="W104">
            <v>0</v>
          </cell>
          <cell r="X104">
            <v>0</v>
          </cell>
          <cell r="Y104">
            <v>0</v>
          </cell>
          <cell r="Z104">
            <v>0</v>
          </cell>
          <cell r="AA104">
            <v>0</v>
          </cell>
          <cell r="AC104">
            <v>13208</v>
          </cell>
          <cell r="AD104">
            <v>0</v>
          </cell>
        </row>
        <row r="105">
          <cell r="S105">
            <v>0</v>
          </cell>
          <cell r="T105">
            <v>0</v>
          </cell>
          <cell r="U105">
            <v>0</v>
          </cell>
          <cell r="V105">
            <v>0</v>
          </cell>
          <cell r="W105">
            <v>0</v>
          </cell>
          <cell r="X105">
            <v>0</v>
          </cell>
          <cell r="Y105">
            <v>0</v>
          </cell>
          <cell r="Z105">
            <v>0</v>
          </cell>
          <cell r="AA105">
            <v>0</v>
          </cell>
          <cell r="AC105">
            <v>0</v>
          </cell>
          <cell r="AD105">
            <v>0</v>
          </cell>
        </row>
        <row r="106">
          <cell r="B106">
            <v>13210</v>
          </cell>
          <cell r="C106" t="str">
            <v>STIPEND A/C (6504)</v>
          </cell>
          <cell r="D106">
            <v>388301</v>
          </cell>
          <cell r="E106">
            <v>-11613</v>
          </cell>
          <cell r="F106">
            <v>737742</v>
          </cell>
          <cell r="G106">
            <v>-19742</v>
          </cell>
          <cell r="H106">
            <v>0</v>
          </cell>
          <cell r="I106">
            <v>0</v>
          </cell>
          <cell r="J106">
            <v>0</v>
          </cell>
          <cell r="K106">
            <v>0</v>
          </cell>
          <cell r="L106">
            <v>119762</v>
          </cell>
          <cell r="M106">
            <v>-31000</v>
          </cell>
          <cell r="N106">
            <v>0</v>
          </cell>
          <cell r="O106">
            <v>0</v>
          </cell>
          <cell r="P106">
            <v>1126043</v>
          </cell>
          <cell r="Q106">
            <v>-31355</v>
          </cell>
          <cell r="S106">
            <v>465450</v>
          </cell>
          <cell r="T106">
            <v>718000</v>
          </cell>
          <cell r="U106">
            <v>387476</v>
          </cell>
          <cell r="V106">
            <v>161903</v>
          </cell>
          <cell r="W106">
            <v>77974</v>
          </cell>
          <cell r="X106">
            <v>556097</v>
          </cell>
          <cell r="Y106">
            <v>77974</v>
          </cell>
          <cell r="Z106">
            <v>556097</v>
          </cell>
          <cell r="AA106">
            <v>634071</v>
          </cell>
          <cell r="AC106">
            <v>13210</v>
          </cell>
          <cell r="AD106">
            <v>0</v>
          </cell>
        </row>
        <row r="107">
          <cell r="S107">
            <v>0</v>
          </cell>
          <cell r="T107">
            <v>0</v>
          </cell>
          <cell r="U107">
            <v>0</v>
          </cell>
          <cell r="V107">
            <v>0</v>
          </cell>
          <cell r="W107">
            <v>0</v>
          </cell>
          <cell r="X107">
            <v>0</v>
          </cell>
          <cell r="Y107">
            <v>0</v>
          </cell>
          <cell r="Z107">
            <v>0</v>
          </cell>
          <cell r="AA107">
            <v>0</v>
          </cell>
          <cell r="AC107">
            <v>0</v>
          </cell>
          <cell r="AD107">
            <v>0</v>
          </cell>
        </row>
        <row r="108">
          <cell r="B108">
            <v>13223</v>
          </cell>
          <cell r="C108" t="str">
            <v>SALARIES , WAGES, BONUS ETC. (STAFF)</v>
          </cell>
          <cell r="D108">
            <v>541351</v>
          </cell>
          <cell r="E108">
            <v>0</v>
          </cell>
          <cell r="F108">
            <v>138194.81</v>
          </cell>
          <cell r="G108">
            <v>0</v>
          </cell>
          <cell r="H108">
            <v>0</v>
          </cell>
          <cell r="I108">
            <v>0</v>
          </cell>
          <cell r="J108">
            <v>0</v>
          </cell>
          <cell r="K108">
            <v>0</v>
          </cell>
          <cell r="L108">
            <v>819593</v>
          </cell>
          <cell r="M108">
            <v>-11400</v>
          </cell>
          <cell r="N108">
            <v>0</v>
          </cell>
          <cell r="O108">
            <v>0</v>
          </cell>
          <cell r="P108">
            <v>679545.81</v>
          </cell>
          <cell r="Q108">
            <v>0</v>
          </cell>
          <cell r="S108">
            <v>1349544</v>
          </cell>
          <cell r="T108">
            <v>138194.81</v>
          </cell>
          <cell r="U108">
            <v>1349544</v>
          </cell>
          <cell r="V108">
            <v>138194.81</v>
          </cell>
          <cell r="W108">
            <v>0</v>
          </cell>
          <cell r="X108">
            <v>0</v>
          </cell>
          <cell r="Y108">
            <v>0</v>
          </cell>
          <cell r="Z108">
            <v>0</v>
          </cell>
          <cell r="AA108">
            <v>0</v>
          </cell>
          <cell r="AC108">
            <v>13223</v>
          </cell>
          <cell r="AD108">
            <v>0</v>
          </cell>
        </row>
        <row r="109">
          <cell r="S109">
            <v>0</v>
          </cell>
          <cell r="T109">
            <v>0</v>
          </cell>
          <cell r="U109">
            <v>0</v>
          </cell>
          <cell r="V109">
            <v>0</v>
          </cell>
          <cell r="W109">
            <v>0</v>
          </cell>
          <cell r="X109">
            <v>0</v>
          </cell>
          <cell r="Y109">
            <v>0</v>
          </cell>
          <cell r="Z109">
            <v>0</v>
          </cell>
          <cell r="AA109">
            <v>0</v>
          </cell>
          <cell r="AC109">
            <v>0</v>
          </cell>
          <cell r="AD109">
            <v>0</v>
          </cell>
        </row>
        <row r="110">
          <cell r="B110">
            <v>13225</v>
          </cell>
          <cell r="C110" t="str">
            <v>LEAVE TRAVEL ASSISTANCE (STAFF) (6550)</v>
          </cell>
          <cell r="D110">
            <v>47250</v>
          </cell>
          <cell r="E110">
            <v>-15500</v>
          </cell>
          <cell r="F110">
            <v>4500</v>
          </cell>
          <cell r="G110">
            <v>0</v>
          </cell>
          <cell r="H110">
            <v>0</v>
          </cell>
          <cell r="I110">
            <v>0</v>
          </cell>
          <cell r="J110">
            <v>0</v>
          </cell>
          <cell r="K110">
            <v>0</v>
          </cell>
          <cell r="L110">
            <v>68750</v>
          </cell>
          <cell r="M110">
            <v>-11550</v>
          </cell>
          <cell r="N110">
            <v>0</v>
          </cell>
          <cell r="O110">
            <v>0</v>
          </cell>
          <cell r="P110">
            <v>51750</v>
          </cell>
          <cell r="Q110">
            <v>-15500</v>
          </cell>
          <cell r="S110">
            <v>88950</v>
          </cell>
          <cell r="T110">
            <v>4500</v>
          </cell>
          <cell r="U110">
            <v>45300</v>
          </cell>
          <cell r="V110">
            <v>4500</v>
          </cell>
          <cell r="W110">
            <v>43650</v>
          </cell>
          <cell r="X110">
            <v>0</v>
          </cell>
          <cell r="Y110">
            <v>43650</v>
          </cell>
          <cell r="Z110">
            <v>0</v>
          </cell>
          <cell r="AA110">
            <v>43650</v>
          </cell>
          <cell r="AC110">
            <v>13225</v>
          </cell>
          <cell r="AD110">
            <v>0</v>
          </cell>
        </row>
        <row r="111">
          <cell r="S111">
            <v>0</v>
          </cell>
          <cell r="T111">
            <v>0</v>
          </cell>
          <cell r="U111">
            <v>0</v>
          </cell>
          <cell r="V111">
            <v>0</v>
          </cell>
          <cell r="W111">
            <v>0</v>
          </cell>
          <cell r="X111">
            <v>0</v>
          </cell>
          <cell r="Y111">
            <v>0</v>
          </cell>
          <cell r="Z111">
            <v>0</v>
          </cell>
          <cell r="AA111">
            <v>0</v>
          </cell>
          <cell r="AC111">
            <v>0</v>
          </cell>
          <cell r="AD111">
            <v>0</v>
          </cell>
        </row>
        <row r="112">
          <cell r="B112">
            <v>13226</v>
          </cell>
          <cell r="C112" t="str">
            <v>PERFROMANCE REWARD (STAFF)</v>
          </cell>
          <cell r="D112">
            <v>5600</v>
          </cell>
          <cell r="E112">
            <v>0</v>
          </cell>
          <cell r="F112">
            <v>18150</v>
          </cell>
          <cell r="G112">
            <v>0</v>
          </cell>
          <cell r="H112">
            <v>0</v>
          </cell>
          <cell r="I112">
            <v>0</v>
          </cell>
          <cell r="J112">
            <v>0</v>
          </cell>
          <cell r="K112">
            <v>0</v>
          </cell>
          <cell r="L112">
            <v>0</v>
          </cell>
          <cell r="M112">
            <v>0</v>
          </cell>
          <cell r="N112">
            <v>0</v>
          </cell>
          <cell r="O112">
            <v>0</v>
          </cell>
          <cell r="P112">
            <v>23750</v>
          </cell>
          <cell r="Q112">
            <v>0</v>
          </cell>
          <cell r="S112">
            <v>5600</v>
          </cell>
          <cell r="T112">
            <v>18150</v>
          </cell>
          <cell r="U112">
            <v>5600</v>
          </cell>
          <cell r="V112">
            <v>18150</v>
          </cell>
          <cell r="W112">
            <v>0</v>
          </cell>
          <cell r="X112">
            <v>0</v>
          </cell>
          <cell r="Y112">
            <v>0</v>
          </cell>
          <cell r="Z112">
            <v>0</v>
          </cell>
          <cell r="AA112">
            <v>0</v>
          </cell>
          <cell r="AC112">
            <v>13226</v>
          </cell>
          <cell r="AD112">
            <v>0</v>
          </cell>
        </row>
        <row r="113">
          <cell r="S113">
            <v>0</v>
          </cell>
          <cell r="T113">
            <v>0</v>
          </cell>
          <cell r="U113">
            <v>0</v>
          </cell>
          <cell r="V113">
            <v>0</v>
          </cell>
          <cell r="W113">
            <v>0</v>
          </cell>
          <cell r="X113">
            <v>0</v>
          </cell>
          <cell r="Y113">
            <v>0</v>
          </cell>
          <cell r="Z113">
            <v>0</v>
          </cell>
          <cell r="AA113">
            <v>0</v>
          </cell>
          <cell r="AC113">
            <v>0</v>
          </cell>
          <cell r="AD113">
            <v>0</v>
          </cell>
        </row>
        <row r="114">
          <cell r="B114">
            <v>13231</v>
          </cell>
          <cell r="C114" t="str">
            <v>SALARIES , WAGES, BONUS ETC. (WORKERS)</v>
          </cell>
          <cell r="D114">
            <v>36229841.969999999</v>
          </cell>
          <cell r="E114">
            <v>-447658.25</v>
          </cell>
          <cell r="F114">
            <v>20700381.420000002</v>
          </cell>
          <cell r="G114">
            <v>-1499914.85</v>
          </cell>
          <cell r="H114">
            <v>0</v>
          </cell>
          <cell r="I114">
            <v>0</v>
          </cell>
          <cell r="J114">
            <v>0</v>
          </cell>
          <cell r="K114">
            <v>0</v>
          </cell>
          <cell r="L114">
            <v>0</v>
          </cell>
          <cell r="M114">
            <v>0</v>
          </cell>
          <cell r="N114">
            <v>0</v>
          </cell>
          <cell r="O114">
            <v>0</v>
          </cell>
          <cell r="P114">
            <v>56930223.390000001</v>
          </cell>
          <cell r="Q114">
            <v>-1947573.1</v>
          </cell>
          <cell r="S114">
            <v>35782183.719999999</v>
          </cell>
          <cell r="T114">
            <v>19200466.57</v>
          </cell>
          <cell r="U114">
            <v>35774025.57</v>
          </cell>
          <cell r="V114">
            <v>19200466.57</v>
          </cell>
          <cell r="W114">
            <v>8158.1499999985099</v>
          </cell>
          <cell r="X114">
            <v>0</v>
          </cell>
          <cell r="Y114">
            <v>8158.1499999985099</v>
          </cell>
          <cell r="Z114">
            <v>0</v>
          </cell>
          <cell r="AA114">
            <v>8158.1499999985099</v>
          </cell>
          <cell r="AC114">
            <v>13231</v>
          </cell>
          <cell r="AD114">
            <v>0</v>
          </cell>
        </row>
        <row r="115">
          <cell r="S115">
            <v>0</v>
          </cell>
          <cell r="T115">
            <v>0</v>
          </cell>
          <cell r="U115">
            <v>0</v>
          </cell>
          <cell r="V115">
            <v>0</v>
          </cell>
          <cell r="W115">
            <v>0</v>
          </cell>
          <cell r="X115">
            <v>0</v>
          </cell>
          <cell r="Y115">
            <v>0</v>
          </cell>
          <cell r="Z115">
            <v>0</v>
          </cell>
          <cell r="AA115">
            <v>0</v>
          </cell>
          <cell r="AC115">
            <v>0</v>
          </cell>
          <cell r="AD115">
            <v>0</v>
          </cell>
        </row>
        <row r="116">
          <cell r="B116">
            <v>13233</v>
          </cell>
          <cell r="C116" t="str">
            <v>LEAVE TRAVEL ASSISTANCE (WORKERS) (6650)</v>
          </cell>
          <cell r="D116">
            <v>2425100</v>
          </cell>
          <cell r="E116">
            <v>-126300</v>
          </cell>
          <cell r="F116">
            <v>1039876</v>
          </cell>
          <cell r="G116">
            <v>-36100</v>
          </cell>
          <cell r="H116">
            <v>0</v>
          </cell>
          <cell r="I116">
            <v>0</v>
          </cell>
          <cell r="J116">
            <v>0</v>
          </cell>
          <cell r="K116">
            <v>0</v>
          </cell>
          <cell r="L116">
            <v>9600</v>
          </cell>
          <cell r="M116">
            <v>-9600</v>
          </cell>
          <cell r="N116">
            <v>0</v>
          </cell>
          <cell r="O116">
            <v>0</v>
          </cell>
          <cell r="P116">
            <v>3464976</v>
          </cell>
          <cell r="Q116">
            <v>-162400</v>
          </cell>
          <cell r="S116">
            <v>2298800</v>
          </cell>
          <cell r="T116">
            <v>1003776</v>
          </cell>
          <cell r="U116">
            <v>1326800</v>
          </cell>
          <cell r="V116">
            <v>535152</v>
          </cell>
          <cell r="W116">
            <v>972000</v>
          </cell>
          <cell r="X116">
            <v>468624</v>
          </cell>
          <cell r="Y116">
            <v>972000</v>
          </cell>
          <cell r="Z116">
            <v>468624</v>
          </cell>
          <cell r="AA116">
            <v>1440624</v>
          </cell>
          <cell r="AC116">
            <v>13233</v>
          </cell>
          <cell r="AD116">
            <v>0</v>
          </cell>
        </row>
        <row r="117">
          <cell r="S117">
            <v>0</v>
          </cell>
          <cell r="T117">
            <v>0</v>
          </cell>
          <cell r="U117">
            <v>0</v>
          </cell>
          <cell r="V117">
            <v>0</v>
          </cell>
          <cell r="W117">
            <v>0</v>
          </cell>
          <cell r="X117">
            <v>0</v>
          </cell>
          <cell r="Y117">
            <v>0</v>
          </cell>
          <cell r="Z117">
            <v>0</v>
          </cell>
          <cell r="AA117">
            <v>0</v>
          </cell>
          <cell r="AC117">
            <v>0</v>
          </cell>
          <cell r="AD117">
            <v>0</v>
          </cell>
        </row>
        <row r="118">
          <cell r="B118">
            <v>13235</v>
          </cell>
          <cell r="C118" t="str">
            <v>EXGRATIA (WORKERS) (6660)</v>
          </cell>
          <cell r="D118">
            <v>293080</v>
          </cell>
          <cell r="E118">
            <v>0</v>
          </cell>
          <cell r="F118">
            <v>1086500</v>
          </cell>
          <cell r="G118">
            <v>0</v>
          </cell>
          <cell r="H118">
            <v>0</v>
          </cell>
          <cell r="I118">
            <v>0</v>
          </cell>
          <cell r="J118">
            <v>0</v>
          </cell>
          <cell r="K118">
            <v>0</v>
          </cell>
          <cell r="L118">
            <v>0</v>
          </cell>
          <cell r="M118">
            <v>0</v>
          </cell>
          <cell r="N118">
            <v>0</v>
          </cell>
          <cell r="O118">
            <v>0</v>
          </cell>
          <cell r="P118">
            <v>1379580</v>
          </cell>
          <cell r="Q118">
            <v>0</v>
          </cell>
          <cell r="S118">
            <v>293080</v>
          </cell>
          <cell r="T118">
            <v>1086500</v>
          </cell>
          <cell r="U118">
            <v>293080</v>
          </cell>
          <cell r="V118">
            <v>1086500</v>
          </cell>
          <cell r="W118">
            <v>0</v>
          </cell>
          <cell r="X118">
            <v>0</v>
          </cell>
          <cell r="Y118">
            <v>0</v>
          </cell>
          <cell r="Z118">
            <v>0</v>
          </cell>
          <cell r="AA118">
            <v>0</v>
          </cell>
          <cell r="AC118">
            <v>13235</v>
          </cell>
          <cell r="AD118">
            <v>0</v>
          </cell>
        </row>
        <row r="119">
          <cell r="S119">
            <v>0</v>
          </cell>
          <cell r="T119">
            <v>0</v>
          </cell>
          <cell r="U119">
            <v>0</v>
          </cell>
          <cell r="V119">
            <v>0</v>
          </cell>
          <cell r="W119">
            <v>0</v>
          </cell>
          <cell r="X119">
            <v>0</v>
          </cell>
          <cell r="Y119">
            <v>0</v>
          </cell>
          <cell r="Z119">
            <v>0</v>
          </cell>
          <cell r="AA119">
            <v>0</v>
          </cell>
          <cell r="AC119">
            <v>0</v>
          </cell>
          <cell r="AD119">
            <v>0</v>
          </cell>
        </row>
        <row r="120">
          <cell r="B120">
            <v>13243</v>
          </cell>
          <cell r="C120" t="str">
            <v>GRATUITY (OFFICERS) (6450)</v>
          </cell>
          <cell r="D120">
            <v>0</v>
          </cell>
          <cell r="E120">
            <v>-586275</v>
          </cell>
          <cell r="F120">
            <v>182500</v>
          </cell>
          <cell r="G120">
            <v>0</v>
          </cell>
          <cell r="H120">
            <v>0</v>
          </cell>
          <cell r="I120">
            <v>0</v>
          </cell>
          <cell r="J120">
            <v>0</v>
          </cell>
          <cell r="K120">
            <v>0</v>
          </cell>
          <cell r="L120">
            <v>279257</v>
          </cell>
          <cell r="M120">
            <v>0</v>
          </cell>
          <cell r="N120">
            <v>0</v>
          </cell>
          <cell r="O120">
            <v>0</v>
          </cell>
          <cell r="P120">
            <v>182500</v>
          </cell>
          <cell r="Q120">
            <v>-586275</v>
          </cell>
          <cell r="S120">
            <v>-307018</v>
          </cell>
          <cell r="T120">
            <v>182500</v>
          </cell>
          <cell r="U120">
            <v>-307018</v>
          </cell>
          <cell r="V120">
            <v>182500</v>
          </cell>
          <cell r="W120">
            <v>0</v>
          </cell>
          <cell r="X120">
            <v>0</v>
          </cell>
          <cell r="Y120">
            <v>0</v>
          </cell>
          <cell r="Z120">
            <v>0</v>
          </cell>
          <cell r="AA120">
            <v>0</v>
          </cell>
          <cell r="AC120">
            <v>13243</v>
          </cell>
          <cell r="AD120">
            <v>0</v>
          </cell>
        </row>
        <row r="121">
          <cell r="S121">
            <v>0</v>
          </cell>
          <cell r="T121">
            <v>0</v>
          </cell>
          <cell r="U121">
            <v>0</v>
          </cell>
          <cell r="V121">
            <v>0</v>
          </cell>
          <cell r="W121">
            <v>0</v>
          </cell>
          <cell r="X121">
            <v>0</v>
          </cell>
          <cell r="Y121">
            <v>0</v>
          </cell>
          <cell r="Z121">
            <v>0</v>
          </cell>
          <cell r="AA121">
            <v>0</v>
          </cell>
          <cell r="AC121">
            <v>0</v>
          </cell>
          <cell r="AD121">
            <v>0</v>
          </cell>
        </row>
        <row r="122">
          <cell r="B122">
            <v>13245</v>
          </cell>
          <cell r="C122" t="str">
            <v>PROVIDEND FUND (OFFICERS) (6455)</v>
          </cell>
          <cell r="D122">
            <v>1056059</v>
          </cell>
          <cell r="E122">
            <v>0</v>
          </cell>
          <cell r="F122">
            <v>1746057</v>
          </cell>
          <cell r="G122">
            <v>0</v>
          </cell>
          <cell r="H122">
            <v>0</v>
          </cell>
          <cell r="I122">
            <v>0</v>
          </cell>
          <cell r="J122">
            <v>0</v>
          </cell>
          <cell r="K122">
            <v>0</v>
          </cell>
          <cell r="L122">
            <v>1538947</v>
          </cell>
          <cell r="M122">
            <v>0</v>
          </cell>
          <cell r="N122">
            <v>0</v>
          </cell>
          <cell r="O122">
            <v>0</v>
          </cell>
          <cell r="P122">
            <v>2802116</v>
          </cell>
          <cell r="Q122">
            <v>0</v>
          </cell>
          <cell r="S122">
            <v>2595006</v>
          </cell>
          <cell r="T122">
            <v>1746057</v>
          </cell>
          <cell r="U122">
            <v>1543145</v>
          </cell>
          <cell r="V122">
            <v>1020430</v>
          </cell>
          <cell r="W122">
            <v>1051861</v>
          </cell>
          <cell r="X122">
            <v>725627</v>
          </cell>
          <cell r="Y122">
            <v>1051861</v>
          </cell>
          <cell r="Z122">
            <v>725627</v>
          </cell>
          <cell r="AA122">
            <v>1777488</v>
          </cell>
          <cell r="AC122">
            <v>13245</v>
          </cell>
          <cell r="AD122">
            <v>0</v>
          </cell>
        </row>
        <row r="123">
          <cell r="S123">
            <v>0</v>
          </cell>
          <cell r="T123">
            <v>0</v>
          </cell>
          <cell r="U123">
            <v>0</v>
          </cell>
          <cell r="V123">
            <v>0</v>
          </cell>
          <cell r="W123">
            <v>0</v>
          </cell>
          <cell r="X123">
            <v>0</v>
          </cell>
          <cell r="Y123">
            <v>0</v>
          </cell>
          <cell r="Z123">
            <v>0</v>
          </cell>
          <cell r="AA123">
            <v>0</v>
          </cell>
          <cell r="AC123">
            <v>0</v>
          </cell>
          <cell r="AD123">
            <v>0</v>
          </cell>
        </row>
        <row r="124">
          <cell r="B124">
            <v>13247</v>
          </cell>
          <cell r="C124" t="str">
            <v>DEPOSIT LINK INSURANCE FUND (OFFICERS) (7425/7426)</v>
          </cell>
          <cell r="D124">
            <v>93193.43</v>
          </cell>
          <cell r="E124">
            <v>0</v>
          </cell>
          <cell r="F124">
            <v>49914</v>
          </cell>
          <cell r="G124">
            <v>0</v>
          </cell>
          <cell r="H124">
            <v>0</v>
          </cell>
          <cell r="I124">
            <v>0</v>
          </cell>
          <cell r="J124">
            <v>0</v>
          </cell>
          <cell r="K124">
            <v>0</v>
          </cell>
          <cell r="L124">
            <v>26988.57</v>
          </cell>
          <cell r="M124">
            <v>0</v>
          </cell>
          <cell r="N124">
            <v>0</v>
          </cell>
          <cell r="O124">
            <v>0</v>
          </cell>
          <cell r="P124">
            <v>143107.43</v>
          </cell>
          <cell r="Q124">
            <v>0</v>
          </cell>
          <cell r="S124">
            <v>120182</v>
          </cell>
          <cell r="T124">
            <v>49914</v>
          </cell>
          <cell r="U124">
            <v>73144</v>
          </cell>
          <cell r="V124">
            <v>32885</v>
          </cell>
          <cell r="W124">
            <v>47038</v>
          </cell>
          <cell r="X124">
            <v>17029</v>
          </cell>
          <cell r="Y124">
            <v>47038</v>
          </cell>
          <cell r="Z124">
            <v>17029</v>
          </cell>
          <cell r="AA124">
            <v>64067</v>
          </cell>
          <cell r="AC124">
            <v>13247</v>
          </cell>
          <cell r="AD124">
            <v>0</v>
          </cell>
        </row>
        <row r="125">
          <cell r="S125">
            <v>0</v>
          </cell>
          <cell r="T125">
            <v>0</v>
          </cell>
          <cell r="U125">
            <v>0</v>
          </cell>
          <cell r="V125">
            <v>0</v>
          </cell>
          <cell r="W125">
            <v>0</v>
          </cell>
          <cell r="X125">
            <v>0</v>
          </cell>
          <cell r="Y125">
            <v>0</v>
          </cell>
          <cell r="Z125">
            <v>0</v>
          </cell>
          <cell r="AA125">
            <v>0</v>
          </cell>
          <cell r="AC125">
            <v>0</v>
          </cell>
          <cell r="AD125">
            <v>0</v>
          </cell>
        </row>
        <row r="126">
          <cell r="B126">
            <v>13249</v>
          </cell>
          <cell r="C126" t="str">
            <v>SUPERANNUATION (OFFICERS) (6480)</v>
          </cell>
          <cell r="D126">
            <v>1251841</v>
          </cell>
          <cell r="E126">
            <v>-235149</v>
          </cell>
          <cell r="F126">
            <v>1657819</v>
          </cell>
          <cell r="G126">
            <v>-79337</v>
          </cell>
          <cell r="H126">
            <v>0</v>
          </cell>
          <cell r="I126">
            <v>0</v>
          </cell>
          <cell r="J126">
            <v>0</v>
          </cell>
          <cell r="K126">
            <v>0</v>
          </cell>
          <cell r="L126">
            <v>1698547</v>
          </cell>
          <cell r="M126">
            <v>-61316</v>
          </cell>
          <cell r="N126">
            <v>0</v>
          </cell>
          <cell r="O126">
            <v>0</v>
          </cell>
          <cell r="P126">
            <v>2909660</v>
          </cell>
          <cell r="Q126">
            <v>-314486</v>
          </cell>
          <cell r="S126">
            <v>2653923</v>
          </cell>
          <cell r="T126">
            <v>1578482</v>
          </cell>
          <cell r="U126">
            <v>1516402</v>
          </cell>
          <cell r="V126">
            <v>899366</v>
          </cell>
          <cell r="W126">
            <v>1137521</v>
          </cell>
          <cell r="X126">
            <v>679116</v>
          </cell>
          <cell r="Y126">
            <v>1137521</v>
          </cell>
          <cell r="Z126">
            <v>679116</v>
          </cell>
          <cell r="AA126">
            <v>1816637</v>
          </cell>
          <cell r="AC126">
            <v>13249</v>
          </cell>
          <cell r="AD126">
            <v>0</v>
          </cell>
        </row>
        <row r="127">
          <cell r="S127">
            <v>0</v>
          </cell>
          <cell r="T127">
            <v>0</v>
          </cell>
          <cell r="U127">
            <v>0</v>
          </cell>
          <cell r="V127">
            <v>0</v>
          </cell>
          <cell r="W127">
            <v>0</v>
          </cell>
          <cell r="X127">
            <v>0</v>
          </cell>
          <cell r="Y127">
            <v>0</v>
          </cell>
          <cell r="Z127">
            <v>0</v>
          </cell>
          <cell r="AA127">
            <v>0</v>
          </cell>
          <cell r="AC127">
            <v>0</v>
          </cell>
          <cell r="AD127">
            <v>0</v>
          </cell>
        </row>
        <row r="128">
          <cell r="B128">
            <v>13250</v>
          </cell>
          <cell r="C128" t="str">
            <v>ESIC OFFICERS</v>
          </cell>
          <cell r="D128">
            <v>0</v>
          </cell>
          <cell r="E128">
            <v>0</v>
          </cell>
          <cell r="F128">
            <v>0</v>
          </cell>
          <cell r="G128">
            <v>0</v>
          </cell>
          <cell r="H128">
            <v>0</v>
          </cell>
          <cell r="I128">
            <v>0</v>
          </cell>
          <cell r="J128">
            <v>0</v>
          </cell>
          <cell r="K128">
            <v>0</v>
          </cell>
          <cell r="L128">
            <v>2680</v>
          </cell>
          <cell r="M128">
            <v>0</v>
          </cell>
          <cell r="N128">
            <v>0</v>
          </cell>
          <cell r="O128">
            <v>0</v>
          </cell>
          <cell r="P128">
            <v>0</v>
          </cell>
          <cell r="Q128">
            <v>0</v>
          </cell>
          <cell r="S128">
            <v>2680</v>
          </cell>
          <cell r="T128">
            <v>0</v>
          </cell>
          <cell r="U128">
            <v>2680</v>
          </cell>
          <cell r="V128">
            <v>0</v>
          </cell>
          <cell r="W128">
            <v>0</v>
          </cell>
          <cell r="X128">
            <v>0</v>
          </cell>
          <cell r="Y128">
            <v>0</v>
          </cell>
          <cell r="Z128">
            <v>0</v>
          </cell>
          <cell r="AA128">
            <v>0</v>
          </cell>
          <cell r="AC128">
            <v>13250</v>
          </cell>
          <cell r="AD128">
            <v>0</v>
          </cell>
        </row>
        <row r="129">
          <cell r="S129">
            <v>0</v>
          </cell>
          <cell r="T129">
            <v>0</v>
          </cell>
          <cell r="U129">
            <v>0</v>
          </cell>
          <cell r="V129">
            <v>0</v>
          </cell>
          <cell r="W129">
            <v>0</v>
          </cell>
          <cell r="X129">
            <v>0</v>
          </cell>
          <cell r="Y129">
            <v>0</v>
          </cell>
          <cell r="Z129">
            <v>0</v>
          </cell>
          <cell r="AA129">
            <v>0</v>
          </cell>
          <cell r="AC129">
            <v>0</v>
          </cell>
          <cell r="AD129">
            <v>0</v>
          </cell>
        </row>
        <row r="130">
          <cell r="B130">
            <v>13255</v>
          </cell>
          <cell r="C130" t="str">
            <v>GRATUITY (STAFF) (6565)</v>
          </cell>
          <cell r="D130">
            <v>20477</v>
          </cell>
          <cell r="E130">
            <v>0</v>
          </cell>
          <cell r="F130">
            <v>2387</v>
          </cell>
          <cell r="G130">
            <v>0</v>
          </cell>
          <cell r="H130">
            <v>0</v>
          </cell>
          <cell r="I130">
            <v>0</v>
          </cell>
          <cell r="J130">
            <v>0</v>
          </cell>
          <cell r="K130">
            <v>0</v>
          </cell>
          <cell r="L130">
            <v>399028</v>
          </cell>
          <cell r="M130">
            <v>0</v>
          </cell>
          <cell r="N130">
            <v>0</v>
          </cell>
          <cell r="O130">
            <v>0</v>
          </cell>
          <cell r="P130">
            <v>22864</v>
          </cell>
          <cell r="Q130">
            <v>0</v>
          </cell>
          <cell r="S130">
            <v>419505</v>
          </cell>
          <cell r="T130">
            <v>2387</v>
          </cell>
          <cell r="U130">
            <v>419505</v>
          </cell>
          <cell r="V130">
            <v>2387</v>
          </cell>
          <cell r="W130">
            <v>0</v>
          </cell>
          <cell r="X130">
            <v>0</v>
          </cell>
          <cell r="Y130">
            <v>0</v>
          </cell>
          <cell r="Z130">
            <v>0</v>
          </cell>
          <cell r="AA130">
            <v>0</v>
          </cell>
          <cell r="AC130">
            <v>13255</v>
          </cell>
          <cell r="AD130">
            <v>0</v>
          </cell>
        </row>
        <row r="131">
          <cell r="S131">
            <v>0</v>
          </cell>
          <cell r="T131">
            <v>0</v>
          </cell>
          <cell r="U131">
            <v>0</v>
          </cell>
          <cell r="V131">
            <v>0</v>
          </cell>
          <cell r="W131">
            <v>0</v>
          </cell>
          <cell r="X131">
            <v>0</v>
          </cell>
          <cell r="Y131">
            <v>0</v>
          </cell>
          <cell r="Z131">
            <v>0</v>
          </cell>
          <cell r="AA131">
            <v>0</v>
          </cell>
          <cell r="AC131">
            <v>0</v>
          </cell>
          <cell r="AD131">
            <v>0</v>
          </cell>
        </row>
        <row r="132">
          <cell r="B132">
            <v>13257</v>
          </cell>
          <cell r="C132" t="str">
            <v>PROVIDEND FUND (STAFF) (6570)</v>
          </cell>
          <cell r="D132">
            <v>57624</v>
          </cell>
          <cell r="E132">
            <v>0</v>
          </cell>
          <cell r="F132">
            <v>13068</v>
          </cell>
          <cell r="G132">
            <v>0</v>
          </cell>
          <cell r="H132">
            <v>0</v>
          </cell>
          <cell r="I132">
            <v>0</v>
          </cell>
          <cell r="J132">
            <v>0</v>
          </cell>
          <cell r="K132">
            <v>0</v>
          </cell>
          <cell r="L132">
            <v>89298</v>
          </cell>
          <cell r="M132">
            <v>0</v>
          </cell>
          <cell r="N132">
            <v>0</v>
          </cell>
          <cell r="O132">
            <v>0</v>
          </cell>
          <cell r="P132">
            <v>70692</v>
          </cell>
          <cell r="Q132">
            <v>0</v>
          </cell>
          <cell r="S132">
            <v>146922</v>
          </cell>
          <cell r="T132">
            <v>13068</v>
          </cell>
          <cell r="U132">
            <v>91500</v>
          </cell>
          <cell r="V132">
            <v>9973</v>
          </cell>
          <cell r="W132">
            <v>55422</v>
          </cell>
          <cell r="X132">
            <v>3095</v>
          </cell>
          <cell r="Y132">
            <v>55422</v>
          </cell>
          <cell r="Z132">
            <v>3095</v>
          </cell>
          <cell r="AA132">
            <v>58517</v>
          </cell>
          <cell r="AC132">
            <v>13257</v>
          </cell>
          <cell r="AD132">
            <v>0</v>
          </cell>
        </row>
        <row r="133">
          <cell r="S133">
            <v>0</v>
          </cell>
          <cell r="T133">
            <v>0</v>
          </cell>
          <cell r="U133">
            <v>0</v>
          </cell>
          <cell r="V133">
            <v>0</v>
          </cell>
          <cell r="W133">
            <v>0</v>
          </cell>
          <cell r="X133">
            <v>0</v>
          </cell>
          <cell r="Y133">
            <v>0</v>
          </cell>
          <cell r="Z133">
            <v>0</v>
          </cell>
          <cell r="AA133">
            <v>0</v>
          </cell>
          <cell r="AC133">
            <v>0</v>
          </cell>
          <cell r="AD133">
            <v>0</v>
          </cell>
        </row>
        <row r="134">
          <cell r="B134">
            <v>13261</v>
          </cell>
          <cell r="C134" t="str">
            <v>ESIC (STAFF) (6590)</v>
          </cell>
          <cell r="D134">
            <v>23318</v>
          </cell>
          <cell r="E134">
            <v>-4271</v>
          </cell>
          <cell r="F134">
            <v>20461</v>
          </cell>
          <cell r="G134">
            <v>0</v>
          </cell>
          <cell r="H134">
            <v>0</v>
          </cell>
          <cell r="I134">
            <v>0</v>
          </cell>
          <cell r="J134">
            <v>0</v>
          </cell>
          <cell r="K134">
            <v>0</v>
          </cell>
          <cell r="L134">
            <v>44625</v>
          </cell>
          <cell r="M134">
            <v>-2212</v>
          </cell>
          <cell r="N134">
            <v>0</v>
          </cell>
          <cell r="O134">
            <v>0</v>
          </cell>
          <cell r="P134">
            <v>43779</v>
          </cell>
          <cell r="Q134">
            <v>-4271</v>
          </cell>
          <cell r="S134">
            <v>61460</v>
          </cell>
          <cell r="T134">
            <v>20461</v>
          </cell>
          <cell r="U134">
            <v>39829</v>
          </cell>
          <cell r="V134">
            <v>20461</v>
          </cell>
          <cell r="W134">
            <v>21631</v>
          </cell>
          <cell r="X134">
            <v>0</v>
          </cell>
          <cell r="Y134">
            <v>21631</v>
          </cell>
          <cell r="Z134">
            <v>0</v>
          </cell>
          <cell r="AA134">
            <v>21631</v>
          </cell>
          <cell r="AC134">
            <v>13261</v>
          </cell>
          <cell r="AD134">
            <v>0</v>
          </cell>
        </row>
        <row r="135">
          <cell r="S135">
            <v>0</v>
          </cell>
          <cell r="T135">
            <v>0</v>
          </cell>
          <cell r="U135">
            <v>0</v>
          </cell>
          <cell r="V135">
            <v>0</v>
          </cell>
          <cell r="W135">
            <v>0</v>
          </cell>
          <cell r="X135">
            <v>0</v>
          </cell>
          <cell r="Y135">
            <v>0</v>
          </cell>
          <cell r="Z135">
            <v>0</v>
          </cell>
          <cell r="AA135">
            <v>0</v>
          </cell>
          <cell r="AC135">
            <v>0</v>
          </cell>
          <cell r="AD135">
            <v>0</v>
          </cell>
        </row>
        <row r="136">
          <cell r="B136">
            <v>13267</v>
          </cell>
          <cell r="C136" t="str">
            <v>GRATUITY (WORKERS) (6665)</v>
          </cell>
          <cell r="D136">
            <v>998359</v>
          </cell>
          <cell r="E136">
            <v>-653431</v>
          </cell>
          <cell r="F136">
            <v>977131</v>
          </cell>
          <cell r="G136">
            <v>-653431</v>
          </cell>
          <cell r="H136">
            <v>0</v>
          </cell>
          <cell r="I136">
            <v>0</v>
          </cell>
          <cell r="J136">
            <v>0</v>
          </cell>
          <cell r="K136">
            <v>0</v>
          </cell>
          <cell r="L136">
            <v>0</v>
          </cell>
          <cell r="M136">
            <v>0</v>
          </cell>
          <cell r="N136">
            <v>0</v>
          </cell>
          <cell r="O136">
            <v>0</v>
          </cell>
          <cell r="P136">
            <v>1975490</v>
          </cell>
          <cell r="Q136">
            <v>-1306862</v>
          </cell>
          <cell r="S136">
            <v>344928</v>
          </cell>
          <cell r="T136">
            <v>323700</v>
          </cell>
          <cell r="U136">
            <v>344928</v>
          </cell>
          <cell r="V136">
            <v>323700</v>
          </cell>
          <cell r="W136">
            <v>0</v>
          </cell>
          <cell r="X136">
            <v>0</v>
          </cell>
          <cell r="Y136">
            <v>0</v>
          </cell>
          <cell r="Z136">
            <v>0</v>
          </cell>
          <cell r="AA136">
            <v>0</v>
          </cell>
          <cell r="AC136">
            <v>13267</v>
          </cell>
          <cell r="AD136">
            <v>0</v>
          </cell>
        </row>
        <row r="137">
          <cell r="S137">
            <v>0</v>
          </cell>
          <cell r="T137">
            <v>0</v>
          </cell>
          <cell r="U137">
            <v>0</v>
          </cell>
          <cell r="V137">
            <v>0</v>
          </cell>
          <cell r="W137">
            <v>0</v>
          </cell>
          <cell r="X137">
            <v>0</v>
          </cell>
          <cell r="Y137">
            <v>0</v>
          </cell>
          <cell r="Z137">
            <v>0</v>
          </cell>
          <cell r="AA137">
            <v>0</v>
          </cell>
          <cell r="AC137">
            <v>0</v>
          </cell>
          <cell r="AD137">
            <v>0</v>
          </cell>
        </row>
        <row r="138">
          <cell r="B138">
            <v>13269</v>
          </cell>
          <cell r="C138" t="str">
            <v>PROVIDEND FUND (WORKERS) (6670)</v>
          </cell>
          <cell r="D138">
            <v>4663813</v>
          </cell>
          <cell r="E138">
            <v>0</v>
          </cell>
          <cell r="F138">
            <v>1780831</v>
          </cell>
          <cell r="G138">
            <v>0</v>
          </cell>
          <cell r="H138">
            <v>0</v>
          </cell>
          <cell r="I138">
            <v>0</v>
          </cell>
          <cell r="J138">
            <v>0</v>
          </cell>
          <cell r="K138">
            <v>0</v>
          </cell>
          <cell r="L138">
            <v>0</v>
          </cell>
          <cell r="M138">
            <v>0</v>
          </cell>
          <cell r="N138">
            <v>0</v>
          </cell>
          <cell r="O138">
            <v>0</v>
          </cell>
          <cell r="P138">
            <v>6444644</v>
          </cell>
          <cell r="Q138">
            <v>0</v>
          </cell>
          <cell r="S138">
            <v>4663813</v>
          </cell>
          <cell r="T138">
            <v>1780831</v>
          </cell>
          <cell r="U138">
            <v>2880547</v>
          </cell>
          <cell r="V138">
            <v>1090763</v>
          </cell>
          <cell r="W138">
            <v>1783266</v>
          </cell>
          <cell r="X138">
            <v>690068</v>
          </cell>
          <cell r="Y138">
            <v>1783266</v>
          </cell>
          <cell r="Z138">
            <v>690068</v>
          </cell>
          <cell r="AA138">
            <v>2473334</v>
          </cell>
          <cell r="AC138">
            <v>13269</v>
          </cell>
          <cell r="AD138">
            <v>0</v>
          </cell>
        </row>
        <row r="139">
          <cell r="S139">
            <v>0</v>
          </cell>
          <cell r="T139">
            <v>0</v>
          </cell>
          <cell r="U139">
            <v>0</v>
          </cell>
          <cell r="V139">
            <v>0</v>
          </cell>
          <cell r="W139">
            <v>0</v>
          </cell>
          <cell r="X139">
            <v>0</v>
          </cell>
          <cell r="Y139">
            <v>0</v>
          </cell>
          <cell r="Z139">
            <v>0</v>
          </cell>
          <cell r="AA139">
            <v>0</v>
          </cell>
          <cell r="AC139">
            <v>0</v>
          </cell>
          <cell r="AD139">
            <v>0</v>
          </cell>
        </row>
        <row r="140">
          <cell r="B140">
            <v>13273</v>
          </cell>
          <cell r="C140" t="str">
            <v>ESIC (WORKERS) (6690)</v>
          </cell>
          <cell r="D140">
            <v>97523</v>
          </cell>
          <cell r="E140">
            <v>-16471</v>
          </cell>
          <cell r="F140">
            <v>0</v>
          </cell>
          <cell r="G140">
            <v>0</v>
          </cell>
          <cell r="H140">
            <v>0</v>
          </cell>
          <cell r="I140">
            <v>0</v>
          </cell>
          <cell r="J140">
            <v>0</v>
          </cell>
          <cell r="K140">
            <v>0</v>
          </cell>
          <cell r="L140">
            <v>5265</v>
          </cell>
          <cell r="M140">
            <v>-3560</v>
          </cell>
          <cell r="N140">
            <v>0</v>
          </cell>
          <cell r="O140">
            <v>0</v>
          </cell>
          <cell r="P140">
            <v>97523</v>
          </cell>
          <cell r="Q140">
            <v>-16471</v>
          </cell>
          <cell r="S140">
            <v>82757</v>
          </cell>
          <cell r="T140">
            <v>0</v>
          </cell>
          <cell r="U140">
            <v>50496</v>
          </cell>
          <cell r="V140">
            <v>0</v>
          </cell>
          <cell r="W140">
            <v>32261</v>
          </cell>
          <cell r="X140">
            <v>0</v>
          </cell>
          <cell r="Y140">
            <v>32261</v>
          </cell>
          <cell r="Z140">
            <v>0</v>
          </cell>
          <cell r="AA140">
            <v>32261</v>
          </cell>
          <cell r="AC140">
            <v>13273</v>
          </cell>
          <cell r="AD140">
            <v>0</v>
          </cell>
        </row>
        <row r="141">
          <cell r="S141">
            <v>0</v>
          </cell>
          <cell r="T141">
            <v>0</v>
          </cell>
          <cell r="U141">
            <v>0</v>
          </cell>
          <cell r="V141">
            <v>0</v>
          </cell>
          <cell r="W141">
            <v>0</v>
          </cell>
          <cell r="X141">
            <v>0</v>
          </cell>
          <cell r="Y141">
            <v>0</v>
          </cell>
          <cell r="Z141">
            <v>0</v>
          </cell>
          <cell r="AA141">
            <v>0</v>
          </cell>
          <cell r="AC141">
            <v>0</v>
          </cell>
          <cell r="AD141">
            <v>0</v>
          </cell>
        </row>
        <row r="142">
          <cell r="B142">
            <v>13281</v>
          </cell>
          <cell r="C142" t="str">
            <v>MEDICAL EXPENSES (OFFICERS) (6485)</v>
          </cell>
          <cell r="D142">
            <v>942632</v>
          </cell>
          <cell r="E142">
            <v>-345240</v>
          </cell>
          <cell r="F142">
            <v>1237792</v>
          </cell>
          <cell r="G142">
            <v>-361998</v>
          </cell>
          <cell r="H142">
            <v>0</v>
          </cell>
          <cell r="I142">
            <v>0</v>
          </cell>
          <cell r="J142">
            <v>0</v>
          </cell>
          <cell r="K142">
            <v>0</v>
          </cell>
          <cell r="L142">
            <v>834832</v>
          </cell>
          <cell r="M142">
            <v>-245399</v>
          </cell>
          <cell r="N142">
            <v>0</v>
          </cell>
          <cell r="O142">
            <v>0</v>
          </cell>
          <cell r="P142">
            <v>2180424</v>
          </cell>
          <cell r="Q142">
            <v>-707238</v>
          </cell>
          <cell r="S142">
            <v>1186825</v>
          </cell>
          <cell r="T142">
            <v>875794</v>
          </cell>
          <cell r="U142">
            <v>618701</v>
          </cell>
          <cell r="V142">
            <v>476460</v>
          </cell>
          <cell r="W142">
            <v>568124</v>
          </cell>
          <cell r="X142">
            <v>399334</v>
          </cell>
          <cell r="Y142">
            <v>568124</v>
          </cell>
          <cell r="Z142">
            <v>399334</v>
          </cell>
          <cell r="AA142">
            <v>967458</v>
          </cell>
          <cell r="AC142">
            <v>13281</v>
          </cell>
          <cell r="AD142">
            <v>0</v>
          </cell>
        </row>
        <row r="143">
          <cell r="S143">
            <v>0</v>
          </cell>
          <cell r="T143">
            <v>0</v>
          </cell>
          <cell r="U143">
            <v>0</v>
          </cell>
          <cell r="V143">
            <v>0</v>
          </cell>
          <cell r="W143">
            <v>0</v>
          </cell>
          <cell r="X143">
            <v>0</v>
          </cell>
          <cell r="Y143">
            <v>0</v>
          </cell>
          <cell r="Z143">
            <v>0</v>
          </cell>
          <cell r="AA143">
            <v>0</v>
          </cell>
          <cell r="AC143">
            <v>0</v>
          </cell>
          <cell r="AD143">
            <v>0</v>
          </cell>
        </row>
        <row r="144">
          <cell r="B144">
            <v>13283</v>
          </cell>
          <cell r="C144" t="str">
            <v>MEDICLAIM EXPENSES (OFFICERS) (6490)</v>
          </cell>
          <cell r="D144">
            <v>150754</v>
          </cell>
          <cell r="E144">
            <v>0</v>
          </cell>
          <cell r="F144">
            <v>285791</v>
          </cell>
          <cell r="G144">
            <v>0</v>
          </cell>
          <cell r="H144">
            <v>0</v>
          </cell>
          <cell r="I144">
            <v>0</v>
          </cell>
          <cell r="J144">
            <v>0</v>
          </cell>
          <cell r="K144">
            <v>0</v>
          </cell>
          <cell r="L144">
            <v>279885</v>
          </cell>
          <cell r="M144">
            <v>-6155</v>
          </cell>
          <cell r="N144">
            <v>0</v>
          </cell>
          <cell r="O144">
            <v>0</v>
          </cell>
          <cell r="P144">
            <v>436545</v>
          </cell>
          <cell r="Q144">
            <v>0</v>
          </cell>
          <cell r="S144">
            <v>424484</v>
          </cell>
          <cell r="T144">
            <v>285791</v>
          </cell>
          <cell r="U144">
            <v>273285</v>
          </cell>
          <cell r="V144">
            <v>160364</v>
          </cell>
          <cell r="W144">
            <v>151199</v>
          </cell>
          <cell r="X144">
            <v>125427</v>
          </cell>
          <cell r="Y144">
            <v>151199</v>
          </cell>
          <cell r="Z144">
            <v>125427</v>
          </cell>
          <cell r="AA144">
            <v>276626</v>
          </cell>
          <cell r="AC144">
            <v>13283</v>
          </cell>
          <cell r="AD144">
            <v>0</v>
          </cell>
        </row>
        <row r="145">
          <cell r="S145">
            <v>0</v>
          </cell>
          <cell r="T145">
            <v>0</v>
          </cell>
          <cell r="U145">
            <v>0</v>
          </cell>
          <cell r="V145">
            <v>0</v>
          </cell>
          <cell r="W145">
            <v>0</v>
          </cell>
          <cell r="X145">
            <v>0</v>
          </cell>
          <cell r="Y145">
            <v>0</v>
          </cell>
          <cell r="Z145">
            <v>0</v>
          </cell>
          <cell r="AA145">
            <v>0</v>
          </cell>
          <cell r="AC145">
            <v>0</v>
          </cell>
          <cell r="AD145">
            <v>0</v>
          </cell>
        </row>
        <row r="146">
          <cell r="B146">
            <v>13285</v>
          </cell>
          <cell r="C146" t="str">
            <v>OFFICE DRESS (OFFICERS) (6495)</v>
          </cell>
          <cell r="D146">
            <v>53500</v>
          </cell>
          <cell r="E146">
            <v>-3000</v>
          </cell>
          <cell r="F146">
            <v>104315</v>
          </cell>
          <cell r="G146">
            <v>-5200</v>
          </cell>
          <cell r="H146">
            <v>0</v>
          </cell>
          <cell r="I146">
            <v>0</v>
          </cell>
          <cell r="J146">
            <v>0</v>
          </cell>
          <cell r="K146">
            <v>0</v>
          </cell>
          <cell r="L146">
            <v>77300</v>
          </cell>
          <cell r="M146">
            <v>0</v>
          </cell>
          <cell r="N146">
            <v>0</v>
          </cell>
          <cell r="O146">
            <v>0</v>
          </cell>
          <cell r="P146">
            <v>157815</v>
          </cell>
          <cell r="Q146">
            <v>-8200</v>
          </cell>
          <cell r="S146">
            <v>127800</v>
          </cell>
          <cell r="T146">
            <v>99115</v>
          </cell>
          <cell r="U146">
            <v>72700</v>
          </cell>
          <cell r="V146">
            <v>55380</v>
          </cell>
          <cell r="W146">
            <v>55100</v>
          </cell>
          <cell r="X146">
            <v>43735</v>
          </cell>
          <cell r="Y146">
            <v>55100</v>
          </cell>
          <cell r="Z146">
            <v>43735</v>
          </cell>
          <cell r="AA146">
            <v>98835</v>
          </cell>
          <cell r="AC146">
            <v>13285</v>
          </cell>
          <cell r="AD146">
            <v>0</v>
          </cell>
        </row>
        <row r="147">
          <cell r="S147">
            <v>0</v>
          </cell>
          <cell r="T147">
            <v>0</v>
          </cell>
          <cell r="U147">
            <v>0</v>
          </cell>
          <cell r="V147">
            <v>0</v>
          </cell>
          <cell r="W147">
            <v>0</v>
          </cell>
          <cell r="X147">
            <v>0</v>
          </cell>
          <cell r="Y147">
            <v>0</v>
          </cell>
          <cell r="Z147">
            <v>0</v>
          </cell>
          <cell r="AA147">
            <v>0</v>
          </cell>
          <cell r="AC147">
            <v>0</v>
          </cell>
          <cell r="AD147">
            <v>0</v>
          </cell>
        </row>
        <row r="148">
          <cell r="B148">
            <v>13287</v>
          </cell>
          <cell r="C148" t="str">
            <v>SOFT FURNISINGS (OFFICERS) (6496)</v>
          </cell>
          <cell r="D148">
            <v>6700</v>
          </cell>
          <cell r="E148">
            <v>0</v>
          </cell>
          <cell r="F148">
            <v>6929</v>
          </cell>
          <cell r="G148">
            <v>0</v>
          </cell>
          <cell r="H148">
            <v>0</v>
          </cell>
          <cell r="I148">
            <v>0</v>
          </cell>
          <cell r="J148">
            <v>0</v>
          </cell>
          <cell r="K148">
            <v>0</v>
          </cell>
          <cell r="L148">
            <v>21640</v>
          </cell>
          <cell r="M148">
            <v>0</v>
          </cell>
          <cell r="N148">
            <v>0</v>
          </cell>
          <cell r="O148">
            <v>0</v>
          </cell>
          <cell r="P148">
            <v>13629</v>
          </cell>
          <cell r="Q148">
            <v>0</v>
          </cell>
          <cell r="S148">
            <v>28340</v>
          </cell>
          <cell r="T148">
            <v>6929</v>
          </cell>
          <cell r="U148">
            <v>25940</v>
          </cell>
          <cell r="V148">
            <v>3999</v>
          </cell>
          <cell r="W148">
            <v>2400</v>
          </cell>
          <cell r="X148">
            <v>2930</v>
          </cell>
          <cell r="Y148">
            <v>2400</v>
          </cell>
          <cell r="Z148">
            <v>2930</v>
          </cell>
          <cell r="AA148">
            <v>5330</v>
          </cell>
          <cell r="AC148">
            <v>13287</v>
          </cell>
          <cell r="AD148">
            <v>0</v>
          </cell>
        </row>
        <row r="149">
          <cell r="S149">
            <v>0</v>
          </cell>
          <cell r="T149">
            <v>0</v>
          </cell>
          <cell r="U149">
            <v>0</v>
          </cell>
          <cell r="V149">
            <v>0</v>
          </cell>
          <cell r="W149">
            <v>0</v>
          </cell>
          <cell r="X149">
            <v>0</v>
          </cell>
          <cell r="Y149">
            <v>0</v>
          </cell>
          <cell r="Z149">
            <v>0</v>
          </cell>
          <cell r="AA149">
            <v>0</v>
          </cell>
          <cell r="AC149">
            <v>0</v>
          </cell>
          <cell r="AD149">
            <v>0</v>
          </cell>
        </row>
        <row r="150">
          <cell r="E150" t="str">
            <v>SDCT</v>
          </cell>
          <cell r="F150" t="str">
            <v>PCDT</v>
          </cell>
          <cell r="G150" t="str">
            <v>PCDC</v>
          </cell>
          <cell r="I150" t="str">
            <v>PCDN</v>
          </cell>
          <cell r="K150" t="str">
            <v>CORP</v>
          </cell>
          <cell r="M150" t="str">
            <v>OTHER</v>
          </cell>
          <cell r="O150" t="str">
            <v>TOTAL</v>
          </cell>
          <cell r="U150">
            <v>0</v>
          </cell>
          <cell r="V150">
            <v>0</v>
          </cell>
          <cell r="W150">
            <v>0</v>
          </cell>
          <cell r="X150">
            <v>0</v>
          </cell>
          <cell r="Y150">
            <v>0</v>
          </cell>
          <cell r="Z150">
            <v>0</v>
          </cell>
          <cell r="AA150">
            <v>0</v>
          </cell>
          <cell r="AC150">
            <v>0</v>
          </cell>
          <cell r="AD150">
            <v>0</v>
          </cell>
        </row>
        <row r="151">
          <cell r="B151" t="str">
            <v>GL CODE</v>
          </cell>
          <cell r="C151" t="str">
            <v>ACCOUNT HEAD</v>
          </cell>
          <cell r="S151">
            <v>0</v>
          </cell>
          <cell r="T151">
            <v>0</v>
          </cell>
          <cell r="U151" t="str">
            <v>SDCT</v>
          </cell>
          <cell r="V151" t="str">
            <v>PCDT</v>
          </cell>
          <cell r="Y151">
            <v>0</v>
          </cell>
          <cell r="Z151">
            <v>0</v>
          </cell>
          <cell r="AA151">
            <v>0</v>
          </cell>
          <cell r="AC151">
            <v>0</v>
          </cell>
          <cell r="AD151" t="e">
            <v>#VALUE!</v>
          </cell>
        </row>
        <row r="152">
          <cell r="S152">
            <v>0</v>
          </cell>
          <cell r="T152">
            <v>0</v>
          </cell>
          <cell r="U152">
            <v>0</v>
          </cell>
          <cell r="V152">
            <v>0</v>
          </cell>
          <cell r="W152">
            <v>0</v>
          </cell>
          <cell r="X152">
            <v>0</v>
          </cell>
          <cell r="Y152">
            <v>0</v>
          </cell>
          <cell r="Z152">
            <v>0</v>
          </cell>
          <cell r="AA152">
            <v>0</v>
          </cell>
          <cell r="AC152">
            <v>0</v>
          </cell>
          <cell r="AD152">
            <v>0</v>
          </cell>
        </row>
        <row r="153">
          <cell r="D153" t="str">
            <v>DR.</v>
          </cell>
          <cell r="E153" t="str">
            <v>CR.</v>
          </cell>
          <cell r="F153" t="str">
            <v>DR.</v>
          </cell>
          <cell r="G153" t="str">
            <v>CR.</v>
          </cell>
          <cell r="H153" t="str">
            <v>DR.</v>
          </cell>
          <cell r="I153" t="str">
            <v>CR.</v>
          </cell>
          <cell r="J153" t="str">
            <v>DR.</v>
          </cell>
          <cell r="K153" t="str">
            <v>CR.</v>
          </cell>
          <cell r="L153" t="str">
            <v>DR.</v>
          </cell>
          <cell r="M153" t="str">
            <v>CR.</v>
          </cell>
          <cell r="N153" t="str">
            <v>DR.</v>
          </cell>
          <cell r="O153" t="str">
            <v>CR.</v>
          </cell>
          <cell r="P153" t="str">
            <v>DR.</v>
          </cell>
          <cell r="Q153" t="str">
            <v>CR.</v>
          </cell>
          <cell r="U153">
            <v>0</v>
          </cell>
          <cell r="V153">
            <v>0</v>
          </cell>
          <cell r="W153">
            <v>0</v>
          </cell>
          <cell r="X153">
            <v>0</v>
          </cell>
          <cell r="Y153">
            <v>0</v>
          </cell>
          <cell r="Z153">
            <v>0</v>
          </cell>
          <cell r="AA153">
            <v>0</v>
          </cell>
          <cell r="AC153">
            <v>0</v>
          </cell>
          <cell r="AD153">
            <v>0</v>
          </cell>
        </row>
        <row r="154">
          <cell r="S154">
            <v>0</v>
          </cell>
          <cell r="T154">
            <v>0</v>
          </cell>
          <cell r="U154">
            <v>0</v>
          </cell>
          <cell r="V154">
            <v>0</v>
          </cell>
          <cell r="W154">
            <v>0</v>
          </cell>
          <cell r="X154">
            <v>0</v>
          </cell>
          <cell r="Y154">
            <v>0</v>
          </cell>
          <cell r="Z154">
            <v>0</v>
          </cell>
          <cell r="AA154">
            <v>0</v>
          </cell>
          <cell r="AC154">
            <v>0</v>
          </cell>
          <cell r="AD154">
            <v>0</v>
          </cell>
        </row>
        <row r="155">
          <cell r="S155">
            <v>0</v>
          </cell>
          <cell r="T155">
            <v>0</v>
          </cell>
          <cell r="U155">
            <v>0</v>
          </cell>
          <cell r="V155">
            <v>0</v>
          </cell>
          <cell r="W155">
            <v>0</v>
          </cell>
          <cell r="X155">
            <v>0</v>
          </cell>
          <cell r="Y155">
            <v>0</v>
          </cell>
          <cell r="Z155">
            <v>0</v>
          </cell>
          <cell r="AA155">
            <v>0</v>
          </cell>
          <cell r="AC155">
            <v>0</v>
          </cell>
          <cell r="AD155">
            <v>0</v>
          </cell>
        </row>
        <row r="156">
          <cell r="B156">
            <v>13292</v>
          </cell>
          <cell r="C156" t="str">
            <v>MEDICLAIM STAFF</v>
          </cell>
          <cell r="D156">
            <v>0</v>
          </cell>
          <cell r="E156">
            <v>0</v>
          </cell>
          <cell r="F156">
            <v>0</v>
          </cell>
          <cell r="G156">
            <v>0</v>
          </cell>
          <cell r="H156">
            <v>0</v>
          </cell>
          <cell r="I156">
            <v>0</v>
          </cell>
          <cell r="J156">
            <v>0</v>
          </cell>
          <cell r="K156">
            <v>0</v>
          </cell>
          <cell r="L156">
            <v>13035</v>
          </cell>
          <cell r="M156">
            <v>0</v>
          </cell>
          <cell r="N156">
            <v>0</v>
          </cell>
          <cell r="O156">
            <v>0</v>
          </cell>
          <cell r="P156">
            <v>0</v>
          </cell>
          <cell r="Q156">
            <v>0</v>
          </cell>
          <cell r="S156">
            <v>13035</v>
          </cell>
          <cell r="T156">
            <v>0</v>
          </cell>
          <cell r="U156">
            <v>0</v>
          </cell>
          <cell r="V156">
            <v>0</v>
          </cell>
          <cell r="W156">
            <v>13035</v>
          </cell>
          <cell r="X156">
            <v>0</v>
          </cell>
          <cell r="Y156">
            <v>13035</v>
          </cell>
          <cell r="Z156">
            <v>0</v>
          </cell>
          <cell r="AA156">
            <v>13035</v>
          </cell>
          <cell r="AC156">
            <v>13292</v>
          </cell>
          <cell r="AD156">
            <v>0</v>
          </cell>
        </row>
        <row r="157">
          <cell r="S157">
            <v>0</v>
          </cell>
          <cell r="T157">
            <v>0</v>
          </cell>
          <cell r="U157">
            <v>0</v>
          </cell>
          <cell r="V157">
            <v>0</v>
          </cell>
          <cell r="W157">
            <v>0</v>
          </cell>
          <cell r="X157">
            <v>0</v>
          </cell>
          <cell r="Y157">
            <v>0</v>
          </cell>
          <cell r="Z157">
            <v>0</v>
          </cell>
          <cell r="AA157">
            <v>0</v>
          </cell>
          <cell r="AC157">
            <v>0</v>
          </cell>
          <cell r="AD157">
            <v>0</v>
          </cell>
        </row>
        <row r="158">
          <cell r="B158">
            <v>13293</v>
          </cell>
          <cell r="C158" t="str">
            <v>MEDICAL EXPENSES (STAFF) (6595)</v>
          </cell>
          <cell r="D158">
            <v>37301.07</v>
          </cell>
          <cell r="E158">
            <v>-4.8600000000000003</v>
          </cell>
          <cell r="F158">
            <v>0</v>
          </cell>
          <cell r="G158">
            <v>0</v>
          </cell>
          <cell r="H158">
            <v>0</v>
          </cell>
          <cell r="I158">
            <v>0</v>
          </cell>
          <cell r="J158">
            <v>0</v>
          </cell>
          <cell r="K158">
            <v>0</v>
          </cell>
          <cell r="L158">
            <v>10250</v>
          </cell>
          <cell r="M158">
            <v>0</v>
          </cell>
          <cell r="N158">
            <v>0</v>
          </cell>
          <cell r="O158">
            <v>0</v>
          </cell>
          <cell r="P158">
            <v>37301.07</v>
          </cell>
          <cell r="Q158">
            <v>-4.8600000000000003</v>
          </cell>
          <cell r="S158">
            <v>47546.21</v>
          </cell>
          <cell r="T158">
            <v>0</v>
          </cell>
          <cell r="U158">
            <v>23291.72</v>
          </cell>
          <cell r="V158">
            <v>0</v>
          </cell>
          <cell r="W158">
            <v>24254.489999999998</v>
          </cell>
          <cell r="X158">
            <v>0</v>
          </cell>
          <cell r="Y158">
            <v>24254.489999999998</v>
          </cell>
          <cell r="Z158">
            <v>0</v>
          </cell>
          <cell r="AA158">
            <v>24254.489999999998</v>
          </cell>
          <cell r="AC158">
            <v>13293</v>
          </cell>
          <cell r="AD158">
            <v>0</v>
          </cell>
        </row>
        <row r="159">
          <cell r="S159">
            <v>0</v>
          </cell>
          <cell r="T159">
            <v>0</v>
          </cell>
          <cell r="U159">
            <v>0</v>
          </cell>
          <cell r="V159">
            <v>0</v>
          </cell>
          <cell r="W159">
            <v>0</v>
          </cell>
          <cell r="X159">
            <v>0</v>
          </cell>
          <cell r="Y159">
            <v>0</v>
          </cell>
          <cell r="Z159">
            <v>0</v>
          </cell>
          <cell r="AA159">
            <v>0</v>
          </cell>
          <cell r="AC159">
            <v>0</v>
          </cell>
          <cell r="AD159">
            <v>0</v>
          </cell>
        </row>
        <row r="160">
          <cell r="B160">
            <v>13298</v>
          </cell>
          <cell r="C160" t="str">
            <v>MAHARASHATRA LABOUR WELFARE FUND (6680)</v>
          </cell>
          <cell r="D160">
            <v>19494</v>
          </cell>
          <cell r="E160">
            <v>-3528</v>
          </cell>
          <cell r="F160">
            <v>16410</v>
          </cell>
          <cell r="G160">
            <v>-1272</v>
          </cell>
          <cell r="H160">
            <v>0</v>
          </cell>
          <cell r="I160">
            <v>0</v>
          </cell>
          <cell r="J160">
            <v>0</v>
          </cell>
          <cell r="K160">
            <v>0</v>
          </cell>
          <cell r="L160">
            <v>0</v>
          </cell>
          <cell r="M160">
            <v>0</v>
          </cell>
          <cell r="N160">
            <v>0</v>
          </cell>
          <cell r="O160">
            <v>0</v>
          </cell>
          <cell r="P160">
            <v>35904</v>
          </cell>
          <cell r="Q160">
            <v>-4800</v>
          </cell>
          <cell r="S160">
            <v>15966</v>
          </cell>
          <cell r="T160">
            <v>15138</v>
          </cell>
          <cell r="U160">
            <v>10728</v>
          </cell>
          <cell r="V160">
            <v>8496</v>
          </cell>
          <cell r="W160">
            <v>5238</v>
          </cell>
          <cell r="X160">
            <v>6642</v>
          </cell>
          <cell r="Y160">
            <v>5238</v>
          </cell>
          <cell r="Z160">
            <v>6642</v>
          </cell>
          <cell r="AA160">
            <v>11880</v>
          </cell>
          <cell r="AC160">
            <v>13298</v>
          </cell>
          <cell r="AD160">
            <v>0</v>
          </cell>
        </row>
        <row r="161">
          <cell r="S161">
            <v>0</v>
          </cell>
          <cell r="T161">
            <v>0</v>
          </cell>
          <cell r="U161">
            <v>0</v>
          </cell>
          <cell r="V161">
            <v>0</v>
          </cell>
          <cell r="W161">
            <v>0</v>
          </cell>
          <cell r="X161">
            <v>0</v>
          </cell>
          <cell r="Y161">
            <v>0</v>
          </cell>
          <cell r="Z161">
            <v>0</v>
          </cell>
          <cell r="AA161">
            <v>0</v>
          </cell>
          <cell r="AC161">
            <v>0</v>
          </cell>
          <cell r="AD161">
            <v>0</v>
          </cell>
        </row>
        <row r="162">
          <cell r="B162">
            <v>13300</v>
          </cell>
          <cell r="C162" t="str">
            <v>MEDICAL EXPENSES (WORKERS) (6695)</v>
          </cell>
          <cell r="D162">
            <v>3437503.74</v>
          </cell>
          <cell r="E162">
            <v>-437167</v>
          </cell>
          <cell r="F162">
            <v>1665014</v>
          </cell>
          <cell r="G162">
            <v>-306167</v>
          </cell>
          <cell r="H162">
            <v>0</v>
          </cell>
          <cell r="I162">
            <v>0</v>
          </cell>
          <cell r="J162">
            <v>0</v>
          </cell>
          <cell r="K162">
            <v>0</v>
          </cell>
          <cell r="L162">
            <v>0</v>
          </cell>
          <cell r="M162">
            <v>0</v>
          </cell>
          <cell r="N162">
            <v>0</v>
          </cell>
          <cell r="O162">
            <v>0</v>
          </cell>
          <cell r="P162">
            <v>5102517.74</v>
          </cell>
          <cell r="Q162">
            <v>-743334</v>
          </cell>
          <cell r="S162">
            <v>3000336.74</v>
          </cell>
          <cell r="T162">
            <v>1358847</v>
          </cell>
          <cell r="U162">
            <v>1690005.74</v>
          </cell>
          <cell r="V162">
            <v>715239</v>
          </cell>
          <cell r="W162">
            <v>1310331.0000000002</v>
          </cell>
          <cell r="X162">
            <v>643608</v>
          </cell>
          <cell r="Y162">
            <v>1310331.0000000002</v>
          </cell>
          <cell r="Z162">
            <v>643608</v>
          </cell>
          <cell r="AA162">
            <v>1953939.0000000002</v>
          </cell>
          <cell r="AC162">
            <v>13300</v>
          </cell>
          <cell r="AD162">
            <v>0</v>
          </cell>
        </row>
        <row r="163">
          <cell r="S163">
            <v>0</v>
          </cell>
          <cell r="T163">
            <v>0</v>
          </cell>
          <cell r="U163">
            <v>0</v>
          </cell>
          <cell r="V163">
            <v>0</v>
          </cell>
          <cell r="W163">
            <v>0</v>
          </cell>
          <cell r="X163">
            <v>0</v>
          </cell>
          <cell r="Y163">
            <v>0</v>
          </cell>
          <cell r="Z163">
            <v>0</v>
          </cell>
          <cell r="AA163">
            <v>0</v>
          </cell>
          <cell r="AC163">
            <v>0</v>
          </cell>
          <cell r="AD163">
            <v>0</v>
          </cell>
        </row>
        <row r="164">
          <cell r="B164">
            <v>13301</v>
          </cell>
          <cell r="C164" t="str">
            <v>MEDICLAIM (WORKERS)</v>
          </cell>
          <cell r="D164">
            <v>1001522</v>
          </cell>
          <cell r="E164">
            <v>0</v>
          </cell>
          <cell r="F164">
            <v>1179059</v>
          </cell>
          <cell r="G164">
            <v>-671676</v>
          </cell>
          <cell r="H164">
            <v>0</v>
          </cell>
          <cell r="I164">
            <v>0</v>
          </cell>
          <cell r="J164">
            <v>0</v>
          </cell>
          <cell r="K164">
            <v>0</v>
          </cell>
          <cell r="L164">
            <v>955</v>
          </cell>
          <cell r="M164">
            <v>0</v>
          </cell>
          <cell r="N164">
            <v>0</v>
          </cell>
          <cell r="O164">
            <v>0</v>
          </cell>
          <cell r="P164">
            <v>2180581</v>
          </cell>
          <cell r="Q164">
            <v>-671676</v>
          </cell>
          <cell r="S164">
            <v>1002477</v>
          </cell>
          <cell r="T164">
            <v>507383</v>
          </cell>
          <cell r="U164">
            <v>849618</v>
          </cell>
          <cell r="V164">
            <v>177693</v>
          </cell>
          <cell r="W164">
            <v>152859</v>
          </cell>
          <cell r="X164">
            <v>329690</v>
          </cell>
          <cell r="Y164">
            <v>152859</v>
          </cell>
          <cell r="Z164">
            <v>329690</v>
          </cell>
          <cell r="AA164">
            <v>482549</v>
          </cell>
          <cell r="AC164">
            <v>13301</v>
          </cell>
          <cell r="AD164">
            <v>0</v>
          </cell>
        </row>
        <row r="165">
          <cell r="S165">
            <v>0</v>
          </cell>
          <cell r="T165">
            <v>0</v>
          </cell>
          <cell r="U165">
            <v>0</v>
          </cell>
          <cell r="V165">
            <v>0</v>
          </cell>
          <cell r="W165">
            <v>0</v>
          </cell>
          <cell r="X165">
            <v>0</v>
          </cell>
          <cell r="Y165">
            <v>0</v>
          </cell>
          <cell r="Z165">
            <v>0</v>
          </cell>
          <cell r="AA165">
            <v>0</v>
          </cell>
          <cell r="AC165">
            <v>0</v>
          </cell>
          <cell r="AD165">
            <v>0</v>
          </cell>
        </row>
        <row r="166">
          <cell r="B166">
            <v>13308</v>
          </cell>
          <cell r="C166" t="str">
            <v>CONTRACT LABOUR EXPENSES (6780)</v>
          </cell>
          <cell r="D166">
            <v>9779699.1899999995</v>
          </cell>
          <cell r="E166">
            <v>-18979</v>
          </cell>
          <cell r="F166">
            <v>0</v>
          </cell>
          <cell r="G166">
            <v>0</v>
          </cell>
          <cell r="H166">
            <v>0</v>
          </cell>
          <cell r="I166">
            <v>0</v>
          </cell>
          <cell r="J166">
            <v>0</v>
          </cell>
          <cell r="K166">
            <v>0</v>
          </cell>
          <cell r="L166">
            <v>0</v>
          </cell>
          <cell r="M166">
            <v>0</v>
          </cell>
          <cell r="N166">
            <v>0</v>
          </cell>
          <cell r="O166">
            <v>0</v>
          </cell>
          <cell r="P166">
            <v>9779699.1899999995</v>
          </cell>
          <cell r="Q166">
            <v>-18979</v>
          </cell>
          <cell r="S166">
            <v>9760720.1899999995</v>
          </cell>
          <cell r="T166">
            <v>0</v>
          </cell>
          <cell r="U166">
            <v>5488378.6299999999</v>
          </cell>
          <cell r="V166">
            <v>0</v>
          </cell>
          <cell r="W166">
            <v>4272341.5599999996</v>
          </cell>
          <cell r="X166">
            <v>0</v>
          </cell>
          <cell r="Y166">
            <v>4272341.5599999996</v>
          </cell>
          <cell r="Z166">
            <v>0</v>
          </cell>
          <cell r="AA166">
            <v>4272341.5599999996</v>
          </cell>
          <cell r="AC166">
            <v>13308</v>
          </cell>
          <cell r="AD166">
            <v>0</v>
          </cell>
        </row>
        <row r="167">
          <cell r="S167">
            <v>0</v>
          </cell>
          <cell r="T167">
            <v>0</v>
          </cell>
          <cell r="U167">
            <v>0</v>
          </cell>
          <cell r="V167">
            <v>0</v>
          </cell>
          <cell r="W167">
            <v>0</v>
          </cell>
          <cell r="X167">
            <v>0</v>
          </cell>
          <cell r="Y167">
            <v>0</v>
          </cell>
          <cell r="Z167">
            <v>0</v>
          </cell>
          <cell r="AA167">
            <v>0</v>
          </cell>
          <cell r="AC167">
            <v>0</v>
          </cell>
          <cell r="AD167">
            <v>0</v>
          </cell>
        </row>
        <row r="168">
          <cell r="B168">
            <v>13314</v>
          </cell>
          <cell r="C168" t="str">
            <v>CANTEEN EXPENSES</v>
          </cell>
          <cell r="D168">
            <v>8335677</v>
          </cell>
          <cell r="E168">
            <v>-834288</v>
          </cell>
          <cell r="F168">
            <v>3519429.98</v>
          </cell>
          <cell r="G168">
            <v>-240579.98</v>
          </cell>
          <cell r="H168">
            <v>0</v>
          </cell>
          <cell r="I168">
            <v>0</v>
          </cell>
          <cell r="J168">
            <v>0</v>
          </cell>
          <cell r="K168">
            <v>0</v>
          </cell>
          <cell r="L168">
            <v>5400</v>
          </cell>
          <cell r="M168">
            <v>0</v>
          </cell>
          <cell r="N168">
            <v>0</v>
          </cell>
          <cell r="O168">
            <v>0</v>
          </cell>
          <cell r="P168">
            <v>11855106.98</v>
          </cell>
          <cell r="Q168">
            <v>-1074867.98</v>
          </cell>
          <cell r="S168">
            <v>7506789</v>
          </cell>
          <cell r="T168">
            <v>3278850</v>
          </cell>
          <cell r="U168">
            <v>4416505.5</v>
          </cell>
          <cell r="V168">
            <v>1951551</v>
          </cell>
          <cell r="W168">
            <v>3090283.5</v>
          </cell>
          <cell r="X168">
            <v>1327299</v>
          </cell>
          <cell r="Y168">
            <v>3090283.5</v>
          </cell>
          <cell r="Z168">
            <v>1327299</v>
          </cell>
          <cell r="AA168">
            <v>4417582.5</v>
          </cell>
          <cell r="AC168">
            <v>13314</v>
          </cell>
          <cell r="AD168">
            <v>0</v>
          </cell>
        </row>
        <row r="169">
          <cell r="S169">
            <v>0</v>
          </cell>
          <cell r="T169">
            <v>0</v>
          </cell>
          <cell r="U169">
            <v>0</v>
          </cell>
          <cell r="V169">
            <v>0</v>
          </cell>
          <cell r="W169">
            <v>0</v>
          </cell>
          <cell r="X169">
            <v>0</v>
          </cell>
          <cell r="Y169">
            <v>0</v>
          </cell>
          <cell r="Z169">
            <v>0</v>
          </cell>
          <cell r="AA169">
            <v>0</v>
          </cell>
          <cell r="AC169">
            <v>0</v>
          </cell>
          <cell r="AD169">
            <v>0</v>
          </cell>
        </row>
        <row r="170">
          <cell r="B170">
            <v>13316</v>
          </cell>
          <cell r="C170" t="str">
            <v>WELFARE - FIRST AID (7020)</v>
          </cell>
          <cell r="D170">
            <v>318587.90000000002</v>
          </cell>
          <cell r="E170">
            <v>-35691</v>
          </cell>
          <cell r="F170">
            <v>92027</v>
          </cell>
          <cell r="G170">
            <v>0</v>
          </cell>
          <cell r="H170">
            <v>0</v>
          </cell>
          <cell r="I170">
            <v>0</v>
          </cell>
          <cell r="J170">
            <v>0</v>
          </cell>
          <cell r="K170">
            <v>0</v>
          </cell>
          <cell r="L170">
            <v>2648</v>
          </cell>
          <cell r="M170">
            <v>-500</v>
          </cell>
          <cell r="N170">
            <v>0</v>
          </cell>
          <cell r="O170">
            <v>0</v>
          </cell>
          <cell r="P170">
            <v>410614.9</v>
          </cell>
          <cell r="Q170">
            <v>-35691</v>
          </cell>
          <cell r="S170">
            <v>285044.90000000002</v>
          </cell>
          <cell r="T170">
            <v>92027</v>
          </cell>
          <cell r="U170">
            <v>215742.9</v>
          </cell>
          <cell r="V170">
            <v>58140</v>
          </cell>
          <cell r="W170">
            <v>69302.000000000029</v>
          </cell>
          <cell r="X170">
            <v>33887</v>
          </cell>
          <cell r="Y170">
            <v>69302.000000000029</v>
          </cell>
          <cell r="Z170">
            <v>33887</v>
          </cell>
          <cell r="AA170">
            <v>103189.00000000003</v>
          </cell>
          <cell r="AC170">
            <v>13316</v>
          </cell>
          <cell r="AD170">
            <v>0</v>
          </cell>
        </row>
        <row r="171">
          <cell r="S171">
            <v>0</v>
          </cell>
          <cell r="T171">
            <v>0</v>
          </cell>
          <cell r="U171">
            <v>0</v>
          </cell>
          <cell r="V171">
            <v>0</v>
          </cell>
          <cell r="W171">
            <v>0</v>
          </cell>
          <cell r="X171">
            <v>0</v>
          </cell>
          <cell r="Y171">
            <v>0</v>
          </cell>
          <cell r="Z171">
            <v>0</v>
          </cell>
          <cell r="AA171">
            <v>0</v>
          </cell>
          <cell r="AC171">
            <v>0</v>
          </cell>
          <cell r="AD171">
            <v>0</v>
          </cell>
        </row>
        <row r="172">
          <cell r="B172">
            <v>13318</v>
          </cell>
          <cell r="C172" t="str">
            <v>WELFARE - TRANSPORT (JEEP/ BUS HIRE) EXP. (7040)</v>
          </cell>
          <cell r="D172">
            <v>3983049</v>
          </cell>
          <cell r="E172">
            <v>-270957</v>
          </cell>
          <cell r="F172">
            <v>4270573</v>
          </cell>
          <cell r="G172">
            <v>-2959</v>
          </cell>
          <cell r="H172">
            <v>0</v>
          </cell>
          <cell r="I172">
            <v>0</v>
          </cell>
          <cell r="J172">
            <v>0</v>
          </cell>
          <cell r="K172">
            <v>0</v>
          </cell>
          <cell r="L172">
            <v>45281</v>
          </cell>
          <cell r="M172">
            <v>-45281</v>
          </cell>
          <cell r="N172">
            <v>0</v>
          </cell>
          <cell r="O172">
            <v>0</v>
          </cell>
          <cell r="P172">
            <v>8253622</v>
          </cell>
          <cell r="Q172">
            <v>-273916</v>
          </cell>
          <cell r="S172">
            <v>3712092</v>
          </cell>
          <cell r="T172">
            <v>4267614</v>
          </cell>
          <cell r="U172">
            <v>2130862</v>
          </cell>
          <cell r="V172">
            <v>2479410.5</v>
          </cell>
          <cell r="W172">
            <v>1581230</v>
          </cell>
          <cell r="X172">
            <v>1788203.5</v>
          </cell>
          <cell r="Y172">
            <v>1581230</v>
          </cell>
          <cell r="Z172">
            <v>1788203.5</v>
          </cell>
          <cell r="AA172">
            <v>3369433.5</v>
          </cell>
          <cell r="AC172">
            <v>13318</v>
          </cell>
          <cell r="AD172">
            <v>0</v>
          </cell>
        </row>
        <row r="173">
          <cell r="S173">
            <v>0</v>
          </cell>
          <cell r="T173">
            <v>0</v>
          </cell>
          <cell r="U173">
            <v>0</v>
          </cell>
          <cell r="V173">
            <v>0</v>
          </cell>
          <cell r="W173">
            <v>0</v>
          </cell>
          <cell r="X173">
            <v>0</v>
          </cell>
          <cell r="Y173">
            <v>0</v>
          </cell>
          <cell r="Z173">
            <v>0</v>
          </cell>
          <cell r="AA173">
            <v>0</v>
          </cell>
          <cell r="AC173">
            <v>0</v>
          </cell>
          <cell r="AD173">
            <v>0</v>
          </cell>
        </row>
        <row r="174">
          <cell r="B174">
            <v>13320</v>
          </cell>
          <cell r="C174" t="str">
            <v>WELFARE - OTHERS (7050)</v>
          </cell>
          <cell r="D174">
            <v>2037692</v>
          </cell>
          <cell r="E174">
            <v>-5791</v>
          </cell>
          <cell r="F174">
            <v>1707139</v>
          </cell>
          <cell r="G174">
            <v>-55480</v>
          </cell>
          <cell r="H174">
            <v>0</v>
          </cell>
          <cell r="I174">
            <v>0</v>
          </cell>
          <cell r="J174">
            <v>0</v>
          </cell>
          <cell r="K174">
            <v>0</v>
          </cell>
          <cell r="L174">
            <v>224084</v>
          </cell>
          <cell r="M174">
            <v>0</v>
          </cell>
          <cell r="N174">
            <v>0</v>
          </cell>
          <cell r="O174">
            <v>0</v>
          </cell>
          <cell r="P174">
            <v>3744831</v>
          </cell>
          <cell r="Q174">
            <v>-61271</v>
          </cell>
          <cell r="S174">
            <v>2255985</v>
          </cell>
          <cell r="T174">
            <v>1651659</v>
          </cell>
          <cell r="U174">
            <v>1499700</v>
          </cell>
          <cell r="V174">
            <v>846908</v>
          </cell>
          <cell r="W174">
            <v>756285</v>
          </cell>
          <cell r="X174">
            <v>804751</v>
          </cell>
          <cell r="Y174">
            <v>756285</v>
          </cell>
          <cell r="Z174">
            <v>804751</v>
          </cell>
          <cell r="AA174">
            <v>1561036</v>
          </cell>
          <cell r="AC174">
            <v>13320</v>
          </cell>
          <cell r="AD174">
            <v>0</v>
          </cell>
        </row>
        <row r="175">
          <cell r="S175">
            <v>0</v>
          </cell>
          <cell r="T175">
            <v>0</v>
          </cell>
          <cell r="U175">
            <v>0</v>
          </cell>
          <cell r="V175">
            <v>0</v>
          </cell>
          <cell r="W175">
            <v>0</v>
          </cell>
          <cell r="X175">
            <v>0</v>
          </cell>
          <cell r="Y175">
            <v>0</v>
          </cell>
          <cell r="Z175">
            <v>0</v>
          </cell>
          <cell r="AA175">
            <v>0</v>
          </cell>
          <cell r="AC175">
            <v>0</v>
          </cell>
          <cell r="AD175">
            <v>0</v>
          </cell>
        </row>
        <row r="176">
          <cell r="B176">
            <v>13381</v>
          </cell>
          <cell r="C176" t="str">
            <v>RENT (7100)</v>
          </cell>
          <cell r="D176">
            <v>559773</v>
          </cell>
          <cell r="E176">
            <v>-37924</v>
          </cell>
          <cell r="F176">
            <v>1705653</v>
          </cell>
          <cell r="G176">
            <v>-56136</v>
          </cell>
          <cell r="H176">
            <v>0</v>
          </cell>
          <cell r="I176">
            <v>0</v>
          </cell>
          <cell r="J176">
            <v>0</v>
          </cell>
          <cell r="K176">
            <v>0</v>
          </cell>
          <cell r="L176">
            <v>715708</v>
          </cell>
          <cell r="M176">
            <v>-79098</v>
          </cell>
          <cell r="N176">
            <v>0</v>
          </cell>
          <cell r="O176">
            <v>0</v>
          </cell>
          <cell r="P176">
            <v>2265426</v>
          </cell>
          <cell r="Q176">
            <v>-94060</v>
          </cell>
          <cell r="S176">
            <v>1158459</v>
          </cell>
          <cell r="T176">
            <v>1649517</v>
          </cell>
          <cell r="U176">
            <v>749623</v>
          </cell>
          <cell r="V176">
            <v>884124</v>
          </cell>
          <cell r="W176">
            <v>408836</v>
          </cell>
          <cell r="X176">
            <v>765393</v>
          </cell>
          <cell r="Y176">
            <v>408836</v>
          </cell>
          <cell r="Z176">
            <v>765393</v>
          </cell>
          <cell r="AA176">
            <v>1174229</v>
          </cell>
          <cell r="AC176">
            <v>13381</v>
          </cell>
          <cell r="AD176">
            <v>0</v>
          </cell>
        </row>
        <row r="177">
          <cell r="S177">
            <v>0</v>
          </cell>
          <cell r="T177">
            <v>0</v>
          </cell>
          <cell r="U177">
            <v>0</v>
          </cell>
          <cell r="V177">
            <v>0</v>
          </cell>
          <cell r="W177">
            <v>0</v>
          </cell>
          <cell r="X177">
            <v>0</v>
          </cell>
          <cell r="Y177">
            <v>0</v>
          </cell>
          <cell r="Z177">
            <v>0</v>
          </cell>
          <cell r="AA177">
            <v>0</v>
          </cell>
          <cell r="AC177">
            <v>0</v>
          </cell>
          <cell r="AD177">
            <v>0</v>
          </cell>
        </row>
        <row r="178">
          <cell r="B178">
            <v>13384</v>
          </cell>
          <cell r="C178" t="str">
            <v>WATER (6220)</v>
          </cell>
          <cell r="D178">
            <v>2782906.5</v>
          </cell>
          <cell r="E178">
            <v>-30760</v>
          </cell>
          <cell r="F178">
            <v>1422097.5</v>
          </cell>
          <cell r="G178">
            <v>-32360</v>
          </cell>
          <cell r="H178">
            <v>0</v>
          </cell>
          <cell r="I178">
            <v>0</v>
          </cell>
          <cell r="J178">
            <v>0</v>
          </cell>
          <cell r="K178">
            <v>0</v>
          </cell>
          <cell r="L178">
            <v>0</v>
          </cell>
          <cell r="M178">
            <v>0</v>
          </cell>
          <cell r="N178">
            <v>0</v>
          </cell>
          <cell r="O178">
            <v>0</v>
          </cell>
          <cell r="P178">
            <v>4205004</v>
          </cell>
          <cell r="Q178">
            <v>-63120</v>
          </cell>
          <cell r="S178">
            <v>2752146.5</v>
          </cell>
          <cell r="T178">
            <v>1389737.5</v>
          </cell>
          <cell r="U178">
            <v>1503301.5</v>
          </cell>
          <cell r="V178">
            <v>757421.5</v>
          </cell>
          <cell r="W178">
            <v>1248845</v>
          </cell>
          <cell r="X178">
            <v>632316</v>
          </cell>
          <cell r="Y178">
            <v>1248845</v>
          </cell>
          <cell r="Z178">
            <v>632316</v>
          </cell>
          <cell r="AA178">
            <v>1881161</v>
          </cell>
          <cell r="AC178">
            <v>13384</v>
          </cell>
          <cell r="AD178">
            <v>0</v>
          </cell>
        </row>
        <row r="179">
          <cell r="S179">
            <v>0</v>
          </cell>
          <cell r="T179">
            <v>0</v>
          </cell>
          <cell r="U179">
            <v>0</v>
          </cell>
          <cell r="V179">
            <v>0</v>
          </cell>
          <cell r="W179">
            <v>0</v>
          </cell>
          <cell r="X179">
            <v>0</v>
          </cell>
          <cell r="Y179">
            <v>0</v>
          </cell>
          <cell r="Z179">
            <v>0</v>
          </cell>
          <cell r="AA179">
            <v>0</v>
          </cell>
          <cell r="AC179">
            <v>0</v>
          </cell>
          <cell r="AD179">
            <v>0</v>
          </cell>
        </row>
        <row r="180">
          <cell r="B180">
            <v>13385</v>
          </cell>
          <cell r="C180" t="str">
            <v>RATES &amp; TAXES (7110)</v>
          </cell>
          <cell r="D180">
            <v>8583308</v>
          </cell>
          <cell r="E180">
            <v>-2091153</v>
          </cell>
          <cell r="F180">
            <v>3577720</v>
          </cell>
          <cell r="G180">
            <v>-74945</v>
          </cell>
          <cell r="H180">
            <v>0</v>
          </cell>
          <cell r="I180">
            <v>0</v>
          </cell>
          <cell r="J180">
            <v>0</v>
          </cell>
          <cell r="K180">
            <v>0</v>
          </cell>
          <cell r="L180">
            <v>38875</v>
          </cell>
          <cell r="M180">
            <v>0</v>
          </cell>
          <cell r="N180">
            <v>0</v>
          </cell>
          <cell r="O180">
            <v>0</v>
          </cell>
          <cell r="P180">
            <v>12161028</v>
          </cell>
          <cell r="Q180">
            <v>-2166098</v>
          </cell>
          <cell r="S180">
            <v>6531030</v>
          </cell>
          <cell r="T180">
            <v>3502775</v>
          </cell>
          <cell r="U180">
            <v>4742765</v>
          </cell>
          <cell r="V180">
            <v>2704719</v>
          </cell>
          <cell r="W180">
            <v>1788265</v>
          </cell>
          <cell r="X180">
            <v>798056</v>
          </cell>
          <cell r="Y180">
            <v>1788265</v>
          </cell>
          <cell r="Z180">
            <v>798056</v>
          </cell>
          <cell r="AA180">
            <v>2586321</v>
          </cell>
          <cell r="AC180">
            <v>13385</v>
          </cell>
          <cell r="AD180">
            <v>0</v>
          </cell>
        </row>
        <row r="181">
          <cell r="S181">
            <v>0</v>
          </cell>
          <cell r="T181">
            <v>0</v>
          </cell>
          <cell r="U181">
            <v>0</v>
          </cell>
          <cell r="V181">
            <v>0</v>
          </cell>
          <cell r="W181">
            <v>0</v>
          </cell>
          <cell r="X181">
            <v>0</v>
          </cell>
          <cell r="Y181">
            <v>0</v>
          </cell>
          <cell r="Z181">
            <v>0</v>
          </cell>
          <cell r="AA181">
            <v>0</v>
          </cell>
          <cell r="AC181">
            <v>0</v>
          </cell>
          <cell r="AD181">
            <v>0</v>
          </cell>
        </row>
        <row r="182">
          <cell r="B182">
            <v>13386</v>
          </cell>
          <cell r="C182" t="str">
            <v>SERVICE TAX ON TRANSPORT (GTO) (7111)</v>
          </cell>
          <cell r="D182">
            <v>1478716</v>
          </cell>
          <cell r="E182">
            <v>0</v>
          </cell>
          <cell r="F182">
            <v>900000</v>
          </cell>
          <cell r="G182">
            <v>0</v>
          </cell>
          <cell r="H182">
            <v>0</v>
          </cell>
          <cell r="I182">
            <v>0</v>
          </cell>
          <cell r="J182">
            <v>0</v>
          </cell>
          <cell r="K182">
            <v>0</v>
          </cell>
          <cell r="L182">
            <v>477140</v>
          </cell>
          <cell r="M182">
            <v>-9443</v>
          </cell>
          <cell r="N182">
            <v>0</v>
          </cell>
          <cell r="O182">
            <v>0</v>
          </cell>
          <cell r="P182">
            <v>2378716</v>
          </cell>
          <cell r="Q182">
            <v>0</v>
          </cell>
          <cell r="S182">
            <v>1946413</v>
          </cell>
          <cell r="T182">
            <v>900000</v>
          </cell>
          <cell r="U182">
            <v>978500</v>
          </cell>
          <cell r="V182">
            <v>900000</v>
          </cell>
          <cell r="W182">
            <v>967913</v>
          </cell>
          <cell r="X182">
            <v>0</v>
          </cell>
          <cell r="Y182">
            <v>967913</v>
          </cell>
          <cell r="Z182">
            <v>0</v>
          </cell>
          <cell r="AA182">
            <v>967913</v>
          </cell>
          <cell r="AC182">
            <v>13386</v>
          </cell>
          <cell r="AD182">
            <v>0</v>
          </cell>
        </row>
        <row r="183">
          <cell r="S183">
            <v>0</v>
          </cell>
          <cell r="T183">
            <v>0</v>
          </cell>
          <cell r="U183">
            <v>0</v>
          </cell>
          <cell r="V183">
            <v>0</v>
          </cell>
          <cell r="W183">
            <v>0</v>
          </cell>
          <cell r="X183">
            <v>0</v>
          </cell>
          <cell r="Y183">
            <v>0</v>
          </cell>
          <cell r="Z183">
            <v>0</v>
          </cell>
          <cell r="AA183">
            <v>0</v>
          </cell>
          <cell r="AC183">
            <v>0</v>
          </cell>
          <cell r="AD183">
            <v>0</v>
          </cell>
        </row>
        <row r="184">
          <cell r="B184">
            <v>13387</v>
          </cell>
          <cell r="C184" t="str">
            <v>PROFESSIONAL TAX (COMPANY) (</v>
          </cell>
          <cell r="D184">
            <v>0</v>
          </cell>
          <cell r="E184">
            <v>0</v>
          </cell>
          <cell r="F184">
            <v>0</v>
          </cell>
          <cell r="G184">
            <v>0</v>
          </cell>
          <cell r="H184">
            <v>0</v>
          </cell>
          <cell r="I184">
            <v>0</v>
          </cell>
          <cell r="J184">
            <v>0</v>
          </cell>
          <cell r="K184">
            <v>0</v>
          </cell>
          <cell r="L184">
            <v>14475</v>
          </cell>
          <cell r="M184">
            <v>-14475</v>
          </cell>
          <cell r="N184">
            <v>0</v>
          </cell>
          <cell r="O184">
            <v>0</v>
          </cell>
          <cell r="P184">
            <v>0</v>
          </cell>
          <cell r="Q184">
            <v>0</v>
          </cell>
          <cell r="S184">
            <v>0</v>
          </cell>
          <cell r="T184">
            <v>0</v>
          </cell>
          <cell r="U184">
            <v>0</v>
          </cell>
          <cell r="V184">
            <v>0</v>
          </cell>
          <cell r="W184">
            <v>0</v>
          </cell>
          <cell r="X184">
            <v>0</v>
          </cell>
          <cell r="Y184">
            <v>0</v>
          </cell>
          <cell r="Z184">
            <v>0</v>
          </cell>
          <cell r="AA184">
            <v>0</v>
          </cell>
          <cell r="AC184">
            <v>13387</v>
          </cell>
          <cell r="AD184">
            <v>0</v>
          </cell>
        </row>
        <row r="185">
          <cell r="S185">
            <v>0</v>
          </cell>
          <cell r="T185">
            <v>0</v>
          </cell>
          <cell r="U185">
            <v>0</v>
          </cell>
          <cell r="V185">
            <v>0</v>
          </cell>
          <cell r="W185">
            <v>0</v>
          </cell>
          <cell r="X185">
            <v>0</v>
          </cell>
          <cell r="Y185">
            <v>0</v>
          </cell>
          <cell r="Z185">
            <v>0</v>
          </cell>
          <cell r="AA185">
            <v>0</v>
          </cell>
          <cell r="AC185">
            <v>0</v>
          </cell>
          <cell r="AD185">
            <v>0</v>
          </cell>
        </row>
        <row r="186">
          <cell r="B186">
            <v>13393</v>
          </cell>
          <cell r="C186" t="str">
            <v>INSURANCE (7160)</v>
          </cell>
          <cell r="D186">
            <v>506187</v>
          </cell>
          <cell r="E186">
            <v>-53907</v>
          </cell>
          <cell r="F186">
            <v>1003597.7</v>
          </cell>
          <cell r="G186">
            <v>-350808.86</v>
          </cell>
          <cell r="H186">
            <v>25262</v>
          </cell>
          <cell r="I186">
            <v>-25262</v>
          </cell>
          <cell r="J186">
            <v>0</v>
          </cell>
          <cell r="K186">
            <v>0</v>
          </cell>
          <cell r="L186">
            <v>168687</v>
          </cell>
          <cell r="M186">
            <v>0</v>
          </cell>
          <cell r="N186">
            <v>0</v>
          </cell>
          <cell r="O186">
            <v>0</v>
          </cell>
          <cell r="P186">
            <v>1535046.7</v>
          </cell>
          <cell r="Q186">
            <v>-429977.86</v>
          </cell>
          <cell r="S186">
            <v>620967</v>
          </cell>
          <cell r="T186">
            <v>652788.84</v>
          </cell>
          <cell r="U186">
            <v>598349</v>
          </cell>
          <cell r="V186">
            <v>773729.34</v>
          </cell>
          <cell r="W186">
            <v>22618</v>
          </cell>
          <cell r="X186">
            <v>-120940.5</v>
          </cell>
          <cell r="Y186">
            <v>22618</v>
          </cell>
          <cell r="Z186">
            <v>-120940.5</v>
          </cell>
          <cell r="AA186">
            <v>-98322.5</v>
          </cell>
          <cell r="AC186">
            <v>13393</v>
          </cell>
          <cell r="AD186">
            <v>0</v>
          </cell>
        </row>
        <row r="187">
          <cell r="S187">
            <v>0</v>
          </cell>
          <cell r="T187">
            <v>0</v>
          </cell>
          <cell r="U187">
            <v>0</v>
          </cell>
          <cell r="V187">
            <v>0</v>
          </cell>
          <cell r="W187">
            <v>0</v>
          </cell>
          <cell r="X187">
            <v>0</v>
          </cell>
          <cell r="Y187">
            <v>0</v>
          </cell>
          <cell r="Z187">
            <v>0</v>
          </cell>
          <cell r="AA187">
            <v>0</v>
          </cell>
          <cell r="AC187">
            <v>0</v>
          </cell>
          <cell r="AD187">
            <v>0</v>
          </cell>
        </row>
        <row r="188">
          <cell r="B188">
            <v>13408</v>
          </cell>
          <cell r="C188" t="str">
            <v>DISCOUNT ALLOWED (7180)</v>
          </cell>
          <cell r="D188">
            <v>284851.14</v>
          </cell>
          <cell r="E188">
            <v>-8366</v>
          </cell>
          <cell r="F188">
            <v>1175745</v>
          </cell>
          <cell r="G188">
            <v>0</v>
          </cell>
          <cell r="H188">
            <v>0</v>
          </cell>
          <cell r="I188">
            <v>0</v>
          </cell>
          <cell r="J188">
            <v>0</v>
          </cell>
          <cell r="K188">
            <v>0</v>
          </cell>
          <cell r="L188">
            <v>0</v>
          </cell>
          <cell r="M188">
            <v>0</v>
          </cell>
          <cell r="N188">
            <v>0</v>
          </cell>
          <cell r="O188">
            <v>0</v>
          </cell>
          <cell r="P188">
            <v>1460596.14</v>
          </cell>
          <cell r="Q188">
            <v>-8366</v>
          </cell>
          <cell r="S188">
            <v>276485.14</v>
          </cell>
          <cell r="T188">
            <v>1175745</v>
          </cell>
          <cell r="U188">
            <v>218295.75</v>
          </cell>
          <cell r="V188">
            <v>499641</v>
          </cell>
          <cell r="W188">
            <v>58189.390000000014</v>
          </cell>
          <cell r="X188">
            <v>676104</v>
          </cell>
          <cell r="Y188">
            <v>58189.390000000014</v>
          </cell>
          <cell r="Z188">
            <v>676104</v>
          </cell>
          <cell r="AA188">
            <v>734293.39</v>
          </cell>
          <cell r="AC188">
            <v>13408</v>
          </cell>
          <cell r="AD188">
            <v>0</v>
          </cell>
        </row>
        <row r="189">
          <cell r="S189">
            <v>0</v>
          </cell>
          <cell r="T189">
            <v>0</v>
          </cell>
          <cell r="U189">
            <v>0</v>
          </cell>
          <cell r="V189">
            <v>0</v>
          </cell>
          <cell r="W189">
            <v>0</v>
          </cell>
          <cell r="X189">
            <v>0</v>
          </cell>
          <cell r="Y189">
            <v>0</v>
          </cell>
          <cell r="Z189">
            <v>0</v>
          </cell>
          <cell r="AA189">
            <v>0</v>
          </cell>
          <cell r="AC189">
            <v>0</v>
          </cell>
          <cell r="AD189">
            <v>0</v>
          </cell>
        </row>
        <row r="190">
          <cell r="B190">
            <v>13412</v>
          </cell>
          <cell r="C190" t="str">
            <v>COMMISSION ON SALE (7170)</v>
          </cell>
          <cell r="D190">
            <v>15866698.369999999</v>
          </cell>
          <cell r="E190">
            <v>-7848327</v>
          </cell>
          <cell r="F190">
            <v>4991308.8600000003</v>
          </cell>
          <cell r="G190">
            <v>0</v>
          </cell>
          <cell r="H190">
            <v>0</v>
          </cell>
          <cell r="I190">
            <v>0</v>
          </cell>
          <cell r="J190">
            <v>0</v>
          </cell>
          <cell r="K190">
            <v>0</v>
          </cell>
          <cell r="L190">
            <v>0</v>
          </cell>
          <cell r="M190">
            <v>0</v>
          </cell>
          <cell r="N190">
            <v>0</v>
          </cell>
          <cell r="O190">
            <v>0</v>
          </cell>
          <cell r="P190">
            <v>20858007.23</v>
          </cell>
          <cell r="Q190">
            <v>-7848327</v>
          </cell>
          <cell r="S190">
            <v>8018371.3699999992</v>
          </cell>
          <cell r="T190">
            <v>4991308.8600000003</v>
          </cell>
          <cell r="U190">
            <v>8018371.3700000001</v>
          </cell>
          <cell r="V190">
            <v>4544236.4000000004</v>
          </cell>
          <cell r="W190">
            <v>0</v>
          </cell>
          <cell r="X190">
            <v>447072.45999999996</v>
          </cell>
          <cell r="Y190">
            <v>0</v>
          </cell>
          <cell r="Z190">
            <v>447072.45999999996</v>
          </cell>
          <cell r="AA190">
            <v>447072.45999999996</v>
          </cell>
          <cell r="AC190">
            <v>13412</v>
          </cell>
          <cell r="AD190">
            <v>0</v>
          </cell>
        </row>
        <row r="191">
          <cell r="S191">
            <v>0</v>
          </cell>
          <cell r="T191">
            <v>0</v>
          </cell>
          <cell r="U191">
            <v>0</v>
          </cell>
          <cell r="V191">
            <v>0</v>
          </cell>
          <cell r="W191">
            <v>0</v>
          </cell>
          <cell r="X191">
            <v>0</v>
          </cell>
          <cell r="Y191">
            <v>0</v>
          </cell>
          <cell r="Z191">
            <v>0</v>
          </cell>
          <cell r="AA191">
            <v>0</v>
          </cell>
          <cell r="AC191">
            <v>0</v>
          </cell>
          <cell r="AD191">
            <v>0</v>
          </cell>
        </row>
        <row r="192">
          <cell r="B192">
            <v>13428</v>
          </cell>
          <cell r="C192" t="str">
            <v>SECURITY (7360)</v>
          </cell>
          <cell r="D192">
            <v>2754803.52</v>
          </cell>
          <cell r="E192">
            <v>-52064</v>
          </cell>
          <cell r="F192">
            <v>3304626</v>
          </cell>
          <cell r="G192">
            <v>-253674</v>
          </cell>
          <cell r="H192">
            <v>0</v>
          </cell>
          <cell r="I192">
            <v>0</v>
          </cell>
          <cell r="J192">
            <v>0</v>
          </cell>
          <cell r="K192">
            <v>0</v>
          </cell>
          <cell r="L192">
            <v>0</v>
          </cell>
          <cell r="M192">
            <v>0</v>
          </cell>
          <cell r="N192">
            <v>0</v>
          </cell>
          <cell r="O192">
            <v>0</v>
          </cell>
          <cell r="P192">
            <v>6059429.5199999996</v>
          </cell>
          <cell r="Q192">
            <v>-305738</v>
          </cell>
          <cell r="S192">
            <v>2702739.52</v>
          </cell>
          <cell r="T192">
            <v>3050952</v>
          </cell>
          <cell r="U192">
            <v>1552751</v>
          </cell>
          <cell r="V192">
            <v>1786818</v>
          </cell>
          <cell r="W192">
            <v>1149988.52</v>
          </cell>
          <cell r="X192">
            <v>1264134</v>
          </cell>
          <cell r="Y192">
            <v>1149988.52</v>
          </cell>
          <cell r="Z192">
            <v>1264134</v>
          </cell>
          <cell r="AA192">
            <v>2414122.52</v>
          </cell>
          <cell r="AC192">
            <v>13428</v>
          </cell>
          <cell r="AD192">
            <v>0</v>
          </cell>
        </row>
        <row r="193">
          <cell r="S193">
            <v>0</v>
          </cell>
          <cell r="T193">
            <v>0</v>
          </cell>
          <cell r="U193">
            <v>0</v>
          </cell>
          <cell r="V193">
            <v>0</v>
          </cell>
          <cell r="W193">
            <v>0</v>
          </cell>
          <cell r="X193">
            <v>0</v>
          </cell>
          <cell r="Y193">
            <v>0</v>
          </cell>
          <cell r="Z193">
            <v>0</v>
          </cell>
          <cell r="AA193">
            <v>0</v>
          </cell>
          <cell r="AC193">
            <v>0</v>
          </cell>
          <cell r="AD193">
            <v>0</v>
          </cell>
        </row>
        <row r="194">
          <cell r="B194">
            <v>13429</v>
          </cell>
          <cell r="C194" t="str">
            <v>SAFETY &amp; SANITATION (7370)</v>
          </cell>
          <cell r="D194">
            <v>579581</v>
          </cell>
          <cell r="E194">
            <v>-1000</v>
          </cell>
          <cell r="F194">
            <v>320968</v>
          </cell>
          <cell r="G194">
            <v>-18650</v>
          </cell>
          <cell r="H194">
            <v>0</v>
          </cell>
          <cell r="I194">
            <v>0</v>
          </cell>
          <cell r="J194">
            <v>0</v>
          </cell>
          <cell r="K194">
            <v>0</v>
          </cell>
          <cell r="L194">
            <v>87778</v>
          </cell>
          <cell r="M194">
            <v>0</v>
          </cell>
          <cell r="N194">
            <v>0</v>
          </cell>
          <cell r="O194">
            <v>0</v>
          </cell>
          <cell r="P194">
            <v>900549</v>
          </cell>
          <cell r="Q194">
            <v>-19650</v>
          </cell>
          <cell r="S194">
            <v>666359</v>
          </cell>
          <cell r="T194">
            <v>302318</v>
          </cell>
          <cell r="U194">
            <v>551363</v>
          </cell>
          <cell r="V194">
            <v>197626</v>
          </cell>
          <cell r="W194">
            <v>114996</v>
          </cell>
          <cell r="X194">
            <v>104692</v>
          </cell>
          <cell r="Y194">
            <v>114996</v>
          </cell>
          <cell r="Z194">
            <v>104692</v>
          </cell>
          <cell r="AA194">
            <v>219688</v>
          </cell>
          <cell r="AC194">
            <v>13429</v>
          </cell>
          <cell r="AD194">
            <v>0</v>
          </cell>
        </row>
        <row r="195">
          <cell r="S195">
            <v>0</v>
          </cell>
          <cell r="T195">
            <v>0</v>
          </cell>
          <cell r="U195">
            <v>0</v>
          </cell>
          <cell r="V195">
            <v>0</v>
          </cell>
          <cell r="W195">
            <v>0</v>
          </cell>
          <cell r="X195">
            <v>0</v>
          </cell>
          <cell r="Y195">
            <v>0</v>
          </cell>
          <cell r="Z195">
            <v>0</v>
          </cell>
          <cell r="AA195">
            <v>0</v>
          </cell>
          <cell r="AC195">
            <v>0</v>
          </cell>
          <cell r="AD195">
            <v>0</v>
          </cell>
        </row>
        <row r="196">
          <cell r="B196">
            <v>13446</v>
          </cell>
          <cell r="C196" t="str">
            <v>DIRECTOR'S TRAVELLING EXP. (7210)</v>
          </cell>
          <cell r="D196">
            <v>0</v>
          </cell>
          <cell r="E196">
            <v>0</v>
          </cell>
          <cell r="F196">
            <v>0</v>
          </cell>
          <cell r="G196">
            <v>0</v>
          </cell>
          <cell r="H196">
            <v>0</v>
          </cell>
          <cell r="I196">
            <v>0</v>
          </cell>
          <cell r="J196">
            <v>0</v>
          </cell>
          <cell r="K196">
            <v>0</v>
          </cell>
          <cell r="L196">
            <v>3413826.46</v>
          </cell>
          <cell r="M196">
            <v>-835727.74</v>
          </cell>
          <cell r="N196">
            <v>0</v>
          </cell>
          <cell r="O196">
            <v>0</v>
          </cell>
          <cell r="P196">
            <v>0</v>
          </cell>
          <cell r="Q196">
            <v>0</v>
          </cell>
          <cell r="S196">
            <v>2578098.7199999997</v>
          </cell>
          <cell r="T196">
            <v>0</v>
          </cell>
          <cell r="U196">
            <v>1417611.94</v>
          </cell>
          <cell r="V196">
            <v>0</v>
          </cell>
          <cell r="W196">
            <v>1160486.7799999998</v>
          </cell>
          <cell r="X196">
            <v>0</v>
          </cell>
          <cell r="Y196">
            <v>1160486.7799999998</v>
          </cell>
          <cell r="Z196">
            <v>0</v>
          </cell>
          <cell r="AA196">
            <v>1160486.7799999998</v>
          </cell>
          <cell r="AC196">
            <v>13446</v>
          </cell>
          <cell r="AD196">
            <v>0</v>
          </cell>
        </row>
        <row r="197">
          <cell r="S197">
            <v>0</v>
          </cell>
          <cell r="T197">
            <v>0</v>
          </cell>
          <cell r="U197">
            <v>0</v>
          </cell>
          <cell r="V197">
            <v>0</v>
          </cell>
          <cell r="W197">
            <v>0</v>
          </cell>
          <cell r="X197">
            <v>0</v>
          </cell>
          <cell r="Y197">
            <v>0</v>
          </cell>
          <cell r="Z197">
            <v>0</v>
          </cell>
          <cell r="AA197">
            <v>0</v>
          </cell>
          <cell r="AC197">
            <v>0</v>
          </cell>
          <cell r="AD197">
            <v>0</v>
          </cell>
        </row>
        <row r="198">
          <cell r="B198">
            <v>13447</v>
          </cell>
          <cell r="C198" t="str">
            <v>FOREIGNER'S TRAVELLING EXP. (7210)</v>
          </cell>
          <cell r="D198">
            <v>4121866</v>
          </cell>
          <cell r="E198">
            <v>-625808</v>
          </cell>
          <cell r="F198">
            <v>10752</v>
          </cell>
          <cell r="G198">
            <v>0</v>
          </cell>
          <cell r="H198">
            <v>0</v>
          </cell>
          <cell r="I198">
            <v>0</v>
          </cell>
          <cell r="J198">
            <v>0</v>
          </cell>
          <cell r="K198">
            <v>0</v>
          </cell>
          <cell r="L198">
            <v>32291.53</v>
          </cell>
          <cell r="M198">
            <v>-1380</v>
          </cell>
          <cell r="N198">
            <v>0</v>
          </cell>
          <cell r="O198">
            <v>0</v>
          </cell>
          <cell r="P198">
            <v>4132618</v>
          </cell>
          <cell r="Q198">
            <v>-625808</v>
          </cell>
          <cell r="S198">
            <v>3526969.53</v>
          </cell>
          <cell r="T198">
            <v>10752</v>
          </cell>
          <cell r="U198">
            <v>319362.53000000003</v>
          </cell>
          <cell r="V198">
            <v>0</v>
          </cell>
          <cell r="W198">
            <v>3207607</v>
          </cell>
          <cell r="X198">
            <v>10752</v>
          </cell>
          <cell r="Y198">
            <v>3207607</v>
          </cell>
          <cell r="Z198">
            <v>10752</v>
          </cell>
          <cell r="AA198">
            <v>3218359</v>
          </cell>
          <cell r="AC198">
            <v>13447</v>
          </cell>
          <cell r="AD198">
            <v>0</v>
          </cell>
        </row>
        <row r="199">
          <cell r="S199">
            <v>0</v>
          </cell>
          <cell r="T199">
            <v>0</v>
          </cell>
          <cell r="U199">
            <v>0</v>
          </cell>
          <cell r="V199">
            <v>0</v>
          </cell>
          <cell r="W199">
            <v>0</v>
          </cell>
          <cell r="X199">
            <v>0</v>
          </cell>
          <cell r="Y199">
            <v>0</v>
          </cell>
          <cell r="Z199">
            <v>0</v>
          </cell>
          <cell r="AA199">
            <v>0</v>
          </cell>
          <cell r="AC199">
            <v>0</v>
          </cell>
          <cell r="AD199">
            <v>0</v>
          </cell>
        </row>
        <row r="200">
          <cell r="B200">
            <v>13448</v>
          </cell>
          <cell r="C200" t="str">
            <v>FOREIGN TRAV)EL EXP. (7211)</v>
          </cell>
          <cell r="D200">
            <v>873933.4</v>
          </cell>
          <cell r="E200">
            <v>-76590</v>
          </cell>
          <cell r="F200">
            <v>1331306</v>
          </cell>
          <cell r="G200">
            <v>-335401</v>
          </cell>
          <cell r="H200">
            <v>0</v>
          </cell>
          <cell r="I200">
            <v>0</v>
          </cell>
          <cell r="J200">
            <v>0</v>
          </cell>
          <cell r="K200">
            <v>0</v>
          </cell>
          <cell r="L200">
            <v>1425754</v>
          </cell>
          <cell r="M200">
            <v>-161065</v>
          </cell>
          <cell r="N200">
            <v>0</v>
          </cell>
          <cell r="O200">
            <v>0</v>
          </cell>
          <cell r="P200">
            <v>2205239.4</v>
          </cell>
          <cell r="Q200">
            <v>-411991</v>
          </cell>
          <cell r="S200">
            <v>2062032.4</v>
          </cell>
          <cell r="T200">
            <v>995905</v>
          </cell>
          <cell r="U200">
            <v>490882</v>
          </cell>
          <cell r="V200">
            <v>390264</v>
          </cell>
          <cell r="W200">
            <v>1571150.4</v>
          </cell>
          <cell r="X200">
            <v>605641</v>
          </cell>
          <cell r="Y200">
            <v>1571150.4</v>
          </cell>
          <cell r="Z200">
            <v>605641</v>
          </cell>
          <cell r="AA200">
            <v>2176791.4</v>
          </cell>
          <cell r="AC200">
            <v>13448</v>
          </cell>
          <cell r="AD200">
            <v>0</v>
          </cell>
        </row>
        <row r="201">
          <cell r="S201">
            <v>0</v>
          </cell>
          <cell r="T201">
            <v>0</v>
          </cell>
          <cell r="U201">
            <v>0</v>
          </cell>
          <cell r="V201">
            <v>0</v>
          </cell>
          <cell r="W201">
            <v>0</v>
          </cell>
          <cell r="X201">
            <v>0</v>
          </cell>
          <cell r="Y201">
            <v>0</v>
          </cell>
          <cell r="Z201">
            <v>0</v>
          </cell>
          <cell r="AA201">
            <v>0</v>
          </cell>
          <cell r="AC201">
            <v>0</v>
          </cell>
          <cell r="AD201">
            <v>0</v>
          </cell>
        </row>
        <row r="202">
          <cell r="B202">
            <v>13449</v>
          </cell>
          <cell r="C202" t="str">
            <v>LOCAL TRAVELLING (7212/ 7220)</v>
          </cell>
          <cell r="D202">
            <v>1941908.66</v>
          </cell>
          <cell r="E202">
            <v>-1296397</v>
          </cell>
          <cell r="F202">
            <v>2738598.33</v>
          </cell>
          <cell r="G202">
            <v>-150428</v>
          </cell>
          <cell r="H202">
            <v>0</v>
          </cell>
          <cell r="I202">
            <v>0</v>
          </cell>
          <cell r="J202">
            <v>0</v>
          </cell>
          <cell r="K202">
            <v>0</v>
          </cell>
          <cell r="L202">
            <v>3798549.57</v>
          </cell>
          <cell r="M202">
            <v>-127564.42</v>
          </cell>
          <cell r="N202">
            <v>0</v>
          </cell>
          <cell r="O202">
            <v>0</v>
          </cell>
          <cell r="P202">
            <v>4680506.99</v>
          </cell>
          <cell r="Q202">
            <v>-1446825</v>
          </cell>
          <cell r="S202">
            <v>4316496.8099999996</v>
          </cell>
          <cell r="T202">
            <v>2588170.33</v>
          </cell>
          <cell r="U202">
            <v>2423823.31</v>
          </cell>
          <cell r="V202">
            <v>1847443.43</v>
          </cell>
          <cell r="W202">
            <v>1892673.4999999995</v>
          </cell>
          <cell r="X202">
            <v>740726.90000000014</v>
          </cell>
          <cell r="Y202">
            <v>1892673.4999999995</v>
          </cell>
          <cell r="Z202">
            <v>740726.90000000014</v>
          </cell>
          <cell r="AA202">
            <v>2633400.3999999994</v>
          </cell>
          <cell r="AC202">
            <v>13449</v>
          </cell>
          <cell r="AD202">
            <v>0</v>
          </cell>
        </row>
        <row r="203">
          <cell r="S203">
            <v>0</v>
          </cell>
          <cell r="T203">
            <v>0</v>
          </cell>
          <cell r="U203">
            <v>0</v>
          </cell>
          <cell r="V203">
            <v>0</v>
          </cell>
          <cell r="W203">
            <v>0</v>
          </cell>
          <cell r="X203">
            <v>0</v>
          </cell>
          <cell r="Y203">
            <v>0</v>
          </cell>
          <cell r="Z203">
            <v>0</v>
          </cell>
          <cell r="AA203">
            <v>0</v>
          </cell>
          <cell r="AC203">
            <v>0</v>
          </cell>
          <cell r="AD203">
            <v>0</v>
          </cell>
        </row>
        <row r="204">
          <cell r="B204">
            <v>13450</v>
          </cell>
          <cell r="C204" t="str">
            <v>CONVENYANCE EXPENSES (LOCAL) (3316)</v>
          </cell>
          <cell r="D204">
            <v>2730132.38</v>
          </cell>
          <cell r="E204">
            <v>-16793</v>
          </cell>
          <cell r="F204">
            <v>2296685</v>
          </cell>
          <cell r="G204">
            <v>-2310</v>
          </cell>
          <cell r="H204">
            <v>0</v>
          </cell>
          <cell r="I204">
            <v>0</v>
          </cell>
          <cell r="J204">
            <v>0</v>
          </cell>
          <cell r="K204">
            <v>0</v>
          </cell>
          <cell r="L204">
            <v>1506931</v>
          </cell>
          <cell r="M204">
            <v>0</v>
          </cell>
          <cell r="N204">
            <v>0</v>
          </cell>
          <cell r="O204">
            <v>0</v>
          </cell>
          <cell r="P204">
            <v>5026817.38</v>
          </cell>
          <cell r="Q204">
            <v>-19103</v>
          </cell>
          <cell r="S204">
            <v>4220270.38</v>
          </cell>
          <cell r="T204">
            <v>2294375</v>
          </cell>
          <cell r="U204">
            <v>2417565</v>
          </cell>
          <cell r="V204">
            <v>1488239</v>
          </cell>
          <cell r="W204">
            <v>1802705.38</v>
          </cell>
          <cell r="X204">
            <v>806136</v>
          </cell>
          <cell r="Y204">
            <v>1802705.38</v>
          </cell>
          <cell r="Z204">
            <v>806136</v>
          </cell>
          <cell r="AA204">
            <v>2608841.38</v>
          </cell>
          <cell r="AC204">
            <v>13450</v>
          </cell>
          <cell r="AD204">
            <v>0</v>
          </cell>
        </row>
        <row r="205">
          <cell r="S205">
            <v>0</v>
          </cell>
          <cell r="T205">
            <v>0</v>
          </cell>
          <cell r="U205">
            <v>0</v>
          </cell>
          <cell r="V205">
            <v>0</v>
          </cell>
          <cell r="W205">
            <v>0</v>
          </cell>
          <cell r="X205">
            <v>0</v>
          </cell>
          <cell r="Y205">
            <v>0</v>
          </cell>
          <cell r="Z205">
            <v>0</v>
          </cell>
          <cell r="AA205">
            <v>0</v>
          </cell>
          <cell r="AC205">
            <v>0</v>
          </cell>
          <cell r="AD205">
            <v>0</v>
          </cell>
        </row>
        <row r="206">
          <cell r="B206">
            <v>13475</v>
          </cell>
          <cell r="C206" t="str">
            <v>FREIGHT &amp; TRANSPORT - LOCAL SALES (7285)</v>
          </cell>
          <cell r="D206">
            <v>4984159.5999999996</v>
          </cell>
          <cell r="E206">
            <v>-526646</v>
          </cell>
          <cell r="F206">
            <v>60846776.130000003</v>
          </cell>
          <cell r="G206">
            <v>-3423172.15</v>
          </cell>
          <cell r="H206">
            <v>0</v>
          </cell>
          <cell r="I206">
            <v>0</v>
          </cell>
          <cell r="J206">
            <v>0</v>
          </cell>
          <cell r="K206">
            <v>0</v>
          </cell>
          <cell r="L206">
            <v>163235</v>
          </cell>
          <cell r="M206">
            <v>-4175</v>
          </cell>
          <cell r="N206">
            <v>0</v>
          </cell>
          <cell r="O206">
            <v>0</v>
          </cell>
          <cell r="P206">
            <v>65830935.729999997</v>
          </cell>
          <cell r="Q206">
            <v>-3949818.15</v>
          </cell>
          <cell r="S206">
            <v>4616573.5999999996</v>
          </cell>
          <cell r="T206">
            <v>57423603.980000004</v>
          </cell>
          <cell r="U206">
            <v>2860338.6</v>
          </cell>
          <cell r="V206">
            <v>33919626.049999997</v>
          </cell>
          <cell r="W206">
            <v>1756234.9999999995</v>
          </cell>
          <cell r="X206">
            <v>23503977.930000007</v>
          </cell>
          <cell r="Y206">
            <v>1756234.9999999995</v>
          </cell>
          <cell r="Z206">
            <v>23503977.930000007</v>
          </cell>
          <cell r="AA206">
            <v>25260212.930000007</v>
          </cell>
          <cell r="AC206">
            <v>13475</v>
          </cell>
          <cell r="AD206">
            <v>0</v>
          </cell>
        </row>
        <row r="207">
          <cell r="S207">
            <v>0</v>
          </cell>
          <cell r="T207">
            <v>0</v>
          </cell>
          <cell r="U207">
            <v>0</v>
          </cell>
          <cell r="V207">
            <v>0</v>
          </cell>
          <cell r="W207">
            <v>0</v>
          </cell>
          <cell r="X207">
            <v>0</v>
          </cell>
          <cell r="Y207">
            <v>0</v>
          </cell>
          <cell r="Z207">
            <v>0</v>
          </cell>
          <cell r="AA207">
            <v>0</v>
          </cell>
          <cell r="AC207">
            <v>0</v>
          </cell>
          <cell r="AD207">
            <v>0</v>
          </cell>
        </row>
        <row r="208">
          <cell r="B208">
            <v>13476</v>
          </cell>
          <cell r="C208" t="str">
            <v>LOADING &amp; UNLOADING EXPENSE (7286)</v>
          </cell>
          <cell r="D208">
            <v>101198</v>
          </cell>
          <cell r="E208">
            <v>-6921</v>
          </cell>
          <cell r="F208">
            <v>20064288.579999998</v>
          </cell>
          <cell r="G208">
            <v>-408937.4</v>
          </cell>
          <cell r="H208">
            <v>0</v>
          </cell>
          <cell r="I208">
            <v>0</v>
          </cell>
          <cell r="J208">
            <v>0</v>
          </cell>
          <cell r="K208">
            <v>0</v>
          </cell>
          <cell r="L208">
            <v>845</v>
          </cell>
          <cell r="M208">
            <v>0</v>
          </cell>
          <cell r="N208">
            <v>0</v>
          </cell>
          <cell r="O208">
            <v>0</v>
          </cell>
          <cell r="P208">
            <v>20165486.579999998</v>
          </cell>
          <cell r="Q208">
            <v>-415858.4</v>
          </cell>
          <cell r="S208">
            <v>95122</v>
          </cell>
          <cell r="T208">
            <v>19655351.18</v>
          </cell>
          <cell r="U208">
            <v>51537</v>
          </cell>
          <cell r="V208">
            <v>10945707.57</v>
          </cell>
          <cell r="W208">
            <v>43585</v>
          </cell>
          <cell r="X208">
            <v>8709643.6099999994</v>
          </cell>
          <cell r="Y208">
            <v>43585</v>
          </cell>
          <cell r="Z208">
            <v>8709643.6099999994</v>
          </cell>
          <cell r="AA208">
            <v>8753228.6099999994</v>
          </cell>
          <cell r="AC208">
            <v>13476</v>
          </cell>
          <cell r="AD208">
            <v>0</v>
          </cell>
        </row>
        <row r="209">
          <cell r="S209">
            <v>0</v>
          </cell>
          <cell r="T209">
            <v>0</v>
          </cell>
          <cell r="U209">
            <v>0</v>
          </cell>
          <cell r="V209">
            <v>0</v>
          </cell>
          <cell r="W209">
            <v>0</v>
          </cell>
          <cell r="X209">
            <v>0</v>
          </cell>
          <cell r="Y209">
            <v>0</v>
          </cell>
          <cell r="Z209">
            <v>0</v>
          </cell>
          <cell r="AA209">
            <v>0</v>
          </cell>
          <cell r="AC209">
            <v>0</v>
          </cell>
          <cell r="AD209">
            <v>0</v>
          </cell>
        </row>
        <row r="210">
          <cell r="B210">
            <v>13478</v>
          </cell>
          <cell r="C210" t="str">
            <v>FREIGHT ON REJECTED DRUMS</v>
          </cell>
          <cell r="D210">
            <v>676202</v>
          </cell>
          <cell r="E210">
            <v>0</v>
          </cell>
          <cell r="F210">
            <v>50101.74</v>
          </cell>
          <cell r="G210">
            <v>0</v>
          </cell>
          <cell r="H210">
            <v>0</v>
          </cell>
          <cell r="I210">
            <v>0</v>
          </cell>
          <cell r="J210">
            <v>0</v>
          </cell>
          <cell r="K210">
            <v>0</v>
          </cell>
          <cell r="L210">
            <v>0</v>
          </cell>
          <cell r="M210">
            <v>0</v>
          </cell>
          <cell r="N210">
            <v>0</v>
          </cell>
          <cell r="O210">
            <v>0</v>
          </cell>
          <cell r="P210">
            <v>726303.74</v>
          </cell>
          <cell r="Q210">
            <v>0</v>
          </cell>
          <cell r="S210">
            <v>676202</v>
          </cell>
          <cell r="T210">
            <v>50101.74</v>
          </cell>
          <cell r="U210">
            <v>676202</v>
          </cell>
          <cell r="V210">
            <v>50101.74</v>
          </cell>
          <cell r="W210">
            <v>0</v>
          </cell>
          <cell r="X210">
            <v>0</v>
          </cell>
          <cell r="Y210">
            <v>0</v>
          </cell>
          <cell r="Z210">
            <v>0</v>
          </cell>
          <cell r="AA210">
            <v>0</v>
          </cell>
          <cell r="AC210">
            <v>13478</v>
          </cell>
          <cell r="AD210">
            <v>0</v>
          </cell>
        </row>
        <row r="211">
          <cell r="S211">
            <v>0</v>
          </cell>
          <cell r="T211">
            <v>0</v>
          </cell>
          <cell r="U211">
            <v>0</v>
          </cell>
          <cell r="V211">
            <v>0</v>
          </cell>
          <cell r="W211">
            <v>0</v>
          </cell>
          <cell r="X211">
            <v>0</v>
          </cell>
          <cell r="Y211">
            <v>0</v>
          </cell>
          <cell r="Z211">
            <v>0</v>
          </cell>
          <cell r="AA211">
            <v>0</v>
          </cell>
          <cell r="AC211">
            <v>0</v>
          </cell>
          <cell r="AD211">
            <v>0</v>
          </cell>
        </row>
        <row r="212">
          <cell r="B212">
            <v>13479</v>
          </cell>
          <cell r="C212" t="str">
            <v>FREIGHT - THAPI &amp; TOLL CHARGES</v>
          </cell>
          <cell r="D212">
            <v>225</v>
          </cell>
          <cell r="E212">
            <v>0</v>
          </cell>
          <cell r="F212">
            <v>235584</v>
          </cell>
          <cell r="G212">
            <v>-225</v>
          </cell>
          <cell r="H212">
            <v>0</v>
          </cell>
          <cell r="I212">
            <v>0</v>
          </cell>
          <cell r="J212">
            <v>0</v>
          </cell>
          <cell r="K212">
            <v>0</v>
          </cell>
          <cell r="L212">
            <v>0</v>
          </cell>
          <cell r="M212">
            <v>0</v>
          </cell>
          <cell r="N212">
            <v>0</v>
          </cell>
          <cell r="O212">
            <v>0</v>
          </cell>
          <cell r="P212">
            <v>235809</v>
          </cell>
          <cell r="Q212">
            <v>-225</v>
          </cell>
          <cell r="S212">
            <v>225</v>
          </cell>
          <cell r="T212">
            <v>235359</v>
          </cell>
          <cell r="U212">
            <v>225</v>
          </cell>
          <cell r="V212">
            <v>198982</v>
          </cell>
          <cell r="W212">
            <v>0</v>
          </cell>
          <cell r="X212">
            <v>36377</v>
          </cell>
          <cell r="Y212">
            <v>0</v>
          </cell>
          <cell r="Z212">
            <v>36377</v>
          </cell>
          <cell r="AA212">
            <v>36377</v>
          </cell>
          <cell r="AC212">
            <v>13479</v>
          </cell>
          <cell r="AD212">
            <v>0</v>
          </cell>
        </row>
        <row r="213">
          <cell r="S213">
            <v>0</v>
          </cell>
          <cell r="T213">
            <v>0</v>
          </cell>
          <cell r="U213">
            <v>0</v>
          </cell>
          <cell r="V213">
            <v>0</v>
          </cell>
          <cell r="W213">
            <v>0</v>
          </cell>
          <cell r="X213">
            <v>0</v>
          </cell>
          <cell r="Y213">
            <v>0</v>
          </cell>
          <cell r="Z213">
            <v>0</v>
          </cell>
          <cell r="AA213">
            <v>0</v>
          </cell>
          <cell r="AC213">
            <v>0</v>
          </cell>
          <cell r="AD213">
            <v>0</v>
          </cell>
        </row>
        <row r="214">
          <cell r="B214">
            <v>13480</v>
          </cell>
          <cell r="C214" t="str">
            <v>OCTROI - PAID (7310)</v>
          </cell>
          <cell r="D214">
            <v>1734337</v>
          </cell>
          <cell r="E214">
            <v>-261044</v>
          </cell>
          <cell r="F214">
            <v>593544</v>
          </cell>
          <cell r="G214">
            <v>-6122691</v>
          </cell>
          <cell r="H214">
            <v>0</v>
          </cell>
          <cell r="I214">
            <v>0</v>
          </cell>
          <cell r="J214">
            <v>8694</v>
          </cell>
          <cell r="K214">
            <v>-8694</v>
          </cell>
          <cell r="L214">
            <v>0</v>
          </cell>
          <cell r="M214">
            <v>0</v>
          </cell>
          <cell r="N214">
            <v>0</v>
          </cell>
          <cell r="O214">
            <v>0</v>
          </cell>
          <cell r="P214">
            <v>2336575</v>
          </cell>
          <cell r="Q214">
            <v>-6392429</v>
          </cell>
          <cell r="S214">
            <v>1473293</v>
          </cell>
          <cell r="T214">
            <v>-5529147</v>
          </cell>
          <cell r="U214">
            <v>935240</v>
          </cell>
          <cell r="V214">
            <v>-1924335</v>
          </cell>
          <cell r="W214">
            <v>538053</v>
          </cell>
          <cell r="X214">
            <v>-3604812</v>
          </cell>
          <cell r="Y214">
            <v>538053</v>
          </cell>
          <cell r="Z214">
            <v>-3604812</v>
          </cell>
          <cell r="AA214">
            <v>-3066759</v>
          </cell>
          <cell r="AC214">
            <v>13480</v>
          </cell>
          <cell r="AD214">
            <v>0</v>
          </cell>
        </row>
        <row r="215">
          <cell r="S215">
            <v>0</v>
          </cell>
          <cell r="T215">
            <v>0</v>
          </cell>
          <cell r="U215">
            <v>0</v>
          </cell>
          <cell r="V215">
            <v>0</v>
          </cell>
          <cell r="W215">
            <v>0</v>
          </cell>
          <cell r="X215">
            <v>0</v>
          </cell>
          <cell r="Y215">
            <v>0</v>
          </cell>
          <cell r="Z215">
            <v>0</v>
          </cell>
          <cell r="AA215">
            <v>0</v>
          </cell>
          <cell r="AC215">
            <v>0</v>
          </cell>
          <cell r="AD215">
            <v>0</v>
          </cell>
        </row>
        <row r="216">
          <cell r="B216">
            <v>13483</v>
          </cell>
          <cell r="C216" t="str">
            <v>FREIGHT &amp; TRANSPORT - RECOVERED LOCAL (7290)</v>
          </cell>
          <cell r="D216">
            <v>286060.45</v>
          </cell>
          <cell r="E216">
            <v>-7744972.4199999999</v>
          </cell>
          <cell r="F216">
            <v>161758.72</v>
          </cell>
          <cell r="G216">
            <v>-40377681.759999998</v>
          </cell>
          <cell r="H216">
            <v>2955</v>
          </cell>
          <cell r="I216">
            <v>-316405</v>
          </cell>
          <cell r="J216">
            <v>362174</v>
          </cell>
          <cell r="K216">
            <v>-367919</v>
          </cell>
          <cell r="L216">
            <v>0</v>
          </cell>
          <cell r="M216">
            <v>0</v>
          </cell>
          <cell r="N216">
            <v>0</v>
          </cell>
          <cell r="O216">
            <v>0</v>
          </cell>
          <cell r="P216">
            <v>812948.17</v>
          </cell>
          <cell r="Q216">
            <v>-48806978.18</v>
          </cell>
          <cell r="S216">
            <v>-7458911.9699999997</v>
          </cell>
          <cell r="T216">
            <v>-40535118.039999999</v>
          </cell>
          <cell r="U216">
            <v>-4018495.69</v>
          </cell>
          <cell r="V216">
            <v>-23920388.350000001</v>
          </cell>
          <cell r="W216">
            <v>-3440416.28</v>
          </cell>
          <cell r="X216">
            <v>-16614729.689999998</v>
          </cell>
          <cell r="Y216">
            <v>-3440416.28</v>
          </cell>
          <cell r="Z216">
            <v>-16614729.689999998</v>
          </cell>
          <cell r="AA216">
            <v>-20055145.969999999</v>
          </cell>
          <cell r="AC216">
            <v>13483</v>
          </cell>
          <cell r="AD216">
            <v>0</v>
          </cell>
        </row>
        <row r="217">
          <cell r="S217">
            <v>0</v>
          </cell>
          <cell r="T217">
            <v>0</v>
          </cell>
          <cell r="U217">
            <v>0</v>
          </cell>
          <cell r="V217">
            <v>0</v>
          </cell>
          <cell r="W217">
            <v>0</v>
          </cell>
          <cell r="X217">
            <v>0</v>
          </cell>
          <cell r="Y217">
            <v>0</v>
          </cell>
          <cell r="Z217">
            <v>0</v>
          </cell>
          <cell r="AA217">
            <v>0</v>
          </cell>
          <cell r="AC217">
            <v>0</v>
          </cell>
          <cell r="AD217">
            <v>0</v>
          </cell>
        </row>
        <row r="218">
          <cell r="B218">
            <v>13484</v>
          </cell>
          <cell r="C218" t="str">
            <v>OCTROI - RECOVERED (7315)</v>
          </cell>
          <cell r="D218">
            <v>20866</v>
          </cell>
          <cell r="E218">
            <v>-1369216</v>
          </cell>
          <cell r="F218">
            <v>2182088.5</v>
          </cell>
          <cell r="G218">
            <v>-18267</v>
          </cell>
          <cell r="H218">
            <v>0</v>
          </cell>
          <cell r="I218">
            <v>0</v>
          </cell>
          <cell r="J218">
            <v>0</v>
          </cell>
          <cell r="K218">
            <v>0</v>
          </cell>
          <cell r="L218">
            <v>0</v>
          </cell>
          <cell r="M218">
            <v>0</v>
          </cell>
          <cell r="N218">
            <v>0</v>
          </cell>
          <cell r="O218">
            <v>0</v>
          </cell>
          <cell r="P218">
            <v>2202954.5</v>
          </cell>
          <cell r="Q218">
            <v>-1387483</v>
          </cell>
          <cell r="S218">
            <v>-1348350</v>
          </cell>
          <cell r="T218">
            <v>2163821.5</v>
          </cell>
          <cell r="U218">
            <v>-724016</v>
          </cell>
          <cell r="V218">
            <v>2163821.5</v>
          </cell>
          <cell r="W218">
            <v>-624334</v>
          </cell>
          <cell r="X218">
            <v>0</v>
          </cell>
          <cell r="Y218">
            <v>-624334</v>
          </cell>
          <cell r="Z218">
            <v>0</v>
          </cell>
          <cell r="AA218">
            <v>-624334</v>
          </cell>
          <cell r="AC218">
            <v>13484</v>
          </cell>
          <cell r="AD218">
            <v>0</v>
          </cell>
        </row>
        <row r="219">
          <cell r="S219">
            <v>0</v>
          </cell>
          <cell r="T219">
            <v>0</v>
          </cell>
          <cell r="U219">
            <v>0</v>
          </cell>
          <cell r="V219">
            <v>0</v>
          </cell>
          <cell r="W219">
            <v>0</v>
          </cell>
          <cell r="X219">
            <v>0</v>
          </cell>
          <cell r="Y219">
            <v>0</v>
          </cell>
          <cell r="Z219">
            <v>0</v>
          </cell>
          <cell r="AA219">
            <v>0</v>
          </cell>
          <cell r="AC219">
            <v>0</v>
          </cell>
          <cell r="AD219">
            <v>0</v>
          </cell>
        </row>
        <row r="220">
          <cell r="B220">
            <v>13485</v>
          </cell>
          <cell r="C220" t="str">
            <v>FREIGHT &amp; TRANSPORT - EXPORTS SALES (7295)</v>
          </cell>
          <cell r="D220">
            <v>14655665.279999999</v>
          </cell>
          <cell r="E220">
            <v>-1231626.6499999999</v>
          </cell>
          <cell r="F220">
            <v>22757818.859999999</v>
          </cell>
          <cell r="G220">
            <v>-2949721.16</v>
          </cell>
          <cell r="H220">
            <v>0</v>
          </cell>
          <cell r="I220">
            <v>0</v>
          </cell>
          <cell r="J220">
            <v>0</v>
          </cell>
          <cell r="K220">
            <v>0</v>
          </cell>
          <cell r="L220">
            <v>0</v>
          </cell>
          <cell r="M220">
            <v>0</v>
          </cell>
          <cell r="N220">
            <v>0</v>
          </cell>
          <cell r="O220">
            <v>0</v>
          </cell>
          <cell r="P220">
            <v>37413484.140000001</v>
          </cell>
          <cell r="Q220">
            <v>-4181347.81</v>
          </cell>
          <cell r="S220">
            <v>13424038.629999999</v>
          </cell>
          <cell r="T220">
            <v>19808097.699999999</v>
          </cell>
          <cell r="U220">
            <v>10572985.529999999</v>
          </cell>
          <cell r="V220">
            <v>15494017.699999999</v>
          </cell>
          <cell r="W220">
            <v>2851053.0999999996</v>
          </cell>
          <cell r="X220">
            <v>4314080</v>
          </cell>
          <cell r="Y220">
            <v>2851053.0999999996</v>
          </cell>
          <cell r="Z220">
            <v>4314080</v>
          </cell>
          <cell r="AA220">
            <v>7165133.0999999996</v>
          </cell>
          <cell r="AC220">
            <v>13485</v>
          </cell>
          <cell r="AD220">
            <v>0</v>
          </cell>
        </row>
        <row r="221">
          <cell r="S221">
            <v>0</v>
          </cell>
          <cell r="T221">
            <v>0</v>
          </cell>
          <cell r="U221">
            <v>0</v>
          </cell>
          <cell r="V221">
            <v>0</v>
          </cell>
          <cell r="W221">
            <v>0</v>
          </cell>
          <cell r="X221">
            <v>0</v>
          </cell>
          <cell r="Y221">
            <v>0</v>
          </cell>
          <cell r="Z221">
            <v>0</v>
          </cell>
          <cell r="AA221">
            <v>0</v>
          </cell>
          <cell r="AC221">
            <v>0</v>
          </cell>
          <cell r="AD221">
            <v>0</v>
          </cell>
        </row>
        <row r="222">
          <cell r="B222">
            <v>13486</v>
          </cell>
          <cell r="C222" t="str">
            <v>FREIGHT &amp; TRANSPORT - RECOVERED- EXPORTS (7300)</v>
          </cell>
          <cell r="D222">
            <v>0</v>
          </cell>
          <cell r="E222">
            <v>0</v>
          </cell>
          <cell r="F222">
            <v>21135</v>
          </cell>
          <cell r="G222">
            <v>0</v>
          </cell>
          <cell r="H222">
            <v>0</v>
          </cell>
          <cell r="I222">
            <v>0</v>
          </cell>
          <cell r="J222">
            <v>0</v>
          </cell>
          <cell r="K222">
            <v>0</v>
          </cell>
          <cell r="L222">
            <v>0</v>
          </cell>
          <cell r="M222">
            <v>0</v>
          </cell>
          <cell r="N222">
            <v>0</v>
          </cell>
          <cell r="O222">
            <v>0</v>
          </cell>
          <cell r="P222">
            <v>21135</v>
          </cell>
          <cell r="Q222">
            <v>0</v>
          </cell>
          <cell r="S222">
            <v>0</v>
          </cell>
          <cell r="T222">
            <v>21135</v>
          </cell>
          <cell r="U222">
            <v>0</v>
          </cell>
          <cell r="V222">
            <v>21135</v>
          </cell>
          <cell r="W222">
            <v>0</v>
          </cell>
          <cell r="X222">
            <v>0</v>
          </cell>
          <cell r="Y222">
            <v>0</v>
          </cell>
          <cell r="Z222">
            <v>0</v>
          </cell>
          <cell r="AA222">
            <v>0</v>
          </cell>
          <cell r="AC222">
            <v>13486</v>
          </cell>
          <cell r="AD222">
            <v>0</v>
          </cell>
        </row>
        <row r="223">
          <cell r="S223">
            <v>0</v>
          </cell>
          <cell r="T223">
            <v>0</v>
          </cell>
          <cell r="U223">
            <v>0</v>
          </cell>
          <cell r="V223">
            <v>0</v>
          </cell>
          <cell r="W223">
            <v>0</v>
          </cell>
          <cell r="X223">
            <v>0</v>
          </cell>
          <cell r="Y223">
            <v>0</v>
          </cell>
          <cell r="Z223">
            <v>0</v>
          </cell>
          <cell r="AA223">
            <v>0</v>
          </cell>
          <cell r="AC223">
            <v>0</v>
          </cell>
          <cell r="AD223">
            <v>0</v>
          </cell>
        </row>
        <row r="224">
          <cell r="E224" t="str">
            <v>SDCT</v>
          </cell>
          <cell r="F224" t="str">
            <v>PCDT</v>
          </cell>
          <cell r="G224" t="str">
            <v>PCDC</v>
          </cell>
          <cell r="I224" t="str">
            <v>PCDN</v>
          </cell>
          <cell r="K224" t="str">
            <v>CORP</v>
          </cell>
          <cell r="M224" t="str">
            <v>OTHER</v>
          </cell>
          <cell r="O224" t="str">
            <v>TOTAL</v>
          </cell>
          <cell r="U224">
            <v>0</v>
          </cell>
          <cell r="V224">
            <v>0</v>
          </cell>
          <cell r="W224">
            <v>0</v>
          </cell>
          <cell r="X224">
            <v>0</v>
          </cell>
          <cell r="Y224">
            <v>0</v>
          </cell>
          <cell r="Z224">
            <v>0</v>
          </cell>
          <cell r="AA224">
            <v>0</v>
          </cell>
          <cell r="AC224">
            <v>0</v>
          </cell>
          <cell r="AD224">
            <v>0</v>
          </cell>
        </row>
        <row r="225">
          <cell r="B225" t="str">
            <v>GL CODE</v>
          </cell>
          <cell r="C225" t="str">
            <v>ACCOUNT HEAD</v>
          </cell>
          <cell r="S225">
            <v>0</v>
          </cell>
          <cell r="T225">
            <v>0</v>
          </cell>
          <cell r="U225" t="str">
            <v>SDCT</v>
          </cell>
          <cell r="V225" t="str">
            <v>PCDT</v>
          </cell>
          <cell r="Y225">
            <v>0</v>
          </cell>
          <cell r="Z225">
            <v>0</v>
          </cell>
          <cell r="AA225">
            <v>0</v>
          </cell>
          <cell r="AC225">
            <v>0</v>
          </cell>
          <cell r="AD225" t="e">
            <v>#VALUE!</v>
          </cell>
        </row>
        <row r="226">
          <cell r="S226">
            <v>0</v>
          </cell>
          <cell r="T226">
            <v>0</v>
          </cell>
          <cell r="U226">
            <v>0</v>
          </cell>
          <cell r="V226">
            <v>0</v>
          </cell>
          <cell r="W226">
            <v>0</v>
          </cell>
          <cell r="X226">
            <v>0</v>
          </cell>
          <cell r="Y226">
            <v>0</v>
          </cell>
          <cell r="Z226">
            <v>0</v>
          </cell>
          <cell r="AA226">
            <v>0</v>
          </cell>
          <cell r="AC226">
            <v>0</v>
          </cell>
          <cell r="AD226">
            <v>0</v>
          </cell>
        </row>
        <row r="227">
          <cell r="D227" t="str">
            <v>DR.</v>
          </cell>
          <cell r="E227" t="str">
            <v>CR.</v>
          </cell>
          <cell r="F227" t="str">
            <v>DR.</v>
          </cell>
          <cell r="G227" t="str">
            <v>CR.</v>
          </cell>
          <cell r="H227" t="str">
            <v>DR.</v>
          </cell>
          <cell r="I227" t="str">
            <v>CR.</v>
          </cell>
          <cell r="J227" t="str">
            <v>DR.</v>
          </cell>
          <cell r="K227" t="str">
            <v>CR.</v>
          </cell>
          <cell r="L227" t="str">
            <v>DR.</v>
          </cell>
          <cell r="M227" t="str">
            <v>CR.</v>
          </cell>
          <cell r="N227" t="str">
            <v>DR.</v>
          </cell>
          <cell r="O227" t="str">
            <v>CR.</v>
          </cell>
          <cell r="P227" t="str">
            <v>DR.</v>
          </cell>
          <cell r="Q227" t="str">
            <v>CR.</v>
          </cell>
          <cell r="U227">
            <v>0</v>
          </cell>
          <cell r="V227">
            <v>0</v>
          </cell>
          <cell r="W227">
            <v>0</v>
          </cell>
          <cell r="X227">
            <v>0</v>
          </cell>
          <cell r="Y227">
            <v>0</v>
          </cell>
          <cell r="Z227">
            <v>0</v>
          </cell>
          <cell r="AA227">
            <v>0</v>
          </cell>
          <cell r="AC227">
            <v>0</v>
          </cell>
          <cell r="AD227">
            <v>0</v>
          </cell>
        </row>
        <row r="228">
          <cell r="S228">
            <v>0</v>
          </cell>
          <cell r="T228">
            <v>0</v>
          </cell>
          <cell r="U228">
            <v>0</v>
          </cell>
          <cell r="V228">
            <v>0</v>
          </cell>
          <cell r="W228">
            <v>0</v>
          </cell>
          <cell r="X228">
            <v>0</v>
          </cell>
          <cell r="Y228">
            <v>0</v>
          </cell>
          <cell r="Z228">
            <v>0</v>
          </cell>
          <cell r="AA228">
            <v>0</v>
          </cell>
          <cell r="AC228">
            <v>0</v>
          </cell>
          <cell r="AD228">
            <v>0</v>
          </cell>
        </row>
        <row r="229">
          <cell r="S229">
            <v>0</v>
          </cell>
          <cell r="T229">
            <v>0</v>
          </cell>
          <cell r="U229">
            <v>0</v>
          </cell>
          <cell r="V229">
            <v>0</v>
          </cell>
          <cell r="W229">
            <v>0</v>
          </cell>
          <cell r="X229">
            <v>0</v>
          </cell>
          <cell r="Y229">
            <v>0</v>
          </cell>
          <cell r="Z229">
            <v>0</v>
          </cell>
          <cell r="AA229">
            <v>0</v>
          </cell>
          <cell r="AC229">
            <v>0</v>
          </cell>
          <cell r="AD229">
            <v>0</v>
          </cell>
        </row>
        <row r="230">
          <cell r="B230">
            <v>13507</v>
          </cell>
          <cell r="C230" t="str">
            <v>ADV. WIRTTEN OFF</v>
          </cell>
          <cell r="D230">
            <v>0</v>
          </cell>
          <cell r="E230">
            <v>0</v>
          </cell>
          <cell r="F230">
            <v>23467</v>
          </cell>
          <cell r="G230">
            <v>0</v>
          </cell>
          <cell r="H230">
            <v>0</v>
          </cell>
          <cell r="I230">
            <v>0</v>
          </cell>
          <cell r="J230">
            <v>0</v>
          </cell>
          <cell r="K230">
            <v>0</v>
          </cell>
          <cell r="L230">
            <v>0</v>
          </cell>
          <cell r="M230">
            <v>0</v>
          </cell>
          <cell r="N230">
            <v>0</v>
          </cell>
          <cell r="O230">
            <v>0</v>
          </cell>
          <cell r="P230">
            <v>23467</v>
          </cell>
          <cell r="Q230">
            <v>0</v>
          </cell>
          <cell r="S230">
            <v>0</v>
          </cell>
          <cell r="T230">
            <v>23467</v>
          </cell>
          <cell r="U230">
            <v>0</v>
          </cell>
          <cell r="V230">
            <v>0</v>
          </cell>
          <cell r="W230">
            <v>0</v>
          </cell>
          <cell r="X230">
            <v>23467</v>
          </cell>
          <cell r="Y230">
            <v>0</v>
          </cell>
          <cell r="Z230">
            <v>23467</v>
          </cell>
          <cell r="AA230">
            <v>23467</v>
          </cell>
          <cell r="AC230">
            <v>13507</v>
          </cell>
          <cell r="AD230">
            <v>0</v>
          </cell>
        </row>
        <row r="231">
          <cell r="S231">
            <v>0</v>
          </cell>
          <cell r="T231">
            <v>0</v>
          </cell>
          <cell r="U231">
            <v>0</v>
          </cell>
          <cell r="V231">
            <v>0</v>
          </cell>
          <cell r="W231">
            <v>0</v>
          </cell>
          <cell r="X231">
            <v>0</v>
          </cell>
          <cell r="Y231">
            <v>0</v>
          </cell>
          <cell r="Z231">
            <v>0</v>
          </cell>
          <cell r="AA231">
            <v>0</v>
          </cell>
          <cell r="AC231">
            <v>0</v>
          </cell>
          <cell r="AD231">
            <v>0</v>
          </cell>
        </row>
        <row r="232">
          <cell r="B232">
            <v>13526</v>
          </cell>
          <cell r="C232" t="str">
            <v>PROVISION FOR DOUBTFUL DEBTS/ADVANCE (7355)</v>
          </cell>
          <cell r="D232">
            <v>1574477.04</v>
          </cell>
          <cell r="E232">
            <v>-1178492.02</v>
          </cell>
          <cell r="F232">
            <v>11078974.109999999</v>
          </cell>
          <cell r="G232">
            <v>-9807082.1300000008</v>
          </cell>
          <cell r="H232">
            <v>0</v>
          </cell>
          <cell r="I232">
            <v>0</v>
          </cell>
          <cell r="J232">
            <v>0</v>
          </cell>
          <cell r="K232">
            <v>0</v>
          </cell>
          <cell r="L232">
            <v>0</v>
          </cell>
          <cell r="M232">
            <v>0</v>
          </cell>
          <cell r="N232">
            <v>0</v>
          </cell>
          <cell r="O232">
            <v>0</v>
          </cell>
          <cell r="P232">
            <v>12653451.15</v>
          </cell>
          <cell r="Q232">
            <v>-10985574.15</v>
          </cell>
          <cell r="S232">
            <v>395985.02</v>
          </cell>
          <cell r="T232">
            <v>1271891.9799999986</v>
          </cell>
          <cell r="U232">
            <v>395985.02</v>
          </cell>
          <cell r="V232">
            <v>1271891.98</v>
          </cell>
          <cell r="W232">
            <v>0</v>
          </cell>
          <cell r="X232">
            <v>0</v>
          </cell>
          <cell r="Y232">
            <v>0</v>
          </cell>
          <cell r="Z232">
            <v>0</v>
          </cell>
          <cell r="AA232">
            <v>0</v>
          </cell>
          <cell r="AC232">
            <v>13526</v>
          </cell>
          <cell r="AD232">
            <v>0</v>
          </cell>
        </row>
        <row r="233">
          <cell r="S233">
            <v>0</v>
          </cell>
          <cell r="T233">
            <v>0</v>
          </cell>
          <cell r="U233">
            <v>0</v>
          </cell>
          <cell r="V233">
            <v>0</v>
          </cell>
          <cell r="W233">
            <v>0</v>
          </cell>
          <cell r="X233">
            <v>0</v>
          </cell>
          <cell r="Y233">
            <v>0</v>
          </cell>
          <cell r="Z233">
            <v>0</v>
          </cell>
          <cell r="AA233">
            <v>0</v>
          </cell>
          <cell r="AC233">
            <v>0</v>
          </cell>
          <cell r="AD233">
            <v>0</v>
          </cell>
        </row>
        <row r="234">
          <cell r="B234">
            <v>13539</v>
          </cell>
          <cell r="C234" t="str">
            <v>LEGAL EXPENSES (7260)</v>
          </cell>
          <cell r="D234">
            <v>117715</v>
          </cell>
          <cell r="E234">
            <v>0</v>
          </cell>
          <cell r="F234">
            <v>12470</v>
          </cell>
          <cell r="G234">
            <v>0</v>
          </cell>
          <cell r="H234">
            <v>0</v>
          </cell>
          <cell r="I234">
            <v>0</v>
          </cell>
          <cell r="J234">
            <v>0</v>
          </cell>
          <cell r="K234">
            <v>0</v>
          </cell>
          <cell r="L234">
            <v>18010</v>
          </cell>
          <cell r="M234">
            <v>-12650</v>
          </cell>
          <cell r="N234">
            <v>0</v>
          </cell>
          <cell r="O234">
            <v>0</v>
          </cell>
          <cell r="P234">
            <v>130185</v>
          </cell>
          <cell r="Q234">
            <v>0</v>
          </cell>
          <cell r="S234">
            <v>123075</v>
          </cell>
          <cell r="T234">
            <v>12470</v>
          </cell>
          <cell r="U234">
            <v>89030</v>
          </cell>
          <cell r="V234">
            <v>10070</v>
          </cell>
          <cell r="W234">
            <v>34045</v>
          </cell>
          <cell r="X234">
            <v>2400</v>
          </cell>
          <cell r="Y234">
            <v>34045</v>
          </cell>
          <cell r="Z234">
            <v>2400</v>
          </cell>
          <cell r="AA234">
            <v>36445</v>
          </cell>
          <cell r="AC234">
            <v>13539</v>
          </cell>
          <cell r="AD234">
            <v>0</v>
          </cell>
        </row>
        <row r="235">
          <cell r="S235">
            <v>0</v>
          </cell>
          <cell r="T235">
            <v>0</v>
          </cell>
          <cell r="U235">
            <v>0</v>
          </cell>
          <cell r="V235">
            <v>0</v>
          </cell>
          <cell r="W235">
            <v>0</v>
          </cell>
          <cell r="X235">
            <v>0</v>
          </cell>
          <cell r="Y235">
            <v>0</v>
          </cell>
          <cell r="Z235">
            <v>0</v>
          </cell>
          <cell r="AA235">
            <v>0</v>
          </cell>
          <cell r="AC235">
            <v>0</v>
          </cell>
          <cell r="AD235">
            <v>0</v>
          </cell>
        </row>
        <row r="236">
          <cell r="B236">
            <v>13540</v>
          </cell>
          <cell r="C236" t="str">
            <v>PROFESSIONAL EXPENSES (7265)</v>
          </cell>
          <cell r="D236">
            <v>12735972</v>
          </cell>
          <cell r="E236">
            <v>-8879</v>
          </cell>
          <cell r="F236">
            <v>1469769</v>
          </cell>
          <cell r="G236">
            <v>-150680</v>
          </cell>
          <cell r="H236">
            <v>60000</v>
          </cell>
          <cell r="I236">
            <v>-20000</v>
          </cell>
          <cell r="J236">
            <v>0</v>
          </cell>
          <cell r="K236">
            <v>0</v>
          </cell>
          <cell r="L236">
            <v>9183765</v>
          </cell>
          <cell r="M236">
            <v>-422941</v>
          </cell>
          <cell r="N236">
            <v>0</v>
          </cell>
          <cell r="O236">
            <v>0</v>
          </cell>
          <cell r="P236">
            <v>14265741</v>
          </cell>
          <cell r="Q236">
            <v>-179559</v>
          </cell>
          <cell r="S236">
            <v>21487917</v>
          </cell>
          <cell r="T236">
            <v>1359089</v>
          </cell>
          <cell r="U236">
            <v>7985683</v>
          </cell>
          <cell r="V236">
            <v>918302</v>
          </cell>
          <cell r="W236">
            <v>13502234</v>
          </cell>
          <cell r="X236">
            <v>440787</v>
          </cell>
          <cell r="Y236">
            <v>13502234</v>
          </cell>
          <cell r="Z236">
            <v>440787</v>
          </cell>
          <cell r="AA236">
            <v>13943021</v>
          </cell>
          <cell r="AC236">
            <v>13540</v>
          </cell>
          <cell r="AD236">
            <v>0</v>
          </cell>
        </row>
        <row r="237">
          <cell r="S237">
            <v>0</v>
          </cell>
          <cell r="T237">
            <v>0</v>
          </cell>
          <cell r="U237">
            <v>0</v>
          </cell>
          <cell r="V237">
            <v>0</v>
          </cell>
          <cell r="W237">
            <v>0</v>
          </cell>
          <cell r="X237">
            <v>0</v>
          </cell>
          <cell r="Y237">
            <v>0</v>
          </cell>
          <cell r="Z237">
            <v>0</v>
          </cell>
          <cell r="AA237">
            <v>0</v>
          </cell>
          <cell r="AC237">
            <v>0</v>
          </cell>
          <cell r="AD237">
            <v>0</v>
          </cell>
        </row>
        <row r="238">
          <cell r="B238">
            <v>13542</v>
          </cell>
          <cell r="C238" t="str">
            <v>SECRETARIAL EXPENSES (7271,7272,7273)</v>
          </cell>
          <cell r="D238">
            <v>0</v>
          </cell>
          <cell r="E238">
            <v>0</v>
          </cell>
          <cell r="F238">
            <v>0</v>
          </cell>
          <cell r="G238">
            <v>0</v>
          </cell>
          <cell r="H238">
            <v>0</v>
          </cell>
          <cell r="I238">
            <v>0</v>
          </cell>
          <cell r="J238">
            <v>0</v>
          </cell>
          <cell r="K238">
            <v>0</v>
          </cell>
          <cell r="L238">
            <v>1347703.5</v>
          </cell>
          <cell r="M238">
            <v>-21343</v>
          </cell>
          <cell r="N238">
            <v>0</v>
          </cell>
          <cell r="O238">
            <v>0</v>
          </cell>
          <cell r="P238">
            <v>0</v>
          </cell>
          <cell r="Q238">
            <v>0</v>
          </cell>
          <cell r="S238">
            <v>1326360.5</v>
          </cell>
          <cell r="T238">
            <v>0</v>
          </cell>
          <cell r="U238">
            <v>584647.5</v>
          </cell>
          <cell r="V238">
            <v>0</v>
          </cell>
          <cell r="W238">
            <v>741713</v>
          </cell>
          <cell r="X238">
            <v>0</v>
          </cell>
          <cell r="Y238">
            <v>741713</v>
          </cell>
          <cell r="Z238">
            <v>0</v>
          </cell>
          <cell r="AA238">
            <v>741713</v>
          </cell>
          <cell r="AC238">
            <v>13542</v>
          </cell>
          <cell r="AD238">
            <v>0</v>
          </cell>
        </row>
        <row r="239">
          <cell r="S239">
            <v>0</v>
          </cell>
          <cell r="T239">
            <v>0</v>
          </cell>
          <cell r="U239">
            <v>0</v>
          </cell>
          <cell r="V239">
            <v>0</v>
          </cell>
          <cell r="W239">
            <v>0</v>
          </cell>
          <cell r="X239">
            <v>0</v>
          </cell>
          <cell r="Y239">
            <v>0</v>
          </cell>
          <cell r="Z239">
            <v>0</v>
          </cell>
          <cell r="AA239">
            <v>0</v>
          </cell>
          <cell r="AC239">
            <v>0</v>
          </cell>
          <cell r="AD239">
            <v>0</v>
          </cell>
        </row>
        <row r="240">
          <cell r="B240">
            <v>13558</v>
          </cell>
          <cell r="C240" t="str">
            <v>PRINTING &amp; STATIONERY (7460,7461)</v>
          </cell>
          <cell r="D240">
            <v>479290</v>
          </cell>
          <cell r="E240">
            <v>-30200</v>
          </cell>
          <cell r="F240">
            <v>686670</v>
          </cell>
          <cell r="G240">
            <v>0</v>
          </cell>
          <cell r="H240">
            <v>0</v>
          </cell>
          <cell r="I240">
            <v>0</v>
          </cell>
          <cell r="J240">
            <v>0</v>
          </cell>
          <cell r="K240">
            <v>0</v>
          </cell>
          <cell r="L240">
            <v>239660</v>
          </cell>
          <cell r="M240">
            <v>0</v>
          </cell>
          <cell r="N240">
            <v>0</v>
          </cell>
          <cell r="O240">
            <v>0</v>
          </cell>
          <cell r="P240">
            <v>1165960</v>
          </cell>
          <cell r="Q240">
            <v>-30200</v>
          </cell>
          <cell r="S240">
            <v>688750</v>
          </cell>
          <cell r="T240">
            <v>686670</v>
          </cell>
          <cell r="U240">
            <v>488945</v>
          </cell>
          <cell r="V240">
            <v>417934</v>
          </cell>
          <cell r="W240">
            <v>199805</v>
          </cell>
          <cell r="X240">
            <v>268736</v>
          </cell>
          <cell r="Y240">
            <v>199805</v>
          </cell>
          <cell r="Z240">
            <v>268736</v>
          </cell>
          <cell r="AA240">
            <v>468541</v>
          </cell>
          <cell r="AC240">
            <v>13558</v>
          </cell>
          <cell r="AD240">
            <v>0</v>
          </cell>
        </row>
        <row r="241">
          <cell r="S241">
            <v>0</v>
          </cell>
          <cell r="T241">
            <v>0</v>
          </cell>
          <cell r="U241">
            <v>0</v>
          </cell>
          <cell r="V241">
            <v>0</v>
          </cell>
          <cell r="W241">
            <v>0</v>
          </cell>
          <cell r="X241">
            <v>0</v>
          </cell>
          <cell r="Y241">
            <v>0</v>
          </cell>
          <cell r="Z241">
            <v>0</v>
          </cell>
          <cell r="AA241">
            <v>0</v>
          </cell>
          <cell r="AC241">
            <v>0</v>
          </cell>
          <cell r="AD241">
            <v>0</v>
          </cell>
        </row>
        <row r="242">
          <cell r="B242">
            <v>13559</v>
          </cell>
          <cell r="C242" t="str">
            <v>PHOTO COPYING EXPENSES (7495)</v>
          </cell>
          <cell r="D242">
            <v>6723.94</v>
          </cell>
          <cell r="E242">
            <v>0</v>
          </cell>
          <cell r="F242">
            <v>41212</v>
          </cell>
          <cell r="G242">
            <v>-2697</v>
          </cell>
          <cell r="H242">
            <v>0</v>
          </cell>
          <cell r="I242">
            <v>0</v>
          </cell>
          <cell r="J242">
            <v>0</v>
          </cell>
          <cell r="K242">
            <v>0</v>
          </cell>
          <cell r="L242">
            <v>85102.22</v>
          </cell>
          <cell r="M242">
            <v>-1806.94</v>
          </cell>
          <cell r="N242">
            <v>0</v>
          </cell>
          <cell r="O242">
            <v>0</v>
          </cell>
          <cell r="P242">
            <v>47935.94</v>
          </cell>
          <cell r="Q242">
            <v>-2697</v>
          </cell>
          <cell r="S242">
            <v>90019.22</v>
          </cell>
          <cell r="T242">
            <v>38515</v>
          </cell>
          <cell r="U242">
            <v>47102</v>
          </cell>
          <cell r="V242">
            <v>22792</v>
          </cell>
          <cell r="W242">
            <v>42917.22</v>
          </cell>
          <cell r="X242">
            <v>15723</v>
          </cell>
          <cell r="Y242">
            <v>42917.22</v>
          </cell>
          <cell r="Z242">
            <v>15723</v>
          </cell>
          <cell r="AA242">
            <v>58640.22</v>
          </cell>
          <cell r="AC242">
            <v>13559</v>
          </cell>
          <cell r="AD242">
            <v>0</v>
          </cell>
        </row>
        <row r="243">
          <cell r="S243">
            <v>0</v>
          </cell>
          <cell r="T243">
            <v>0</v>
          </cell>
          <cell r="U243">
            <v>0</v>
          </cell>
          <cell r="V243">
            <v>0</v>
          </cell>
          <cell r="W243">
            <v>0</v>
          </cell>
          <cell r="X243">
            <v>0</v>
          </cell>
          <cell r="Y243">
            <v>0</v>
          </cell>
          <cell r="Z243">
            <v>0</v>
          </cell>
          <cell r="AA243">
            <v>0</v>
          </cell>
          <cell r="AC243">
            <v>0</v>
          </cell>
          <cell r="AD243">
            <v>0</v>
          </cell>
        </row>
        <row r="244">
          <cell r="B244">
            <v>13563</v>
          </cell>
          <cell r="C244" t="str">
            <v>TELEPHONE, TELEX &amp; FAX EXPENSES (7500)</v>
          </cell>
          <cell r="D244">
            <v>222742</v>
          </cell>
          <cell r="E244">
            <v>-39509</v>
          </cell>
          <cell r="F244">
            <v>451209</v>
          </cell>
          <cell r="G244">
            <v>-36811</v>
          </cell>
          <cell r="H244">
            <v>0</v>
          </cell>
          <cell r="I244">
            <v>0</v>
          </cell>
          <cell r="J244">
            <v>0</v>
          </cell>
          <cell r="K244">
            <v>0</v>
          </cell>
          <cell r="L244">
            <v>1373509.98</v>
          </cell>
          <cell r="M244">
            <v>-20061.189999999999</v>
          </cell>
          <cell r="N244">
            <v>0</v>
          </cell>
          <cell r="O244">
            <v>0</v>
          </cell>
          <cell r="P244">
            <v>673951</v>
          </cell>
          <cell r="Q244">
            <v>-76320</v>
          </cell>
          <cell r="S244">
            <v>1536681.79</v>
          </cell>
          <cell r="T244">
            <v>414398</v>
          </cell>
          <cell r="U244">
            <v>839135.15</v>
          </cell>
          <cell r="V244">
            <v>242636</v>
          </cell>
          <cell r="W244">
            <v>697546.64</v>
          </cell>
          <cell r="X244">
            <v>171762</v>
          </cell>
          <cell r="Y244">
            <v>697546.64</v>
          </cell>
          <cell r="Z244">
            <v>171762</v>
          </cell>
          <cell r="AA244">
            <v>869308.64</v>
          </cell>
          <cell r="AC244">
            <v>13563</v>
          </cell>
          <cell r="AD244">
            <v>0</v>
          </cell>
        </row>
        <row r="245">
          <cell r="S245">
            <v>0</v>
          </cell>
          <cell r="T245">
            <v>0</v>
          </cell>
          <cell r="U245">
            <v>0</v>
          </cell>
          <cell r="V245">
            <v>0</v>
          </cell>
          <cell r="W245">
            <v>0</v>
          </cell>
          <cell r="X245">
            <v>0</v>
          </cell>
          <cell r="Y245">
            <v>0</v>
          </cell>
          <cell r="Z245">
            <v>0</v>
          </cell>
          <cell r="AA245">
            <v>0</v>
          </cell>
          <cell r="AC245">
            <v>0</v>
          </cell>
          <cell r="AD245">
            <v>0</v>
          </cell>
        </row>
        <row r="246">
          <cell r="B246">
            <v>13573</v>
          </cell>
          <cell r="C246" t="str">
            <v>CAR EXPENSES [COMPANY CARS] (7650-53)</v>
          </cell>
          <cell r="D246">
            <v>171363.17</v>
          </cell>
          <cell r="E246">
            <v>-27812.17</v>
          </cell>
          <cell r="F246">
            <v>899332</v>
          </cell>
          <cell r="G246">
            <v>-187121</v>
          </cell>
          <cell r="H246">
            <v>0</v>
          </cell>
          <cell r="I246">
            <v>0</v>
          </cell>
          <cell r="J246">
            <v>0</v>
          </cell>
          <cell r="K246">
            <v>0</v>
          </cell>
          <cell r="L246">
            <v>1407659.29</v>
          </cell>
          <cell r="M246">
            <v>-41137</v>
          </cell>
          <cell r="N246">
            <v>0</v>
          </cell>
          <cell r="O246">
            <v>0</v>
          </cell>
          <cell r="P246">
            <v>1070695.17</v>
          </cell>
          <cell r="Q246">
            <v>-214933.17</v>
          </cell>
          <cell r="S246">
            <v>1510073.29</v>
          </cell>
          <cell r="T246">
            <v>712211</v>
          </cell>
          <cell r="U246">
            <v>732023.93</v>
          </cell>
          <cell r="V246">
            <v>388766</v>
          </cell>
          <cell r="W246">
            <v>778049.36</v>
          </cell>
          <cell r="X246">
            <v>323445</v>
          </cell>
          <cell r="Y246">
            <v>778049.36</v>
          </cell>
          <cell r="Z246">
            <v>323445</v>
          </cell>
          <cell r="AA246">
            <v>1101494.3599999999</v>
          </cell>
          <cell r="AC246">
            <v>13573</v>
          </cell>
          <cell r="AD246">
            <v>0</v>
          </cell>
        </row>
        <row r="247">
          <cell r="S247">
            <v>0</v>
          </cell>
          <cell r="T247">
            <v>0</v>
          </cell>
          <cell r="U247">
            <v>0</v>
          </cell>
          <cell r="V247">
            <v>0</v>
          </cell>
          <cell r="W247">
            <v>0</v>
          </cell>
          <cell r="X247">
            <v>0</v>
          </cell>
          <cell r="Y247">
            <v>0</v>
          </cell>
          <cell r="Z247">
            <v>0</v>
          </cell>
          <cell r="AA247">
            <v>0</v>
          </cell>
          <cell r="AC247">
            <v>0</v>
          </cell>
          <cell r="AD247">
            <v>0</v>
          </cell>
        </row>
        <row r="248">
          <cell r="B248">
            <v>13596</v>
          </cell>
          <cell r="C248" t="str">
            <v>BOOKS , NEWS PAPERS AND PERIODICALS (7390)</v>
          </cell>
          <cell r="D248">
            <v>220</v>
          </cell>
          <cell r="E248">
            <v>0</v>
          </cell>
          <cell r="F248">
            <v>9246</v>
          </cell>
          <cell r="G248">
            <v>0</v>
          </cell>
          <cell r="H248">
            <v>0</v>
          </cell>
          <cell r="I248">
            <v>0</v>
          </cell>
          <cell r="J248">
            <v>0</v>
          </cell>
          <cell r="K248">
            <v>0</v>
          </cell>
          <cell r="L248">
            <v>6598</v>
          </cell>
          <cell r="M248">
            <v>0</v>
          </cell>
          <cell r="N248">
            <v>0</v>
          </cell>
          <cell r="O248">
            <v>0</v>
          </cell>
          <cell r="P248">
            <v>9466</v>
          </cell>
          <cell r="Q248">
            <v>0</v>
          </cell>
          <cell r="S248">
            <v>6818</v>
          </cell>
          <cell r="T248">
            <v>9246</v>
          </cell>
          <cell r="U248">
            <v>4832</v>
          </cell>
          <cell r="V248">
            <v>1366</v>
          </cell>
          <cell r="W248">
            <v>1986</v>
          </cell>
          <cell r="X248">
            <v>7880</v>
          </cell>
          <cell r="Y248">
            <v>1986</v>
          </cell>
          <cell r="Z248">
            <v>7880</v>
          </cell>
          <cell r="AA248">
            <v>9866</v>
          </cell>
          <cell r="AC248">
            <v>13596</v>
          </cell>
          <cell r="AD248">
            <v>0</v>
          </cell>
        </row>
        <row r="249">
          <cell r="S249">
            <v>0</v>
          </cell>
          <cell r="T249">
            <v>0</v>
          </cell>
          <cell r="U249">
            <v>0</v>
          </cell>
          <cell r="V249">
            <v>0</v>
          </cell>
          <cell r="W249">
            <v>0</v>
          </cell>
          <cell r="X249">
            <v>0</v>
          </cell>
          <cell r="Y249">
            <v>0</v>
          </cell>
          <cell r="Z249">
            <v>0</v>
          </cell>
          <cell r="AA249">
            <v>0</v>
          </cell>
          <cell r="AC249">
            <v>0</v>
          </cell>
          <cell r="AD249">
            <v>0</v>
          </cell>
        </row>
        <row r="250">
          <cell r="B250">
            <v>13599</v>
          </cell>
          <cell r="C250" t="str">
            <v>SUBSCRIPTION - OTHERS (7400,7405)</v>
          </cell>
          <cell r="D250">
            <v>157842</v>
          </cell>
          <cell r="E250">
            <v>-31500</v>
          </cell>
          <cell r="F250">
            <v>117467</v>
          </cell>
          <cell r="G250">
            <v>0</v>
          </cell>
          <cell r="H250">
            <v>0</v>
          </cell>
          <cell r="I250">
            <v>0</v>
          </cell>
          <cell r="J250">
            <v>0</v>
          </cell>
          <cell r="K250">
            <v>0</v>
          </cell>
          <cell r="L250">
            <v>363902</v>
          </cell>
          <cell r="M250">
            <v>-53354</v>
          </cell>
          <cell r="N250">
            <v>0</v>
          </cell>
          <cell r="O250">
            <v>0</v>
          </cell>
          <cell r="P250">
            <v>275309</v>
          </cell>
          <cell r="Q250">
            <v>-31500</v>
          </cell>
          <cell r="S250">
            <v>436890</v>
          </cell>
          <cell r="T250">
            <v>117467</v>
          </cell>
          <cell r="U250">
            <v>294318</v>
          </cell>
          <cell r="V250">
            <v>92867</v>
          </cell>
          <cell r="W250">
            <v>142572</v>
          </cell>
          <cell r="X250">
            <v>24600</v>
          </cell>
          <cell r="Y250">
            <v>142572</v>
          </cell>
          <cell r="Z250">
            <v>24600</v>
          </cell>
          <cell r="AA250">
            <v>167172</v>
          </cell>
          <cell r="AC250">
            <v>13599</v>
          </cell>
          <cell r="AD250">
            <v>0</v>
          </cell>
        </row>
        <row r="251">
          <cell r="S251">
            <v>0</v>
          </cell>
          <cell r="T251">
            <v>0</v>
          </cell>
          <cell r="U251">
            <v>0</v>
          </cell>
          <cell r="V251">
            <v>0</v>
          </cell>
          <cell r="W251">
            <v>0</v>
          </cell>
          <cell r="X251">
            <v>0</v>
          </cell>
          <cell r="Y251">
            <v>0</v>
          </cell>
          <cell r="Z251">
            <v>0</v>
          </cell>
          <cell r="AA251">
            <v>0</v>
          </cell>
          <cell r="AC251">
            <v>0</v>
          </cell>
          <cell r="AD251">
            <v>0</v>
          </cell>
        </row>
        <row r="252">
          <cell r="B252">
            <v>13600</v>
          </cell>
          <cell r="C252" t="str">
            <v>POSTAGE/ TELEGRAM/ COURIER (7410)</v>
          </cell>
          <cell r="D252">
            <v>222510.4</v>
          </cell>
          <cell r="E252">
            <v>0</v>
          </cell>
          <cell r="F252">
            <v>145395.5</v>
          </cell>
          <cell r="G252">
            <v>0</v>
          </cell>
          <cell r="H252">
            <v>0</v>
          </cell>
          <cell r="I252">
            <v>0</v>
          </cell>
          <cell r="J252">
            <v>0</v>
          </cell>
          <cell r="K252">
            <v>0</v>
          </cell>
          <cell r="L252">
            <v>295185</v>
          </cell>
          <cell r="M252">
            <v>-26509</v>
          </cell>
          <cell r="N252">
            <v>0</v>
          </cell>
          <cell r="O252">
            <v>0</v>
          </cell>
          <cell r="P252">
            <v>367905.9</v>
          </cell>
          <cell r="Q252">
            <v>0</v>
          </cell>
          <cell r="S252">
            <v>491186.4</v>
          </cell>
          <cell r="T252">
            <v>145395.5</v>
          </cell>
          <cell r="U252">
            <v>287067</v>
          </cell>
          <cell r="V252">
            <v>136741.57</v>
          </cell>
          <cell r="W252">
            <v>204119.40000000002</v>
          </cell>
          <cell r="X252">
            <v>8653.929999999993</v>
          </cell>
          <cell r="Y252">
            <v>204119.40000000002</v>
          </cell>
          <cell r="Z252">
            <v>8653.929999999993</v>
          </cell>
          <cell r="AA252">
            <v>212773.33000000002</v>
          </cell>
          <cell r="AC252">
            <v>13600</v>
          </cell>
          <cell r="AD252">
            <v>0</v>
          </cell>
        </row>
        <row r="253">
          <cell r="S253">
            <v>0</v>
          </cell>
          <cell r="T253">
            <v>0</v>
          </cell>
          <cell r="U253">
            <v>0</v>
          </cell>
          <cell r="V253">
            <v>0</v>
          </cell>
          <cell r="W253">
            <v>0</v>
          </cell>
          <cell r="X253">
            <v>0</v>
          </cell>
          <cell r="Y253">
            <v>0</v>
          </cell>
          <cell r="Z253">
            <v>0</v>
          </cell>
          <cell r="AA253">
            <v>0</v>
          </cell>
          <cell r="AC253">
            <v>0</v>
          </cell>
          <cell r="AD253">
            <v>0</v>
          </cell>
        </row>
        <row r="254">
          <cell r="B254">
            <v>13601</v>
          </cell>
          <cell r="C254" t="str">
            <v>EXPORT EXPENSES (7415)</v>
          </cell>
          <cell r="D254">
            <v>706268</v>
          </cell>
          <cell r="E254">
            <v>-75</v>
          </cell>
          <cell r="F254">
            <v>452108</v>
          </cell>
          <cell r="G254">
            <v>0</v>
          </cell>
          <cell r="H254">
            <v>0</v>
          </cell>
          <cell r="I254">
            <v>0</v>
          </cell>
          <cell r="J254">
            <v>0</v>
          </cell>
          <cell r="K254">
            <v>0</v>
          </cell>
          <cell r="L254">
            <v>12238</v>
          </cell>
          <cell r="M254">
            <v>0</v>
          </cell>
          <cell r="N254">
            <v>0</v>
          </cell>
          <cell r="O254">
            <v>0</v>
          </cell>
          <cell r="P254">
            <v>1158376</v>
          </cell>
          <cell r="Q254">
            <v>-75</v>
          </cell>
          <cell r="S254">
            <v>718431</v>
          </cell>
          <cell r="T254">
            <v>452108</v>
          </cell>
          <cell r="U254">
            <v>470178</v>
          </cell>
          <cell r="V254">
            <v>306608</v>
          </cell>
          <cell r="W254">
            <v>248253</v>
          </cell>
          <cell r="X254">
            <v>145500</v>
          </cell>
          <cell r="Y254">
            <v>248253</v>
          </cell>
          <cell r="Z254">
            <v>145500</v>
          </cell>
          <cell r="AA254">
            <v>393753</v>
          </cell>
          <cell r="AC254">
            <v>13601</v>
          </cell>
          <cell r="AD254">
            <v>0</v>
          </cell>
        </row>
        <row r="255">
          <cell r="S255">
            <v>0</v>
          </cell>
          <cell r="T255">
            <v>0</v>
          </cell>
          <cell r="U255">
            <v>0</v>
          </cell>
          <cell r="V255">
            <v>0</v>
          </cell>
          <cell r="W255">
            <v>0</v>
          </cell>
          <cell r="X255">
            <v>0</v>
          </cell>
          <cell r="Y255">
            <v>0</v>
          </cell>
          <cell r="Z255">
            <v>0</v>
          </cell>
          <cell r="AA255">
            <v>0</v>
          </cell>
          <cell r="AC255">
            <v>0</v>
          </cell>
          <cell r="AD255">
            <v>0</v>
          </cell>
        </row>
        <row r="256">
          <cell r="B256">
            <v>13602</v>
          </cell>
          <cell r="C256" t="str">
            <v>SELLING EXPENSES (SAMPLES) (7420)</v>
          </cell>
          <cell r="D256">
            <v>1452113</v>
          </cell>
          <cell r="E256">
            <v>-47773</v>
          </cell>
          <cell r="F256">
            <v>121086.69</v>
          </cell>
          <cell r="G256">
            <v>-10966</v>
          </cell>
          <cell r="H256">
            <v>0</v>
          </cell>
          <cell r="I256">
            <v>0</v>
          </cell>
          <cell r="J256">
            <v>0</v>
          </cell>
          <cell r="K256">
            <v>0</v>
          </cell>
          <cell r="L256">
            <v>0</v>
          </cell>
          <cell r="M256">
            <v>0</v>
          </cell>
          <cell r="N256">
            <v>0</v>
          </cell>
          <cell r="O256">
            <v>0</v>
          </cell>
          <cell r="P256">
            <v>1573199.69</v>
          </cell>
          <cell r="Q256">
            <v>-58739</v>
          </cell>
          <cell r="S256">
            <v>1404340</v>
          </cell>
          <cell r="T256">
            <v>110120.69</v>
          </cell>
          <cell r="U256">
            <v>1200610</v>
          </cell>
          <cell r="V256">
            <v>68257.13</v>
          </cell>
          <cell r="W256">
            <v>203730</v>
          </cell>
          <cell r="X256">
            <v>41863.56</v>
          </cell>
          <cell r="Y256">
            <v>203730</v>
          </cell>
          <cell r="Z256">
            <v>41863.56</v>
          </cell>
          <cell r="AA256">
            <v>245593.56</v>
          </cell>
          <cell r="AC256">
            <v>13602</v>
          </cell>
          <cell r="AD256">
            <v>0</v>
          </cell>
        </row>
        <row r="257">
          <cell r="S257">
            <v>0</v>
          </cell>
          <cell r="T257">
            <v>0</v>
          </cell>
          <cell r="U257">
            <v>0</v>
          </cell>
          <cell r="V257">
            <v>0</v>
          </cell>
          <cell r="W257">
            <v>0</v>
          </cell>
          <cell r="X257">
            <v>0</v>
          </cell>
          <cell r="Y257">
            <v>0</v>
          </cell>
          <cell r="Z257">
            <v>0</v>
          </cell>
          <cell r="AA257">
            <v>0</v>
          </cell>
          <cell r="AC257">
            <v>0</v>
          </cell>
          <cell r="AD257">
            <v>0</v>
          </cell>
        </row>
        <row r="258">
          <cell r="B258">
            <v>13603</v>
          </cell>
          <cell r="C258" t="str">
            <v>ADVERTISEMENT (7430)</v>
          </cell>
          <cell r="D258">
            <v>40100</v>
          </cell>
          <cell r="E258">
            <v>0</v>
          </cell>
          <cell r="F258">
            <v>50000</v>
          </cell>
          <cell r="G258">
            <v>0</v>
          </cell>
          <cell r="H258">
            <v>0</v>
          </cell>
          <cell r="I258">
            <v>0</v>
          </cell>
          <cell r="J258">
            <v>0</v>
          </cell>
          <cell r="K258">
            <v>0</v>
          </cell>
          <cell r="L258">
            <v>6512</v>
          </cell>
          <cell r="M258">
            <v>0</v>
          </cell>
          <cell r="N258">
            <v>0</v>
          </cell>
          <cell r="O258">
            <v>0</v>
          </cell>
          <cell r="P258">
            <v>90100</v>
          </cell>
          <cell r="Q258">
            <v>0</v>
          </cell>
          <cell r="S258">
            <v>46612</v>
          </cell>
          <cell r="T258">
            <v>50000</v>
          </cell>
          <cell r="U258">
            <v>15225</v>
          </cell>
          <cell r="V258">
            <v>50000</v>
          </cell>
          <cell r="W258">
            <v>31387</v>
          </cell>
          <cell r="X258">
            <v>0</v>
          </cell>
          <cell r="Y258">
            <v>31387</v>
          </cell>
          <cell r="Z258">
            <v>0</v>
          </cell>
          <cell r="AA258">
            <v>31387</v>
          </cell>
          <cell r="AC258">
            <v>13603</v>
          </cell>
          <cell r="AD258">
            <v>0</v>
          </cell>
        </row>
        <row r="259">
          <cell r="S259">
            <v>0</v>
          </cell>
          <cell r="T259">
            <v>0</v>
          </cell>
          <cell r="U259">
            <v>0</v>
          </cell>
          <cell r="V259">
            <v>0</v>
          </cell>
          <cell r="W259">
            <v>0</v>
          </cell>
          <cell r="X259">
            <v>0</v>
          </cell>
          <cell r="Y259">
            <v>0</v>
          </cell>
          <cell r="Z259">
            <v>0</v>
          </cell>
          <cell r="AA259">
            <v>0</v>
          </cell>
          <cell r="AC259">
            <v>0</v>
          </cell>
          <cell r="AD259">
            <v>0</v>
          </cell>
        </row>
        <row r="260">
          <cell r="B260">
            <v>13604</v>
          </cell>
          <cell r="C260" t="str">
            <v>MEETING &amp; CONFERENCE EXPENSES (7435)</v>
          </cell>
          <cell r="D260">
            <v>275923</v>
          </cell>
          <cell r="E260">
            <v>-750</v>
          </cell>
          <cell r="F260">
            <v>236463</v>
          </cell>
          <cell r="G260">
            <v>-10400</v>
          </cell>
          <cell r="H260">
            <v>0</v>
          </cell>
          <cell r="I260">
            <v>0</v>
          </cell>
          <cell r="J260">
            <v>0</v>
          </cell>
          <cell r="K260">
            <v>0</v>
          </cell>
          <cell r="L260">
            <v>2303703.0499999998</v>
          </cell>
          <cell r="M260">
            <v>-7383</v>
          </cell>
          <cell r="N260">
            <v>0</v>
          </cell>
          <cell r="O260">
            <v>0</v>
          </cell>
          <cell r="P260">
            <v>512386</v>
          </cell>
          <cell r="Q260">
            <v>-11150</v>
          </cell>
          <cell r="S260">
            <v>2571493.0499999998</v>
          </cell>
          <cell r="T260">
            <v>226063</v>
          </cell>
          <cell r="U260">
            <v>2105040.15</v>
          </cell>
          <cell r="V260">
            <v>184888</v>
          </cell>
          <cell r="W260">
            <v>466452.89999999991</v>
          </cell>
          <cell r="X260">
            <v>41175</v>
          </cell>
          <cell r="Y260">
            <v>466452.89999999991</v>
          </cell>
          <cell r="Z260">
            <v>41175</v>
          </cell>
          <cell r="AA260">
            <v>507627.89999999991</v>
          </cell>
          <cell r="AC260">
            <v>13604</v>
          </cell>
          <cell r="AD260">
            <v>0</v>
          </cell>
        </row>
        <row r="261">
          <cell r="S261">
            <v>0</v>
          </cell>
          <cell r="T261">
            <v>0</v>
          </cell>
          <cell r="U261">
            <v>0</v>
          </cell>
          <cell r="V261">
            <v>0</v>
          </cell>
          <cell r="W261">
            <v>0</v>
          </cell>
          <cell r="X261">
            <v>0</v>
          </cell>
          <cell r="Y261">
            <v>0</v>
          </cell>
          <cell r="Z261">
            <v>0</v>
          </cell>
          <cell r="AA261">
            <v>0</v>
          </cell>
          <cell r="AC261">
            <v>0</v>
          </cell>
          <cell r="AD261">
            <v>0</v>
          </cell>
        </row>
        <row r="262">
          <cell r="B262">
            <v>13605</v>
          </cell>
          <cell r="C262" t="str">
            <v>ENTERTAINMENT EXPENSES (7440)</v>
          </cell>
          <cell r="D262">
            <v>46198.48</v>
          </cell>
          <cell r="E262">
            <v>-165</v>
          </cell>
          <cell r="F262">
            <v>49250</v>
          </cell>
          <cell r="G262">
            <v>-2200</v>
          </cell>
          <cell r="H262">
            <v>0</v>
          </cell>
          <cell r="I262">
            <v>0</v>
          </cell>
          <cell r="J262">
            <v>0</v>
          </cell>
          <cell r="K262">
            <v>0</v>
          </cell>
          <cell r="L262">
            <v>51800.04</v>
          </cell>
          <cell r="M262">
            <v>0</v>
          </cell>
          <cell r="N262">
            <v>0</v>
          </cell>
          <cell r="O262">
            <v>0</v>
          </cell>
          <cell r="P262">
            <v>95448.48</v>
          </cell>
          <cell r="Q262">
            <v>-2365</v>
          </cell>
          <cell r="S262">
            <v>97833.52</v>
          </cell>
          <cell r="T262">
            <v>47050</v>
          </cell>
          <cell r="U262">
            <v>42000.04</v>
          </cell>
          <cell r="V262">
            <v>36595</v>
          </cell>
          <cell r="W262">
            <v>55833.48</v>
          </cell>
          <cell r="X262">
            <v>10455</v>
          </cell>
          <cell r="Y262">
            <v>55833.48</v>
          </cell>
          <cell r="Z262">
            <v>10455</v>
          </cell>
          <cell r="AA262">
            <v>66288.48000000001</v>
          </cell>
          <cell r="AC262">
            <v>13605</v>
          </cell>
          <cell r="AD262">
            <v>0</v>
          </cell>
        </row>
        <row r="263">
          <cell r="S263">
            <v>0</v>
          </cell>
          <cell r="T263">
            <v>0</v>
          </cell>
          <cell r="U263">
            <v>0</v>
          </cell>
          <cell r="V263">
            <v>0</v>
          </cell>
          <cell r="W263">
            <v>0</v>
          </cell>
          <cell r="X263">
            <v>0</v>
          </cell>
          <cell r="Y263">
            <v>0</v>
          </cell>
          <cell r="Z263">
            <v>0</v>
          </cell>
          <cell r="AA263">
            <v>0</v>
          </cell>
          <cell r="AC263">
            <v>0</v>
          </cell>
          <cell r="AD263">
            <v>0</v>
          </cell>
        </row>
        <row r="264">
          <cell r="B264">
            <v>13606</v>
          </cell>
          <cell r="C264" t="str">
            <v>SYSTEM EXPENSES (7445)</v>
          </cell>
          <cell r="D264">
            <v>111530</v>
          </cell>
          <cell r="E264">
            <v>-24153</v>
          </cell>
          <cell r="F264">
            <v>66070</v>
          </cell>
          <cell r="G264">
            <v>-11708</v>
          </cell>
          <cell r="H264">
            <v>116250</v>
          </cell>
          <cell r="I264">
            <v>-116250</v>
          </cell>
          <cell r="J264">
            <v>35000</v>
          </cell>
          <cell r="K264">
            <v>-35000</v>
          </cell>
          <cell r="L264">
            <v>4829721.41</v>
          </cell>
          <cell r="M264">
            <v>-981189</v>
          </cell>
          <cell r="N264">
            <v>0</v>
          </cell>
          <cell r="O264">
            <v>0</v>
          </cell>
          <cell r="P264">
            <v>328850</v>
          </cell>
          <cell r="Q264">
            <v>-187111</v>
          </cell>
          <cell r="S264">
            <v>3935909.41</v>
          </cell>
          <cell r="T264">
            <v>54362</v>
          </cell>
          <cell r="U264">
            <v>2691991.91</v>
          </cell>
          <cell r="V264">
            <v>14607</v>
          </cell>
          <cell r="W264">
            <v>1243917.5</v>
          </cell>
          <cell r="X264">
            <v>39755</v>
          </cell>
          <cell r="Y264">
            <v>1243917.5</v>
          </cell>
          <cell r="Z264">
            <v>39755</v>
          </cell>
          <cell r="AA264">
            <v>1283672.5</v>
          </cell>
          <cell r="AC264">
            <v>13606</v>
          </cell>
          <cell r="AD264">
            <v>0</v>
          </cell>
        </row>
        <row r="265">
          <cell r="S265">
            <v>0</v>
          </cell>
          <cell r="T265">
            <v>0</v>
          </cell>
          <cell r="U265">
            <v>0</v>
          </cell>
          <cell r="V265">
            <v>0</v>
          </cell>
          <cell r="W265">
            <v>0</v>
          </cell>
          <cell r="X265">
            <v>0</v>
          </cell>
          <cell r="Y265">
            <v>0</v>
          </cell>
          <cell r="Z265">
            <v>0</v>
          </cell>
          <cell r="AA265">
            <v>0</v>
          </cell>
          <cell r="AC265">
            <v>0</v>
          </cell>
          <cell r="AD265">
            <v>0</v>
          </cell>
        </row>
        <row r="266">
          <cell r="B266">
            <v>13607</v>
          </cell>
          <cell r="C266" t="str">
            <v>ISO EXPENSES (7455)</v>
          </cell>
          <cell r="D266">
            <v>155800</v>
          </cell>
          <cell r="E266">
            <v>0</v>
          </cell>
          <cell r="F266">
            <v>113945</v>
          </cell>
          <cell r="G266">
            <v>0</v>
          </cell>
          <cell r="H266">
            <v>0</v>
          </cell>
          <cell r="I266">
            <v>0</v>
          </cell>
          <cell r="J266">
            <v>0</v>
          </cell>
          <cell r="K266">
            <v>0</v>
          </cell>
          <cell r="L266">
            <v>0</v>
          </cell>
          <cell r="M266">
            <v>0</v>
          </cell>
          <cell r="N266">
            <v>0</v>
          </cell>
          <cell r="O266">
            <v>0</v>
          </cell>
          <cell r="P266">
            <v>269745</v>
          </cell>
          <cell r="Q266">
            <v>0</v>
          </cell>
          <cell r="S266">
            <v>155800</v>
          </cell>
          <cell r="T266">
            <v>113945</v>
          </cell>
          <cell r="U266">
            <v>131000</v>
          </cell>
          <cell r="V266">
            <v>89200</v>
          </cell>
          <cell r="W266">
            <v>24800</v>
          </cell>
          <cell r="X266">
            <v>24745</v>
          </cell>
          <cell r="Y266">
            <v>24800</v>
          </cell>
          <cell r="Z266">
            <v>24745</v>
          </cell>
          <cell r="AA266">
            <v>49545</v>
          </cell>
          <cell r="AC266">
            <v>13607</v>
          </cell>
          <cell r="AD266">
            <v>0</v>
          </cell>
        </row>
        <row r="267">
          <cell r="S267">
            <v>0</v>
          </cell>
          <cell r="T267">
            <v>0</v>
          </cell>
          <cell r="U267">
            <v>0</v>
          </cell>
          <cell r="V267">
            <v>0</v>
          </cell>
          <cell r="W267">
            <v>0</v>
          </cell>
          <cell r="X267">
            <v>0</v>
          </cell>
          <cell r="Y267">
            <v>0</v>
          </cell>
          <cell r="Z267">
            <v>0</v>
          </cell>
          <cell r="AA267">
            <v>0</v>
          </cell>
          <cell r="AC267">
            <v>0</v>
          </cell>
          <cell r="AD267">
            <v>0</v>
          </cell>
        </row>
        <row r="268">
          <cell r="B268">
            <v>13608</v>
          </cell>
          <cell r="C268" t="str">
            <v>GENERAL EXPENSES (7470-71)</v>
          </cell>
          <cell r="D268">
            <v>2619640.85</v>
          </cell>
          <cell r="E268">
            <v>-237524.04</v>
          </cell>
          <cell r="F268">
            <v>1698395.4</v>
          </cell>
          <cell r="G268">
            <v>-59445</v>
          </cell>
          <cell r="H268">
            <v>0</v>
          </cell>
          <cell r="I268">
            <v>0</v>
          </cell>
          <cell r="J268">
            <v>0</v>
          </cell>
          <cell r="K268">
            <v>0</v>
          </cell>
          <cell r="L268">
            <v>820267</v>
          </cell>
          <cell r="M268">
            <v>-6180</v>
          </cell>
          <cell r="N268">
            <v>0</v>
          </cell>
          <cell r="O268">
            <v>0</v>
          </cell>
          <cell r="P268">
            <v>4318036.25</v>
          </cell>
          <cell r="Q268">
            <v>-296969.03999999998</v>
          </cell>
          <cell r="S268">
            <v>3196203.81</v>
          </cell>
          <cell r="T268">
            <v>1638950.4</v>
          </cell>
          <cell r="U268">
            <v>1908451.21</v>
          </cell>
          <cell r="V268">
            <v>1175232.3999999999</v>
          </cell>
          <cell r="W268">
            <v>1287752.6000000001</v>
          </cell>
          <cell r="X268">
            <v>463718</v>
          </cell>
          <cell r="Y268">
            <v>1287752.6000000001</v>
          </cell>
          <cell r="Z268">
            <v>463718</v>
          </cell>
          <cell r="AA268">
            <v>1751470.6</v>
          </cell>
          <cell r="AC268">
            <v>13608</v>
          </cell>
          <cell r="AD268">
            <v>0</v>
          </cell>
        </row>
        <row r="269">
          <cell r="S269">
            <v>0</v>
          </cell>
          <cell r="T269">
            <v>0</v>
          </cell>
          <cell r="U269">
            <v>0</v>
          </cell>
          <cell r="V269">
            <v>0</v>
          </cell>
          <cell r="W269">
            <v>0</v>
          </cell>
          <cell r="X269">
            <v>0</v>
          </cell>
          <cell r="Y269">
            <v>0</v>
          </cell>
          <cell r="Z269">
            <v>0</v>
          </cell>
          <cell r="AA269">
            <v>0</v>
          </cell>
          <cell r="AC269">
            <v>0</v>
          </cell>
          <cell r="AD269">
            <v>0</v>
          </cell>
        </row>
        <row r="270">
          <cell r="B270">
            <v>13609</v>
          </cell>
          <cell r="C270" t="str">
            <v>GIFT &amp; PRESENTATION (7472-74)</v>
          </cell>
          <cell r="D270">
            <v>11629</v>
          </cell>
          <cell r="E270">
            <v>0</v>
          </cell>
          <cell r="F270">
            <v>34626</v>
          </cell>
          <cell r="G270">
            <v>0</v>
          </cell>
          <cell r="H270">
            <v>0</v>
          </cell>
          <cell r="I270">
            <v>0</v>
          </cell>
          <cell r="J270">
            <v>0</v>
          </cell>
          <cell r="K270">
            <v>0</v>
          </cell>
          <cell r="L270">
            <v>120840</v>
          </cell>
          <cell r="M270">
            <v>0</v>
          </cell>
          <cell r="N270">
            <v>0</v>
          </cell>
          <cell r="O270">
            <v>0</v>
          </cell>
          <cell r="P270">
            <v>46255</v>
          </cell>
          <cell r="Q270">
            <v>0</v>
          </cell>
          <cell r="S270">
            <v>132469</v>
          </cell>
          <cell r="T270">
            <v>34626</v>
          </cell>
          <cell r="U270">
            <v>99803</v>
          </cell>
          <cell r="V270">
            <v>34626</v>
          </cell>
          <cell r="W270">
            <v>32666</v>
          </cell>
          <cell r="X270">
            <v>0</v>
          </cell>
          <cell r="Y270">
            <v>32666</v>
          </cell>
          <cell r="Z270">
            <v>0</v>
          </cell>
          <cell r="AA270">
            <v>32666</v>
          </cell>
          <cell r="AC270">
            <v>13609</v>
          </cell>
          <cell r="AD270">
            <v>0</v>
          </cell>
        </row>
        <row r="271">
          <cell r="S271">
            <v>0</v>
          </cell>
          <cell r="T271">
            <v>0</v>
          </cell>
          <cell r="U271">
            <v>0</v>
          </cell>
          <cell r="V271">
            <v>0</v>
          </cell>
          <cell r="W271">
            <v>0</v>
          </cell>
          <cell r="X271">
            <v>0</v>
          </cell>
          <cell r="Y271">
            <v>0</v>
          </cell>
          <cell r="Z271">
            <v>0</v>
          </cell>
          <cell r="AA271">
            <v>0</v>
          </cell>
          <cell r="AC271">
            <v>0</v>
          </cell>
          <cell r="AD271">
            <v>0</v>
          </cell>
        </row>
        <row r="272">
          <cell r="B272">
            <v>13610</v>
          </cell>
          <cell r="C272" t="str">
            <v>CORPORATE EXPENSES (CENTRAL SERVICES) (7475)</v>
          </cell>
          <cell r="D272">
            <v>700001</v>
          </cell>
          <cell r="E272">
            <v>-20060001</v>
          </cell>
          <cell r="F272">
            <v>14800000</v>
          </cell>
          <cell r="G272">
            <v>0</v>
          </cell>
          <cell r="H272">
            <v>0</v>
          </cell>
          <cell r="I272">
            <v>0</v>
          </cell>
          <cell r="J272">
            <v>0</v>
          </cell>
          <cell r="K272">
            <v>0</v>
          </cell>
          <cell r="L272">
            <v>0</v>
          </cell>
          <cell r="M272">
            <v>0</v>
          </cell>
          <cell r="N272">
            <v>0</v>
          </cell>
          <cell r="O272">
            <v>0</v>
          </cell>
          <cell r="P272">
            <v>15500001</v>
          </cell>
          <cell r="Q272">
            <v>-20060001</v>
          </cell>
          <cell r="S272">
            <v>-19360000</v>
          </cell>
          <cell r="T272">
            <v>14800000</v>
          </cell>
          <cell r="U272">
            <v>-19360000</v>
          </cell>
          <cell r="V272">
            <v>14800000</v>
          </cell>
          <cell r="W272">
            <v>0</v>
          </cell>
          <cell r="X272">
            <v>0</v>
          </cell>
          <cell r="Y272">
            <v>0</v>
          </cell>
          <cell r="Z272">
            <v>0</v>
          </cell>
          <cell r="AA272">
            <v>0</v>
          </cell>
          <cell r="AC272">
            <v>13610</v>
          </cell>
          <cell r="AD272">
            <v>0</v>
          </cell>
        </row>
        <row r="273">
          <cell r="S273">
            <v>0</v>
          </cell>
          <cell r="T273">
            <v>0</v>
          </cell>
          <cell r="U273">
            <v>0</v>
          </cell>
          <cell r="V273">
            <v>0</v>
          </cell>
          <cell r="W273">
            <v>0</v>
          </cell>
          <cell r="X273">
            <v>0</v>
          </cell>
          <cell r="Y273">
            <v>0</v>
          </cell>
          <cell r="Z273">
            <v>0</v>
          </cell>
          <cell r="AA273">
            <v>0</v>
          </cell>
          <cell r="AC273">
            <v>0</v>
          </cell>
          <cell r="AD273">
            <v>0</v>
          </cell>
        </row>
        <row r="274">
          <cell r="B274">
            <v>13611</v>
          </cell>
          <cell r="C274" t="str">
            <v>STAFF TRAINING (7480)</v>
          </cell>
          <cell r="D274">
            <v>55210</v>
          </cell>
          <cell r="E274">
            <v>0</v>
          </cell>
          <cell r="F274">
            <v>46798</v>
          </cell>
          <cell r="G274">
            <v>0</v>
          </cell>
          <cell r="H274">
            <v>0</v>
          </cell>
          <cell r="I274">
            <v>0</v>
          </cell>
          <cell r="J274">
            <v>0</v>
          </cell>
          <cell r="K274">
            <v>0</v>
          </cell>
          <cell r="L274">
            <v>27000</v>
          </cell>
          <cell r="M274">
            <v>0</v>
          </cell>
          <cell r="N274">
            <v>0</v>
          </cell>
          <cell r="O274">
            <v>0</v>
          </cell>
          <cell r="P274">
            <v>102008</v>
          </cell>
          <cell r="Q274">
            <v>0</v>
          </cell>
          <cell r="S274">
            <v>82210</v>
          </cell>
          <cell r="T274">
            <v>46798</v>
          </cell>
          <cell r="U274">
            <v>47000</v>
          </cell>
          <cell r="V274">
            <v>1798</v>
          </cell>
          <cell r="W274">
            <v>35210</v>
          </cell>
          <cell r="X274">
            <v>45000</v>
          </cell>
          <cell r="Y274">
            <v>35210</v>
          </cell>
          <cell r="Z274">
            <v>45000</v>
          </cell>
          <cell r="AA274">
            <v>80210</v>
          </cell>
          <cell r="AC274">
            <v>13611</v>
          </cell>
          <cell r="AD274">
            <v>0</v>
          </cell>
        </row>
        <row r="275">
          <cell r="S275">
            <v>0</v>
          </cell>
          <cell r="T275">
            <v>0</v>
          </cell>
          <cell r="U275">
            <v>0</v>
          </cell>
          <cell r="V275">
            <v>0</v>
          </cell>
          <cell r="W275">
            <v>0</v>
          </cell>
          <cell r="X275">
            <v>0</v>
          </cell>
          <cell r="Y275">
            <v>0</v>
          </cell>
          <cell r="Z275">
            <v>0</v>
          </cell>
          <cell r="AA275">
            <v>0</v>
          </cell>
          <cell r="AC275">
            <v>0</v>
          </cell>
          <cell r="AD275">
            <v>0</v>
          </cell>
        </row>
        <row r="276">
          <cell r="B276">
            <v>13612</v>
          </cell>
          <cell r="C276" t="str">
            <v>RECRUITMENT EXPENSES (7485)</v>
          </cell>
          <cell r="D276">
            <v>61100</v>
          </cell>
          <cell r="E276">
            <v>0</v>
          </cell>
          <cell r="F276">
            <v>111657</v>
          </cell>
          <cell r="G276">
            <v>0</v>
          </cell>
          <cell r="H276">
            <v>0</v>
          </cell>
          <cell r="I276">
            <v>0</v>
          </cell>
          <cell r="J276">
            <v>0</v>
          </cell>
          <cell r="K276">
            <v>0</v>
          </cell>
          <cell r="L276">
            <v>76007</v>
          </cell>
          <cell r="M276">
            <v>0</v>
          </cell>
          <cell r="N276">
            <v>0</v>
          </cell>
          <cell r="O276">
            <v>0</v>
          </cell>
          <cell r="P276">
            <v>172757</v>
          </cell>
          <cell r="Q276">
            <v>0</v>
          </cell>
          <cell r="S276">
            <v>137107</v>
          </cell>
          <cell r="T276">
            <v>111657</v>
          </cell>
          <cell r="U276">
            <v>21530</v>
          </cell>
          <cell r="V276">
            <v>110457</v>
          </cell>
          <cell r="W276">
            <v>115577</v>
          </cell>
          <cell r="X276">
            <v>1200</v>
          </cell>
          <cell r="Y276">
            <v>115577</v>
          </cell>
          <cell r="Z276">
            <v>1200</v>
          </cell>
          <cell r="AA276">
            <v>116777</v>
          </cell>
          <cell r="AC276">
            <v>13612</v>
          </cell>
          <cell r="AD276">
            <v>0</v>
          </cell>
        </row>
        <row r="277">
          <cell r="S277">
            <v>0</v>
          </cell>
          <cell r="T277">
            <v>0</v>
          </cell>
          <cell r="U277">
            <v>0</v>
          </cell>
          <cell r="V277">
            <v>0</v>
          </cell>
          <cell r="W277">
            <v>0</v>
          </cell>
          <cell r="X277">
            <v>0</v>
          </cell>
          <cell r="Y277">
            <v>0</v>
          </cell>
          <cell r="Z277">
            <v>0</v>
          </cell>
          <cell r="AA277">
            <v>0</v>
          </cell>
          <cell r="AC277">
            <v>0</v>
          </cell>
          <cell r="AD277">
            <v>0</v>
          </cell>
        </row>
        <row r="278">
          <cell r="B278">
            <v>13613</v>
          </cell>
          <cell r="C278" t="str">
            <v>COURSES &amp; CONFERENCE EXP (7490)</v>
          </cell>
          <cell r="D278">
            <v>34900</v>
          </cell>
          <cell r="E278">
            <v>0</v>
          </cell>
          <cell r="F278">
            <v>131976</v>
          </cell>
          <cell r="G278">
            <v>-56726</v>
          </cell>
          <cell r="H278">
            <v>0</v>
          </cell>
          <cell r="I278">
            <v>0</v>
          </cell>
          <cell r="J278">
            <v>0</v>
          </cell>
          <cell r="K278">
            <v>0</v>
          </cell>
          <cell r="L278">
            <v>20000</v>
          </cell>
          <cell r="M278">
            <v>0</v>
          </cell>
          <cell r="N278">
            <v>0</v>
          </cell>
          <cell r="O278">
            <v>0</v>
          </cell>
          <cell r="P278">
            <v>166876</v>
          </cell>
          <cell r="Q278">
            <v>-56726</v>
          </cell>
          <cell r="S278">
            <v>54900</v>
          </cell>
          <cell r="T278">
            <v>75250</v>
          </cell>
          <cell r="U278">
            <v>20000</v>
          </cell>
          <cell r="V278">
            <v>40400</v>
          </cell>
          <cell r="W278">
            <v>34900</v>
          </cell>
          <cell r="X278">
            <v>34850</v>
          </cell>
          <cell r="Y278">
            <v>34900</v>
          </cell>
          <cell r="Z278">
            <v>34850</v>
          </cell>
          <cell r="AA278">
            <v>69750</v>
          </cell>
          <cell r="AC278">
            <v>13613</v>
          </cell>
          <cell r="AD278">
            <v>0</v>
          </cell>
        </row>
        <row r="279">
          <cell r="S279">
            <v>0</v>
          </cell>
          <cell r="T279">
            <v>0</v>
          </cell>
          <cell r="U279">
            <v>0</v>
          </cell>
          <cell r="V279">
            <v>0</v>
          </cell>
          <cell r="W279">
            <v>0</v>
          </cell>
          <cell r="X279">
            <v>0</v>
          </cell>
          <cell r="Y279">
            <v>0</v>
          </cell>
          <cell r="Z279">
            <v>0</v>
          </cell>
          <cell r="AA279">
            <v>0</v>
          </cell>
          <cell r="AC279">
            <v>0</v>
          </cell>
          <cell r="AD279">
            <v>0</v>
          </cell>
        </row>
        <row r="280">
          <cell r="B280">
            <v>13639</v>
          </cell>
          <cell r="C280" t="str">
            <v>DONATIONS (7505)</v>
          </cell>
          <cell r="D280">
            <v>5000</v>
          </cell>
          <cell r="E280">
            <v>0</v>
          </cell>
          <cell r="F280">
            <v>0</v>
          </cell>
          <cell r="G280">
            <v>0</v>
          </cell>
          <cell r="H280">
            <v>0</v>
          </cell>
          <cell r="I280">
            <v>0</v>
          </cell>
          <cell r="J280">
            <v>0</v>
          </cell>
          <cell r="K280">
            <v>0</v>
          </cell>
          <cell r="L280">
            <v>30000</v>
          </cell>
          <cell r="M280">
            <v>0</v>
          </cell>
          <cell r="N280">
            <v>0</v>
          </cell>
          <cell r="O280">
            <v>0</v>
          </cell>
          <cell r="P280">
            <v>5000</v>
          </cell>
          <cell r="Q280">
            <v>0</v>
          </cell>
          <cell r="S280">
            <v>35000</v>
          </cell>
          <cell r="T280">
            <v>0</v>
          </cell>
          <cell r="U280">
            <v>15000</v>
          </cell>
          <cell r="V280">
            <v>0</v>
          </cell>
          <cell r="W280">
            <v>20000</v>
          </cell>
          <cell r="X280">
            <v>0</v>
          </cell>
          <cell r="Y280">
            <v>20000</v>
          </cell>
          <cell r="Z280">
            <v>0</v>
          </cell>
          <cell r="AA280">
            <v>20000</v>
          </cell>
          <cell r="AC280">
            <v>13639</v>
          </cell>
          <cell r="AD280">
            <v>0</v>
          </cell>
        </row>
        <row r="281">
          <cell r="S281">
            <v>0</v>
          </cell>
          <cell r="T281">
            <v>0</v>
          </cell>
          <cell r="U281">
            <v>0</v>
          </cell>
          <cell r="V281">
            <v>0</v>
          </cell>
          <cell r="W281">
            <v>0</v>
          </cell>
          <cell r="X281">
            <v>0</v>
          </cell>
          <cell r="Y281">
            <v>0</v>
          </cell>
          <cell r="Z281">
            <v>0</v>
          </cell>
          <cell r="AA281">
            <v>0</v>
          </cell>
          <cell r="AC281">
            <v>0</v>
          </cell>
          <cell r="AD281">
            <v>0</v>
          </cell>
        </row>
        <row r="282">
          <cell r="B282">
            <v>13672</v>
          </cell>
          <cell r="C282" t="str">
            <v>LOSS ON SALE OF ASSETS (7450)</v>
          </cell>
          <cell r="D282">
            <v>58381</v>
          </cell>
          <cell r="E282">
            <v>-43538</v>
          </cell>
          <cell r="F282">
            <v>7911</v>
          </cell>
          <cell r="G282">
            <v>0</v>
          </cell>
          <cell r="H282">
            <v>0</v>
          </cell>
          <cell r="I282">
            <v>0</v>
          </cell>
          <cell r="J282">
            <v>0</v>
          </cell>
          <cell r="K282">
            <v>0</v>
          </cell>
          <cell r="L282">
            <v>0</v>
          </cell>
          <cell r="M282">
            <v>0</v>
          </cell>
          <cell r="N282">
            <v>0</v>
          </cell>
          <cell r="O282">
            <v>0</v>
          </cell>
          <cell r="P282">
            <v>66292</v>
          </cell>
          <cell r="Q282">
            <v>-43538</v>
          </cell>
          <cell r="S282">
            <v>14843</v>
          </cell>
          <cell r="T282">
            <v>7911</v>
          </cell>
          <cell r="U282">
            <v>0</v>
          </cell>
          <cell r="V282">
            <v>0</v>
          </cell>
          <cell r="W282">
            <v>14843</v>
          </cell>
          <cell r="X282">
            <v>7911</v>
          </cell>
          <cell r="Y282">
            <v>14843</v>
          </cell>
          <cell r="Z282">
            <v>7911</v>
          </cell>
          <cell r="AA282">
            <v>22754</v>
          </cell>
          <cell r="AC282">
            <v>13672</v>
          </cell>
          <cell r="AD282">
            <v>0</v>
          </cell>
        </row>
        <row r="283">
          <cell r="S283">
            <v>0</v>
          </cell>
          <cell r="T283">
            <v>0</v>
          </cell>
          <cell r="U283">
            <v>0</v>
          </cell>
          <cell r="V283">
            <v>0</v>
          </cell>
          <cell r="W283">
            <v>0</v>
          </cell>
          <cell r="X283">
            <v>0</v>
          </cell>
          <cell r="Y283">
            <v>0</v>
          </cell>
          <cell r="Z283">
            <v>0</v>
          </cell>
          <cell r="AA283">
            <v>0</v>
          </cell>
          <cell r="AC283">
            <v>0</v>
          </cell>
          <cell r="AD283">
            <v>0</v>
          </cell>
        </row>
        <row r="284">
          <cell r="B284">
            <v>13704</v>
          </cell>
          <cell r="C284" t="str">
            <v>SCREEN PRINTING CHARGES (6230)</v>
          </cell>
          <cell r="D284">
            <v>0</v>
          </cell>
          <cell r="E284">
            <v>0</v>
          </cell>
          <cell r="F284">
            <v>23912261.98</v>
          </cell>
          <cell r="G284">
            <v>-1113035</v>
          </cell>
          <cell r="H284">
            <v>0</v>
          </cell>
          <cell r="I284">
            <v>0</v>
          </cell>
          <cell r="J284">
            <v>0</v>
          </cell>
          <cell r="K284">
            <v>0</v>
          </cell>
          <cell r="L284">
            <v>0</v>
          </cell>
          <cell r="M284">
            <v>0</v>
          </cell>
          <cell r="N284">
            <v>0</v>
          </cell>
          <cell r="O284">
            <v>0</v>
          </cell>
          <cell r="P284">
            <v>23912261.98</v>
          </cell>
          <cell r="Q284">
            <v>-1113035</v>
          </cell>
          <cell r="S284">
            <v>0</v>
          </cell>
          <cell r="T284">
            <v>22799226.98</v>
          </cell>
          <cell r="U284">
            <v>0</v>
          </cell>
          <cell r="V284">
            <v>12991371</v>
          </cell>
          <cell r="W284">
            <v>0</v>
          </cell>
          <cell r="X284">
            <v>9807855.9800000004</v>
          </cell>
          <cell r="Y284">
            <v>0</v>
          </cell>
          <cell r="Z284">
            <v>9807855.9800000004</v>
          </cell>
          <cell r="AA284">
            <v>9807855.9800000004</v>
          </cell>
          <cell r="AC284">
            <v>13704</v>
          </cell>
          <cell r="AD284">
            <v>0</v>
          </cell>
        </row>
        <row r="285">
          <cell r="S285">
            <v>0</v>
          </cell>
          <cell r="T285">
            <v>0</v>
          </cell>
          <cell r="U285">
            <v>0</v>
          </cell>
          <cell r="V285">
            <v>0</v>
          </cell>
          <cell r="W285">
            <v>0</v>
          </cell>
          <cell r="X285">
            <v>0</v>
          </cell>
          <cell r="Y285">
            <v>0</v>
          </cell>
          <cell r="Z285">
            <v>0</v>
          </cell>
          <cell r="AA285">
            <v>0</v>
          </cell>
          <cell r="AC285">
            <v>0</v>
          </cell>
          <cell r="AD285">
            <v>0</v>
          </cell>
        </row>
        <row r="286">
          <cell r="B286">
            <v>13738</v>
          </cell>
          <cell r="C286" t="str">
            <v>REALISED GAIN/LOSS ON EXCHANGE (5195)</v>
          </cell>
          <cell r="D286">
            <v>4776423038455370</v>
          </cell>
          <cell r="E286">
            <v>-4776423043897620</v>
          </cell>
          <cell r="F286">
            <v>64534256.659999996</v>
          </cell>
          <cell r="G286">
            <v>-28741153.239999998</v>
          </cell>
          <cell r="H286">
            <v>0</v>
          </cell>
          <cell r="I286">
            <v>-728</v>
          </cell>
          <cell r="J286">
            <v>113111.6</v>
          </cell>
          <cell r="K286">
            <v>-113111.6</v>
          </cell>
          <cell r="L286">
            <v>391143.48</v>
          </cell>
          <cell r="M286">
            <v>0</v>
          </cell>
          <cell r="N286">
            <v>0</v>
          </cell>
          <cell r="O286">
            <v>0</v>
          </cell>
          <cell r="P286">
            <v>4776423103102740</v>
          </cell>
          <cell r="Q286">
            <v>-4776423072752610</v>
          </cell>
          <cell r="S286">
            <v>-5051106.5199999996</v>
          </cell>
          <cell r="T286">
            <v>35792375.420000002</v>
          </cell>
          <cell r="U286">
            <v>62333.48</v>
          </cell>
          <cell r="V286">
            <v>11676765.92</v>
          </cell>
          <cell r="W286">
            <v>-5113440</v>
          </cell>
          <cell r="X286">
            <v>24115609.5</v>
          </cell>
          <cell r="Y286">
            <v>-5113440</v>
          </cell>
          <cell r="Z286">
            <v>24115609.5</v>
          </cell>
          <cell r="AA286">
            <v>19002169.5</v>
          </cell>
          <cell r="AC286">
            <v>13738</v>
          </cell>
          <cell r="AD286">
            <v>0</v>
          </cell>
        </row>
        <row r="287">
          <cell r="S287">
            <v>0</v>
          </cell>
          <cell r="T287">
            <v>0</v>
          </cell>
          <cell r="U287">
            <v>0</v>
          </cell>
          <cell r="V287">
            <v>0</v>
          </cell>
          <cell r="W287">
            <v>0</v>
          </cell>
          <cell r="X287">
            <v>0</v>
          </cell>
          <cell r="Y287">
            <v>0</v>
          </cell>
          <cell r="Z287">
            <v>0</v>
          </cell>
          <cell r="AA287">
            <v>0</v>
          </cell>
          <cell r="AC287">
            <v>0</v>
          </cell>
          <cell r="AD287">
            <v>0</v>
          </cell>
        </row>
        <row r="288">
          <cell r="B288">
            <v>13739</v>
          </cell>
          <cell r="C288" t="str">
            <v>UNREALISED GAIN/LOSS ON EXCHANGE (5200)</v>
          </cell>
          <cell r="D288">
            <v>721826.49</v>
          </cell>
          <cell r="E288">
            <v>-1377659.31</v>
          </cell>
          <cell r="F288">
            <v>2812886.32</v>
          </cell>
          <cell r="G288">
            <v>-2936732.18</v>
          </cell>
          <cell r="H288">
            <v>0</v>
          </cell>
          <cell r="I288">
            <v>0</v>
          </cell>
          <cell r="J288">
            <v>0</v>
          </cell>
          <cell r="K288">
            <v>0</v>
          </cell>
          <cell r="L288">
            <v>0</v>
          </cell>
          <cell r="M288">
            <v>0</v>
          </cell>
          <cell r="N288">
            <v>0</v>
          </cell>
          <cell r="O288">
            <v>0</v>
          </cell>
          <cell r="P288">
            <v>3534712.81</v>
          </cell>
          <cell r="Q288">
            <v>-4314391.49</v>
          </cell>
          <cell r="S288">
            <v>-655832.82000000007</v>
          </cell>
          <cell r="T288">
            <v>-123845.86000000034</v>
          </cell>
          <cell r="U288">
            <v>-655832.81999999995</v>
          </cell>
          <cell r="V288">
            <v>-123845.86</v>
          </cell>
          <cell r="W288">
            <v>0</v>
          </cell>
          <cell r="X288">
            <v>-3.3469405025243759E-10</v>
          </cell>
          <cell r="Y288">
            <v>0</v>
          </cell>
          <cell r="Z288">
            <v>-3.3469405025243759E-10</v>
          </cell>
          <cell r="AA288">
            <v>-3.3469405025243759E-10</v>
          </cell>
          <cell r="AC288">
            <v>13739</v>
          </cell>
          <cell r="AD288">
            <v>0</v>
          </cell>
        </row>
        <row r="289">
          <cell r="S289">
            <v>0</v>
          </cell>
          <cell r="T289">
            <v>0</v>
          </cell>
          <cell r="U289">
            <v>0</v>
          </cell>
          <cell r="V289">
            <v>0</v>
          </cell>
          <cell r="W289">
            <v>0</v>
          </cell>
          <cell r="X289">
            <v>0</v>
          </cell>
          <cell r="Y289">
            <v>0</v>
          </cell>
          <cell r="Z289">
            <v>0</v>
          </cell>
          <cell r="AA289">
            <v>0</v>
          </cell>
          <cell r="AC289">
            <v>0</v>
          </cell>
          <cell r="AD289">
            <v>0</v>
          </cell>
        </row>
        <row r="290">
          <cell r="B290">
            <v>13740</v>
          </cell>
          <cell r="C290" t="str">
            <v>ROUND OFF DIFF IN F CURRENCY (SYS)</v>
          </cell>
          <cell r="D290">
            <v>23.06</v>
          </cell>
          <cell r="E290">
            <v>-108.86</v>
          </cell>
          <cell r="F290">
            <v>15.65</v>
          </cell>
          <cell r="G290">
            <v>-26.07</v>
          </cell>
          <cell r="H290">
            <v>0.03</v>
          </cell>
          <cell r="I290">
            <v>0</v>
          </cell>
          <cell r="J290">
            <v>0</v>
          </cell>
          <cell r="K290">
            <v>0</v>
          </cell>
          <cell r="L290">
            <v>1</v>
          </cell>
          <cell r="M290">
            <v>-0.5</v>
          </cell>
          <cell r="N290">
            <v>0</v>
          </cell>
          <cell r="O290">
            <v>0</v>
          </cell>
          <cell r="P290">
            <v>38.74</v>
          </cell>
          <cell r="Q290">
            <v>-134.93</v>
          </cell>
          <cell r="S290">
            <v>-85.3</v>
          </cell>
          <cell r="T290">
            <v>-10.39</v>
          </cell>
          <cell r="U290">
            <v>-3</v>
          </cell>
          <cell r="V290">
            <v>1.1000000000000001</v>
          </cell>
          <cell r="W290">
            <v>-82.3</v>
          </cell>
          <cell r="X290">
            <v>-11.49</v>
          </cell>
          <cell r="Y290">
            <v>-82.3</v>
          </cell>
          <cell r="Z290">
            <v>-11.49</v>
          </cell>
          <cell r="AA290">
            <v>-93.789999999999992</v>
          </cell>
          <cell r="AC290">
            <v>13740</v>
          </cell>
          <cell r="AD290">
            <v>0</v>
          </cell>
        </row>
        <row r="291">
          <cell r="S291">
            <v>0</v>
          </cell>
          <cell r="T291">
            <v>0</v>
          </cell>
          <cell r="U291">
            <v>0</v>
          </cell>
          <cell r="V291">
            <v>0</v>
          </cell>
          <cell r="W291">
            <v>0</v>
          </cell>
          <cell r="X291">
            <v>0</v>
          </cell>
          <cell r="Y291">
            <v>0</v>
          </cell>
          <cell r="Z291">
            <v>0</v>
          </cell>
          <cell r="AA291">
            <v>0</v>
          </cell>
          <cell r="AC291">
            <v>0</v>
          </cell>
          <cell r="AD291">
            <v>0</v>
          </cell>
        </row>
        <row r="292">
          <cell r="B292">
            <v>13752</v>
          </cell>
          <cell r="C292" t="str">
            <v>OPENING STOCK OF FINISHED GOODS</v>
          </cell>
          <cell r="D292">
            <v>33259021</v>
          </cell>
          <cell r="E292">
            <v>0</v>
          </cell>
          <cell r="F292">
            <v>16959103</v>
          </cell>
          <cell r="G292">
            <v>0</v>
          </cell>
          <cell r="H292">
            <v>0</v>
          </cell>
          <cell r="I292">
            <v>0</v>
          </cell>
          <cell r="J292">
            <v>0</v>
          </cell>
          <cell r="K292">
            <v>0</v>
          </cell>
          <cell r="L292">
            <v>0</v>
          </cell>
          <cell r="M292">
            <v>0</v>
          </cell>
          <cell r="N292">
            <v>0</v>
          </cell>
          <cell r="O292">
            <v>0</v>
          </cell>
          <cell r="P292">
            <v>50218124</v>
          </cell>
          <cell r="Q292">
            <v>0</v>
          </cell>
          <cell r="S292">
            <v>33259021</v>
          </cell>
          <cell r="T292">
            <v>16959103</v>
          </cell>
          <cell r="U292">
            <v>33259021</v>
          </cell>
          <cell r="V292">
            <v>16959103</v>
          </cell>
          <cell r="W292">
            <v>0</v>
          </cell>
          <cell r="X292">
            <v>0</v>
          </cell>
          <cell r="Y292">
            <v>0</v>
          </cell>
          <cell r="Z292">
            <v>0</v>
          </cell>
          <cell r="AA292">
            <v>0</v>
          </cell>
          <cell r="AC292">
            <v>13752</v>
          </cell>
          <cell r="AD292">
            <v>0</v>
          </cell>
        </row>
        <row r="293">
          <cell r="S293">
            <v>0</v>
          </cell>
          <cell r="T293">
            <v>0</v>
          </cell>
          <cell r="U293">
            <v>0</v>
          </cell>
          <cell r="V293">
            <v>0</v>
          </cell>
          <cell r="W293">
            <v>0</v>
          </cell>
          <cell r="X293">
            <v>0</v>
          </cell>
          <cell r="Y293">
            <v>0</v>
          </cell>
          <cell r="Z293">
            <v>0</v>
          </cell>
          <cell r="AA293">
            <v>0</v>
          </cell>
          <cell r="AC293">
            <v>0</v>
          </cell>
          <cell r="AD293">
            <v>0</v>
          </cell>
        </row>
        <row r="294">
          <cell r="B294">
            <v>13753</v>
          </cell>
          <cell r="C294" t="str">
            <v>OPENING STOCKS OF WIP</v>
          </cell>
          <cell r="D294">
            <v>17610560</v>
          </cell>
          <cell r="E294">
            <v>0</v>
          </cell>
          <cell r="F294">
            <v>20062837.75</v>
          </cell>
          <cell r="G294">
            <v>0</v>
          </cell>
          <cell r="H294">
            <v>0</v>
          </cell>
          <cell r="I294">
            <v>0</v>
          </cell>
          <cell r="J294">
            <v>0</v>
          </cell>
          <cell r="K294">
            <v>0</v>
          </cell>
          <cell r="L294">
            <v>0</v>
          </cell>
          <cell r="M294">
            <v>0</v>
          </cell>
          <cell r="N294">
            <v>0</v>
          </cell>
          <cell r="O294">
            <v>0</v>
          </cell>
          <cell r="P294">
            <v>37673397.75</v>
          </cell>
          <cell r="Q294">
            <v>0</v>
          </cell>
          <cell r="S294">
            <v>17610560</v>
          </cell>
          <cell r="T294">
            <v>20062837.75</v>
          </cell>
          <cell r="U294">
            <v>17610560</v>
          </cell>
          <cell r="V294">
            <v>20062837.75</v>
          </cell>
          <cell r="W294">
            <v>0</v>
          </cell>
          <cell r="X294">
            <v>0</v>
          </cell>
          <cell r="Y294">
            <v>0</v>
          </cell>
          <cell r="Z294">
            <v>0</v>
          </cell>
          <cell r="AA294">
            <v>0</v>
          </cell>
          <cell r="AC294">
            <v>13753</v>
          </cell>
          <cell r="AD294">
            <v>0</v>
          </cell>
        </row>
        <row r="295">
          <cell r="S295">
            <v>0</v>
          </cell>
          <cell r="T295">
            <v>0</v>
          </cell>
          <cell r="U295">
            <v>0</v>
          </cell>
          <cell r="V295">
            <v>0</v>
          </cell>
          <cell r="W295">
            <v>0</v>
          </cell>
          <cell r="X295">
            <v>0</v>
          </cell>
          <cell r="Y295">
            <v>0</v>
          </cell>
          <cell r="Z295">
            <v>0</v>
          </cell>
          <cell r="AA295">
            <v>0</v>
          </cell>
          <cell r="AC295">
            <v>0</v>
          </cell>
          <cell r="AD295">
            <v>0</v>
          </cell>
        </row>
        <row r="296">
          <cell r="B296">
            <v>13756</v>
          </cell>
          <cell r="C296" t="str">
            <v>CLOSING STOCK OF FG (P&amp;L)</v>
          </cell>
          <cell r="D296">
            <v>8887516</v>
          </cell>
          <cell r="E296">
            <v>-24143068</v>
          </cell>
          <cell r="F296">
            <v>3340174.17</v>
          </cell>
          <cell r="G296">
            <v>-19719604</v>
          </cell>
          <cell r="H296">
            <v>0</v>
          </cell>
          <cell r="I296">
            <v>0</v>
          </cell>
          <cell r="J296">
            <v>0</v>
          </cell>
          <cell r="K296">
            <v>0</v>
          </cell>
          <cell r="L296">
            <v>0</v>
          </cell>
          <cell r="M296">
            <v>0</v>
          </cell>
          <cell r="N296">
            <v>0</v>
          </cell>
          <cell r="O296">
            <v>0</v>
          </cell>
          <cell r="P296">
            <v>12227690.17</v>
          </cell>
          <cell r="Q296">
            <v>-43862672</v>
          </cell>
          <cell r="S296">
            <v>-15255552</v>
          </cell>
          <cell r="T296">
            <v>-16379429.83</v>
          </cell>
          <cell r="U296">
            <v>-15255552</v>
          </cell>
          <cell r="V296">
            <v>-16379429.83</v>
          </cell>
          <cell r="W296">
            <v>0</v>
          </cell>
          <cell r="X296">
            <v>0</v>
          </cell>
          <cell r="Y296">
            <v>0</v>
          </cell>
          <cell r="Z296">
            <v>0</v>
          </cell>
          <cell r="AA296">
            <v>0</v>
          </cell>
          <cell r="AC296">
            <v>13756</v>
          </cell>
          <cell r="AD296">
            <v>0</v>
          </cell>
        </row>
        <row r="297">
          <cell r="S297">
            <v>0</v>
          </cell>
          <cell r="T297">
            <v>0</v>
          </cell>
          <cell r="U297">
            <v>0</v>
          </cell>
          <cell r="V297">
            <v>0</v>
          </cell>
          <cell r="W297">
            <v>0</v>
          </cell>
          <cell r="X297">
            <v>0</v>
          </cell>
          <cell r="Y297">
            <v>0</v>
          </cell>
          <cell r="Z297">
            <v>0</v>
          </cell>
          <cell r="AA297">
            <v>0</v>
          </cell>
          <cell r="AC297">
            <v>0</v>
          </cell>
          <cell r="AD297">
            <v>0</v>
          </cell>
        </row>
        <row r="298">
          <cell r="E298" t="str">
            <v>SDCT</v>
          </cell>
          <cell r="F298" t="str">
            <v>PCDT</v>
          </cell>
          <cell r="G298" t="str">
            <v>PCDC</v>
          </cell>
          <cell r="I298" t="str">
            <v>PCDN</v>
          </cell>
          <cell r="K298" t="str">
            <v>CORP</v>
          </cell>
          <cell r="M298" t="str">
            <v>OTHER</v>
          </cell>
          <cell r="O298" t="str">
            <v>TOTAL</v>
          </cell>
          <cell r="U298">
            <v>0</v>
          </cell>
          <cell r="V298">
            <v>0</v>
          </cell>
          <cell r="W298">
            <v>0</v>
          </cell>
          <cell r="X298">
            <v>0</v>
          </cell>
          <cell r="Y298">
            <v>0</v>
          </cell>
          <cell r="Z298">
            <v>0</v>
          </cell>
          <cell r="AA298">
            <v>0</v>
          </cell>
          <cell r="AC298">
            <v>0</v>
          </cell>
          <cell r="AD298">
            <v>0</v>
          </cell>
        </row>
        <row r="299">
          <cell r="B299" t="str">
            <v>GL CODE</v>
          </cell>
          <cell r="C299" t="str">
            <v>ACCOUNT HEAD</v>
          </cell>
          <cell r="S299">
            <v>0</v>
          </cell>
          <cell r="T299">
            <v>0</v>
          </cell>
          <cell r="U299" t="str">
            <v>SDCT</v>
          </cell>
          <cell r="V299" t="str">
            <v>PCDT</v>
          </cell>
          <cell r="Y299">
            <v>0</v>
          </cell>
          <cell r="Z299">
            <v>0</v>
          </cell>
          <cell r="AA299">
            <v>0</v>
          </cell>
          <cell r="AC299">
            <v>0</v>
          </cell>
          <cell r="AD299" t="e">
            <v>#VALUE!</v>
          </cell>
        </row>
        <row r="300">
          <cell r="S300">
            <v>0</v>
          </cell>
          <cell r="T300">
            <v>0</v>
          </cell>
          <cell r="U300">
            <v>0</v>
          </cell>
          <cell r="V300">
            <v>0</v>
          </cell>
          <cell r="W300">
            <v>0</v>
          </cell>
          <cell r="X300">
            <v>0</v>
          </cell>
          <cell r="Y300">
            <v>0</v>
          </cell>
          <cell r="Z300">
            <v>0</v>
          </cell>
          <cell r="AA300">
            <v>0</v>
          </cell>
          <cell r="AC300">
            <v>0</v>
          </cell>
          <cell r="AD300">
            <v>0</v>
          </cell>
        </row>
        <row r="301">
          <cell r="D301" t="str">
            <v>DR.</v>
          </cell>
          <cell r="E301" t="str">
            <v>CR.</v>
          </cell>
          <cell r="F301" t="str">
            <v>DR.</v>
          </cell>
          <cell r="G301" t="str">
            <v>CR.</v>
          </cell>
          <cell r="H301" t="str">
            <v>DR.</v>
          </cell>
          <cell r="I301" t="str">
            <v>CR.</v>
          </cell>
          <cell r="J301" t="str">
            <v>DR.</v>
          </cell>
          <cell r="K301" t="str">
            <v>CR.</v>
          </cell>
          <cell r="L301" t="str">
            <v>DR.</v>
          </cell>
          <cell r="M301" t="str">
            <v>CR.</v>
          </cell>
          <cell r="N301" t="str">
            <v>DR.</v>
          </cell>
          <cell r="O301" t="str">
            <v>CR.</v>
          </cell>
          <cell r="P301" t="str">
            <v>DR.</v>
          </cell>
          <cell r="Q301" t="str">
            <v>CR.</v>
          </cell>
          <cell r="U301">
            <v>0</v>
          </cell>
          <cell r="V301">
            <v>0</v>
          </cell>
          <cell r="W301">
            <v>0</v>
          </cell>
          <cell r="X301">
            <v>0</v>
          </cell>
          <cell r="Y301">
            <v>0</v>
          </cell>
          <cell r="Z301">
            <v>0</v>
          </cell>
          <cell r="AA301">
            <v>0</v>
          </cell>
          <cell r="AC301">
            <v>0</v>
          </cell>
          <cell r="AD301">
            <v>0</v>
          </cell>
        </row>
        <row r="302">
          <cell r="S302">
            <v>0</v>
          </cell>
          <cell r="T302">
            <v>0</v>
          </cell>
          <cell r="U302">
            <v>0</v>
          </cell>
          <cell r="V302">
            <v>0</v>
          </cell>
          <cell r="W302">
            <v>0</v>
          </cell>
          <cell r="X302">
            <v>0</v>
          </cell>
          <cell r="Y302">
            <v>0</v>
          </cell>
          <cell r="Z302">
            <v>0</v>
          </cell>
          <cell r="AA302">
            <v>0</v>
          </cell>
          <cell r="AC302">
            <v>0</v>
          </cell>
          <cell r="AD302">
            <v>0</v>
          </cell>
        </row>
        <row r="303">
          <cell r="S303">
            <v>0</v>
          </cell>
          <cell r="T303">
            <v>0</v>
          </cell>
          <cell r="U303">
            <v>0</v>
          </cell>
          <cell r="V303">
            <v>0</v>
          </cell>
          <cell r="W303">
            <v>0</v>
          </cell>
          <cell r="X303">
            <v>0</v>
          </cell>
          <cell r="Y303">
            <v>0</v>
          </cell>
          <cell r="Z303">
            <v>0</v>
          </cell>
          <cell r="AA303">
            <v>0</v>
          </cell>
          <cell r="AC303">
            <v>0</v>
          </cell>
          <cell r="AD303">
            <v>0</v>
          </cell>
        </row>
        <row r="304">
          <cell r="B304">
            <v>13757</v>
          </cell>
          <cell r="C304" t="str">
            <v>CLOSING STOCK OF WIP (P&amp;L)</v>
          </cell>
          <cell r="D304">
            <v>2582822</v>
          </cell>
          <cell r="E304">
            <v>-17225913</v>
          </cell>
          <cell r="F304">
            <v>1615848.19</v>
          </cell>
          <cell r="G304">
            <v>-24732963</v>
          </cell>
          <cell r="H304">
            <v>0</v>
          </cell>
          <cell r="I304">
            <v>0</v>
          </cell>
          <cell r="J304">
            <v>0</v>
          </cell>
          <cell r="K304">
            <v>0</v>
          </cell>
          <cell r="L304">
            <v>0</v>
          </cell>
          <cell r="M304">
            <v>0</v>
          </cell>
          <cell r="N304">
            <v>0</v>
          </cell>
          <cell r="O304">
            <v>0</v>
          </cell>
          <cell r="P304">
            <v>4198670.1900000004</v>
          </cell>
          <cell r="Q304">
            <v>-41958876</v>
          </cell>
          <cell r="S304">
            <v>-14643091</v>
          </cell>
          <cell r="T304">
            <v>-23117114.809999999</v>
          </cell>
          <cell r="U304">
            <v>-14643091</v>
          </cell>
          <cell r="V304">
            <v>-23117114.809999999</v>
          </cell>
          <cell r="W304">
            <v>0</v>
          </cell>
          <cell r="X304">
            <v>0</v>
          </cell>
          <cell r="Y304">
            <v>0</v>
          </cell>
          <cell r="Z304">
            <v>0</v>
          </cell>
          <cell r="AA304">
            <v>0</v>
          </cell>
          <cell r="AC304">
            <v>13757</v>
          </cell>
          <cell r="AD304">
            <v>0</v>
          </cell>
        </row>
        <row r="305">
          <cell r="S305">
            <v>0</v>
          </cell>
          <cell r="T305">
            <v>0</v>
          </cell>
          <cell r="U305">
            <v>0</v>
          </cell>
          <cell r="V305">
            <v>0</v>
          </cell>
          <cell r="W305">
            <v>0</v>
          </cell>
          <cell r="X305">
            <v>0</v>
          </cell>
          <cell r="Y305">
            <v>0</v>
          </cell>
          <cell r="Z305">
            <v>0</v>
          </cell>
          <cell r="AA305">
            <v>0</v>
          </cell>
          <cell r="AC305">
            <v>0</v>
          </cell>
          <cell r="AD305">
            <v>0</v>
          </cell>
        </row>
        <row r="306">
          <cell r="B306">
            <v>13773</v>
          </cell>
          <cell r="C306" t="str">
            <v>BANK CHARGES (7520-22)</v>
          </cell>
          <cell r="D306">
            <v>4764428.8</v>
          </cell>
          <cell r="E306">
            <v>-3531331.03</v>
          </cell>
          <cell r="F306">
            <v>9440735.3599999994</v>
          </cell>
          <cell r="G306">
            <v>-83664.160000000003</v>
          </cell>
          <cell r="H306">
            <v>43702.69</v>
          </cell>
          <cell r="I306">
            <v>-43702.69</v>
          </cell>
          <cell r="J306">
            <v>0</v>
          </cell>
          <cell r="K306">
            <v>0</v>
          </cell>
          <cell r="L306">
            <v>4059134.51</v>
          </cell>
          <cell r="M306">
            <v>-1664822.02</v>
          </cell>
          <cell r="N306">
            <v>0</v>
          </cell>
          <cell r="O306">
            <v>0</v>
          </cell>
          <cell r="P306">
            <v>14248866.85</v>
          </cell>
          <cell r="Q306">
            <v>-3658697.88</v>
          </cell>
          <cell r="S306">
            <v>3627410.2599999993</v>
          </cell>
          <cell r="T306">
            <v>9357071.1999999993</v>
          </cell>
          <cell r="U306">
            <v>1926378.77</v>
          </cell>
          <cell r="V306">
            <v>5246943.8</v>
          </cell>
          <cell r="W306">
            <v>1701031.4899999993</v>
          </cell>
          <cell r="X306">
            <v>4110127.3999999994</v>
          </cell>
          <cell r="Y306">
            <v>1701031.4899999993</v>
          </cell>
          <cell r="Z306">
            <v>4110127.3999999994</v>
          </cell>
          <cell r="AA306">
            <v>5811158.8899999987</v>
          </cell>
          <cell r="AC306">
            <v>13773</v>
          </cell>
          <cell r="AD306">
            <v>0</v>
          </cell>
        </row>
        <row r="307">
          <cell r="S307">
            <v>0</v>
          </cell>
          <cell r="T307">
            <v>0</v>
          </cell>
          <cell r="U307">
            <v>0</v>
          </cell>
          <cell r="V307">
            <v>0</v>
          </cell>
          <cell r="W307">
            <v>0</v>
          </cell>
          <cell r="X307">
            <v>0</v>
          </cell>
          <cell r="Y307">
            <v>0</v>
          </cell>
          <cell r="Z307">
            <v>0</v>
          </cell>
          <cell r="AA307">
            <v>0</v>
          </cell>
          <cell r="AC307">
            <v>0</v>
          </cell>
          <cell r="AD307">
            <v>0</v>
          </cell>
        </row>
        <row r="308">
          <cell r="B308">
            <v>13853</v>
          </cell>
          <cell r="C308" t="str">
            <v>INTEREST ON WORKING CAPITAL (7610,15,20,25)</v>
          </cell>
          <cell r="D308">
            <v>46175753.210000001</v>
          </cell>
          <cell r="E308">
            <v>-10236912.880000001</v>
          </cell>
          <cell r="F308">
            <v>0</v>
          </cell>
          <cell r="G308">
            <v>0</v>
          </cell>
          <cell r="H308">
            <v>0</v>
          </cell>
          <cell r="I308">
            <v>0</v>
          </cell>
          <cell r="J308">
            <v>0</v>
          </cell>
          <cell r="K308">
            <v>0</v>
          </cell>
          <cell r="L308">
            <v>110040.74</v>
          </cell>
          <cell r="M308">
            <v>-702649.61</v>
          </cell>
          <cell r="N308">
            <v>0</v>
          </cell>
          <cell r="O308">
            <v>0</v>
          </cell>
          <cell r="P308">
            <v>46175753.210000001</v>
          </cell>
          <cell r="Q308">
            <v>-10236912.880000001</v>
          </cell>
          <cell r="S308">
            <v>35346231.460000001</v>
          </cell>
          <cell r="T308">
            <v>0</v>
          </cell>
          <cell r="U308">
            <v>19657942.84</v>
          </cell>
          <cell r="V308">
            <v>0</v>
          </cell>
          <cell r="W308">
            <v>15688288.620000001</v>
          </cell>
          <cell r="X308">
            <v>0</v>
          </cell>
          <cell r="Y308">
            <v>15688288.620000001</v>
          </cell>
          <cell r="Z308">
            <v>0</v>
          </cell>
          <cell r="AA308">
            <v>15688288.620000001</v>
          </cell>
          <cell r="AC308">
            <v>13853</v>
          </cell>
          <cell r="AD308">
            <v>0</v>
          </cell>
        </row>
        <row r="309">
          <cell r="S309">
            <v>0</v>
          </cell>
          <cell r="T309">
            <v>0</v>
          </cell>
          <cell r="U309">
            <v>0</v>
          </cell>
          <cell r="V309">
            <v>0</v>
          </cell>
          <cell r="W309">
            <v>0</v>
          </cell>
          <cell r="X309">
            <v>0</v>
          </cell>
          <cell r="Y309">
            <v>0</v>
          </cell>
          <cell r="Z309">
            <v>0</v>
          </cell>
          <cell r="AA309">
            <v>0</v>
          </cell>
          <cell r="AC309">
            <v>0</v>
          </cell>
          <cell r="AD309">
            <v>0</v>
          </cell>
        </row>
        <row r="310">
          <cell r="B310">
            <v>13854</v>
          </cell>
          <cell r="C310" t="str">
            <v>INTEREST ON TERM LOAN (7630)</v>
          </cell>
          <cell r="D310">
            <v>16099584.6</v>
          </cell>
          <cell r="E310">
            <v>-870611.14</v>
          </cell>
          <cell r="F310">
            <v>0</v>
          </cell>
          <cell r="G310">
            <v>0</v>
          </cell>
          <cell r="H310">
            <v>0</v>
          </cell>
          <cell r="I310">
            <v>0</v>
          </cell>
          <cell r="J310">
            <v>0</v>
          </cell>
          <cell r="K310">
            <v>0</v>
          </cell>
          <cell r="L310">
            <v>295890.40999999997</v>
          </cell>
          <cell r="M310">
            <v>-21982</v>
          </cell>
          <cell r="N310">
            <v>0</v>
          </cell>
          <cell r="O310">
            <v>0</v>
          </cell>
          <cell r="P310">
            <v>16099584.6</v>
          </cell>
          <cell r="Q310">
            <v>-870611.14</v>
          </cell>
          <cell r="S310">
            <v>15502881.869999999</v>
          </cell>
          <cell r="T310">
            <v>0</v>
          </cell>
          <cell r="U310">
            <v>12098316.859999999</v>
          </cell>
          <cell r="V310">
            <v>0</v>
          </cell>
          <cell r="W310">
            <v>3404565.01</v>
          </cell>
          <cell r="X310">
            <v>0</v>
          </cell>
          <cell r="Y310">
            <v>3404565.01</v>
          </cell>
          <cell r="Z310">
            <v>0</v>
          </cell>
          <cell r="AA310">
            <v>3404565.01</v>
          </cell>
          <cell r="AC310">
            <v>13854</v>
          </cell>
          <cell r="AD310">
            <v>0</v>
          </cell>
        </row>
        <row r="311">
          <cell r="S311">
            <v>0</v>
          </cell>
          <cell r="T311">
            <v>0</v>
          </cell>
          <cell r="U311">
            <v>0</v>
          </cell>
          <cell r="V311">
            <v>0</v>
          </cell>
          <cell r="W311">
            <v>0</v>
          </cell>
          <cell r="X311">
            <v>0</v>
          </cell>
          <cell r="Y311">
            <v>0</v>
          </cell>
          <cell r="Z311">
            <v>0</v>
          </cell>
          <cell r="AA311">
            <v>0</v>
          </cell>
          <cell r="AC311">
            <v>0</v>
          </cell>
          <cell r="AD311">
            <v>0</v>
          </cell>
        </row>
        <row r="312">
          <cell r="B312">
            <v>13855</v>
          </cell>
          <cell r="C312" t="str">
            <v>OTHER INTEREST (7640)</v>
          </cell>
          <cell r="D312">
            <v>3073841.42</v>
          </cell>
          <cell r="E312">
            <v>-1365612.42</v>
          </cell>
          <cell r="F312">
            <v>494027</v>
          </cell>
          <cell r="G312">
            <v>-352717</v>
          </cell>
          <cell r="H312">
            <v>0</v>
          </cell>
          <cell r="I312">
            <v>0</v>
          </cell>
          <cell r="J312">
            <v>0</v>
          </cell>
          <cell r="K312">
            <v>0</v>
          </cell>
          <cell r="L312">
            <v>1272003.0900000001</v>
          </cell>
          <cell r="M312">
            <v>-47784</v>
          </cell>
          <cell r="N312">
            <v>0</v>
          </cell>
          <cell r="O312">
            <v>0</v>
          </cell>
          <cell r="P312">
            <v>3567868.42</v>
          </cell>
          <cell r="Q312">
            <v>-1718329.42</v>
          </cell>
          <cell r="S312">
            <v>2932448.09</v>
          </cell>
          <cell r="T312">
            <v>141310</v>
          </cell>
          <cell r="U312">
            <v>1938183.62</v>
          </cell>
          <cell r="V312">
            <v>-11144</v>
          </cell>
          <cell r="W312">
            <v>994264.46999999974</v>
          </cell>
          <cell r="X312">
            <v>152454</v>
          </cell>
          <cell r="Y312">
            <v>994264.46999999974</v>
          </cell>
          <cell r="Z312">
            <v>152454</v>
          </cell>
          <cell r="AA312">
            <v>1146718.4699999997</v>
          </cell>
          <cell r="AC312">
            <v>13855</v>
          </cell>
          <cell r="AD312">
            <v>0</v>
          </cell>
        </row>
        <row r="313">
          <cell r="S313">
            <v>0</v>
          </cell>
          <cell r="T313">
            <v>0</v>
          </cell>
          <cell r="U313">
            <v>0</v>
          </cell>
          <cell r="V313">
            <v>0</v>
          </cell>
          <cell r="W313">
            <v>0</v>
          </cell>
          <cell r="X313">
            <v>0</v>
          </cell>
          <cell r="Y313">
            <v>0</v>
          </cell>
          <cell r="Z313">
            <v>0</v>
          </cell>
          <cell r="AA313">
            <v>0</v>
          </cell>
          <cell r="AC313">
            <v>0</v>
          </cell>
          <cell r="AD313">
            <v>0</v>
          </cell>
        </row>
        <row r="314">
          <cell r="B314">
            <v>13858</v>
          </cell>
          <cell r="C314" t="str">
            <v>INTEREST ON CURRENT ACCOUNTS (7645)</v>
          </cell>
          <cell r="D314">
            <v>0</v>
          </cell>
          <cell r="E314">
            <v>-19995000</v>
          </cell>
          <cell r="F314">
            <v>13200000</v>
          </cell>
          <cell r="G314">
            <v>0</v>
          </cell>
          <cell r="H314">
            <v>0</v>
          </cell>
          <cell r="I314">
            <v>0</v>
          </cell>
          <cell r="J314">
            <v>0</v>
          </cell>
          <cell r="K314">
            <v>0</v>
          </cell>
          <cell r="L314">
            <v>0</v>
          </cell>
          <cell r="M314">
            <v>0</v>
          </cell>
          <cell r="N314">
            <v>0</v>
          </cell>
          <cell r="O314">
            <v>0</v>
          </cell>
          <cell r="P314">
            <v>13200000</v>
          </cell>
          <cell r="Q314">
            <v>-19995000</v>
          </cell>
          <cell r="S314">
            <v>-19995000</v>
          </cell>
          <cell r="T314">
            <v>13200000</v>
          </cell>
          <cell r="U314">
            <v>-19995000</v>
          </cell>
          <cell r="V314">
            <v>13200000</v>
          </cell>
          <cell r="W314">
            <v>0</v>
          </cell>
          <cell r="X314">
            <v>0</v>
          </cell>
          <cell r="Y314">
            <v>0</v>
          </cell>
          <cell r="Z314">
            <v>0</v>
          </cell>
          <cell r="AA314">
            <v>0</v>
          </cell>
          <cell r="AC314">
            <v>13858</v>
          </cell>
          <cell r="AD314">
            <v>0</v>
          </cell>
        </row>
        <row r="315">
          <cell r="S315">
            <v>0</v>
          </cell>
          <cell r="T315">
            <v>0</v>
          </cell>
          <cell r="U315">
            <v>0</v>
          </cell>
          <cell r="V315">
            <v>0</v>
          </cell>
          <cell r="W315">
            <v>0</v>
          </cell>
          <cell r="X315">
            <v>0</v>
          </cell>
          <cell r="Y315">
            <v>0</v>
          </cell>
          <cell r="Z315">
            <v>0</v>
          </cell>
          <cell r="AA315">
            <v>0</v>
          </cell>
          <cell r="AC315">
            <v>0</v>
          </cell>
          <cell r="AD315">
            <v>0</v>
          </cell>
        </row>
        <row r="316">
          <cell r="B316">
            <v>13887</v>
          </cell>
          <cell r="C316" t="str">
            <v>DEPRECIATION - ENABLING ASSETS (7700)</v>
          </cell>
          <cell r="D316">
            <v>28400524</v>
          </cell>
          <cell r="E316">
            <v>0</v>
          </cell>
          <cell r="F316">
            <v>62662920</v>
          </cell>
          <cell r="G316">
            <v>-31331460</v>
          </cell>
          <cell r="H316">
            <v>0</v>
          </cell>
          <cell r="I316">
            <v>0</v>
          </cell>
          <cell r="J316">
            <v>0</v>
          </cell>
          <cell r="K316">
            <v>0</v>
          </cell>
          <cell r="L316">
            <v>0</v>
          </cell>
          <cell r="M316">
            <v>0</v>
          </cell>
          <cell r="N316">
            <v>0</v>
          </cell>
          <cell r="O316">
            <v>0</v>
          </cell>
          <cell r="P316">
            <v>91063444</v>
          </cell>
          <cell r="Q316">
            <v>-31331460</v>
          </cell>
          <cell r="S316">
            <v>28400524</v>
          </cell>
          <cell r="T316">
            <v>31331460</v>
          </cell>
          <cell r="U316">
            <v>28400524</v>
          </cell>
          <cell r="V316">
            <v>31331460</v>
          </cell>
          <cell r="W316">
            <v>0</v>
          </cell>
          <cell r="X316">
            <v>0</v>
          </cell>
          <cell r="Y316">
            <v>0</v>
          </cell>
          <cell r="Z316">
            <v>0</v>
          </cell>
          <cell r="AA316">
            <v>0</v>
          </cell>
          <cell r="AC316">
            <v>13887</v>
          </cell>
          <cell r="AD316">
            <v>0</v>
          </cell>
        </row>
        <row r="317">
          <cell r="S317">
            <v>0</v>
          </cell>
          <cell r="T317">
            <v>0</v>
          </cell>
          <cell r="U317">
            <v>0</v>
          </cell>
          <cell r="V317">
            <v>0</v>
          </cell>
          <cell r="W317">
            <v>0</v>
          </cell>
          <cell r="X317">
            <v>0</v>
          </cell>
          <cell r="Y317">
            <v>0</v>
          </cell>
          <cell r="Z317">
            <v>0</v>
          </cell>
          <cell r="AA317">
            <v>0</v>
          </cell>
          <cell r="AC317">
            <v>0</v>
          </cell>
          <cell r="AD317">
            <v>0</v>
          </cell>
        </row>
        <row r="318">
          <cell r="B318">
            <v>13920</v>
          </cell>
          <cell r="C318" t="str">
            <v>INCOME TAX (8910)</v>
          </cell>
          <cell r="D318">
            <v>0</v>
          </cell>
          <cell r="E318">
            <v>0</v>
          </cell>
          <cell r="F318">
            <v>0</v>
          </cell>
          <cell r="G318">
            <v>0</v>
          </cell>
          <cell r="H318">
            <v>0</v>
          </cell>
          <cell r="I318">
            <v>0</v>
          </cell>
          <cell r="J318">
            <v>0</v>
          </cell>
          <cell r="K318">
            <v>0</v>
          </cell>
          <cell r="L318">
            <v>49900278</v>
          </cell>
          <cell r="M318">
            <v>-278</v>
          </cell>
          <cell r="N318">
            <v>0</v>
          </cell>
          <cell r="O318">
            <v>0</v>
          </cell>
          <cell r="P318">
            <v>0</v>
          </cell>
          <cell r="Q318">
            <v>0</v>
          </cell>
          <cell r="S318">
            <v>49900000</v>
          </cell>
          <cell r="T318">
            <v>0</v>
          </cell>
          <cell r="U318">
            <v>24700000</v>
          </cell>
          <cell r="V318">
            <v>0</v>
          </cell>
          <cell r="W318">
            <v>25200000</v>
          </cell>
          <cell r="X318">
            <v>0</v>
          </cell>
          <cell r="Y318">
            <v>25200000</v>
          </cell>
          <cell r="Z318">
            <v>0</v>
          </cell>
          <cell r="AA318">
            <v>25200000</v>
          </cell>
          <cell r="AC318">
            <v>13920</v>
          </cell>
          <cell r="AD318">
            <v>0</v>
          </cell>
        </row>
        <row r="319">
          <cell r="S319">
            <v>0</v>
          </cell>
          <cell r="T319">
            <v>0</v>
          </cell>
          <cell r="U319">
            <v>0</v>
          </cell>
          <cell r="V319">
            <v>0</v>
          </cell>
          <cell r="W319">
            <v>0</v>
          </cell>
          <cell r="X319">
            <v>0</v>
          </cell>
          <cell r="Y319">
            <v>0</v>
          </cell>
          <cell r="Z319">
            <v>0</v>
          </cell>
          <cell r="AA319">
            <v>0</v>
          </cell>
          <cell r="AC319">
            <v>0</v>
          </cell>
          <cell r="AD319">
            <v>0</v>
          </cell>
        </row>
        <row r="320">
          <cell r="B320">
            <v>13929</v>
          </cell>
          <cell r="C320" t="str">
            <v>DEFFERED TAX (P&amp;L) (8912)</v>
          </cell>
          <cell r="D320">
            <v>0</v>
          </cell>
          <cell r="E320">
            <v>0</v>
          </cell>
          <cell r="F320">
            <v>0</v>
          </cell>
          <cell r="G320">
            <v>0</v>
          </cell>
          <cell r="H320">
            <v>0</v>
          </cell>
          <cell r="I320">
            <v>0</v>
          </cell>
          <cell r="J320">
            <v>0</v>
          </cell>
          <cell r="K320">
            <v>0</v>
          </cell>
          <cell r="L320">
            <v>6735966</v>
          </cell>
          <cell r="M320">
            <v>-6735967</v>
          </cell>
          <cell r="N320">
            <v>0</v>
          </cell>
          <cell r="O320">
            <v>0</v>
          </cell>
          <cell r="P320">
            <v>0</v>
          </cell>
          <cell r="Q320">
            <v>0</v>
          </cell>
          <cell r="S320">
            <v>-1</v>
          </cell>
          <cell r="T320">
            <v>0</v>
          </cell>
          <cell r="U320">
            <v>-6735967</v>
          </cell>
          <cell r="V320">
            <v>0</v>
          </cell>
          <cell r="W320">
            <v>6735966</v>
          </cell>
          <cell r="X320">
            <v>0</v>
          </cell>
          <cell r="Y320">
            <v>6735966</v>
          </cell>
          <cell r="Z320">
            <v>0</v>
          </cell>
          <cell r="AA320">
            <v>6735966</v>
          </cell>
          <cell r="AC320">
            <v>13929</v>
          </cell>
          <cell r="AD320">
            <v>0</v>
          </cell>
        </row>
        <row r="321">
          <cell r="S321">
            <v>0</v>
          </cell>
          <cell r="T321">
            <v>0</v>
          </cell>
          <cell r="U321">
            <v>0</v>
          </cell>
          <cell r="V321">
            <v>0</v>
          </cell>
          <cell r="W321">
            <v>0</v>
          </cell>
          <cell r="X321">
            <v>0</v>
          </cell>
          <cell r="Y321">
            <v>0</v>
          </cell>
          <cell r="Z321">
            <v>0</v>
          </cell>
          <cell r="AA321">
            <v>0</v>
          </cell>
          <cell r="AC321">
            <v>0</v>
          </cell>
          <cell r="AD321">
            <v>0</v>
          </cell>
        </row>
        <row r="322">
          <cell r="B322">
            <v>13962</v>
          </cell>
          <cell r="C322" t="str">
            <v>PROPOSED DIVIDEND (8000)</v>
          </cell>
          <cell r="D322">
            <v>0</v>
          </cell>
          <cell r="E322">
            <v>0</v>
          </cell>
          <cell r="F322">
            <v>0</v>
          </cell>
          <cell r="G322">
            <v>0</v>
          </cell>
          <cell r="H322">
            <v>0</v>
          </cell>
          <cell r="I322">
            <v>0</v>
          </cell>
          <cell r="J322">
            <v>0</v>
          </cell>
          <cell r="K322">
            <v>0</v>
          </cell>
          <cell r="L322">
            <v>69224904</v>
          </cell>
          <cell r="M322">
            <v>-21968862</v>
          </cell>
          <cell r="N322">
            <v>0</v>
          </cell>
          <cell r="O322">
            <v>0</v>
          </cell>
          <cell r="P322">
            <v>0</v>
          </cell>
          <cell r="Q322">
            <v>0</v>
          </cell>
          <cell r="S322">
            <v>47256042</v>
          </cell>
          <cell r="T322">
            <v>0</v>
          </cell>
          <cell r="U322">
            <v>0</v>
          </cell>
          <cell r="V322">
            <v>0</v>
          </cell>
          <cell r="W322">
            <v>47256042</v>
          </cell>
          <cell r="X322">
            <v>0</v>
          </cell>
          <cell r="Y322">
            <v>47256042</v>
          </cell>
          <cell r="Z322">
            <v>0</v>
          </cell>
          <cell r="AA322">
            <v>47256042</v>
          </cell>
          <cell r="AC322">
            <v>13962</v>
          </cell>
          <cell r="AD322">
            <v>0</v>
          </cell>
        </row>
        <row r="323">
          <cell r="S323">
            <v>0</v>
          </cell>
          <cell r="T323">
            <v>0</v>
          </cell>
          <cell r="U323">
            <v>0</v>
          </cell>
          <cell r="V323">
            <v>0</v>
          </cell>
          <cell r="W323">
            <v>0</v>
          </cell>
          <cell r="X323">
            <v>0</v>
          </cell>
          <cell r="Y323">
            <v>0</v>
          </cell>
          <cell r="Z323">
            <v>0</v>
          </cell>
          <cell r="AA323">
            <v>0</v>
          </cell>
          <cell r="AC323">
            <v>0</v>
          </cell>
          <cell r="AD323">
            <v>0</v>
          </cell>
        </row>
        <row r="324">
          <cell r="B324">
            <v>13963</v>
          </cell>
          <cell r="C324" t="str">
            <v>DISTRIBUTION TAX (8050)</v>
          </cell>
          <cell r="D324">
            <v>0</v>
          </cell>
          <cell r="E324">
            <v>0</v>
          </cell>
          <cell r="F324">
            <v>0</v>
          </cell>
          <cell r="G324">
            <v>0</v>
          </cell>
          <cell r="H324">
            <v>0</v>
          </cell>
          <cell r="I324">
            <v>0</v>
          </cell>
          <cell r="J324">
            <v>0</v>
          </cell>
          <cell r="K324">
            <v>0</v>
          </cell>
          <cell r="L324">
            <v>10732556</v>
          </cell>
          <cell r="M324">
            <v>-3066445</v>
          </cell>
          <cell r="N324">
            <v>0</v>
          </cell>
          <cell r="O324">
            <v>0</v>
          </cell>
          <cell r="P324">
            <v>0</v>
          </cell>
          <cell r="Q324">
            <v>0</v>
          </cell>
          <cell r="S324">
            <v>7666111</v>
          </cell>
          <cell r="T324">
            <v>0</v>
          </cell>
          <cell r="U324">
            <v>0</v>
          </cell>
          <cell r="V324">
            <v>0</v>
          </cell>
          <cell r="W324">
            <v>7666111</v>
          </cell>
          <cell r="X324">
            <v>0</v>
          </cell>
          <cell r="Y324">
            <v>7666111</v>
          </cell>
          <cell r="Z324">
            <v>0</v>
          </cell>
          <cell r="AA324">
            <v>7666111</v>
          </cell>
          <cell r="AC324">
            <v>13963</v>
          </cell>
          <cell r="AD324">
            <v>0</v>
          </cell>
        </row>
        <row r="325">
          <cell r="S325">
            <v>0</v>
          </cell>
          <cell r="T325">
            <v>0</v>
          </cell>
          <cell r="U325">
            <v>0</v>
          </cell>
          <cell r="V325">
            <v>0</v>
          </cell>
          <cell r="W325">
            <v>0</v>
          </cell>
          <cell r="X325">
            <v>0</v>
          </cell>
          <cell r="AA325">
            <v>0</v>
          </cell>
          <cell r="AC325">
            <v>0</v>
          </cell>
          <cell r="AD325">
            <v>0</v>
          </cell>
        </row>
        <row r="326">
          <cell r="B326">
            <v>14005</v>
          </cell>
          <cell r="C326" t="str">
            <v>SHARE CAPITAL (1000)</v>
          </cell>
          <cell r="D326">
            <v>0</v>
          </cell>
          <cell r="E326">
            <v>0</v>
          </cell>
          <cell r="F326">
            <v>0</v>
          </cell>
          <cell r="G326">
            <v>0</v>
          </cell>
          <cell r="H326">
            <v>0</v>
          </cell>
          <cell r="I326">
            <v>0</v>
          </cell>
          <cell r="J326">
            <v>0</v>
          </cell>
          <cell r="K326">
            <v>0</v>
          </cell>
          <cell r="L326">
            <v>0</v>
          </cell>
          <cell r="M326">
            <v>-157520140</v>
          </cell>
          <cell r="N326">
            <v>0</v>
          </cell>
          <cell r="O326">
            <v>0</v>
          </cell>
          <cell r="P326">
            <v>0</v>
          </cell>
          <cell r="Q326">
            <v>0</v>
          </cell>
          <cell r="S326">
            <v>-157520140</v>
          </cell>
          <cell r="T326">
            <v>0</v>
          </cell>
          <cell r="U326">
            <v>-157520140</v>
          </cell>
          <cell r="V326">
            <v>0</v>
          </cell>
          <cell r="W326">
            <v>0</v>
          </cell>
          <cell r="X326">
            <v>0</v>
          </cell>
          <cell r="Y326">
            <v>-157520140</v>
          </cell>
          <cell r="Z326">
            <v>0</v>
          </cell>
          <cell r="AA326">
            <v>-157520140</v>
          </cell>
          <cell r="AC326">
            <v>14005</v>
          </cell>
          <cell r="AD326">
            <v>0</v>
          </cell>
        </row>
        <row r="327">
          <cell r="S327">
            <v>0</v>
          </cell>
          <cell r="T327">
            <v>0</v>
          </cell>
          <cell r="U327">
            <v>0</v>
          </cell>
          <cell r="V327">
            <v>0</v>
          </cell>
          <cell r="W327">
            <v>0</v>
          </cell>
          <cell r="X327">
            <v>0</v>
          </cell>
          <cell r="Y327">
            <v>0</v>
          </cell>
          <cell r="Z327">
            <v>0</v>
          </cell>
          <cell r="AA327">
            <v>0</v>
          </cell>
          <cell r="AC327">
            <v>0</v>
          </cell>
          <cell r="AD327">
            <v>0</v>
          </cell>
        </row>
        <row r="328">
          <cell r="B328">
            <v>14006</v>
          </cell>
          <cell r="C328" t="str">
            <v>FOREFITED SHARES (1004)</v>
          </cell>
          <cell r="D328">
            <v>0</v>
          </cell>
          <cell r="E328">
            <v>0</v>
          </cell>
          <cell r="F328">
            <v>0</v>
          </cell>
          <cell r="G328">
            <v>0</v>
          </cell>
          <cell r="H328">
            <v>0</v>
          </cell>
          <cell r="I328">
            <v>0</v>
          </cell>
          <cell r="J328">
            <v>0</v>
          </cell>
          <cell r="K328">
            <v>0</v>
          </cell>
          <cell r="L328">
            <v>0</v>
          </cell>
          <cell r="M328">
            <v>-114000</v>
          </cell>
          <cell r="N328">
            <v>0</v>
          </cell>
          <cell r="O328">
            <v>0</v>
          </cell>
          <cell r="P328">
            <v>0</v>
          </cell>
          <cell r="Q328">
            <v>0</v>
          </cell>
          <cell r="S328">
            <v>-114000</v>
          </cell>
          <cell r="T328">
            <v>0</v>
          </cell>
          <cell r="U328">
            <v>-114000</v>
          </cell>
          <cell r="V328">
            <v>0</v>
          </cell>
          <cell r="W328">
            <v>0</v>
          </cell>
          <cell r="X328">
            <v>0</v>
          </cell>
          <cell r="Y328">
            <v>-114000</v>
          </cell>
          <cell r="Z328">
            <v>0</v>
          </cell>
          <cell r="AA328">
            <v>-114000</v>
          </cell>
          <cell r="AC328">
            <v>14006</v>
          </cell>
          <cell r="AD328">
            <v>0</v>
          </cell>
        </row>
        <row r="329">
          <cell r="S329">
            <v>0</v>
          </cell>
          <cell r="T329">
            <v>0</v>
          </cell>
          <cell r="U329">
            <v>0</v>
          </cell>
          <cell r="V329">
            <v>0</v>
          </cell>
          <cell r="W329">
            <v>0</v>
          </cell>
          <cell r="X329">
            <v>0</v>
          </cell>
          <cell r="Y329">
            <v>0</v>
          </cell>
          <cell r="Z329">
            <v>0</v>
          </cell>
          <cell r="AA329">
            <v>0</v>
          </cell>
          <cell r="AC329">
            <v>0</v>
          </cell>
          <cell r="AD329">
            <v>0</v>
          </cell>
        </row>
        <row r="330">
          <cell r="B330">
            <v>14015</v>
          </cell>
          <cell r="C330" t="str">
            <v>CAPITAL RESERVE (1015)</v>
          </cell>
          <cell r="D330">
            <v>0</v>
          </cell>
          <cell r="E330">
            <v>0</v>
          </cell>
          <cell r="F330">
            <v>0</v>
          </cell>
          <cell r="G330">
            <v>0</v>
          </cell>
          <cell r="H330">
            <v>0</v>
          </cell>
          <cell r="I330">
            <v>0</v>
          </cell>
          <cell r="J330">
            <v>0</v>
          </cell>
          <cell r="K330">
            <v>0</v>
          </cell>
          <cell r="L330">
            <v>0</v>
          </cell>
          <cell r="M330">
            <v>-720125</v>
          </cell>
          <cell r="N330">
            <v>0</v>
          </cell>
          <cell r="O330">
            <v>0</v>
          </cell>
          <cell r="P330">
            <v>0</v>
          </cell>
          <cell r="Q330">
            <v>0</v>
          </cell>
          <cell r="S330">
            <v>-720125</v>
          </cell>
          <cell r="T330">
            <v>0</v>
          </cell>
          <cell r="U330">
            <v>-720125</v>
          </cell>
          <cell r="V330">
            <v>0</v>
          </cell>
          <cell r="W330">
            <v>0</v>
          </cell>
          <cell r="X330">
            <v>0</v>
          </cell>
          <cell r="Y330">
            <v>-720125</v>
          </cell>
          <cell r="Z330">
            <v>0</v>
          </cell>
          <cell r="AA330">
            <v>-720125</v>
          </cell>
          <cell r="AC330">
            <v>14015</v>
          </cell>
          <cell r="AD330">
            <v>0</v>
          </cell>
        </row>
        <row r="331">
          <cell r="S331">
            <v>0</v>
          </cell>
          <cell r="T331">
            <v>0</v>
          </cell>
          <cell r="U331">
            <v>0</v>
          </cell>
          <cell r="V331">
            <v>0</v>
          </cell>
          <cell r="W331">
            <v>0</v>
          </cell>
          <cell r="X331">
            <v>0</v>
          </cell>
          <cell r="Y331">
            <v>0</v>
          </cell>
          <cell r="Z331">
            <v>0</v>
          </cell>
          <cell r="AA331">
            <v>0</v>
          </cell>
          <cell r="AC331">
            <v>0</v>
          </cell>
          <cell r="AD331">
            <v>0</v>
          </cell>
        </row>
        <row r="332">
          <cell r="B332">
            <v>14018</v>
          </cell>
          <cell r="C332" t="str">
            <v>SHARE PREMIUM (1030)</v>
          </cell>
          <cell r="D332">
            <v>0</v>
          </cell>
          <cell r="E332">
            <v>0</v>
          </cell>
          <cell r="F332">
            <v>0</v>
          </cell>
          <cell r="G332">
            <v>0</v>
          </cell>
          <cell r="H332">
            <v>0</v>
          </cell>
          <cell r="I332">
            <v>0</v>
          </cell>
          <cell r="J332">
            <v>0</v>
          </cell>
          <cell r="K332">
            <v>0</v>
          </cell>
          <cell r="L332">
            <v>0</v>
          </cell>
          <cell r="M332">
            <v>-123591974.56</v>
          </cell>
          <cell r="N332">
            <v>0</v>
          </cell>
          <cell r="O332">
            <v>0</v>
          </cell>
          <cell r="P332">
            <v>0</v>
          </cell>
          <cell r="Q332">
            <v>0</v>
          </cell>
          <cell r="S332">
            <v>-123591974.56</v>
          </cell>
          <cell r="T332">
            <v>0</v>
          </cell>
          <cell r="U332">
            <v>-123591974.56</v>
          </cell>
          <cell r="V332">
            <v>0</v>
          </cell>
          <cell r="W332">
            <v>0</v>
          </cell>
          <cell r="X332">
            <v>0</v>
          </cell>
          <cell r="Y332">
            <v>-123591974.56</v>
          </cell>
          <cell r="Z332">
            <v>0</v>
          </cell>
          <cell r="AA332">
            <v>-123591974.56</v>
          </cell>
          <cell r="AC332">
            <v>14018</v>
          </cell>
          <cell r="AD332">
            <v>0</v>
          </cell>
        </row>
        <row r="333">
          <cell r="S333">
            <v>0</v>
          </cell>
          <cell r="T333">
            <v>0</v>
          </cell>
          <cell r="U333">
            <v>0</v>
          </cell>
          <cell r="V333">
            <v>0</v>
          </cell>
          <cell r="W333">
            <v>0</v>
          </cell>
          <cell r="X333">
            <v>0</v>
          </cell>
          <cell r="Y333">
            <v>0</v>
          </cell>
          <cell r="Z333">
            <v>0</v>
          </cell>
          <cell r="AA333">
            <v>0</v>
          </cell>
          <cell r="AC333">
            <v>0</v>
          </cell>
          <cell r="AD333">
            <v>0</v>
          </cell>
        </row>
        <row r="334">
          <cell r="B334">
            <v>14019</v>
          </cell>
          <cell r="C334" t="str">
            <v>FOREFITED SHARE PREMIUM ACCOUNT (1032)</v>
          </cell>
          <cell r="D334">
            <v>0</v>
          </cell>
          <cell r="E334">
            <v>0</v>
          </cell>
          <cell r="F334">
            <v>0</v>
          </cell>
          <cell r="G334">
            <v>0</v>
          </cell>
          <cell r="H334">
            <v>0</v>
          </cell>
          <cell r="I334">
            <v>0</v>
          </cell>
          <cell r="J334">
            <v>0</v>
          </cell>
          <cell r="K334">
            <v>0</v>
          </cell>
          <cell r="L334">
            <v>0</v>
          </cell>
          <cell r="M334">
            <v>-171000</v>
          </cell>
          <cell r="N334">
            <v>0</v>
          </cell>
          <cell r="O334">
            <v>0</v>
          </cell>
          <cell r="P334">
            <v>0</v>
          </cell>
          <cell r="Q334">
            <v>0</v>
          </cell>
          <cell r="S334">
            <v>-171000</v>
          </cell>
          <cell r="T334">
            <v>0</v>
          </cell>
          <cell r="U334">
            <v>-171000</v>
          </cell>
          <cell r="V334">
            <v>0</v>
          </cell>
          <cell r="W334">
            <v>0</v>
          </cell>
          <cell r="X334">
            <v>0</v>
          </cell>
          <cell r="Y334">
            <v>-171000</v>
          </cell>
          <cell r="Z334">
            <v>0</v>
          </cell>
          <cell r="AA334">
            <v>-171000</v>
          </cell>
          <cell r="AC334">
            <v>14019</v>
          </cell>
          <cell r="AD334">
            <v>0</v>
          </cell>
        </row>
        <row r="335">
          <cell r="S335">
            <v>0</v>
          </cell>
          <cell r="T335">
            <v>0</v>
          </cell>
          <cell r="U335">
            <v>0</v>
          </cell>
          <cell r="V335">
            <v>0</v>
          </cell>
          <cell r="W335">
            <v>0</v>
          </cell>
          <cell r="X335">
            <v>0</v>
          </cell>
          <cell r="Y335">
            <v>0</v>
          </cell>
          <cell r="Z335">
            <v>0</v>
          </cell>
          <cell r="AA335">
            <v>0</v>
          </cell>
          <cell r="AC335">
            <v>0</v>
          </cell>
          <cell r="AD335">
            <v>0</v>
          </cell>
        </row>
        <row r="336">
          <cell r="B336">
            <v>14026</v>
          </cell>
          <cell r="C336" t="str">
            <v>GENERAL RESERVE (1010)</v>
          </cell>
          <cell r="D336">
            <v>0</v>
          </cell>
          <cell r="E336">
            <v>0</v>
          </cell>
          <cell r="F336">
            <v>0</v>
          </cell>
          <cell r="G336">
            <v>0</v>
          </cell>
          <cell r="H336">
            <v>0</v>
          </cell>
          <cell r="I336">
            <v>0</v>
          </cell>
          <cell r="J336">
            <v>0</v>
          </cell>
          <cell r="K336">
            <v>0</v>
          </cell>
          <cell r="L336">
            <v>0</v>
          </cell>
          <cell r="M336">
            <v>-27390480.300000001</v>
          </cell>
          <cell r="N336">
            <v>0</v>
          </cell>
          <cell r="O336">
            <v>0</v>
          </cell>
          <cell r="P336">
            <v>0</v>
          </cell>
          <cell r="Q336">
            <v>0</v>
          </cell>
          <cell r="S336">
            <v>-27390480.300000001</v>
          </cell>
          <cell r="T336">
            <v>0</v>
          </cell>
          <cell r="U336">
            <v>-20863582.300000001</v>
          </cell>
          <cell r="V336">
            <v>0</v>
          </cell>
          <cell r="W336">
            <v>-6526898</v>
          </cell>
          <cell r="X336">
            <v>0</v>
          </cell>
          <cell r="Y336">
            <v>-27390480.300000001</v>
          </cell>
          <cell r="Z336">
            <v>0</v>
          </cell>
          <cell r="AA336">
            <v>-27390480.300000001</v>
          </cell>
          <cell r="AC336">
            <v>14026</v>
          </cell>
          <cell r="AD336">
            <v>0</v>
          </cell>
        </row>
        <row r="337">
          <cell r="S337">
            <v>0</v>
          </cell>
          <cell r="T337">
            <v>0</v>
          </cell>
          <cell r="U337">
            <v>0</v>
          </cell>
          <cell r="V337">
            <v>0</v>
          </cell>
          <cell r="W337">
            <v>0</v>
          </cell>
          <cell r="X337">
            <v>0</v>
          </cell>
          <cell r="Y337">
            <v>0</v>
          </cell>
          <cell r="Z337">
            <v>0</v>
          </cell>
          <cell r="AA337">
            <v>0</v>
          </cell>
          <cell r="AC337">
            <v>0</v>
          </cell>
          <cell r="AD337">
            <v>0</v>
          </cell>
        </row>
        <row r="338">
          <cell r="B338">
            <v>14033</v>
          </cell>
          <cell r="C338" t="str">
            <v>PROFIT AND LOSS ACCOUNT (1050)</v>
          </cell>
          <cell r="D338">
            <v>132041.79</v>
          </cell>
          <cell r="E338">
            <v>-264083.58</v>
          </cell>
          <cell r="F338">
            <v>0</v>
          </cell>
          <cell r="G338">
            <v>-191686773</v>
          </cell>
          <cell r="H338">
            <v>0</v>
          </cell>
          <cell r="I338">
            <v>0</v>
          </cell>
          <cell r="J338">
            <v>0</v>
          </cell>
          <cell r="K338">
            <v>0</v>
          </cell>
          <cell r="L338">
            <v>266237972</v>
          </cell>
          <cell r="M338">
            <v>-480562126.20999998</v>
          </cell>
          <cell r="N338">
            <v>0</v>
          </cell>
          <cell r="O338">
            <v>0</v>
          </cell>
          <cell r="P338">
            <v>132041.79</v>
          </cell>
          <cell r="Q338">
            <v>-191950856.58000001</v>
          </cell>
          <cell r="S338">
            <v>-214456195.99999997</v>
          </cell>
          <cell r="T338">
            <v>-191686773</v>
          </cell>
          <cell r="U338">
            <v>-220983094</v>
          </cell>
          <cell r="V338">
            <v>-191686773</v>
          </cell>
          <cell r="W338">
            <v>6526898.0000000298</v>
          </cell>
          <cell r="X338">
            <v>0</v>
          </cell>
          <cell r="Y338">
            <v>-267835009.38999999</v>
          </cell>
          <cell r="Z338">
            <v>-214196992.30000001</v>
          </cell>
          <cell r="AA338">
            <v>-482032001.69</v>
          </cell>
          <cell r="AC338">
            <v>14033</v>
          </cell>
          <cell r="AD338">
            <v>0</v>
          </cell>
        </row>
        <row r="339">
          <cell r="S339">
            <v>0</v>
          </cell>
          <cell r="T339">
            <v>0</v>
          </cell>
          <cell r="U339">
            <v>0</v>
          </cell>
          <cell r="V339">
            <v>0</v>
          </cell>
          <cell r="W339">
            <v>0</v>
          </cell>
          <cell r="X339">
            <v>0</v>
          </cell>
          <cell r="Y339">
            <v>0</v>
          </cell>
          <cell r="Z339">
            <v>0</v>
          </cell>
          <cell r="AA339">
            <v>0</v>
          </cell>
          <cell r="AC339">
            <v>0</v>
          </cell>
          <cell r="AD339">
            <v>0</v>
          </cell>
        </row>
        <row r="340">
          <cell r="B340">
            <v>14034</v>
          </cell>
          <cell r="D340">
            <v>517173903.74000001</v>
          </cell>
          <cell r="E340">
            <v>-517173903.74000001</v>
          </cell>
          <cell r="F340">
            <v>581486042.38</v>
          </cell>
          <cell r="G340">
            <v>-581486042.38</v>
          </cell>
          <cell r="H340">
            <v>139100</v>
          </cell>
          <cell r="I340">
            <v>-139100</v>
          </cell>
          <cell r="J340">
            <v>7732076</v>
          </cell>
          <cell r="K340">
            <v>-7732076</v>
          </cell>
          <cell r="L340">
            <v>112464103.25</v>
          </cell>
          <cell r="M340">
            <v>-111705183</v>
          </cell>
          <cell r="N340">
            <v>0</v>
          </cell>
          <cell r="O340">
            <v>-758920.25</v>
          </cell>
          <cell r="P340">
            <v>1106531122.1199999</v>
          </cell>
          <cell r="Q340">
            <v>-1107290042.3699999</v>
          </cell>
          <cell r="S340">
            <v>0</v>
          </cell>
          <cell r="T340">
            <v>0</v>
          </cell>
          <cell r="U340">
            <v>0</v>
          </cell>
          <cell r="V340">
            <v>0</v>
          </cell>
          <cell r="W340">
            <v>0</v>
          </cell>
          <cell r="X340">
            <v>0</v>
          </cell>
          <cell r="Y340">
            <v>0</v>
          </cell>
          <cell r="Z340">
            <v>0</v>
          </cell>
          <cell r="AA340">
            <v>0</v>
          </cell>
          <cell r="AC340">
            <v>14034</v>
          </cell>
          <cell r="AD340">
            <v>0</v>
          </cell>
        </row>
        <row r="341">
          <cell r="S341">
            <v>0</v>
          </cell>
          <cell r="T341">
            <v>0</v>
          </cell>
          <cell r="U341">
            <v>0</v>
          </cell>
          <cell r="V341">
            <v>0</v>
          </cell>
          <cell r="W341">
            <v>0</v>
          </cell>
          <cell r="X341">
            <v>0</v>
          </cell>
          <cell r="Y341">
            <v>0</v>
          </cell>
          <cell r="Z341">
            <v>0</v>
          </cell>
          <cell r="AA341">
            <v>0</v>
          </cell>
          <cell r="AC341">
            <v>0</v>
          </cell>
          <cell r="AD341">
            <v>0</v>
          </cell>
        </row>
        <row r="342">
          <cell r="B342">
            <v>14070</v>
          </cell>
          <cell r="C342" t="str">
            <v>CASH CREDIT - BOI (21049) (0510)</v>
          </cell>
          <cell r="D342">
            <v>1804615863.4000001</v>
          </cell>
          <cell r="E342">
            <v>-1652121519.9000001</v>
          </cell>
          <cell r="F342">
            <v>7729304</v>
          </cell>
          <cell r="G342">
            <v>-181381183</v>
          </cell>
          <cell r="H342">
            <v>0</v>
          </cell>
          <cell r="I342">
            <v>0</v>
          </cell>
          <cell r="J342">
            <v>0</v>
          </cell>
          <cell r="K342">
            <v>-1158235</v>
          </cell>
          <cell r="L342">
            <v>37929853.490000002</v>
          </cell>
          <cell r="M342">
            <v>-64504644</v>
          </cell>
          <cell r="N342">
            <v>38955471.479999997</v>
          </cell>
          <cell r="O342">
            <v>-38955471.479999997</v>
          </cell>
          <cell r="P342">
            <v>1851300638.8800001</v>
          </cell>
          <cell r="Q342">
            <v>-1873616409.3800001</v>
          </cell>
          <cell r="S342">
            <v>125919552.99000001</v>
          </cell>
          <cell r="T342">
            <v>-174810114</v>
          </cell>
          <cell r="U342">
            <v>-70871361.510000005</v>
          </cell>
          <cell r="V342">
            <v>-30565</v>
          </cell>
          <cell r="W342">
            <v>196790914.5</v>
          </cell>
          <cell r="X342">
            <v>-174779549</v>
          </cell>
          <cell r="Y342">
            <v>125919552.98999999</v>
          </cell>
          <cell r="Z342">
            <v>-174810114</v>
          </cell>
          <cell r="AA342">
            <v>-48890561.010000005</v>
          </cell>
          <cell r="AC342">
            <v>14070</v>
          </cell>
          <cell r="AD342">
            <v>0</v>
          </cell>
        </row>
        <row r="343">
          <cell r="S343">
            <v>0</v>
          </cell>
          <cell r="T343">
            <v>0</v>
          </cell>
          <cell r="U343">
            <v>0</v>
          </cell>
          <cell r="V343">
            <v>0</v>
          </cell>
          <cell r="W343">
            <v>0</v>
          </cell>
          <cell r="X343">
            <v>0</v>
          </cell>
          <cell r="Y343">
            <v>0</v>
          </cell>
          <cell r="Z343">
            <v>0</v>
          </cell>
          <cell r="AA343">
            <v>0</v>
          </cell>
          <cell r="AC343">
            <v>0</v>
          </cell>
          <cell r="AD343">
            <v>0</v>
          </cell>
        </row>
        <row r="344">
          <cell r="B344">
            <v>14072</v>
          </cell>
          <cell r="C344" t="str">
            <v>PACKING CREDIT [BOI] (0520)</v>
          </cell>
          <cell r="D344">
            <v>71681125.650000006</v>
          </cell>
          <cell r="E344">
            <v>-85681125.650000006</v>
          </cell>
          <cell r="F344">
            <v>0</v>
          </cell>
          <cell r="G344">
            <v>0</v>
          </cell>
          <cell r="H344">
            <v>0</v>
          </cell>
          <cell r="I344">
            <v>0</v>
          </cell>
          <cell r="J344">
            <v>0</v>
          </cell>
          <cell r="K344">
            <v>0</v>
          </cell>
          <cell r="L344">
            <v>0</v>
          </cell>
          <cell r="M344">
            <v>0</v>
          </cell>
          <cell r="N344">
            <v>0</v>
          </cell>
          <cell r="O344">
            <v>0</v>
          </cell>
          <cell r="P344">
            <v>71681125.650000006</v>
          </cell>
          <cell r="Q344">
            <v>-85681125.650000006</v>
          </cell>
          <cell r="S344">
            <v>-14000000</v>
          </cell>
          <cell r="T344">
            <v>0</v>
          </cell>
          <cell r="U344">
            <v>-18000000</v>
          </cell>
          <cell r="V344">
            <v>0</v>
          </cell>
          <cell r="W344">
            <v>4000000</v>
          </cell>
          <cell r="X344">
            <v>0</v>
          </cell>
          <cell r="Y344">
            <v>-14000000</v>
          </cell>
          <cell r="Z344">
            <v>0</v>
          </cell>
          <cell r="AA344">
            <v>-14000000</v>
          </cell>
          <cell r="AC344">
            <v>14072</v>
          </cell>
          <cell r="AD344">
            <v>0</v>
          </cell>
        </row>
        <row r="345">
          <cell r="S345">
            <v>0</v>
          </cell>
          <cell r="T345">
            <v>0</v>
          </cell>
          <cell r="U345">
            <v>0</v>
          </cell>
          <cell r="V345">
            <v>0</v>
          </cell>
          <cell r="W345">
            <v>0</v>
          </cell>
          <cell r="X345">
            <v>0</v>
          </cell>
          <cell r="Y345">
            <v>0</v>
          </cell>
          <cell r="Z345">
            <v>0</v>
          </cell>
          <cell r="AA345">
            <v>0</v>
          </cell>
          <cell r="AC345">
            <v>0</v>
          </cell>
          <cell r="AD345">
            <v>0</v>
          </cell>
        </row>
        <row r="346">
          <cell r="B346">
            <v>14079</v>
          </cell>
          <cell r="C346" t="str">
            <v>CASH CREDIT - HSBC (005-464698-001) (0600)</v>
          </cell>
          <cell r="D346">
            <v>2388216041192860</v>
          </cell>
          <cell r="E346">
            <v>-2388216061920700</v>
          </cell>
          <cell r="F346">
            <v>0</v>
          </cell>
          <cell r="G346">
            <v>0</v>
          </cell>
          <cell r="H346">
            <v>0</v>
          </cell>
          <cell r="I346">
            <v>0</v>
          </cell>
          <cell r="J346">
            <v>0</v>
          </cell>
          <cell r="K346">
            <v>0</v>
          </cell>
          <cell r="L346">
            <v>0</v>
          </cell>
          <cell r="M346">
            <v>0</v>
          </cell>
          <cell r="N346">
            <v>14351556.199999999</v>
          </cell>
          <cell r="O346">
            <v>-14351556.199999999</v>
          </cell>
          <cell r="P346">
            <v>2388216055544420</v>
          </cell>
          <cell r="Q346">
            <v>-2388216076272250</v>
          </cell>
          <cell r="S346">
            <v>-20727840</v>
          </cell>
          <cell r="T346">
            <v>0</v>
          </cell>
          <cell r="U346">
            <v>2226310</v>
          </cell>
          <cell r="V346">
            <v>0</v>
          </cell>
          <cell r="W346">
            <v>-22954150</v>
          </cell>
          <cell r="X346">
            <v>0</v>
          </cell>
          <cell r="Y346">
            <v>-20727840</v>
          </cell>
          <cell r="Z346">
            <v>0</v>
          </cell>
          <cell r="AA346">
            <v>-20727840</v>
          </cell>
          <cell r="AC346">
            <v>14079</v>
          </cell>
          <cell r="AD346">
            <v>0</v>
          </cell>
        </row>
        <row r="347">
          <cell r="S347">
            <v>0</v>
          </cell>
          <cell r="T347">
            <v>0</v>
          </cell>
          <cell r="U347">
            <v>0</v>
          </cell>
          <cell r="V347">
            <v>0</v>
          </cell>
          <cell r="W347">
            <v>0</v>
          </cell>
          <cell r="X347">
            <v>0</v>
          </cell>
          <cell r="Y347">
            <v>0</v>
          </cell>
          <cell r="Z347">
            <v>0</v>
          </cell>
          <cell r="AA347">
            <v>0</v>
          </cell>
          <cell r="AC347">
            <v>0</v>
          </cell>
          <cell r="AD347">
            <v>0</v>
          </cell>
        </row>
        <row r="348">
          <cell r="B348">
            <v>14080</v>
          </cell>
          <cell r="C348" t="str">
            <v>CASH CREDIT - HSBC (005-464698-002)</v>
          </cell>
          <cell r="D348">
            <v>1058343.7</v>
          </cell>
          <cell r="E348">
            <v>-5908267.7800000003</v>
          </cell>
          <cell r="F348">
            <v>3060617647.3099999</v>
          </cell>
          <cell r="G348">
            <v>-3033100389.4000001</v>
          </cell>
          <cell r="H348">
            <v>13096</v>
          </cell>
          <cell r="I348">
            <v>-147908.70000000001</v>
          </cell>
          <cell r="J348">
            <v>0</v>
          </cell>
          <cell r="K348">
            <v>0</v>
          </cell>
          <cell r="L348">
            <v>59122768</v>
          </cell>
          <cell r="M348">
            <v>-76538.039999999994</v>
          </cell>
          <cell r="N348">
            <v>564828730.84000003</v>
          </cell>
          <cell r="O348">
            <v>-605005739.49000001</v>
          </cell>
          <cell r="P348">
            <v>3626517817.8499999</v>
          </cell>
          <cell r="Q348">
            <v>-3644162305.3699999</v>
          </cell>
          <cell r="S348">
            <v>14019297.230000019</v>
          </cell>
          <cell r="T348">
            <v>27382445.209999848</v>
          </cell>
          <cell r="U348">
            <v>1465622.05</v>
          </cell>
          <cell r="V348">
            <v>-991073.2</v>
          </cell>
          <cell r="W348">
            <v>12553675.180000018</v>
          </cell>
          <cell r="X348">
            <v>28373518.409999847</v>
          </cell>
          <cell r="Y348">
            <v>14019297.230000019</v>
          </cell>
          <cell r="Z348">
            <v>27382445.209999848</v>
          </cell>
          <cell r="AA348">
            <v>41401742.439999864</v>
          </cell>
          <cell r="AC348">
            <v>14080</v>
          </cell>
          <cell r="AD348">
            <v>0</v>
          </cell>
        </row>
        <row r="349">
          <cell r="S349">
            <v>0</v>
          </cell>
          <cell r="T349">
            <v>0</v>
          </cell>
          <cell r="U349">
            <v>0</v>
          </cell>
          <cell r="V349">
            <v>0</v>
          </cell>
          <cell r="W349">
            <v>0</v>
          </cell>
          <cell r="X349">
            <v>0</v>
          </cell>
          <cell r="Y349">
            <v>0</v>
          </cell>
          <cell r="Z349">
            <v>0</v>
          </cell>
          <cell r="AA349">
            <v>0</v>
          </cell>
          <cell r="AC349">
            <v>0</v>
          </cell>
          <cell r="AD349">
            <v>0</v>
          </cell>
        </row>
        <row r="350">
          <cell r="B350">
            <v>14082</v>
          </cell>
          <cell r="C350" t="str">
            <v>DEMAND LOAN - HSBC (0630)</v>
          </cell>
          <cell r="D350">
            <v>815085040.98000002</v>
          </cell>
          <cell r="E350">
            <v>-820085040.98000002</v>
          </cell>
          <cell r="F350">
            <v>0</v>
          </cell>
          <cell r="G350">
            <v>0</v>
          </cell>
          <cell r="H350">
            <v>0</v>
          </cell>
          <cell r="I350">
            <v>0</v>
          </cell>
          <cell r="J350">
            <v>0</v>
          </cell>
          <cell r="K350">
            <v>0</v>
          </cell>
          <cell r="L350">
            <v>20000000</v>
          </cell>
          <cell r="M350">
            <v>-110000000</v>
          </cell>
          <cell r="N350">
            <v>0</v>
          </cell>
          <cell r="O350">
            <v>0</v>
          </cell>
          <cell r="P350">
            <v>815085040.98000002</v>
          </cell>
          <cell r="Q350">
            <v>-820085040.98000002</v>
          </cell>
          <cell r="S350">
            <v>-95000000</v>
          </cell>
          <cell r="T350">
            <v>0</v>
          </cell>
          <cell r="U350">
            <v>-100000000</v>
          </cell>
          <cell r="V350">
            <v>0</v>
          </cell>
          <cell r="W350">
            <v>5000000</v>
          </cell>
          <cell r="X350">
            <v>0</v>
          </cell>
          <cell r="Y350">
            <v>-95000000</v>
          </cell>
          <cell r="Z350">
            <v>0</v>
          </cell>
          <cell r="AA350">
            <v>-95000000</v>
          </cell>
          <cell r="AC350">
            <v>14082</v>
          </cell>
          <cell r="AD350">
            <v>0</v>
          </cell>
        </row>
        <row r="351">
          <cell r="S351">
            <v>0</v>
          </cell>
          <cell r="T351">
            <v>0</v>
          </cell>
          <cell r="U351">
            <v>0</v>
          </cell>
          <cell r="V351">
            <v>0</v>
          </cell>
          <cell r="W351">
            <v>0</v>
          </cell>
          <cell r="X351">
            <v>0</v>
          </cell>
          <cell r="Y351">
            <v>0</v>
          </cell>
          <cell r="Z351">
            <v>0</v>
          </cell>
          <cell r="AA351">
            <v>0</v>
          </cell>
          <cell r="AC351">
            <v>0</v>
          </cell>
          <cell r="AD351">
            <v>0</v>
          </cell>
        </row>
        <row r="352">
          <cell r="B352">
            <v>14083</v>
          </cell>
          <cell r="C352" t="str">
            <v>PACKING CREDIT - HSBC (0610)</v>
          </cell>
          <cell r="D352">
            <v>144015740</v>
          </cell>
          <cell r="E352">
            <v>-178906133.21000001</v>
          </cell>
          <cell r="F352">
            <v>0</v>
          </cell>
          <cell r="G352">
            <v>0</v>
          </cell>
          <cell r="H352">
            <v>0</v>
          </cell>
          <cell r="I352">
            <v>0</v>
          </cell>
          <cell r="J352">
            <v>0</v>
          </cell>
          <cell r="K352">
            <v>0</v>
          </cell>
          <cell r="L352">
            <v>0</v>
          </cell>
          <cell r="M352">
            <v>0</v>
          </cell>
          <cell r="N352">
            <v>0</v>
          </cell>
          <cell r="O352">
            <v>0</v>
          </cell>
          <cell r="P352">
            <v>144015740</v>
          </cell>
          <cell r="Q352">
            <v>-178906133.21000001</v>
          </cell>
          <cell r="S352">
            <v>-34890393.210000008</v>
          </cell>
          <cell r="T352">
            <v>0</v>
          </cell>
          <cell r="U352">
            <v>-21655260</v>
          </cell>
          <cell r="V352">
            <v>0</v>
          </cell>
          <cell r="W352">
            <v>-13235133.210000008</v>
          </cell>
          <cell r="X352">
            <v>0</v>
          </cell>
          <cell r="Y352">
            <v>-34890393.210000008</v>
          </cell>
          <cell r="Z352">
            <v>0</v>
          </cell>
          <cell r="AA352">
            <v>-34890393.210000008</v>
          </cell>
          <cell r="AC352">
            <v>14083</v>
          </cell>
          <cell r="AD352">
            <v>0</v>
          </cell>
        </row>
        <row r="353">
          <cell r="S353">
            <v>0</v>
          </cell>
          <cell r="T353">
            <v>0</v>
          </cell>
          <cell r="U353">
            <v>0</v>
          </cell>
          <cell r="V353">
            <v>0</v>
          </cell>
          <cell r="W353">
            <v>0</v>
          </cell>
          <cell r="X353">
            <v>0</v>
          </cell>
          <cell r="Y353">
            <v>0</v>
          </cell>
          <cell r="Z353">
            <v>0</v>
          </cell>
          <cell r="AA353">
            <v>0</v>
          </cell>
          <cell r="AC353">
            <v>0</v>
          </cell>
          <cell r="AD353">
            <v>0</v>
          </cell>
        </row>
        <row r="354">
          <cell r="B354">
            <v>14114</v>
          </cell>
          <cell r="C354" t="str">
            <v>TERM LOAN (0810, 0815)</v>
          </cell>
          <cell r="D354">
            <v>146487881.90000001</v>
          </cell>
          <cell r="E354">
            <v>-155121436.19</v>
          </cell>
          <cell r="F354">
            <v>10714288.16</v>
          </cell>
          <cell r="G354">
            <v>-10714286.109999999</v>
          </cell>
          <cell r="H354">
            <v>0</v>
          </cell>
          <cell r="I354">
            <v>0</v>
          </cell>
          <cell r="J354">
            <v>0</v>
          </cell>
          <cell r="K354">
            <v>0</v>
          </cell>
          <cell r="L354">
            <v>0</v>
          </cell>
          <cell r="M354">
            <v>-10714288.16</v>
          </cell>
          <cell r="N354">
            <v>0</v>
          </cell>
          <cell r="O354">
            <v>0</v>
          </cell>
          <cell r="P354">
            <v>157202170.06</v>
          </cell>
          <cell r="Q354">
            <v>-165835722.30000001</v>
          </cell>
          <cell r="S354">
            <v>-19347842.449999992</v>
          </cell>
          <cell r="T354">
            <v>2.0500000007450581</v>
          </cell>
          <cell r="U354">
            <v>-26584802.449999999</v>
          </cell>
          <cell r="V354">
            <v>2.0499999999999998</v>
          </cell>
          <cell r="W354">
            <v>7236960.0000000075</v>
          </cell>
          <cell r="X354">
            <v>7.4505823732806675E-10</v>
          </cell>
          <cell r="Y354">
            <v>-19347842.449999992</v>
          </cell>
          <cell r="Z354">
            <v>2.0500000007450581</v>
          </cell>
          <cell r="AA354">
            <v>-19347840.399999991</v>
          </cell>
          <cell r="AC354">
            <v>14114</v>
          </cell>
          <cell r="AD354">
            <v>0</v>
          </cell>
        </row>
        <row r="355">
          <cell r="S355">
            <v>0</v>
          </cell>
          <cell r="T355">
            <v>0</v>
          </cell>
          <cell r="U355">
            <v>0</v>
          </cell>
          <cell r="V355">
            <v>0</v>
          </cell>
          <cell r="W355">
            <v>0</v>
          </cell>
          <cell r="X355">
            <v>0</v>
          </cell>
          <cell r="Y355">
            <v>0</v>
          </cell>
          <cell r="Z355">
            <v>0</v>
          </cell>
          <cell r="AA355">
            <v>0</v>
          </cell>
          <cell r="AC355">
            <v>0</v>
          </cell>
          <cell r="AD355">
            <v>0</v>
          </cell>
        </row>
        <row r="356">
          <cell r="B356">
            <v>14126</v>
          </cell>
          <cell r="C356" t="str">
            <v>LOAN FROM - BL &amp; CO. (1225)</v>
          </cell>
          <cell r="D356">
            <v>0</v>
          </cell>
          <cell r="E356">
            <v>0</v>
          </cell>
          <cell r="F356">
            <v>0</v>
          </cell>
          <cell r="G356">
            <v>0</v>
          </cell>
          <cell r="H356">
            <v>0</v>
          </cell>
          <cell r="I356">
            <v>0</v>
          </cell>
          <cell r="J356">
            <v>0</v>
          </cell>
          <cell r="K356">
            <v>0</v>
          </cell>
          <cell r="L356">
            <v>135000000</v>
          </cell>
          <cell r="M356">
            <v>-336791984</v>
          </cell>
          <cell r="N356">
            <v>0</v>
          </cell>
          <cell r="O356">
            <v>0</v>
          </cell>
          <cell r="P356">
            <v>0</v>
          </cell>
          <cell r="Q356">
            <v>0</v>
          </cell>
          <cell r="S356">
            <v>-201791984</v>
          </cell>
          <cell r="T356">
            <v>0</v>
          </cell>
          <cell r="U356">
            <v>-181791984</v>
          </cell>
          <cell r="V356">
            <v>0</v>
          </cell>
          <cell r="W356">
            <v>-20000000</v>
          </cell>
          <cell r="X356">
            <v>0</v>
          </cell>
          <cell r="Y356">
            <v>-201791984</v>
          </cell>
          <cell r="Z356">
            <v>0</v>
          </cell>
          <cell r="AA356">
            <v>-201791984</v>
          </cell>
          <cell r="AC356">
            <v>14126</v>
          </cell>
          <cell r="AD356">
            <v>0</v>
          </cell>
        </row>
        <row r="357">
          <cell r="S357">
            <v>0</v>
          </cell>
          <cell r="T357">
            <v>0</v>
          </cell>
          <cell r="U357">
            <v>0</v>
          </cell>
          <cell r="V357">
            <v>0</v>
          </cell>
          <cell r="W357">
            <v>0</v>
          </cell>
          <cell r="X357">
            <v>0</v>
          </cell>
          <cell r="Y357">
            <v>0</v>
          </cell>
          <cell r="Z357">
            <v>0</v>
          </cell>
          <cell r="AA357">
            <v>0</v>
          </cell>
          <cell r="AC357">
            <v>0</v>
          </cell>
          <cell r="AD357">
            <v>0</v>
          </cell>
        </row>
        <row r="358">
          <cell r="B358">
            <v>14142</v>
          </cell>
          <cell r="C358" t="str">
            <v>VEHICLE LOAN FROM BANK (0813)</v>
          </cell>
          <cell r="D358">
            <v>3072276</v>
          </cell>
          <cell r="E358">
            <v>-2296906</v>
          </cell>
          <cell r="F358">
            <v>72985</v>
          </cell>
          <cell r="G358">
            <v>0</v>
          </cell>
          <cell r="H358">
            <v>0</v>
          </cell>
          <cell r="I358">
            <v>0</v>
          </cell>
          <cell r="J358">
            <v>0</v>
          </cell>
          <cell r="K358">
            <v>0</v>
          </cell>
          <cell r="L358">
            <v>459618</v>
          </cell>
          <cell r="M358">
            <v>-3013633</v>
          </cell>
          <cell r="N358">
            <v>0</v>
          </cell>
          <cell r="O358">
            <v>0</v>
          </cell>
          <cell r="P358">
            <v>3145261</v>
          </cell>
          <cell r="Q358">
            <v>-2296906</v>
          </cell>
          <cell r="S358">
            <v>-1778645</v>
          </cell>
          <cell r="T358">
            <v>72985</v>
          </cell>
          <cell r="U358">
            <v>-2253151</v>
          </cell>
          <cell r="V358">
            <v>0</v>
          </cell>
          <cell r="W358">
            <v>474506</v>
          </cell>
          <cell r="X358">
            <v>72985</v>
          </cell>
          <cell r="Y358">
            <v>-1778645</v>
          </cell>
          <cell r="Z358">
            <v>72985</v>
          </cell>
          <cell r="AA358">
            <v>-1705660</v>
          </cell>
          <cell r="AC358">
            <v>14142</v>
          </cell>
          <cell r="AD358">
            <v>0</v>
          </cell>
        </row>
        <row r="359">
          <cell r="S359">
            <v>0</v>
          </cell>
          <cell r="T359">
            <v>0</v>
          </cell>
          <cell r="U359">
            <v>0</v>
          </cell>
          <cell r="V359">
            <v>0</v>
          </cell>
          <cell r="W359">
            <v>0</v>
          </cell>
          <cell r="X359">
            <v>0</v>
          </cell>
          <cell r="Y359">
            <v>0</v>
          </cell>
          <cell r="Z359">
            <v>0</v>
          </cell>
          <cell r="AA359">
            <v>0</v>
          </cell>
          <cell r="AC359">
            <v>0</v>
          </cell>
          <cell r="AD359">
            <v>0</v>
          </cell>
        </row>
        <row r="360">
          <cell r="B360">
            <v>14143</v>
          </cell>
          <cell r="C360" t="str">
            <v>INTEREST ACCRUED &amp; DUE ON LOAN</v>
          </cell>
          <cell r="D360">
            <v>9839</v>
          </cell>
          <cell r="E360">
            <v>0</v>
          </cell>
          <cell r="F360">
            <v>0</v>
          </cell>
          <cell r="G360">
            <v>0</v>
          </cell>
          <cell r="H360">
            <v>0</v>
          </cell>
          <cell r="I360">
            <v>0</v>
          </cell>
          <cell r="J360">
            <v>0</v>
          </cell>
          <cell r="K360">
            <v>0</v>
          </cell>
          <cell r="L360">
            <v>0</v>
          </cell>
          <cell r="M360">
            <v>-9839</v>
          </cell>
          <cell r="N360">
            <v>0</v>
          </cell>
          <cell r="O360">
            <v>0</v>
          </cell>
          <cell r="P360">
            <v>9839</v>
          </cell>
          <cell r="Q360">
            <v>0</v>
          </cell>
          <cell r="S360">
            <v>0</v>
          </cell>
          <cell r="T360">
            <v>0</v>
          </cell>
          <cell r="U360">
            <v>0</v>
          </cell>
          <cell r="V360">
            <v>0</v>
          </cell>
          <cell r="W360">
            <v>0</v>
          </cell>
          <cell r="X360">
            <v>0</v>
          </cell>
          <cell r="Y360">
            <v>0</v>
          </cell>
          <cell r="Z360">
            <v>0</v>
          </cell>
          <cell r="AA360">
            <v>0</v>
          </cell>
          <cell r="AC360">
            <v>14143</v>
          </cell>
          <cell r="AD360">
            <v>0</v>
          </cell>
        </row>
        <row r="361">
          <cell r="S361">
            <v>0</v>
          </cell>
          <cell r="T361">
            <v>0</v>
          </cell>
          <cell r="U361">
            <v>0</v>
          </cell>
          <cell r="V361">
            <v>0</v>
          </cell>
          <cell r="W361">
            <v>0</v>
          </cell>
          <cell r="X361">
            <v>0</v>
          </cell>
          <cell r="Y361">
            <v>0</v>
          </cell>
          <cell r="Z361">
            <v>0</v>
          </cell>
          <cell r="AA361">
            <v>0</v>
          </cell>
          <cell r="AC361">
            <v>0</v>
          </cell>
          <cell r="AD361">
            <v>0</v>
          </cell>
        </row>
        <row r="362">
          <cell r="B362">
            <v>14233</v>
          </cell>
          <cell r="C362" t="str">
            <v>LOAN FROM -GREIF (1220)</v>
          </cell>
          <cell r="D362">
            <v>0</v>
          </cell>
          <cell r="E362">
            <v>0</v>
          </cell>
          <cell r="F362">
            <v>0</v>
          </cell>
          <cell r="G362">
            <v>0</v>
          </cell>
          <cell r="H362">
            <v>0</v>
          </cell>
          <cell r="I362">
            <v>0</v>
          </cell>
          <cell r="J362">
            <v>0</v>
          </cell>
          <cell r="K362">
            <v>0</v>
          </cell>
          <cell r="L362">
            <v>0</v>
          </cell>
          <cell r="M362">
            <v>-26250000</v>
          </cell>
          <cell r="N362">
            <v>0</v>
          </cell>
          <cell r="O362">
            <v>0</v>
          </cell>
          <cell r="P362">
            <v>0</v>
          </cell>
          <cell r="Q362">
            <v>0</v>
          </cell>
          <cell r="S362">
            <v>-26250000</v>
          </cell>
          <cell r="T362">
            <v>0</v>
          </cell>
          <cell r="U362">
            <v>-26250000</v>
          </cell>
          <cell r="V362">
            <v>0</v>
          </cell>
          <cell r="W362">
            <v>0</v>
          </cell>
          <cell r="X362">
            <v>0</v>
          </cell>
          <cell r="Y362">
            <v>-26250000</v>
          </cell>
          <cell r="Z362">
            <v>0</v>
          </cell>
          <cell r="AA362">
            <v>-26250000</v>
          </cell>
          <cell r="AC362">
            <v>14233</v>
          </cell>
          <cell r="AD362">
            <v>0</v>
          </cell>
        </row>
        <row r="363">
          <cell r="S363">
            <v>0</v>
          </cell>
          <cell r="T363">
            <v>0</v>
          </cell>
          <cell r="U363">
            <v>0</v>
          </cell>
          <cell r="V363">
            <v>0</v>
          </cell>
          <cell r="W363">
            <v>0</v>
          </cell>
          <cell r="X363">
            <v>0</v>
          </cell>
          <cell r="Y363">
            <v>0</v>
          </cell>
          <cell r="Z363">
            <v>0</v>
          </cell>
          <cell r="AA363">
            <v>0</v>
          </cell>
          <cell r="AC363">
            <v>0</v>
          </cell>
          <cell r="AD363">
            <v>0</v>
          </cell>
        </row>
        <row r="364">
          <cell r="B364">
            <v>14235</v>
          </cell>
          <cell r="C364" t="str">
            <v>LOAN FROM BANKS (UNSECURED-RBS) (1226)</v>
          </cell>
          <cell r="D364">
            <v>35000000</v>
          </cell>
          <cell r="E364">
            <v>-50000000</v>
          </cell>
          <cell r="F364">
            <v>0</v>
          </cell>
          <cell r="G364">
            <v>0</v>
          </cell>
          <cell r="H364">
            <v>0</v>
          </cell>
          <cell r="I364">
            <v>0</v>
          </cell>
          <cell r="J364">
            <v>0</v>
          </cell>
          <cell r="K364">
            <v>0</v>
          </cell>
          <cell r="L364">
            <v>0</v>
          </cell>
          <cell r="M364">
            <v>-75037397</v>
          </cell>
          <cell r="N364">
            <v>0</v>
          </cell>
          <cell r="O364">
            <v>0</v>
          </cell>
          <cell r="P364">
            <v>35000000</v>
          </cell>
          <cell r="Q364">
            <v>-50000000</v>
          </cell>
          <cell r="S364">
            <v>-90037397</v>
          </cell>
          <cell r="T364">
            <v>0</v>
          </cell>
          <cell r="U364">
            <v>-60037397</v>
          </cell>
          <cell r="V364">
            <v>0</v>
          </cell>
          <cell r="W364">
            <v>-30000000</v>
          </cell>
          <cell r="X364">
            <v>0</v>
          </cell>
          <cell r="Y364">
            <v>-90037397</v>
          </cell>
          <cell r="Z364">
            <v>0</v>
          </cell>
          <cell r="AA364">
            <v>-90037397</v>
          </cell>
          <cell r="AC364">
            <v>14235</v>
          </cell>
          <cell r="AD364">
            <v>0</v>
          </cell>
        </row>
        <row r="365">
          <cell r="S365">
            <v>0</v>
          </cell>
          <cell r="T365">
            <v>0</v>
          </cell>
          <cell r="U365">
            <v>0</v>
          </cell>
          <cell r="V365">
            <v>0</v>
          </cell>
          <cell r="W365">
            <v>0</v>
          </cell>
          <cell r="X365">
            <v>0</v>
          </cell>
          <cell r="Y365">
            <v>0</v>
          </cell>
          <cell r="Z365">
            <v>0</v>
          </cell>
          <cell r="AA365">
            <v>0</v>
          </cell>
          <cell r="AC365">
            <v>0</v>
          </cell>
          <cell r="AD365">
            <v>0</v>
          </cell>
        </row>
        <row r="366">
          <cell r="B366">
            <v>14236</v>
          </cell>
          <cell r="C366" t="str">
            <v>LOAN FROM OTHERS (UNSECURED)</v>
          </cell>
          <cell r="D366">
            <v>0</v>
          </cell>
          <cell r="E366">
            <v>-10000000</v>
          </cell>
          <cell r="F366">
            <v>0</v>
          </cell>
          <cell r="G366">
            <v>0</v>
          </cell>
          <cell r="H366">
            <v>0</v>
          </cell>
          <cell r="I366">
            <v>0</v>
          </cell>
          <cell r="J366">
            <v>0</v>
          </cell>
          <cell r="K366">
            <v>0</v>
          </cell>
          <cell r="L366">
            <v>0</v>
          </cell>
          <cell r="M366">
            <v>0</v>
          </cell>
          <cell r="N366">
            <v>0</v>
          </cell>
          <cell r="O366">
            <v>0</v>
          </cell>
          <cell r="P366">
            <v>0</v>
          </cell>
          <cell r="Q366">
            <v>-10000000</v>
          </cell>
          <cell r="S366">
            <v>-10000000</v>
          </cell>
          <cell r="T366">
            <v>0</v>
          </cell>
          <cell r="U366">
            <v>0</v>
          </cell>
          <cell r="V366">
            <v>0</v>
          </cell>
          <cell r="W366">
            <v>-10000000</v>
          </cell>
          <cell r="X366">
            <v>0</v>
          </cell>
          <cell r="Y366">
            <v>-10000000</v>
          </cell>
          <cell r="Z366">
            <v>0</v>
          </cell>
          <cell r="AA366">
            <v>-10000000</v>
          </cell>
          <cell r="AC366">
            <v>14236</v>
          </cell>
          <cell r="AD366">
            <v>0</v>
          </cell>
        </row>
        <row r="367">
          <cell r="S367">
            <v>0</v>
          </cell>
          <cell r="T367">
            <v>0</v>
          </cell>
          <cell r="U367">
            <v>0</v>
          </cell>
          <cell r="V367">
            <v>0</v>
          </cell>
          <cell r="W367">
            <v>0</v>
          </cell>
          <cell r="X367">
            <v>0</v>
          </cell>
          <cell r="Y367">
            <v>0</v>
          </cell>
          <cell r="Z367">
            <v>0</v>
          </cell>
          <cell r="AA367">
            <v>0</v>
          </cell>
          <cell r="AC367">
            <v>0</v>
          </cell>
          <cell r="AD367">
            <v>0</v>
          </cell>
        </row>
        <row r="368">
          <cell r="B368">
            <v>14274</v>
          </cell>
          <cell r="C368" t="str">
            <v>INTER UNIT A/C - (0200-206,0608,)</v>
          </cell>
          <cell r="D368">
            <v>7538906768.6099997</v>
          </cell>
          <cell r="E368">
            <v>-3704580481.8699999</v>
          </cell>
          <cell r="F368">
            <v>3639134152.9200001</v>
          </cell>
          <cell r="G368">
            <v>-7311033510.8900003</v>
          </cell>
          <cell r="H368">
            <v>543415861.16999996</v>
          </cell>
          <cell r="I368">
            <v>-543415861.16999996</v>
          </cell>
          <cell r="J368">
            <v>83037</v>
          </cell>
          <cell r="K368">
            <v>-83037</v>
          </cell>
          <cell r="L368">
            <v>2339431.94</v>
          </cell>
          <cell r="M368">
            <v>-25856309.25</v>
          </cell>
          <cell r="N368">
            <v>13774227.76</v>
          </cell>
          <cell r="O368">
            <v>-8766583.9000000004</v>
          </cell>
          <cell r="P368">
            <v>11735314047.459999</v>
          </cell>
          <cell r="Q368">
            <v>-11567879474.83</v>
          </cell>
          <cell r="S368">
            <v>3815817053.29</v>
          </cell>
          <cell r="T368">
            <v>-3671899357.9700003</v>
          </cell>
          <cell r="U368">
            <v>3415219735.6199999</v>
          </cell>
          <cell r="V368">
            <v>-3285818319.0300002</v>
          </cell>
          <cell r="W368">
            <v>400597317.67000008</v>
          </cell>
          <cell r="X368">
            <v>-386081038.94000006</v>
          </cell>
          <cell r="Y368">
            <v>3815817053.29</v>
          </cell>
          <cell r="Z368">
            <v>-3671899357.9700003</v>
          </cell>
          <cell r="AA368">
            <v>143917695.31999969</v>
          </cell>
          <cell r="AC368">
            <v>14274</v>
          </cell>
          <cell r="AD368">
            <v>0</v>
          </cell>
        </row>
        <row r="369">
          <cell r="S369">
            <v>0</v>
          </cell>
          <cell r="T369">
            <v>0</v>
          </cell>
          <cell r="U369">
            <v>0</v>
          </cell>
          <cell r="V369">
            <v>0</v>
          </cell>
          <cell r="W369">
            <v>0</v>
          </cell>
          <cell r="X369">
            <v>0</v>
          </cell>
          <cell r="Y369">
            <v>0</v>
          </cell>
          <cell r="Z369">
            <v>0</v>
          </cell>
          <cell r="AA369">
            <v>0</v>
          </cell>
          <cell r="AC369">
            <v>0</v>
          </cell>
          <cell r="AD369">
            <v>0</v>
          </cell>
        </row>
        <row r="370">
          <cell r="B370">
            <v>14275</v>
          </cell>
          <cell r="C370" t="str">
            <v>INTER UNIT A/C - PAyable</v>
          </cell>
          <cell r="D370">
            <v>141827.85999999999</v>
          </cell>
          <cell r="E370">
            <v>-3673721.49</v>
          </cell>
          <cell r="F370">
            <v>5053102.91</v>
          </cell>
          <cell r="G370">
            <v>-107502958.45999999</v>
          </cell>
          <cell r="H370">
            <v>0</v>
          </cell>
          <cell r="I370">
            <v>0</v>
          </cell>
          <cell r="J370">
            <v>0</v>
          </cell>
          <cell r="K370">
            <v>0</v>
          </cell>
          <cell r="L370">
            <v>0</v>
          </cell>
          <cell r="M370">
            <v>0</v>
          </cell>
          <cell r="N370">
            <v>8766583.9000000004</v>
          </cell>
          <cell r="O370">
            <v>-13774227.76</v>
          </cell>
          <cell r="P370">
            <v>13961514.67</v>
          </cell>
          <cell r="Q370">
            <v>-124950907.70999999</v>
          </cell>
          <cell r="S370">
            <v>-8539537.4900000002</v>
          </cell>
          <cell r="T370">
            <v>-102449855.55</v>
          </cell>
          <cell r="U370">
            <v>-868400.2</v>
          </cell>
          <cell r="V370">
            <v>-93625170.109999999</v>
          </cell>
          <cell r="W370">
            <v>-7671137.29</v>
          </cell>
          <cell r="X370">
            <v>-8824685.4399999976</v>
          </cell>
          <cell r="Y370">
            <v>-8539537.4900000002</v>
          </cell>
          <cell r="Z370">
            <v>-102449855.55</v>
          </cell>
          <cell r="AA370">
            <v>-110989393.03999999</v>
          </cell>
          <cell r="AC370">
            <v>14275</v>
          </cell>
          <cell r="AD370">
            <v>0</v>
          </cell>
        </row>
        <row r="371">
          <cell r="S371">
            <v>0</v>
          </cell>
          <cell r="T371">
            <v>0</v>
          </cell>
          <cell r="U371">
            <v>0</v>
          </cell>
          <cell r="V371">
            <v>0</v>
          </cell>
          <cell r="W371">
            <v>0</v>
          </cell>
          <cell r="X371">
            <v>0</v>
          </cell>
          <cell r="Y371">
            <v>0</v>
          </cell>
          <cell r="Z371">
            <v>0</v>
          </cell>
          <cell r="AA371">
            <v>0</v>
          </cell>
          <cell r="AC371">
            <v>0</v>
          </cell>
          <cell r="AD371">
            <v>0</v>
          </cell>
        </row>
        <row r="372">
          <cell r="E372" t="str">
            <v>SDCT</v>
          </cell>
          <cell r="F372" t="str">
            <v>PCDT</v>
          </cell>
          <cell r="G372" t="str">
            <v>PCDC</v>
          </cell>
          <cell r="I372" t="str">
            <v>PCDN</v>
          </cell>
          <cell r="K372" t="str">
            <v>CORP</v>
          </cell>
          <cell r="M372" t="str">
            <v>OTHER</v>
          </cell>
          <cell r="O372" t="str">
            <v>TOTAL</v>
          </cell>
          <cell r="U372">
            <v>0</v>
          </cell>
          <cell r="V372">
            <v>0</v>
          </cell>
          <cell r="W372">
            <v>0</v>
          </cell>
          <cell r="X372">
            <v>0</v>
          </cell>
          <cell r="Y372">
            <v>0</v>
          </cell>
          <cell r="Z372">
            <v>0</v>
          </cell>
          <cell r="AA372">
            <v>0</v>
          </cell>
          <cell r="AC372">
            <v>0</v>
          </cell>
          <cell r="AD372">
            <v>0</v>
          </cell>
        </row>
        <row r="373">
          <cell r="B373" t="str">
            <v>GL CODE</v>
          </cell>
          <cell r="C373" t="str">
            <v>ACCOUNT HEAD</v>
          </cell>
          <cell r="S373">
            <v>0</v>
          </cell>
          <cell r="T373">
            <v>0</v>
          </cell>
          <cell r="U373" t="str">
            <v>SDCT</v>
          </cell>
          <cell r="V373" t="str">
            <v>PCDT</v>
          </cell>
          <cell r="AA373">
            <v>0</v>
          </cell>
          <cell r="AC373">
            <v>0</v>
          </cell>
          <cell r="AD373" t="e">
            <v>#VALUE!</v>
          </cell>
        </row>
        <row r="374">
          <cell r="S374">
            <v>0</v>
          </cell>
          <cell r="T374">
            <v>0</v>
          </cell>
          <cell r="U374">
            <v>0</v>
          </cell>
          <cell r="V374">
            <v>0</v>
          </cell>
          <cell r="W374">
            <v>0</v>
          </cell>
          <cell r="X374">
            <v>0</v>
          </cell>
          <cell r="Y374">
            <v>0</v>
          </cell>
          <cell r="Z374">
            <v>0</v>
          </cell>
          <cell r="AA374">
            <v>0</v>
          </cell>
          <cell r="AC374">
            <v>0</v>
          </cell>
          <cell r="AD374">
            <v>0</v>
          </cell>
        </row>
        <row r="375">
          <cell r="D375" t="str">
            <v>DR.</v>
          </cell>
          <cell r="E375" t="str">
            <v>CR.</v>
          </cell>
          <cell r="F375" t="str">
            <v>DR.</v>
          </cell>
          <cell r="G375" t="str">
            <v>CR.</v>
          </cell>
          <cell r="H375" t="str">
            <v>DR.</v>
          </cell>
          <cell r="I375" t="str">
            <v>CR.</v>
          </cell>
          <cell r="J375" t="str">
            <v>DR.</v>
          </cell>
          <cell r="K375" t="str">
            <v>CR.</v>
          </cell>
          <cell r="L375" t="str">
            <v>DR.</v>
          </cell>
          <cell r="M375" t="str">
            <v>CR.</v>
          </cell>
          <cell r="N375" t="str">
            <v>DR.</v>
          </cell>
          <cell r="O375" t="str">
            <v>CR.</v>
          </cell>
          <cell r="P375" t="str">
            <v>DR.</v>
          </cell>
          <cell r="Q375" t="str">
            <v>CR.</v>
          </cell>
          <cell r="U375">
            <v>0</v>
          </cell>
          <cell r="V375">
            <v>0</v>
          </cell>
          <cell r="W375">
            <v>0</v>
          </cell>
          <cell r="X375">
            <v>0</v>
          </cell>
          <cell r="Y375">
            <v>0</v>
          </cell>
          <cell r="Z375">
            <v>0</v>
          </cell>
          <cell r="AA375">
            <v>0</v>
          </cell>
          <cell r="AC375">
            <v>0</v>
          </cell>
          <cell r="AD375">
            <v>0</v>
          </cell>
        </row>
        <row r="376">
          <cell r="S376">
            <v>0</v>
          </cell>
          <cell r="T376">
            <v>0</v>
          </cell>
          <cell r="U376">
            <v>0</v>
          </cell>
          <cell r="V376">
            <v>0</v>
          </cell>
          <cell r="W376">
            <v>0</v>
          </cell>
          <cell r="X376">
            <v>0</v>
          </cell>
          <cell r="Y376">
            <v>0</v>
          </cell>
          <cell r="Z376">
            <v>0</v>
          </cell>
          <cell r="AA376">
            <v>0</v>
          </cell>
          <cell r="AC376">
            <v>0</v>
          </cell>
          <cell r="AD376">
            <v>0</v>
          </cell>
        </row>
        <row r="377">
          <cell r="S377">
            <v>0</v>
          </cell>
          <cell r="T377">
            <v>0</v>
          </cell>
          <cell r="U377">
            <v>0</v>
          </cell>
          <cell r="V377">
            <v>0</v>
          </cell>
          <cell r="W377">
            <v>0</v>
          </cell>
          <cell r="X377">
            <v>0</v>
          </cell>
          <cell r="Y377">
            <v>0</v>
          </cell>
          <cell r="Z377">
            <v>0</v>
          </cell>
          <cell r="AA377">
            <v>0</v>
          </cell>
          <cell r="AC377">
            <v>0</v>
          </cell>
          <cell r="AD377">
            <v>0</v>
          </cell>
        </row>
        <row r="378">
          <cell r="B378">
            <v>14276</v>
          </cell>
          <cell r="C378" t="str">
            <v>INTER UNIT-CHENNAI DIVISION</v>
          </cell>
          <cell r="D378">
            <v>794255577.55999994</v>
          </cell>
          <cell r="E378">
            <v>-1266558839.3</v>
          </cell>
          <cell r="F378">
            <v>1154871990.53</v>
          </cell>
          <cell r="G378">
            <v>-558008723.85000002</v>
          </cell>
          <cell r="H378">
            <v>15209262.67</v>
          </cell>
          <cell r="I378">
            <v>-15209262.67</v>
          </cell>
          <cell r="J378">
            <v>0</v>
          </cell>
          <cell r="K378">
            <v>0</v>
          </cell>
          <cell r="L378">
            <v>73125</v>
          </cell>
          <cell r="M378">
            <v>0</v>
          </cell>
          <cell r="N378">
            <v>0</v>
          </cell>
          <cell r="O378">
            <v>0</v>
          </cell>
          <cell r="P378">
            <v>1964336830.76</v>
          </cell>
          <cell r="Q378">
            <v>-1839776825.8199999</v>
          </cell>
          <cell r="S378">
            <v>-472230136.74000001</v>
          </cell>
          <cell r="T378">
            <v>596863266.67999995</v>
          </cell>
          <cell r="U378">
            <v>-393775717.99000001</v>
          </cell>
          <cell r="V378">
            <v>565796777.28999996</v>
          </cell>
          <cell r="W378">
            <v>-78454418.75</v>
          </cell>
          <cell r="X378">
            <v>31066489.389999986</v>
          </cell>
          <cell r="Y378">
            <v>-472230136.74000001</v>
          </cell>
          <cell r="Z378">
            <v>596863266.67999995</v>
          </cell>
          <cell r="AA378">
            <v>124633129.93999994</v>
          </cell>
          <cell r="AC378">
            <v>14276</v>
          </cell>
          <cell r="AD378">
            <v>0</v>
          </cell>
        </row>
        <row r="379">
          <cell r="S379">
            <v>0</v>
          </cell>
          <cell r="T379">
            <v>0</v>
          </cell>
          <cell r="U379">
            <v>0</v>
          </cell>
          <cell r="V379">
            <v>0</v>
          </cell>
          <cell r="W379">
            <v>0</v>
          </cell>
          <cell r="X379">
            <v>0</v>
          </cell>
          <cell r="Y379">
            <v>0</v>
          </cell>
          <cell r="Z379">
            <v>0</v>
          </cell>
          <cell r="AA379">
            <v>0</v>
          </cell>
          <cell r="AC379">
            <v>0</v>
          </cell>
          <cell r="AD379">
            <v>0</v>
          </cell>
        </row>
        <row r="380">
          <cell r="B380">
            <v>14277</v>
          </cell>
          <cell r="C380" t="str">
            <v>INTER UNIT-DEHARADUN DIVISION</v>
          </cell>
          <cell r="D380">
            <v>150936645.09</v>
          </cell>
          <cell r="E380">
            <v>-174123717.84</v>
          </cell>
          <cell r="F380">
            <v>272876300.38999999</v>
          </cell>
          <cell r="G380">
            <v>-141995833.37</v>
          </cell>
          <cell r="H380">
            <v>0</v>
          </cell>
          <cell r="I380">
            <v>0</v>
          </cell>
          <cell r="J380">
            <v>1256125</v>
          </cell>
          <cell r="K380">
            <v>-97890</v>
          </cell>
          <cell r="L380">
            <v>59095</v>
          </cell>
          <cell r="M380">
            <v>0</v>
          </cell>
          <cell r="N380">
            <v>0</v>
          </cell>
          <cell r="O380">
            <v>0</v>
          </cell>
          <cell r="P380">
            <v>425069070.48000002</v>
          </cell>
          <cell r="Q380">
            <v>-316217441.20999998</v>
          </cell>
          <cell r="S380">
            <v>-23127977.75</v>
          </cell>
          <cell r="T380">
            <v>132038702.01999998</v>
          </cell>
          <cell r="U380">
            <v>-4989652.8899999997</v>
          </cell>
          <cell r="V380">
            <v>173628514.38999999</v>
          </cell>
          <cell r="W380">
            <v>-18138324.859999999</v>
          </cell>
          <cell r="X380">
            <v>-41589812.370000005</v>
          </cell>
          <cell r="Y380">
            <v>-23127977.75</v>
          </cell>
          <cell r="Z380">
            <v>132038702.01999998</v>
          </cell>
          <cell r="AA380">
            <v>108910724.26999998</v>
          </cell>
          <cell r="AC380">
            <v>14277</v>
          </cell>
          <cell r="AD380">
            <v>0</v>
          </cell>
        </row>
        <row r="381">
          <cell r="S381">
            <v>0</v>
          </cell>
          <cell r="T381">
            <v>0</v>
          </cell>
          <cell r="U381">
            <v>0</v>
          </cell>
          <cell r="V381">
            <v>0</v>
          </cell>
          <cell r="W381">
            <v>0</v>
          </cell>
          <cell r="X381">
            <v>0</v>
          </cell>
          <cell r="Y381">
            <v>0</v>
          </cell>
          <cell r="Z381">
            <v>0</v>
          </cell>
          <cell r="AA381">
            <v>0</v>
          </cell>
          <cell r="AC381">
            <v>0</v>
          </cell>
          <cell r="AD381">
            <v>0</v>
          </cell>
        </row>
        <row r="382">
          <cell r="B382">
            <v>14287</v>
          </cell>
          <cell r="C382" t="str">
            <v>DEFFERED TAX (LIAB) (</v>
          </cell>
          <cell r="D382">
            <v>0</v>
          </cell>
          <cell r="E382">
            <v>0</v>
          </cell>
          <cell r="F382">
            <v>0</v>
          </cell>
          <cell r="G382">
            <v>0</v>
          </cell>
          <cell r="H382">
            <v>0</v>
          </cell>
          <cell r="I382">
            <v>0</v>
          </cell>
          <cell r="J382">
            <v>0</v>
          </cell>
          <cell r="K382">
            <v>0</v>
          </cell>
          <cell r="L382">
            <v>6735967</v>
          </cell>
          <cell r="M382">
            <v>-59883833</v>
          </cell>
          <cell r="N382">
            <v>0</v>
          </cell>
          <cell r="O382">
            <v>0</v>
          </cell>
          <cell r="P382">
            <v>0</v>
          </cell>
          <cell r="Q382">
            <v>0</v>
          </cell>
          <cell r="S382">
            <v>-53147866</v>
          </cell>
          <cell r="T382">
            <v>0</v>
          </cell>
          <cell r="U382">
            <v>-46411900</v>
          </cell>
          <cell r="V382">
            <v>0</v>
          </cell>
          <cell r="W382">
            <v>-6735966</v>
          </cell>
          <cell r="X382">
            <v>0</v>
          </cell>
          <cell r="Y382">
            <v>-53147866</v>
          </cell>
          <cell r="Z382">
            <v>0</v>
          </cell>
          <cell r="AA382">
            <v>-53147866</v>
          </cell>
          <cell r="AC382">
            <v>14287</v>
          </cell>
          <cell r="AD382">
            <v>0</v>
          </cell>
        </row>
        <row r="383">
          <cell r="S383">
            <v>0</v>
          </cell>
          <cell r="T383">
            <v>0</v>
          </cell>
          <cell r="U383">
            <v>0</v>
          </cell>
          <cell r="V383">
            <v>0</v>
          </cell>
          <cell r="W383">
            <v>0</v>
          </cell>
          <cell r="X383">
            <v>0</v>
          </cell>
          <cell r="Y383">
            <v>0</v>
          </cell>
          <cell r="Z383">
            <v>0</v>
          </cell>
          <cell r="AA383">
            <v>0</v>
          </cell>
          <cell r="AC383">
            <v>0</v>
          </cell>
          <cell r="AD383">
            <v>0</v>
          </cell>
        </row>
        <row r="384">
          <cell r="B384">
            <v>14288</v>
          </cell>
          <cell r="C384" t="str">
            <v>DEFFERED TAX ASSETS</v>
          </cell>
          <cell r="D384">
            <v>0</v>
          </cell>
          <cell r="E384">
            <v>0</v>
          </cell>
          <cell r="F384">
            <v>0</v>
          </cell>
          <cell r="G384">
            <v>0</v>
          </cell>
          <cell r="H384">
            <v>0</v>
          </cell>
          <cell r="I384">
            <v>0</v>
          </cell>
          <cell r="J384">
            <v>0</v>
          </cell>
          <cell r="K384">
            <v>0</v>
          </cell>
          <cell r="L384">
            <v>11538994</v>
          </cell>
          <cell r="M384">
            <v>0</v>
          </cell>
          <cell r="N384">
            <v>0</v>
          </cell>
          <cell r="O384">
            <v>0</v>
          </cell>
          <cell r="P384">
            <v>0</v>
          </cell>
          <cell r="Q384">
            <v>0</v>
          </cell>
          <cell r="S384">
            <v>11538994</v>
          </cell>
          <cell r="T384">
            <v>0</v>
          </cell>
          <cell r="U384">
            <v>11538994</v>
          </cell>
          <cell r="V384">
            <v>0</v>
          </cell>
          <cell r="W384">
            <v>0</v>
          </cell>
          <cell r="X384">
            <v>0</v>
          </cell>
          <cell r="Y384">
            <v>11538994</v>
          </cell>
          <cell r="Z384">
            <v>0</v>
          </cell>
          <cell r="AA384">
            <v>11538994</v>
          </cell>
          <cell r="AC384">
            <v>14288</v>
          </cell>
          <cell r="AD384">
            <v>0</v>
          </cell>
        </row>
        <row r="385">
          <cell r="S385">
            <v>0</v>
          </cell>
          <cell r="T385">
            <v>0</v>
          </cell>
          <cell r="U385">
            <v>0</v>
          </cell>
          <cell r="V385">
            <v>0</v>
          </cell>
          <cell r="W385">
            <v>0</v>
          </cell>
          <cell r="X385">
            <v>0</v>
          </cell>
          <cell r="Y385">
            <v>0</v>
          </cell>
          <cell r="Z385">
            <v>0</v>
          </cell>
          <cell r="AA385">
            <v>0</v>
          </cell>
          <cell r="AC385">
            <v>0</v>
          </cell>
          <cell r="AD385">
            <v>0</v>
          </cell>
        </row>
        <row r="386">
          <cell r="B386">
            <v>15001</v>
          </cell>
          <cell r="C386" t="str">
            <v>FIXED ASSETS: ()</v>
          </cell>
          <cell r="D386">
            <v>778001</v>
          </cell>
          <cell r="E386">
            <v>-748001</v>
          </cell>
          <cell r="F386">
            <v>361019.35</v>
          </cell>
          <cell r="G386">
            <v>-361019.35</v>
          </cell>
          <cell r="H386">
            <v>0</v>
          </cell>
          <cell r="I386">
            <v>0</v>
          </cell>
          <cell r="J386">
            <v>0</v>
          </cell>
          <cell r="K386">
            <v>0</v>
          </cell>
          <cell r="L386">
            <v>2348546.19</v>
          </cell>
          <cell r="M386">
            <v>-2226446.19</v>
          </cell>
          <cell r="N386">
            <v>0</v>
          </cell>
          <cell r="O386">
            <v>0</v>
          </cell>
          <cell r="P386">
            <v>1139020.3500000001</v>
          </cell>
          <cell r="Q386">
            <v>-1109020.3500000001</v>
          </cell>
          <cell r="S386">
            <v>152100</v>
          </cell>
          <cell r="T386">
            <v>0</v>
          </cell>
          <cell r="U386">
            <v>0</v>
          </cell>
          <cell r="V386">
            <v>0</v>
          </cell>
          <cell r="W386">
            <v>152100</v>
          </cell>
          <cell r="X386">
            <v>0</v>
          </cell>
          <cell r="Y386">
            <v>152100</v>
          </cell>
          <cell r="Z386">
            <v>0</v>
          </cell>
          <cell r="AA386">
            <v>152100</v>
          </cell>
          <cell r="AC386">
            <v>15001</v>
          </cell>
          <cell r="AD386">
            <v>0</v>
          </cell>
        </row>
        <row r="387">
          <cell r="S387">
            <v>0</v>
          </cell>
          <cell r="T387">
            <v>0</v>
          </cell>
          <cell r="U387">
            <v>0</v>
          </cell>
          <cell r="V387">
            <v>0</v>
          </cell>
          <cell r="W387">
            <v>0</v>
          </cell>
          <cell r="X387">
            <v>0</v>
          </cell>
          <cell r="Y387">
            <v>0</v>
          </cell>
          <cell r="Z387">
            <v>0</v>
          </cell>
          <cell r="AA387">
            <v>0</v>
          </cell>
          <cell r="AC387">
            <v>0</v>
          </cell>
          <cell r="AD387">
            <v>0</v>
          </cell>
        </row>
        <row r="388">
          <cell r="B388">
            <v>15008</v>
          </cell>
          <cell r="C388" t="str">
            <v>COMPUTERS (GB)</v>
          </cell>
          <cell r="D388">
            <v>90000</v>
          </cell>
          <cell r="E388">
            <v>-60000</v>
          </cell>
          <cell r="F388">
            <v>30000</v>
          </cell>
          <cell r="G388">
            <v>-30000</v>
          </cell>
          <cell r="H388">
            <v>0</v>
          </cell>
          <cell r="I388">
            <v>0</v>
          </cell>
          <cell r="J388">
            <v>0</v>
          </cell>
          <cell r="K388">
            <v>0</v>
          </cell>
          <cell r="L388">
            <v>0</v>
          </cell>
          <cell r="M388">
            <v>0</v>
          </cell>
          <cell r="N388">
            <v>0</v>
          </cell>
          <cell r="O388">
            <v>0</v>
          </cell>
          <cell r="P388">
            <v>120000</v>
          </cell>
          <cell r="Q388">
            <v>-90000</v>
          </cell>
          <cell r="S388">
            <v>30000</v>
          </cell>
          <cell r="T388">
            <v>0</v>
          </cell>
          <cell r="U388">
            <v>0</v>
          </cell>
          <cell r="V388">
            <v>0</v>
          </cell>
          <cell r="W388">
            <v>30000</v>
          </cell>
          <cell r="X388">
            <v>0</v>
          </cell>
          <cell r="Y388">
            <v>30000</v>
          </cell>
          <cell r="Z388">
            <v>0</v>
          </cell>
          <cell r="AA388">
            <v>30000</v>
          </cell>
          <cell r="AC388">
            <v>15008</v>
          </cell>
          <cell r="AD388">
            <v>0</v>
          </cell>
        </row>
        <row r="389">
          <cell r="S389">
            <v>0</v>
          </cell>
          <cell r="T389">
            <v>0</v>
          </cell>
          <cell r="U389">
            <v>0</v>
          </cell>
          <cell r="V389">
            <v>0</v>
          </cell>
          <cell r="W389">
            <v>0</v>
          </cell>
          <cell r="X389">
            <v>0</v>
          </cell>
          <cell r="Y389">
            <v>0</v>
          </cell>
          <cell r="Z389">
            <v>0</v>
          </cell>
          <cell r="AA389">
            <v>0</v>
          </cell>
          <cell r="AC389">
            <v>0</v>
          </cell>
          <cell r="AD389">
            <v>0</v>
          </cell>
        </row>
        <row r="390">
          <cell r="B390">
            <v>15012</v>
          </cell>
          <cell r="C390" t="str">
            <v>FIXED ASSETS- GROSS BLOCK</v>
          </cell>
          <cell r="D390">
            <v>538321821.90999997</v>
          </cell>
          <cell r="E390">
            <v>-781591.71</v>
          </cell>
          <cell r="F390">
            <v>644591824.71000004</v>
          </cell>
          <cell r="G390">
            <v>-371598.5</v>
          </cell>
          <cell r="H390">
            <v>0</v>
          </cell>
          <cell r="I390">
            <v>0</v>
          </cell>
          <cell r="J390">
            <v>0</v>
          </cell>
          <cell r="K390">
            <v>0</v>
          </cell>
          <cell r="L390">
            <v>2181790.5099999998</v>
          </cell>
          <cell r="M390">
            <v>-1022902.43</v>
          </cell>
          <cell r="N390">
            <v>0</v>
          </cell>
          <cell r="O390">
            <v>0</v>
          </cell>
          <cell r="P390">
            <v>1182913646.6199999</v>
          </cell>
          <cell r="Q390">
            <v>-1153190.21</v>
          </cell>
          <cell r="S390">
            <v>538699118.27999997</v>
          </cell>
          <cell r="T390">
            <v>644220226.21000004</v>
          </cell>
          <cell r="U390">
            <v>538789118.27999997</v>
          </cell>
          <cell r="V390">
            <v>644250226.21000004</v>
          </cell>
          <cell r="W390">
            <v>-90000</v>
          </cell>
          <cell r="X390">
            <v>-30000</v>
          </cell>
          <cell r="Y390">
            <v>538699118.27999997</v>
          </cell>
          <cell r="Z390">
            <v>644220226.21000004</v>
          </cell>
          <cell r="AA390">
            <v>1182919344.49</v>
          </cell>
          <cell r="AC390">
            <v>15012</v>
          </cell>
          <cell r="AD390">
            <v>0</v>
          </cell>
        </row>
        <row r="391">
          <cell r="S391">
            <v>0</v>
          </cell>
          <cell r="T391">
            <v>0</v>
          </cell>
          <cell r="U391">
            <v>0</v>
          </cell>
          <cell r="V391">
            <v>0</v>
          </cell>
          <cell r="W391">
            <v>0</v>
          </cell>
          <cell r="X391">
            <v>0</v>
          </cell>
          <cell r="Y391">
            <v>0</v>
          </cell>
          <cell r="Z391">
            <v>0</v>
          </cell>
          <cell r="AA391">
            <v>0</v>
          </cell>
          <cell r="AC391">
            <v>0</v>
          </cell>
          <cell r="AD391">
            <v>0</v>
          </cell>
        </row>
        <row r="392">
          <cell r="B392">
            <v>15027</v>
          </cell>
          <cell r="C392" t="str">
            <v>ACCUMLATED DEPRECIATION COMPUTERS</v>
          </cell>
          <cell r="D392">
            <v>73271</v>
          </cell>
          <cell r="E392">
            <v>-73271</v>
          </cell>
          <cell r="F392">
            <v>0</v>
          </cell>
          <cell r="G392">
            <v>0</v>
          </cell>
          <cell r="H392">
            <v>0</v>
          </cell>
          <cell r="I392">
            <v>0</v>
          </cell>
          <cell r="J392">
            <v>0</v>
          </cell>
          <cell r="K392">
            <v>0</v>
          </cell>
          <cell r="L392">
            <v>0</v>
          </cell>
          <cell r="M392">
            <v>0</v>
          </cell>
          <cell r="N392">
            <v>0</v>
          </cell>
          <cell r="O392">
            <v>0</v>
          </cell>
          <cell r="P392">
            <v>73271</v>
          </cell>
          <cell r="Q392">
            <v>-73271</v>
          </cell>
          <cell r="S392">
            <v>0</v>
          </cell>
          <cell r="T392">
            <v>0</v>
          </cell>
          <cell r="U392">
            <v>0</v>
          </cell>
          <cell r="V392">
            <v>0</v>
          </cell>
          <cell r="W392">
            <v>0</v>
          </cell>
          <cell r="X392">
            <v>0</v>
          </cell>
          <cell r="Y392">
            <v>0</v>
          </cell>
          <cell r="Z392">
            <v>0</v>
          </cell>
          <cell r="AA392">
            <v>0</v>
          </cell>
          <cell r="AC392">
            <v>15027</v>
          </cell>
          <cell r="AD392">
            <v>0</v>
          </cell>
        </row>
        <row r="393">
          <cell r="S393">
            <v>0</v>
          </cell>
          <cell r="T393">
            <v>0</v>
          </cell>
          <cell r="U393">
            <v>0</v>
          </cell>
          <cell r="V393">
            <v>0</v>
          </cell>
          <cell r="W393">
            <v>0</v>
          </cell>
          <cell r="X393">
            <v>0</v>
          </cell>
          <cell r="Y393">
            <v>0</v>
          </cell>
          <cell r="Z393">
            <v>0</v>
          </cell>
          <cell r="AA393">
            <v>0</v>
          </cell>
          <cell r="AC393">
            <v>0</v>
          </cell>
          <cell r="AD393">
            <v>0</v>
          </cell>
        </row>
        <row r="394">
          <cell r="B394">
            <v>15028</v>
          </cell>
          <cell r="C394" t="str">
            <v>ACCUMLATED DEPRECIATION FURNITURE &amp; FITTINGS</v>
          </cell>
          <cell r="D394">
            <v>18809</v>
          </cell>
          <cell r="E394">
            <v>-18809</v>
          </cell>
          <cell r="F394">
            <v>0</v>
          </cell>
          <cell r="G394">
            <v>0</v>
          </cell>
          <cell r="H394">
            <v>0</v>
          </cell>
          <cell r="I394">
            <v>0</v>
          </cell>
          <cell r="J394">
            <v>0</v>
          </cell>
          <cell r="K394">
            <v>0</v>
          </cell>
          <cell r="L394">
            <v>0</v>
          </cell>
          <cell r="M394">
            <v>0</v>
          </cell>
          <cell r="N394">
            <v>0</v>
          </cell>
          <cell r="O394">
            <v>0</v>
          </cell>
          <cell r="P394">
            <v>18809</v>
          </cell>
          <cell r="Q394">
            <v>-18809</v>
          </cell>
          <cell r="S394">
            <v>0</v>
          </cell>
          <cell r="T394">
            <v>0</v>
          </cell>
          <cell r="U394">
            <v>0</v>
          </cell>
          <cell r="V394">
            <v>0</v>
          </cell>
          <cell r="W394">
            <v>0</v>
          </cell>
          <cell r="X394">
            <v>0</v>
          </cell>
          <cell r="Y394">
            <v>0</v>
          </cell>
          <cell r="Z394">
            <v>0</v>
          </cell>
          <cell r="AA394">
            <v>0</v>
          </cell>
          <cell r="AC394">
            <v>15028</v>
          </cell>
          <cell r="AD394">
            <v>0</v>
          </cell>
        </row>
        <row r="395">
          <cell r="S395">
            <v>0</v>
          </cell>
          <cell r="T395">
            <v>0</v>
          </cell>
          <cell r="U395">
            <v>0</v>
          </cell>
          <cell r="V395">
            <v>0</v>
          </cell>
          <cell r="W395">
            <v>0</v>
          </cell>
          <cell r="X395">
            <v>0</v>
          </cell>
          <cell r="Y395">
            <v>0</v>
          </cell>
          <cell r="Z395">
            <v>0</v>
          </cell>
          <cell r="AA395">
            <v>0</v>
          </cell>
          <cell r="AC395">
            <v>0</v>
          </cell>
          <cell r="AD395">
            <v>0</v>
          </cell>
        </row>
        <row r="396">
          <cell r="B396">
            <v>15031</v>
          </cell>
          <cell r="C396" t="str">
            <v>ACCUMLATED DEPRECIATION</v>
          </cell>
          <cell r="D396">
            <v>702824</v>
          </cell>
          <cell r="E396">
            <v>-237509444.05000001</v>
          </cell>
          <cell r="F396">
            <v>14589</v>
          </cell>
          <cell r="G396">
            <v>-483713021.37</v>
          </cell>
          <cell r="H396">
            <v>0</v>
          </cell>
          <cell r="I396">
            <v>0</v>
          </cell>
          <cell r="J396">
            <v>0</v>
          </cell>
          <cell r="K396">
            <v>0</v>
          </cell>
          <cell r="L396">
            <v>0</v>
          </cell>
          <cell r="M396">
            <v>0</v>
          </cell>
          <cell r="N396">
            <v>0</v>
          </cell>
          <cell r="O396">
            <v>0</v>
          </cell>
          <cell r="P396">
            <v>717413</v>
          </cell>
          <cell r="Q396">
            <v>-721222465.41999996</v>
          </cell>
          <cell r="S396">
            <v>-236806620.05000001</v>
          </cell>
          <cell r="T396">
            <v>-483698432.37</v>
          </cell>
          <cell r="U396">
            <v>-236878777.05000001</v>
          </cell>
          <cell r="V396">
            <v>-483713021.37</v>
          </cell>
          <cell r="W396">
            <v>72157</v>
          </cell>
          <cell r="X396">
            <v>14589</v>
          </cell>
          <cell r="Y396">
            <v>-236806620.05000001</v>
          </cell>
          <cell r="Z396">
            <v>-483698432.37</v>
          </cell>
          <cell r="AA396">
            <v>-720505052.42000008</v>
          </cell>
          <cell r="AC396">
            <v>15031</v>
          </cell>
          <cell r="AD396">
            <v>0</v>
          </cell>
        </row>
        <row r="397">
          <cell r="S397">
            <v>0</v>
          </cell>
          <cell r="T397">
            <v>0</v>
          </cell>
          <cell r="U397">
            <v>0</v>
          </cell>
          <cell r="V397">
            <v>0</v>
          </cell>
          <cell r="W397">
            <v>0</v>
          </cell>
          <cell r="X397">
            <v>0</v>
          </cell>
          <cell r="Y397">
            <v>0</v>
          </cell>
          <cell r="Z397">
            <v>0</v>
          </cell>
          <cell r="AA397">
            <v>0</v>
          </cell>
          <cell r="AC397">
            <v>0</v>
          </cell>
          <cell r="AD397">
            <v>0</v>
          </cell>
        </row>
        <row r="398">
          <cell r="B398">
            <v>15044</v>
          </cell>
          <cell r="C398" t="str">
            <v>CWIP - BUILDLING</v>
          </cell>
          <cell r="D398">
            <v>6085611.9699999997</v>
          </cell>
          <cell r="E398">
            <v>-450000</v>
          </cell>
          <cell r="F398">
            <v>3384992.54</v>
          </cell>
          <cell r="G398">
            <v>-149971.60999999999</v>
          </cell>
          <cell r="H398">
            <v>0</v>
          </cell>
          <cell r="I398">
            <v>0</v>
          </cell>
          <cell r="J398">
            <v>0</v>
          </cell>
          <cell r="K398">
            <v>0</v>
          </cell>
          <cell r="L398">
            <v>0</v>
          </cell>
          <cell r="M398">
            <v>0</v>
          </cell>
          <cell r="N398">
            <v>1235.17</v>
          </cell>
          <cell r="O398">
            <v>-107264.74</v>
          </cell>
          <cell r="P398">
            <v>9471839.6799999997</v>
          </cell>
          <cell r="Q398">
            <v>-707236.35</v>
          </cell>
          <cell r="S398">
            <v>5529582.3999999994</v>
          </cell>
          <cell r="T398">
            <v>3235020.93</v>
          </cell>
          <cell r="U398">
            <v>4680479.97</v>
          </cell>
          <cell r="V398">
            <v>3051700.99</v>
          </cell>
          <cell r="W398">
            <v>849102.4299999997</v>
          </cell>
          <cell r="X398">
            <v>183319.93999999994</v>
          </cell>
          <cell r="Y398">
            <v>5529582.3999999994</v>
          </cell>
          <cell r="Z398">
            <v>3235020.93</v>
          </cell>
          <cell r="AA398">
            <v>8764603.3300000001</v>
          </cell>
          <cell r="AC398">
            <v>15044</v>
          </cell>
          <cell r="AD398">
            <v>0</v>
          </cell>
        </row>
        <row r="399">
          <cell r="S399">
            <v>0</v>
          </cell>
          <cell r="T399">
            <v>0</v>
          </cell>
          <cell r="U399">
            <v>0</v>
          </cell>
          <cell r="V399">
            <v>0</v>
          </cell>
          <cell r="W399">
            <v>0</v>
          </cell>
          <cell r="X399">
            <v>0</v>
          </cell>
          <cell r="Y399">
            <v>0</v>
          </cell>
          <cell r="Z399">
            <v>0</v>
          </cell>
          <cell r="AA399">
            <v>0</v>
          </cell>
          <cell r="AC399">
            <v>0</v>
          </cell>
          <cell r="AD399">
            <v>0</v>
          </cell>
        </row>
        <row r="400">
          <cell r="B400">
            <v>15045</v>
          </cell>
          <cell r="C400" t="str">
            <v>CWIP - PLANT &amp; MACHINERY</v>
          </cell>
          <cell r="D400">
            <v>31310292.530000001</v>
          </cell>
          <cell r="E400">
            <v>-20145185.920000002</v>
          </cell>
          <cell r="F400">
            <v>49937801.32</v>
          </cell>
          <cell r="G400">
            <v>-47812869.399999999</v>
          </cell>
          <cell r="H400">
            <v>0</v>
          </cell>
          <cell r="I400">
            <v>0</v>
          </cell>
          <cell r="J400">
            <v>0</v>
          </cell>
          <cell r="K400">
            <v>0</v>
          </cell>
          <cell r="L400">
            <v>270875</v>
          </cell>
          <cell r="M400">
            <v>-58475</v>
          </cell>
          <cell r="N400">
            <v>104252.38</v>
          </cell>
          <cell r="O400">
            <v>-32758114.890000001</v>
          </cell>
          <cell r="P400">
            <v>81352346.230000004</v>
          </cell>
          <cell r="Q400">
            <v>-100716170.20999999</v>
          </cell>
          <cell r="S400">
            <v>-21276355.899999999</v>
          </cell>
          <cell r="T400">
            <v>2124931.9200000018</v>
          </cell>
          <cell r="U400">
            <v>-200</v>
          </cell>
          <cell r="V400">
            <v>400.17</v>
          </cell>
          <cell r="W400">
            <v>-21276155.899999999</v>
          </cell>
          <cell r="X400">
            <v>2124531.7500000019</v>
          </cell>
          <cell r="Y400">
            <v>-21276355.899999999</v>
          </cell>
          <cell r="Z400">
            <v>2124931.9200000018</v>
          </cell>
          <cell r="AA400">
            <v>-19151423.979999997</v>
          </cell>
          <cell r="AC400">
            <v>15045</v>
          </cell>
          <cell r="AD400">
            <v>0</v>
          </cell>
        </row>
        <row r="401">
          <cell r="S401">
            <v>0</v>
          </cell>
          <cell r="T401">
            <v>0</v>
          </cell>
          <cell r="U401">
            <v>0</v>
          </cell>
          <cell r="V401">
            <v>0</v>
          </cell>
          <cell r="W401">
            <v>0</v>
          </cell>
          <cell r="X401">
            <v>0</v>
          </cell>
          <cell r="Y401">
            <v>0</v>
          </cell>
          <cell r="Z401">
            <v>0</v>
          </cell>
          <cell r="AA401">
            <v>0</v>
          </cell>
          <cell r="AC401">
            <v>0</v>
          </cell>
          <cell r="AD401">
            <v>0</v>
          </cell>
        </row>
        <row r="402">
          <cell r="B402">
            <v>15046</v>
          </cell>
          <cell r="C402" t="str">
            <v>CWIP - COMPUTERS</v>
          </cell>
          <cell r="D402">
            <v>860830.5</v>
          </cell>
          <cell r="E402">
            <v>-291060</v>
          </cell>
          <cell r="F402">
            <v>60393.88</v>
          </cell>
          <cell r="G402">
            <v>0</v>
          </cell>
          <cell r="H402">
            <v>0</v>
          </cell>
          <cell r="I402">
            <v>0</v>
          </cell>
          <cell r="J402">
            <v>0</v>
          </cell>
          <cell r="K402">
            <v>0</v>
          </cell>
          <cell r="L402">
            <v>342401.25</v>
          </cell>
          <cell r="M402">
            <v>-68587.5</v>
          </cell>
          <cell r="N402">
            <v>0</v>
          </cell>
          <cell r="O402">
            <v>-7111.11</v>
          </cell>
          <cell r="P402">
            <v>921224.38</v>
          </cell>
          <cell r="Q402">
            <v>-298171.11</v>
          </cell>
          <cell r="S402">
            <v>836473.14</v>
          </cell>
          <cell r="T402">
            <v>60393.88</v>
          </cell>
          <cell r="U402">
            <v>278870</v>
          </cell>
          <cell r="V402">
            <v>0</v>
          </cell>
          <cell r="W402">
            <v>557603.14</v>
          </cell>
          <cell r="X402">
            <v>60393.88</v>
          </cell>
          <cell r="Y402">
            <v>836473.14</v>
          </cell>
          <cell r="Z402">
            <v>60393.88</v>
          </cell>
          <cell r="AA402">
            <v>896867.02</v>
          </cell>
          <cell r="AC402">
            <v>15046</v>
          </cell>
          <cell r="AD402">
            <v>0</v>
          </cell>
        </row>
        <row r="403">
          <cell r="S403">
            <v>0</v>
          </cell>
          <cell r="T403">
            <v>0</v>
          </cell>
          <cell r="U403">
            <v>0</v>
          </cell>
          <cell r="V403">
            <v>0</v>
          </cell>
          <cell r="W403">
            <v>0</v>
          </cell>
          <cell r="X403">
            <v>0</v>
          </cell>
          <cell r="Y403">
            <v>0</v>
          </cell>
          <cell r="Z403">
            <v>0</v>
          </cell>
          <cell r="AA403">
            <v>0</v>
          </cell>
          <cell r="AC403">
            <v>0</v>
          </cell>
          <cell r="AD403">
            <v>0</v>
          </cell>
        </row>
        <row r="404">
          <cell r="B404">
            <v>15049</v>
          </cell>
          <cell r="C404" t="str">
            <v>CAPITAL ADVANCES</v>
          </cell>
          <cell r="D404">
            <v>1212000</v>
          </cell>
          <cell r="E404">
            <v>-1212000</v>
          </cell>
          <cell r="F404">
            <v>4676295</v>
          </cell>
          <cell r="G404">
            <v>-4541295</v>
          </cell>
          <cell r="H404">
            <v>0</v>
          </cell>
          <cell r="I404">
            <v>0</v>
          </cell>
          <cell r="J404">
            <v>0</v>
          </cell>
          <cell r="K404">
            <v>0</v>
          </cell>
          <cell r="L404">
            <v>0</v>
          </cell>
          <cell r="M404">
            <v>0</v>
          </cell>
          <cell r="N404">
            <v>0</v>
          </cell>
          <cell r="O404">
            <v>0</v>
          </cell>
          <cell r="P404">
            <v>5888295</v>
          </cell>
          <cell r="Q404">
            <v>-5753295</v>
          </cell>
          <cell r="S404">
            <v>0</v>
          </cell>
          <cell r="T404">
            <v>135000</v>
          </cell>
          <cell r="U404">
            <v>1212000</v>
          </cell>
          <cell r="V404">
            <v>4676295</v>
          </cell>
          <cell r="W404">
            <v>-1212000</v>
          </cell>
          <cell r="X404">
            <v>-4541295</v>
          </cell>
          <cell r="Y404">
            <v>0</v>
          </cell>
          <cell r="Z404">
            <v>135000</v>
          </cell>
          <cell r="AA404">
            <v>135000</v>
          </cell>
          <cell r="AC404">
            <v>15049</v>
          </cell>
          <cell r="AD404">
            <v>0</v>
          </cell>
        </row>
        <row r="405">
          <cell r="S405">
            <v>0</v>
          </cell>
          <cell r="T405">
            <v>0</v>
          </cell>
          <cell r="U405">
            <v>0</v>
          </cell>
          <cell r="V405">
            <v>0</v>
          </cell>
          <cell r="W405">
            <v>0</v>
          </cell>
          <cell r="X405">
            <v>0</v>
          </cell>
          <cell r="Y405">
            <v>0</v>
          </cell>
          <cell r="Z405">
            <v>0</v>
          </cell>
          <cell r="AA405">
            <v>0</v>
          </cell>
          <cell r="AC405">
            <v>0</v>
          </cell>
          <cell r="AD405">
            <v>0</v>
          </cell>
        </row>
        <row r="406">
          <cell r="B406">
            <v>15050</v>
          </cell>
          <cell r="C406" t="str">
            <v>CWIP</v>
          </cell>
          <cell r="D406">
            <v>192000</v>
          </cell>
          <cell r="E406">
            <v>-698500</v>
          </cell>
          <cell r="F406">
            <v>14288420.42</v>
          </cell>
          <cell r="G406">
            <v>0</v>
          </cell>
          <cell r="H406">
            <v>0</v>
          </cell>
          <cell r="I406">
            <v>0</v>
          </cell>
          <cell r="J406">
            <v>0</v>
          </cell>
          <cell r="K406">
            <v>0</v>
          </cell>
          <cell r="L406">
            <v>0</v>
          </cell>
          <cell r="M406">
            <v>0</v>
          </cell>
          <cell r="N406">
            <v>0</v>
          </cell>
          <cell r="O406">
            <v>0</v>
          </cell>
          <cell r="P406">
            <v>14480420.42</v>
          </cell>
          <cell r="Q406">
            <v>-698500</v>
          </cell>
          <cell r="S406">
            <v>-506500</v>
          </cell>
          <cell r="T406">
            <v>14288420.42</v>
          </cell>
          <cell r="U406">
            <v>0</v>
          </cell>
          <cell r="V406">
            <v>14227745.42</v>
          </cell>
          <cell r="W406">
            <v>-506500</v>
          </cell>
          <cell r="X406">
            <v>60675</v>
          </cell>
          <cell r="Y406">
            <v>-506500</v>
          </cell>
          <cell r="Z406">
            <v>14288420.42</v>
          </cell>
          <cell r="AA406">
            <v>13781920.42</v>
          </cell>
          <cell r="AC406">
            <v>15050</v>
          </cell>
          <cell r="AD406">
            <v>0</v>
          </cell>
        </row>
        <row r="407">
          <cell r="S407">
            <v>0</v>
          </cell>
          <cell r="T407">
            <v>0</v>
          </cell>
          <cell r="U407">
            <v>0</v>
          </cell>
          <cell r="V407">
            <v>0</v>
          </cell>
          <cell r="W407">
            <v>0</v>
          </cell>
          <cell r="X407">
            <v>0</v>
          </cell>
          <cell r="Y407">
            <v>0</v>
          </cell>
          <cell r="Z407">
            <v>0</v>
          </cell>
          <cell r="AA407">
            <v>0</v>
          </cell>
          <cell r="AC407">
            <v>0</v>
          </cell>
          <cell r="AD407">
            <v>0</v>
          </cell>
        </row>
        <row r="408">
          <cell r="B408">
            <v>15062</v>
          </cell>
          <cell r="C408" t="str">
            <v>INVESTMENTS</v>
          </cell>
          <cell r="D408">
            <v>0</v>
          </cell>
          <cell r="E408">
            <v>0</v>
          </cell>
          <cell r="F408">
            <v>0</v>
          </cell>
          <cell r="G408">
            <v>0</v>
          </cell>
          <cell r="H408">
            <v>0</v>
          </cell>
          <cell r="I408">
            <v>0</v>
          </cell>
          <cell r="J408">
            <v>0</v>
          </cell>
          <cell r="K408">
            <v>0</v>
          </cell>
          <cell r="L408">
            <v>224291975</v>
          </cell>
          <cell r="M408">
            <v>0</v>
          </cell>
          <cell r="N408">
            <v>0</v>
          </cell>
          <cell r="O408">
            <v>0</v>
          </cell>
          <cell r="P408">
            <v>0</v>
          </cell>
          <cell r="Q408">
            <v>0</v>
          </cell>
          <cell r="S408">
            <v>224291975</v>
          </cell>
          <cell r="T408">
            <v>0</v>
          </cell>
          <cell r="U408">
            <v>224291975</v>
          </cell>
          <cell r="V408">
            <v>0</v>
          </cell>
          <cell r="W408">
            <v>0</v>
          </cell>
          <cell r="X408">
            <v>0</v>
          </cell>
          <cell r="Y408">
            <v>224291975</v>
          </cell>
          <cell r="Z408">
            <v>0</v>
          </cell>
          <cell r="AA408">
            <v>224291975</v>
          </cell>
          <cell r="AC408">
            <v>15062</v>
          </cell>
          <cell r="AD408">
            <v>0</v>
          </cell>
        </row>
        <row r="409">
          <cell r="S409">
            <v>0</v>
          </cell>
          <cell r="T409">
            <v>0</v>
          </cell>
          <cell r="U409">
            <v>0</v>
          </cell>
          <cell r="V409">
            <v>0</v>
          </cell>
          <cell r="W409">
            <v>0</v>
          </cell>
          <cell r="X409">
            <v>0</v>
          </cell>
          <cell r="Y409">
            <v>0</v>
          </cell>
          <cell r="Z409">
            <v>0</v>
          </cell>
          <cell r="AA409">
            <v>0</v>
          </cell>
          <cell r="AC409">
            <v>0</v>
          </cell>
          <cell r="AD409">
            <v>0</v>
          </cell>
        </row>
        <row r="410">
          <cell r="B410">
            <v>15071</v>
          </cell>
          <cell r="C410" t="str">
            <v>PURCHASE A/C - STORES, SPARES CONSUMABLES STOCK (BS)</v>
          </cell>
          <cell r="D410">
            <v>133267629.18000001</v>
          </cell>
          <cell r="E410">
            <v>-97432528.040000007</v>
          </cell>
          <cell r="F410">
            <v>66189750.549999997</v>
          </cell>
          <cell r="G410">
            <v>-37954588.100000001</v>
          </cell>
          <cell r="H410">
            <v>1282644</v>
          </cell>
          <cell r="I410">
            <v>-992645.97</v>
          </cell>
          <cell r="J410">
            <v>500308.16</v>
          </cell>
          <cell r="K410">
            <v>-648242.06000000006</v>
          </cell>
          <cell r="L410">
            <v>18531.68</v>
          </cell>
          <cell r="M410">
            <v>0</v>
          </cell>
          <cell r="N410">
            <v>19763801.789999999</v>
          </cell>
          <cell r="O410">
            <v>-26192660.629999999</v>
          </cell>
          <cell r="P410">
            <v>221004133.68000001</v>
          </cell>
          <cell r="Q410">
            <v>-163220664.80000001</v>
          </cell>
          <cell r="S410">
            <v>29424773.98</v>
          </cell>
          <cell r="T410">
            <v>28377226.579999998</v>
          </cell>
          <cell r="U410">
            <v>39270856.079999998</v>
          </cell>
          <cell r="V410">
            <v>17107808.280000001</v>
          </cell>
          <cell r="W410">
            <v>-9846082.0999999978</v>
          </cell>
          <cell r="X410">
            <v>11269418.299999997</v>
          </cell>
          <cell r="Y410">
            <v>-9846082.0999999978</v>
          </cell>
          <cell r="Z410">
            <v>11269418.299999997</v>
          </cell>
          <cell r="AA410">
            <v>1423336.1999999993</v>
          </cell>
          <cell r="AC410">
            <v>15071</v>
          </cell>
          <cell r="AD410">
            <v>0</v>
          </cell>
        </row>
        <row r="411">
          <cell r="S411">
            <v>0</v>
          </cell>
          <cell r="T411">
            <v>0</v>
          </cell>
          <cell r="U411">
            <v>0</v>
          </cell>
          <cell r="V411">
            <v>0</v>
          </cell>
          <cell r="W411">
            <v>0</v>
          </cell>
          <cell r="X411">
            <v>0</v>
          </cell>
          <cell r="Y411">
            <v>0</v>
          </cell>
          <cell r="Z411">
            <v>0</v>
          </cell>
          <cell r="AA411">
            <v>0</v>
          </cell>
          <cell r="AC411">
            <v>0</v>
          </cell>
          <cell r="AD411">
            <v>0</v>
          </cell>
        </row>
        <row r="412">
          <cell r="B412" t="str">
            <v>15071-1</v>
          </cell>
          <cell r="C412" t="str">
            <v>CLOSING STOCK OF STORES SPARES BS (2012-13)</v>
          </cell>
          <cell r="D412">
            <v>40161102</v>
          </cell>
          <cell r="E412">
            <v>-14500226</v>
          </cell>
          <cell r="F412">
            <v>12248982.93</v>
          </cell>
          <cell r="G412">
            <v>-1309337.08</v>
          </cell>
          <cell r="H412">
            <v>0</v>
          </cell>
          <cell r="I412">
            <v>0</v>
          </cell>
          <cell r="J412">
            <v>0</v>
          </cell>
          <cell r="K412">
            <v>0</v>
          </cell>
          <cell r="L412">
            <v>0</v>
          </cell>
          <cell r="M412">
            <v>0</v>
          </cell>
          <cell r="N412">
            <v>0</v>
          </cell>
          <cell r="O412">
            <v>0</v>
          </cell>
          <cell r="P412">
            <v>52410084.93</v>
          </cell>
          <cell r="Q412">
            <v>-15809563.08</v>
          </cell>
          <cell r="S412">
            <v>25660876</v>
          </cell>
          <cell r="T412">
            <v>10939645.85</v>
          </cell>
          <cell r="U412">
            <v>25660876</v>
          </cell>
          <cell r="V412">
            <v>10939645.85</v>
          </cell>
          <cell r="W412">
            <v>0</v>
          </cell>
          <cell r="X412">
            <v>0</v>
          </cell>
          <cell r="Y412">
            <v>25660876</v>
          </cell>
          <cell r="Z412">
            <v>10939645.85</v>
          </cell>
          <cell r="AA412">
            <v>36600521.850000001</v>
          </cell>
          <cell r="AC412" t="str">
            <v>15071-1</v>
          </cell>
          <cell r="AD412" t="e">
            <v>#VALUE!</v>
          </cell>
        </row>
        <row r="413">
          <cell r="S413">
            <v>0</v>
          </cell>
          <cell r="T413">
            <v>0</v>
          </cell>
          <cell r="U413">
            <v>0</v>
          </cell>
          <cell r="V413">
            <v>0</v>
          </cell>
          <cell r="W413">
            <v>0</v>
          </cell>
          <cell r="X413">
            <v>0</v>
          </cell>
          <cell r="Y413">
            <v>0</v>
          </cell>
          <cell r="Z413">
            <v>0</v>
          </cell>
          <cell r="AA413">
            <v>0</v>
          </cell>
          <cell r="AC413">
            <v>0</v>
          </cell>
          <cell r="AD413">
            <v>0</v>
          </cell>
        </row>
        <row r="414">
          <cell r="B414">
            <v>15072</v>
          </cell>
          <cell r="C414" t="str">
            <v>STORES SPARES NOT W/OFF</v>
          </cell>
          <cell r="D414">
            <v>0</v>
          </cell>
          <cell r="E414">
            <v>0</v>
          </cell>
          <cell r="F414">
            <v>257177</v>
          </cell>
          <cell r="G414">
            <v>-90836</v>
          </cell>
          <cell r="H414">
            <v>0</v>
          </cell>
          <cell r="I414">
            <v>0</v>
          </cell>
          <cell r="J414">
            <v>0</v>
          </cell>
          <cell r="K414">
            <v>0</v>
          </cell>
          <cell r="L414">
            <v>0</v>
          </cell>
          <cell r="M414">
            <v>0</v>
          </cell>
          <cell r="N414">
            <v>0</v>
          </cell>
          <cell r="O414">
            <v>0</v>
          </cell>
          <cell r="P414">
            <v>257177</v>
          </cell>
          <cell r="Q414">
            <v>-90836</v>
          </cell>
          <cell r="S414">
            <v>0</v>
          </cell>
          <cell r="T414">
            <v>166341</v>
          </cell>
          <cell r="U414">
            <v>0</v>
          </cell>
          <cell r="V414">
            <v>166341</v>
          </cell>
          <cell r="W414">
            <v>0</v>
          </cell>
          <cell r="X414">
            <v>0</v>
          </cell>
          <cell r="Y414">
            <v>0</v>
          </cell>
          <cell r="Z414">
            <v>166341</v>
          </cell>
          <cell r="AA414">
            <v>166341</v>
          </cell>
          <cell r="AC414">
            <v>15072</v>
          </cell>
          <cell r="AD414">
            <v>0</v>
          </cell>
        </row>
        <row r="415">
          <cell r="S415">
            <v>0</v>
          </cell>
          <cell r="T415">
            <v>0</v>
          </cell>
          <cell r="U415">
            <v>0</v>
          </cell>
          <cell r="V415">
            <v>0</v>
          </cell>
          <cell r="W415">
            <v>0</v>
          </cell>
          <cell r="X415">
            <v>0</v>
          </cell>
          <cell r="Y415">
            <v>0</v>
          </cell>
          <cell r="Z415">
            <v>0</v>
          </cell>
          <cell r="AA415">
            <v>0</v>
          </cell>
          <cell r="AC415">
            <v>0</v>
          </cell>
          <cell r="AD415">
            <v>0</v>
          </cell>
        </row>
        <row r="416">
          <cell r="B416">
            <v>15075</v>
          </cell>
          <cell r="C416" t="str">
            <v>PURCHASE A/C - RAW MATERIALS (BS)</v>
          </cell>
          <cell r="D416">
            <v>687470.36</v>
          </cell>
          <cell r="E416">
            <v>-1146250.04</v>
          </cell>
          <cell r="F416">
            <v>3255393.89</v>
          </cell>
          <cell r="G416">
            <v>0</v>
          </cell>
          <cell r="H416">
            <v>0</v>
          </cell>
          <cell r="I416">
            <v>0</v>
          </cell>
          <cell r="J416">
            <v>0</v>
          </cell>
          <cell r="K416">
            <v>0</v>
          </cell>
          <cell r="L416">
            <v>0</v>
          </cell>
          <cell r="M416">
            <v>0</v>
          </cell>
          <cell r="N416">
            <v>0</v>
          </cell>
          <cell r="O416">
            <v>0</v>
          </cell>
          <cell r="P416">
            <v>3942864.25</v>
          </cell>
          <cell r="Q416">
            <v>-1146250.04</v>
          </cell>
          <cell r="S416">
            <v>-458779.68000000005</v>
          </cell>
          <cell r="T416">
            <v>3255393.89</v>
          </cell>
          <cell r="U416">
            <v>0</v>
          </cell>
          <cell r="V416">
            <v>3140332.97</v>
          </cell>
          <cell r="W416">
            <v>-458779.68000000005</v>
          </cell>
          <cell r="X416">
            <v>115060.91999999993</v>
          </cell>
          <cell r="Y416">
            <v>-458779.68000000005</v>
          </cell>
          <cell r="Z416">
            <v>115060.91999999993</v>
          </cell>
          <cell r="AA416">
            <v>-343718.76000000013</v>
          </cell>
          <cell r="AC416">
            <v>15075</v>
          </cell>
          <cell r="AD416">
            <v>0</v>
          </cell>
        </row>
        <row r="417">
          <cell r="S417">
            <v>0</v>
          </cell>
          <cell r="T417">
            <v>0</v>
          </cell>
          <cell r="U417">
            <v>0</v>
          </cell>
          <cell r="V417">
            <v>0</v>
          </cell>
          <cell r="W417">
            <v>0</v>
          </cell>
          <cell r="X417">
            <v>0</v>
          </cell>
          <cell r="Y417">
            <v>0</v>
          </cell>
          <cell r="Z417">
            <v>0</v>
          </cell>
          <cell r="AA417">
            <v>0</v>
          </cell>
          <cell r="AC417">
            <v>0</v>
          </cell>
          <cell r="AD417">
            <v>0</v>
          </cell>
        </row>
        <row r="418">
          <cell r="B418" t="str">
            <v>15075-1</v>
          </cell>
          <cell r="C418" t="str">
            <v>PURCHASE A/C - RM (STEEL / HDPE ) - BS</v>
          </cell>
          <cell r="D418">
            <v>538677832.26999998</v>
          </cell>
          <cell r="E418">
            <v>-20046502.399999999</v>
          </cell>
          <cell r="F418">
            <v>62090315811.879997</v>
          </cell>
          <cell r="G418">
            <v>-60629597401.32</v>
          </cell>
          <cell r="H418">
            <v>0</v>
          </cell>
          <cell r="I418">
            <v>0</v>
          </cell>
          <cell r="J418">
            <v>47715622.75</v>
          </cell>
          <cell r="K418">
            <v>-47638423.600000001</v>
          </cell>
          <cell r="L418">
            <v>0</v>
          </cell>
          <cell r="M418">
            <v>0</v>
          </cell>
          <cell r="N418">
            <v>138651040.06999999</v>
          </cell>
          <cell r="O418">
            <v>-138548913.15000001</v>
          </cell>
          <cell r="P418">
            <v>62815360306.970001</v>
          </cell>
          <cell r="Q418">
            <v>-60835831240.470001</v>
          </cell>
          <cell r="S418">
            <v>518733456.79000008</v>
          </cell>
          <cell r="T418">
            <v>1460795609.7099977</v>
          </cell>
          <cell r="U418">
            <v>270736485.23000002</v>
          </cell>
          <cell r="V418">
            <v>697411716.70000005</v>
          </cell>
          <cell r="W418">
            <v>247996971.56000006</v>
          </cell>
          <cell r="X418">
            <v>763383893.00999761</v>
          </cell>
          <cell r="Y418">
            <v>247996971.56000006</v>
          </cell>
          <cell r="Z418">
            <v>763383893.00999761</v>
          </cell>
          <cell r="AA418">
            <v>1011380864.5699977</v>
          </cell>
          <cell r="AC418" t="str">
            <v>15075-1</v>
          </cell>
          <cell r="AD418" t="e">
            <v>#VALUE!</v>
          </cell>
        </row>
        <row r="419">
          <cell r="S419">
            <v>0</v>
          </cell>
          <cell r="T419">
            <v>0</v>
          </cell>
          <cell r="U419">
            <v>0</v>
          </cell>
          <cell r="V419">
            <v>0</v>
          </cell>
          <cell r="W419">
            <v>0</v>
          </cell>
          <cell r="X419">
            <v>0</v>
          </cell>
          <cell r="Y419">
            <v>0</v>
          </cell>
          <cell r="Z419">
            <v>0</v>
          </cell>
          <cell r="AA419">
            <v>0</v>
          </cell>
          <cell r="AC419">
            <v>0</v>
          </cell>
          <cell r="AD419">
            <v>0</v>
          </cell>
        </row>
        <row r="420">
          <cell r="B420" t="str">
            <v>15075-2</v>
          </cell>
          <cell r="C420" t="str">
            <v>PURCHASE A/C - RM (GASKET TUBE / MASTER BATCH) - BS</v>
          </cell>
          <cell r="D420">
            <v>12264135.699999999</v>
          </cell>
          <cell r="E420">
            <v>-12264135.699999999</v>
          </cell>
          <cell r="F420">
            <v>28716611.699999999</v>
          </cell>
          <cell r="G420">
            <v>-5922376.3200000003</v>
          </cell>
          <cell r="H420">
            <v>11003.09</v>
          </cell>
          <cell r="I420">
            <v>-11003.09</v>
          </cell>
          <cell r="J420">
            <v>0</v>
          </cell>
          <cell r="K420">
            <v>0</v>
          </cell>
          <cell r="L420">
            <v>0</v>
          </cell>
          <cell r="M420">
            <v>0</v>
          </cell>
          <cell r="N420">
            <v>22901.65</v>
          </cell>
          <cell r="O420">
            <v>-10826.6</v>
          </cell>
          <cell r="P420">
            <v>41014652.140000001</v>
          </cell>
          <cell r="Q420">
            <v>-18208341.710000001</v>
          </cell>
          <cell r="S420">
            <v>12075.050000000001</v>
          </cell>
          <cell r="T420">
            <v>22794235.379999999</v>
          </cell>
          <cell r="U420">
            <v>0</v>
          </cell>
          <cell r="V420">
            <v>11947633.880000001</v>
          </cell>
          <cell r="W420">
            <v>12075.050000000001</v>
          </cell>
          <cell r="X420">
            <v>10846601.499999998</v>
          </cell>
          <cell r="Y420">
            <v>12075.050000000001</v>
          </cell>
          <cell r="Z420">
            <v>10846601.499999998</v>
          </cell>
          <cell r="AA420">
            <v>10858676.549999999</v>
          </cell>
          <cell r="AC420" t="str">
            <v>15075-2</v>
          </cell>
          <cell r="AD420" t="e">
            <v>#VALUE!</v>
          </cell>
        </row>
        <row r="421">
          <cell r="S421">
            <v>0</v>
          </cell>
          <cell r="T421">
            <v>0</v>
          </cell>
          <cell r="U421">
            <v>0</v>
          </cell>
          <cell r="V421">
            <v>0</v>
          </cell>
          <cell r="W421">
            <v>0</v>
          </cell>
          <cell r="X421">
            <v>0</v>
          </cell>
          <cell r="Y421">
            <v>0</v>
          </cell>
          <cell r="Z421">
            <v>0</v>
          </cell>
          <cell r="AA421">
            <v>0</v>
          </cell>
          <cell r="AC421">
            <v>0</v>
          </cell>
          <cell r="AD421">
            <v>0</v>
          </cell>
        </row>
        <row r="422">
          <cell r="B422" t="str">
            <v>15075-3</v>
          </cell>
          <cell r="C422" t="str">
            <v>PURCHASE A/C - RM (TIN PLATE / CO-PP) - BS</v>
          </cell>
          <cell r="D422">
            <v>25606680.82</v>
          </cell>
          <cell r="E422">
            <v>-4960700.09</v>
          </cell>
          <cell r="F422">
            <v>70452429.689999998</v>
          </cell>
          <cell r="G422">
            <v>-6568158.4100000001</v>
          </cell>
          <cell r="H422">
            <v>0</v>
          </cell>
          <cell r="I422">
            <v>0</v>
          </cell>
          <cell r="J422">
            <v>0</v>
          </cell>
          <cell r="K422">
            <v>0</v>
          </cell>
          <cell r="L422">
            <v>0</v>
          </cell>
          <cell r="M422">
            <v>0</v>
          </cell>
          <cell r="N422">
            <v>11069437.460000001</v>
          </cell>
          <cell r="O422">
            <v>-7775279.1900000004</v>
          </cell>
          <cell r="P422">
            <v>107128547.97</v>
          </cell>
          <cell r="Q422">
            <v>-19304137.690000001</v>
          </cell>
          <cell r="S422">
            <v>23940139</v>
          </cell>
          <cell r="T422">
            <v>63884271.280000001</v>
          </cell>
          <cell r="U422">
            <v>10580353.890000001</v>
          </cell>
          <cell r="V422">
            <v>35934909.969999999</v>
          </cell>
          <cell r="W422">
            <v>13359785.109999999</v>
          </cell>
          <cell r="X422">
            <v>27949361.310000002</v>
          </cell>
          <cell r="Y422">
            <v>13359785.109999999</v>
          </cell>
          <cell r="Z422">
            <v>27949361.310000002</v>
          </cell>
          <cell r="AA422">
            <v>41309146.420000002</v>
          </cell>
          <cell r="AC422" t="str">
            <v>15075-3</v>
          </cell>
          <cell r="AD422" t="e">
            <v>#VALUE!</v>
          </cell>
        </row>
        <row r="423">
          <cell r="S423">
            <v>0</v>
          </cell>
          <cell r="T423">
            <v>0</v>
          </cell>
          <cell r="U423">
            <v>0</v>
          </cell>
          <cell r="V423">
            <v>0</v>
          </cell>
          <cell r="W423">
            <v>0</v>
          </cell>
          <cell r="X423">
            <v>0</v>
          </cell>
          <cell r="Y423">
            <v>0</v>
          </cell>
          <cell r="Z423">
            <v>0</v>
          </cell>
          <cell r="AA423">
            <v>0</v>
          </cell>
          <cell r="AC423">
            <v>0</v>
          </cell>
          <cell r="AD423">
            <v>0</v>
          </cell>
        </row>
        <row r="424">
          <cell r="B424" t="str">
            <v>15075-4</v>
          </cell>
          <cell r="C424" t="str">
            <v>PURCHASE A/C - RM (INKS) - BS</v>
          </cell>
          <cell r="D424">
            <v>8461276.3100000005</v>
          </cell>
          <cell r="E424">
            <v>-6493179.9400000004</v>
          </cell>
          <cell r="F424">
            <v>17957579.02</v>
          </cell>
          <cell r="G424">
            <v>-6579642.5599999996</v>
          </cell>
          <cell r="H424">
            <v>0</v>
          </cell>
          <cell r="I424">
            <v>0</v>
          </cell>
          <cell r="J424">
            <v>0.01</v>
          </cell>
          <cell r="K424">
            <v>0</v>
          </cell>
          <cell r="L424">
            <v>0</v>
          </cell>
          <cell r="M424">
            <v>0</v>
          </cell>
          <cell r="N424">
            <v>237274.35</v>
          </cell>
          <cell r="O424">
            <v>-109727.03999999999</v>
          </cell>
          <cell r="P424">
            <v>26656129.690000001</v>
          </cell>
          <cell r="Q424">
            <v>-13182549.539999999</v>
          </cell>
          <cell r="S424">
            <v>2095643.6800000002</v>
          </cell>
          <cell r="T424">
            <v>11377936.470000001</v>
          </cell>
          <cell r="U424">
            <v>1555089.4</v>
          </cell>
          <cell r="V424">
            <v>5936706.3899999997</v>
          </cell>
          <cell r="W424">
            <v>540554.28000000026</v>
          </cell>
          <cell r="X424">
            <v>5441230.080000001</v>
          </cell>
          <cell r="Y424">
            <v>540554.28000000026</v>
          </cell>
          <cell r="Z424">
            <v>5441230.080000001</v>
          </cell>
          <cell r="AA424">
            <v>5981784.3600000013</v>
          </cell>
          <cell r="AC424" t="str">
            <v>15075-4</v>
          </cell>
          <cell r="AD424" t="e">
            <v>#VALUE!</v>
          </cell>
        </row>
        <row r="425">
          <cell r="S425">
            <v>0</v>
          </cell>
          <cell r="T425">
            <v>0</v>
          </cell>
          <cell r="U425">
            <v>0</v>
          </cell>
          <cell r="V425">
            <v>0</v>
          </cell>
          <cell r="W425">
            <v>0</v>
          </cell>
          <cell r="X425">
            <v>0</v>
          </cell>
          <cell r="Y425">
            <v>0</v>
          </cell>
          <cell r="Z425">
            <v>0</v>
          </cell>
          <cell r="AA425">
            <v>0</v>
          </cell>
          <cell r="AC425">
            <v>0</v>
          </cell>
          <cell r="AD425">
            <v>0</v>
          </cell>
        </row>
        <row r="426">
          <cell r="B426" t="str">
            <v>15075-5</v>
          </cell>
          <cell r="C426" t="str">
            <v>PURCHASE A/C - RM (CHEMICALS / ACCESSORIES) - BS</v>
          </cell>
          <cell r="D426">
            <v>40038490.869999997</v>
          </cell>
          <cell r="E426">
            <v>-9864398.4600000009</v>
          </cell>
          <cell r="F426">
            <v>48207830.229999997</v>
          </cell>
          <cell r="G426">
            <v>-16734529.67</v>
          </cell>
          <cell r="H426">
            <v>2526494.4</v>
          </cell>
          <cell r="I426">
            <v>-2535729.08</v>
          </cell>
          <cell r="J426">
            <v>5435493.5199999996</v>
          </cell>
          <cell r="K426">
            <v>-5525104.0199999996</v>
          </cell>
          <cell r="L426">
            <v>0</v>
          </cell>
          <cell r="M426">
            <v>0</v>
          </cell>
          <cell r="N426">
            <v>3011530.72</v>
          </cell>
          <cell r="O426">
            <v>-2609134.38</v>
          </cell>
          <cell r="P426">
            <v>99219839.739999995</v>
          </cell>
          <cell r="Q426">
            <v>-37268895.609999999</v>
          </cell>
          <cell r="S426">
            <v>30576488.749999996</v>
          </cell>
          <cell r="T426">
            <v>31374455.379999992</v>
          </cell>
          <cell r="U426">
            <v>11516094.65</v>
          </cell>
          <cell r="V426">
            <v>15412611.98</v>
          </cell>
          <cell r="W426">
            <v>19060394.099999994</v>
          </cell>
          <cell r="X426">
            <v>15961843.399999991</v>
          </cell>
          <cell r="Y426">
            <v>19060394.099999994</v>
          </cell>
          <cell r="Z426">
            <v>15961843.399999991</v>
          </cell>
          <cell r="AA426">
            <v>35022237.499999985</v>
          </cell>
          <cell r="AC426" t="str">
            <v>15075-5</v>
          </cell>
          <cell r="AD426" t="e">
            <v>#VALUE!</v>
          </cell>
        </row>
        <row r="427">
          <cell r="S427">
            <v>0</v>
          </cell>
          <cell r="T427">
            <v>0</v>
          </cell>
          <cell r="U427">
            <v>0</v>
          </cell>
          <cell r="V427">
            <v>0</v>
          </cell>
          <cell r="W427">
            <v>0</v>
          </cell>
          <cell r="X427">
            <v>0</v>
          </cell>
          <cell r="Y427">
            <v>0</v>
          </cell>
          <cell r="Z427">
            <v>0</v>
          </cell>
          <cell r="AA427">
            <v>0</v>
          </cell>
          <cell r="AC427">
            <v>0</v>
          </cell>
          <cell r="AD427">
            <v>0</v>
          </cell>
        </row>
        <row r="428">
          <cell r="B428" t="str">
            <v>15075-6</v>
          </cell>
          <cell r="C428" t="str">
            <v>PURCHASE A/C - RM (OTHERS) - BS</v>
          </cell>
          <cell r="D428">
            <v>5713497.4199999999</v>
          </cell>
          <cell r="E428">
            <v>-1681524.17</v>
          </cell>
          <cell r="F428">
            <v>0</v>
          </cell>
          <cell r="G428">
            <v>0</v>
          </cell>
          <cell r="H428">
            <v>0</v>
          </cell>
          <cell r="I428">
            <v>0</v>
          </cell>
          <cell r="J428">
            <v>0</v>
          </cell>
          <cell r="K428">
            <v>0</v>
          </cell>
          <cell r="L428">
            <v>0</v>
          </cell>
          <cell r="M428">
            <v>0</v>
          </cell>
          <cell r="N428">
            <v>0</v>
          </cell>
          <cell r="O428">
            <v>-29029.49</v>
          </cell>
          <cell r="P428">
            <v>5713497.4199999999</v>
          </cell>
          <cell r="Q428">
            <v>-1710553.66</v>
          </cell>
          <cell r="S428">
            <v>4002943.76</v>
          </cell>
          <cell r="T428">
            <v>0</v>
          </cell>
          <cell r="U428">
            <v>2358719.7799999998</v>
          </cell>
          <cell r="V428">
            <v>0</v>
          </cell>
          <cell r="W428">
            <v>1644223.98</v>
          </cell>
          <cell r="X428">
            <v>0</v>
          </cell>
          <cell r="Y428">
            <v>1644223.98</v>
          </cell>
          <cell r="Z428">
            <v>0</v>
          </cell>
          <cell r="AA428">
            <v>1644223.98</v>
          </cell>
          <cell r="AC428" t="str">
            <v>15075-6</v>
          </cell>
          <cell r="AD428" t="e">
            <v>#VALUE!</v>
          </cell>
        </row>
        <row r="429">
          <cell r="S429">
            <v>0</v>
          </cell>
          <cell r="T429">
            <v>0</v>
          </cell>
          <cell r="U429">
            <v>0</v>
          </cell>
          <cell r="V429">
            <v>0</v>
          </cell>
          <cell r="W429">
            <v>0</v>
          </cell>
          <cell r="X429">
            <v>0</v>
          </cell>
          <cell r="Y429">
            <v>0</v>
          </cell>
          <cell r="Z429">
            <v>0</v>
          </cell>
          <cell r="AA429">
            <v>0</v>
          </cell>
          <cell r="AC429">
            <v>0</v>
          </cell>
          <cell r="AD429">
            <v>0</v>
          </cell>
        </row>
        <row r="430">
          <cell r="B430" t="str">
            <v>15075-7</v>
          </cell>
          <cell r="C430" t="str">
            <v>PURCHASE A/C - RM (PURCHASE+PROCESS) - BS</v>
          </cell>
          <cell r="D430">
            <v>108735579.06999999</v>
          </cell>
          <cell r="E430">
            <v>-7330667.29</v>
          </cell>
          <cell r="F430">
            <v>3995744.8</v>
          </cell>
          <cell r="G430">
            <v>-143325</v>
          </cell>
          <cell r="H430">
            <v>0</v>
          </cell>
          <cell r="I430">
            <v>0</v>
          </cell>
          <cell r="J430">
            <v>0</v>
          </cell>
          <cell r="K430">
            <v>0</v>
          </cell>
          <cell r="L430">
            <v>0</v>
          </cell>
          <cell r="M430">
            <v>0</v>
          </cell>
          <cell r="N430">
            <v>819573.98</v>
          </cell>
          <cell r="O430">
            <v>-819351.1</v>
          </cell>
          <cell r="P430">
            <v>113550897.84999999</v>
          </cell>
          <cell r="Q430">
            <v>-8293343.3899999997</v>
          </cell>
          <cell r="S430">
            <v>101405134.66</v>
          </cell>
          <cell r="T430">
            <v>3852419.8</v>
          </cell>
          <cell r="U430">
            <v>49537144.759999998</v>
          </cell>
          <cell r="V430">
            <v>288569.5</v>
          </cell>
          <cell r="W430">
            <v>51867989.899999999</v>
          </cell>
          <cell r="X430">
            <v>3563850.3</v>
          </cell>
          <cell r="Y430">
            <v>51867989.899999999</v>
          </cell>
          <cell r="Z430">
            <v>3563850.3</v>
          </cell>
          <cell r="AA430">
            <v>55431840.199999996</v>
          </cell>
          <cell r="AC430" t="str">
            <v>15075-7</v>
          </cell>
          <cell r="AD430" t="e">
            <v>#VALUE!</v>
          </cell>
        </row>
        <row r="431">
          <cell r="S431">
            <v>0</v>
          </cell>
          <cell r="T431">
            <v>0</v>
          </cell>
          <cell r="U431">
            <v>0</v>
          </cell>
          <cell r="V431">
            <v>0</v>
          </cell>
          <cell r="W431">
            <v>0</v>
          </cell>
          <cell r="X431">
            <v>0</v>
          </cell>
          <cell r="Y431">
            <v>0</v>
          </cell>
          <cell r="Z431">
            <v>0</v>
          </cell>
          <cell r="AA431">
            <v>0</v>
          </cell>
          <cell r="AC431">
            <v>0</v>
          </cell>
          <cell r="AD431">
            <v>0</v>
          </cell>
        </row>
        <row r="432">
          <cell r="B432">
            <v>15076</v>
          </cell>
          <cell r="C432" t="str">
            <v>CLOSING STOCK OF RAW MATERIALS (BS 2012-13)</v>
          </cell>
          <cell r="D432">
            <v>22887534</v>
          </cell>
          <cell r="E432">
            <v>-1056372</v>
          </cell>
          <cell r="F432">
            <v>35761742.840000004</v>
          </cell>
          <cell r="G432">
            <v>0</v>
          </cell>
          <cell r="H432">
            <v>0</v>
          </cell>
          <cell r="I432">
            <v>0</v>
          </cell>
          <cell r="J432">
            <v>0</v>
          </cell>
          <cell r="K432">
            <v>0</v>
          </cell>
          <cell r="L432">
            <v>0</v>
          </cell>
          <cell r="M432">
            <v>0</v>
          </cell>
          <cell r="N432">
            <v>0</v>
          </cell>
          <cell r="O432">
            <v>0</v>
          </cell>
          <cell r="P432">
            <v>58649276.840000004</v>
          </cell>
          <cell r="Q432">
            <v>-1056372</v>
          </cell>
          <cell r="S432">
            <v>21831162</v>
          </cell>
          <cell r="T432">
            <v>35761742.840000004</v>
          </cell>
          <cell r="U432">
            <v>21831162</v>
          </cell>
          <cell r="V432">
            <v>35761742.840000004</v>
          </cell>
          <cell r="W432">
            <v>0</v>
          </cell>
          <cell r="X432">
            <v>0</v>
          </cell>
          <cell r="Y432">
            <v>21831162</v>
          </cell>
          <cell r="Z432">
            <v>35761742.840000004</v>
          </cell>
          <cell r="AA432">
            <v>57592904.840000004</v>
          </cell>
          <cell r="AC432">
            <v>15076</v>
          </cell>
          <cell r="AD432">
            <v>0</v>
          </cell>
        </row>
        <row r="433">
          <cell r="S433">
            <v>0</v>
          </cell>
          <cell r="T433">
            <v>0</v>
          </cell>
          <cell r="U433">
            <v>0</v>
          </cell>
          <cell r="V433">
            <v>0</v>
          </cell>
          <cell r="W433">
            <v>0</v>
          </cell>
          <cell r="X433">
            <v>0</v>
          </cell>
          <cell r="Y433">
            <v>0</v>
          </cell>
          <cell r="Z433">
            <v>0</v>
          </cell>
          <cell r="AA433">
            <v>0</v>
          </cell>
          <cell r="AC433">
            <v>0</v>
          </cell>
          <cell r="AD433">
            <v>0</v>
          </cell>
        </row>
        <row r="434">
          <cell r="B434">
            <v>15078</v>
          </cell>
          <cell r="C434" t="str">
            <v>PURCHASE, PACKING SLIP (PENDING GRN)(NET OFF WITH 15429)</v>
          </cell>
          <cell r="D434">
            <v>795019608.78999996</v>
          </cell>
          <cell r="E434">
            <v>-792681070.59000003</v>
          </cell>
          <cell r="F434">
            <v>23634781770.009998</v>
          </cell>
          <cell r="G434">
            <v>-23559613227.720001</v>
          </cell>
          <cell r="H434">
            <v>35514003.289999999</v>
          </cell>
          <cell r="I434">
            <v>-35514003.289999999</v>
          </cell>
          <cell r="J434">
            <v>169538.74</v>
          </cell>
          <cell r="K434">
            <v>-169538.74</v>
          </cell>
          <cell r="L434">
            <v>235743.96</v>
          </cell>
          <cell r="M434">
            <v>-235743.96</v>
          </cell>
          <cell r="N434">
            <v>0</v>
          </cell>
          <cell r="O434">
            <v>0</v>
          </cell>
          <cell r="P434">
            <v>24465484920.830002</v>
          </cell>
          <cell r="Q434">
            <v>-24387977840.34</v>
          </cell>
          <cell r="S434">
            <v>2338538.1999999285</v>
          </cell>
          <cell r="T434">
            <v>75168542.289997101</v>
          </cell>
          <cell r="U434">
            <v>299090.02</v>
          </cell>
          <cell r="V434">
            <v>22692</v>
          </cell>
          <cell r="W434">
            <v>2039448.1799999285</v>
          </cell>
          <cell r="X434">
            <v>75145850.289997101</v>
          </cell>
          <cell r="Y434">
            <v>2338538.1999999285</v>
          </cell>
          <cell r="Z434">
            <v>75168542.289997101</v>
          </cell>
          <cell r="AA434">
            <v>77507080.489997029</v>
          </cell>
          <cell r="AC434">
            <v>15078</v>
          </cell>
          <cell r="AD434">
            <v>0</v>
          </cell>
        </row>
        <row r="435">
          <cell r="S435">
            <v>0</v>
          </cell>
          <cell r="T435">
            <v>0</v>
          </cell>
          <cell r="U435">
            <v>0</v>
          </cell>
          <cell r="V435">
            <v>0</v>
          </cell>
          <cell r="W435">
            <v>0</v>
          </cell>
          <cell r="X435">
            <v>0</v>
          </cell>
          <cell r="Y435">
            <v>0</v>
          </cell>
          <cell r="Z435">
            <v>0</v>
          </cell>
          <cell r="AA435">
            <v>0</v>
          </cell>
          <cell r="AC435">
            <v>0</v>
          </cell>
          <cell r="AD435">
            <v>0</v>
          </cell>
        </row>
        <row r="436">
          <cell r="B436">
            <v>15089</v>
          </cell>
          <cell r="C436" t="str">
            <v>GOODS-IN-TRANSIT (FG)</v>
          </cell>
          <cell r="D436">
            <v>772217076.38999999</v>
          </cell>
          <cell r="E436">
            <v>-771323964.36000001</v>
          </cell>
          <cell r="F436">
            <v>1875794556.3499999</v>
          </cell>
          <cell r="G436">
            <v>-1872005917.77</v>
          </cell>
          <cell r="H436">
            <v>0</v>
          </cell>
          <cell r="I436">
            <v>0</v>
          </cell>
          <cell r="J436">
            <v>0</v>
          </cell>
          <cell r="K436">
            <v>0</v>
          </cell>
          <cell r="L436">
            <v>0</v>
          </cell>
          <cell r="M436">
            <v>0</v>
          </cell>
          <cell r="N436">
            <v>239972</v>
          </cell>
          <cell r="O436">
            <v>-239972</v>
          </cell>
          <cell r="P436">
            <v>2648251604.7399998</v>
          </cell>
          <cell r="Q436">
            <v>-2643569854.1300001</v>
          </cell>
          <cell r="S436">
            <v>893112.02999997139</v>
          </cell>
          <cell r="T436">
            <v>3788638.5799999237</v>
          </cell>
          <cell r="U436">
            <v>0</v>
          </cell>
          <cell r="V436">
            <v>0</v>
          </cell>
          <cell r="W436">
            <v>893112.02999997139</v>
          </cell>
          <cell r="X436">
            <v>3788638.5799999237</v>
          </cell>
          <cell r="Y436">
            <v>893112.02999997139</v>
          </cell>
          <cell r="Z436">
            <v>3788638.5799999237</v>
          </cell>
          <cell r="AA436">
            <v>4681750.6099998951</v>
          </cell>
          <cell r="AC436">
            <v>15089</v>
          </cell>
          <cell r="AD436">
            <v>0</v>
          </cell>
        </row>
        <row r="437">
          <cell r="S437">
            <v>0</v>
          </cell>
          <cell r="T437">
            <v>0</v>
          </cell>
          <cell r="U437">
            <v>0</v>
          </cell>
          <cell r="V437">
            <v>0</v>
          </cell>
          <cell r="W437">
            <v>0</v>
          </cell>
          <cell r="X437">
            <v>0</v>
          </cell>
          <cell r="Y437">
            <v>0</v>
          </cell>
          <cell r="Z437">
            <v>0</v>
          </cell>
          <cell r="AA437">
            <v>0</v>
          </cell>
          <cell r="AC437">
            <v>0</v>
          </cell>
          <cell r="AD437">
            <v>0</v>
          </cell>
        </row>
        <row r="438">
          <cell r="B438">
            <v>15090</v>
          </cell>
          <cell r="C438" t="str">
            <v>GOODS-IN-TRANSIT (RM)</v>
          </cell>
          <cell r="D438">
            <v>1795495096.1099999</v>
          </cell>
          <cell r="E438">
            <v>-1794831831.96</v>
          </cell>
          <cell r="F438">
            <v>3295678108.9099998</v>
          </cell>
          <cell r="G438">
            <v>-3105642112.8499999</v>
          </cell>
          <cell r="H438">
            <v>1382638.29</v>
          </cell>
          <cell r="I438">
            <v>-1382638.29</v>
          </cell>
          <cell r="J438">
            <v>519470.67</v>
          </cell>
          <cell r="K438">
            <v>-519470.67</v>
          </cell>
          <cell r="L438">
            <v>0</v>
          </cell>
          <cell r="M438">
            <v>0</v>
          </cell>
          <cell r="N438">
            <v>738119.91</v>
          </cell>
          <cell r="O438">
            <v>-395717.78</v>
          </cell>
          <cell r="P438">
            <v>5093813433.8900003</v>
          </cell>
          <cell r="Q438">
            <v>-4902771771.5500002</v>
          </cell>
          <cell r="S438">
            <v>1005666.2799998571</v>
          </cell>
          <cell r="T438">
            <v>190035996.05999994</v>
          </cell>
          <cell r="U438">
            <v>0</v>
          </cell>
          <cell r="V438">
            <v>7724825.5</v>
          </cell>
          <cell r="W438">
            <v>1005666.2799998571</v>
          </cell>
          <cell r="X438">
            <v>182311170.55999994</v>
          </cell>
          <cell r="Y438">
            <v>1005666.2799998571</v>
          </cell>
          <cell r="Z438">
            <v>190035996.05999994</v>
          </cell>
          <cell r="AA438">
            <v>191041662.33999979</v>
          </cell>
          <cell r="AC438">
            <v>15090</v>
          </cell>
          <cell r="AD438">
            <v>0</v>
          </cell>
        </row>
        <row r="439">
          <cell r="S439">
            <v>0</v>
          </cell>
          <cell r="T439">
            <v>0</v>
          </cell>
          <cell r="U439">
            <v>0</v>
          </cell>
          <cell r="V439">
            <v>0</v>
          </cell>
          <cell r="W439">
            <v>0</v>
          </cell>
          <cell r="X439">
            <v>0</v>
          </cell>
          <cell r="Y439">
            <v>0</v>
          </cell>
          <cell r="Z439">
            <v>0</v>
          </cell>
          <cell r="AA439">
            <v>0</v>
          </cell>
          <cell r="AC439">
            <v>0</v>
          </cell>
          <cell r="AD439">
            <v>0</v>
          </cell>
        </row>
        <row r="440">
          <cell r="B440">
            <v>15091</v>
          </cell>
          <cell r="C440" t="str">
            <v>TRANSFER ISSUE/RECEIPT A/C (GIT) RM</v>
          </cell>
          <cell r="D440">
            <v>1116871875.5599999</v>
          </cell>
          <cell r="E440">
            <v>-1117940428.9000001</v>
          </cell>
          <cell r="F440">
            <v>3213970868.1199999</v>
          </cell>
          <cell r="G440">
            <v>-3328651277.8899999</v>
          </cell>
          <cell r="H440">
            <v>1295326.25</v>
          </cell>
          <cell r="I440">
            <v>-1419998.25</v>
          </cell>
          <cell r="J440">
            <v>357150.59</v>
          </cell>
          <cell r="K440">
            <v>-357150.59</v>
          </cell>
          <cell r="L440">
            <v>0</v>
          </cell>
          <cell r="M440">
            <v>0</v>
          </cell>
          <cell r="N440">
            <v>395717.78</v>
          </cell>
          <cell r="O440">
            <v>-738119.91</v>
          </cell>
          <cell r="P440">
            <v>4332890938.3000002</v>
          </cell>
          <cell r="Q440">
            <v>-4449106975.54</v>
          </cell>
          <cell r="S440">
            <v>-1410955.4700001525</v>
          </cell>
          <cell r="T440">
            <v>-114805081.76999998</v>
          </cell>
          <cell r="U440">
            <v>0</v>
          </cell>
          <cell r="V440">
            <v>0</v>
          </cell>
          <cell r="W440">
            <v>-1410955.4700001525</v>
          </cell>
          <cell r="X440">
            <v>-114805081.76999998</v>
          </cell>
          <cell r="Y440">
            <v>-1410955.4700001525</v>
          </cell>
          <cell r="Z440">
            <v>-114805081.76999998</v>
          </cell>
          <cell r="AA440">
            <v>-116216037.24000013</v>
          </cell>
          <cell r="AC440">
            <v>15091</v>
          </cell>
          <cell r="AD440">
            <v>0</v>
          </cell>
        </row>
        <row r="441">
          <cell r="S441">
            <v>0</v>
          </cell>
          <cell r="T441">
            <v>0</v>
          </cell>
          <cell r="U441">
            <v>0</v>
          </cell>
          <cell r="V441">
            <v>0</v>
          </cell>
          <cell r="W441">
            <v>0</v>
          </cell>
          <cell r="X441">
            <v>0</v>
          </cell>
          <cell r="Y441">
            <v>0</v>
          </cell>
          <cell r="Z441">
            <v>0</v>
          </cell>
          <cell r="AA441">
            <v>0</v>
          </cell>
          <cell r="AC441">
            <v>0</v>
          </cell>
          <cell r="AD441">
            <v>0</v>
          </cell>
        </row>
        <row r="442">
          <cell r="B442">
            <v>15092</v>
          </cell>
          <cell r="C442" t="str">
            <v>UNREALISED PROFIT/LOSS ON TRANSFER</v>
          </cell>
          <cell r="D442">
            <v>802642683.87</v>
          </cell>
          <cell r="E442">
            <v>-791695554.37</v>
          </cell>
          <cell r="F442">
            <v>764149615.41999996</v>
          </cell>
          <cell r="G442">
            <v>-771813523.53999996</v>
          </cell>
          <cell r="H442">
            <v>124672.04</v>
          </cell>
          <cell r="I442">
            <v>-0.04</v>
          </cell>
          <cell r="J442">
            <v>205203.72</v>
          </cell>
          <cell r="K442">
            <v>-205203.72</v>
          </cell>
          <cell r="L442">
            <v>0</v>
          </cell>
          <cell r="M442">
            <v>0</v>
          </cell>
          <cell r="N442">
            <v>0</v>
          </cell>
          <cell r="O442">
            <v>0</v>
          </cell>
          <cell r="P442">
            <v>1567122175.05</v>
          </cell>
          <cell r="Q442">
            <v>-1563714281.6700001</v>
          </cell>
          <cell r="S442">
            <v>10947129.5</v>
          </cell>
          <cell r="T442">
            <v>-7539236.1200000048</v>
          </cell>
          <cell r="U442">
            <v>0</v>
          </cell>
          <cell r="V442">
            <v>0</v>
          </cell>
          <cell r="W442">
            <v>10947129.5</v>
          </cell>
          <cell r="X442">
            <v>-7539236.1200000048</v>
          </cell>
          <cell r="Y442">
            <v>10947129.5</v>
          </cell>
          <cell r="Z442">
            <v>-7539236.1200000048</v>
          </cell>
          <cell r="AA442">
            <v>3407893.3799999952</v>
          </cell>
          <cell r="AC442">
            <v>15092</v>
          </cell>
          <cell r="AD442">
            <v>0</v>
          </cell>
        </row>
        <row r="443">
          <cell r="S443">
            <v>0</v>
          </cell>
          <cell r="T443">
            <v>0</v>
          </cell>
          <cell r="U443">
            <v>0</v>
          </cell>
          <cell r="V443">
            <v>0</v>
          </cell>
          <cell r="W443">
            <v>0</v>
          </cell>
          <cell r="X443">
            <v>0</v>
          </cell>
          <cell r="Y443">
            <v>0</v>
          </cell>
          <cell r="Z443">
            <v>0</v>
          </cell>
          <cell r="AA443">
            <v>0</v>
          </cell>
          <cell r="AC443">
            <v>0</v>
          </cell>
          <cell r="AD443">
            <v>0</v>
          </cell>
        </row>
        <row r="444">
          <cell r="B444">
            <v>15095</v>
          </cell>
          <cell r="C444" t="str">
            <v>TRANSFER ISSUE/RECEIPT A/C (GIT) FG</v>
          </cell>
          <cell r="D444">
            <v>698791356.30999994</v>
          </cell>
          <cell r="E444">
            <v>-710216314.63</v>
          </cell>
          <cell r="F444">
            <v>2149064884.4200001</v>
          </cell>
          <cell r="G444">
            <v>-2156159578.3299999</v>
          </cell>
          <cell r="H444">
            <v>366.72</v>
          </cell>
          <cell r="I444">
            <v>-366.72</v>
          </cell>
          <cell r="J444">
            <v>0</v>
          </cell>
          <cell r="K444">
            <v>0</v>
          </cell>
          <cell r="L444">
            <v>0</v>
          </cell>
          <cell r="M444">
            <v>0</v>
          </cell>
          <cell r="N444">
            <v>239972</v>
          </cell>
          <cell r="O444">
            <v>-239972</v>
          </cell>
          <cell r="P444">
            <v>2848096579.4499998</v>
          </cell>
          <cell r="Q444">
            <v>-2866616231.6799998</v>
          </cell>
          <cell r="S444">
            <v>-11424958.320000052</v>
          </cell>
          <cell r="T444">
            <v>-7094693.9099998474</v>
          </cell>
          <cell r="U444">
            <v>0</v>
          </cell>
          <cell r="V444">
            <v>0</v>
          </cell>
          <cell r="W444">
            <v>-11424958.320000052</v>
          </cell>
          <cell r="X444">
            <v>-7094693.9099998474</v>
          </cell>
          <cell r="Y444">
            <v>-11424958.320000052</v>
          </cell>
          <cell r="Z444">
            <v>-7094693.9099998474</v>
          </cell>
          <cell r="AA444">
            <v>-18519652.2299999</v>
          </cell>
          <cell r="AC444">
            <v>15095</v>
          </cell>
          <cell r="AD444">
            <v>0</v>
          </cell>
        </row>
        <row r="445">
          <cell r="S445">
            <v>0</v>
          </cell>
          <cell r="T445">
            <v>0</v>
          </cell>
          <cell r="U445">
            <v>0</v>
          </cell>
          <cell r="V445">
            <v>0</v>
          </cell>
          <cell r="W445">
            <v>0</v>
          </cell>
          <cell r="X445">
            <v>0</v>
          </cell>
          <cell r="Y445">
            <v>0</v>
          </cell>
          <cell r="Z445">
            <v>0</v>
          </cell>
          <cell r="AA445">
            <v>0</v>
          </cell>
          <cell r="AC445">
            <v>0</v>
          </cell>
          <cell r="AD445">
            <v>0</v>
          </cell>
        </row>
        <row r="446">
          <cell r="E446" t="str">
            <v>SDCT</v>
          </cell>
          <cell r="F446" t="str">
            <v>PCDT</v>
          </cell>
          <cell r="G446" t="str">
            <v>PCDC</v>
          </cell>
          <cell r="I446" t="str">
            <v>PCDN</v>
          </cell>
          <cell r="K446" t="str">
            <v>CORP</v>
          </cell>
          <cell r="M446" t="str">
            <v>OTHER</v>
          </cell>
          <cell r="O446" t="str">
            <v>TOTAL</v>
          </cell>
          <cell r="U446">
            <v>0</v>
          </cell>
          <cell r="V446">
            <v>0</v>
          </cell>
          <cell r="W446">
            <v>0</v>
          </cell>
          <cell r="X446">
            <v>0</v>
          </cell>
          <cell r="Y446">
            <v>0</v>
          </cell>
          <cell r="Z446">
            <v>0</v>
          </cell>
          <cell r="AA446">
            <v>0</v>
          </cell>
          <cell r="AC446">
            <v>0</v>
          </cell>
          <cell r="AD446">
            <v>0</v>
          </cell>
        </row>
        <row r="447">
          <cell r="B447" t="str">
            <v>GL CODE</v>
          </cell>
          <cell r="C447" t="str">
            <v>ACCOUNT HEAD</v>
          </cell>
          <cell r="S447">
            <v>0</v>
          </cell>
          <cell r="T447">
            <v>0</v>
          </cell>
          <cell r="U447" t="str">
            <v>SDCT</v>
          </cell>
          <cell r="V447" t="str">
            <v>PCDT</v>
          </cell>
          <cell r="AA447">
            <v>0</v>
          </cell>
          <cell r="AC447">
            <v>0</v>
          </cell>
          <cell r="AD447" t="e">
            <v>#VALUE!</v>
          </cell>
        </row>
        <row r="448">
          <cell r="S448">
            <v>0</v>
          </cell>
          <cell r="T448">
            <v>0</v>
          </cell>
          <cell r="U448">
            <v>0</v>
          </cell>
          <cell r="V448">
            <v>0</v>
          </cell>
          <cell r="W448">
            <v>0</v>
          </cell>
          <cell r="X448">
            <v>0</v>
          </cell>
          <cell r="Y448">
            <v>0</v>
          </cell>
          <cell r="Z448">
            <v>0</v>
          </cell>
          <cell r="AA448">
            <v>0</v>
          </cell>
          <cell r="AC448">
            <v>0</v>
          </cell>
          <cell r="AD448">
            <v>0</v>
          </cell>
        </row>
        <row r="449">
          <cell r="D449" t="str">
            <v>DR.</v>
          </cell>
          <cell r="E449" t="str">
            <v>CR.</v>
          </cell>
          <cell r="F449" t="str">
            <v>DR.</v>
          </cell>
          <cell r="G449" t="str">
            <v>CR.</v>
          </cell>
          <cell r="H449" t="str">
            <v>DR.</v>
          </cell>
          <cell r="I449" t="str">
            <v>CR.</v>
          </cell>
          <cell r="J449" t="str">
            <v>DR.</v>
          </cell>
          <cell r="K449" t="str">
            <v>CR.</v>
          </cell>
          <cell r="L449" t="str">
            <v>DR.</v>
          </cell>
          <cell r="M449" t="str">
            <v>CR.</v>
          </cell>
          <cell r="N449" t="str">
            <v>DR.</v>
          </cell>
          <cell r="O449" t="str">
            <v>CR.</v>
          </cell>
          <cell r="P449" t="str">
            <v>DR.</v>
          </cell>
          <cell r="Q449" t="str">
            <v>CR.</v>
          </cell>
          <cell r="U449">
            <v>0</v>
          </cell>
          <cell r="V449">
            <v>0</v>
          </cell>
          <cell r="W449">
            <v>0</v>
          </cell>
          <cell r="X449">
            <v>0</v>
          </cell>
          <cell r="Y449">
            <v>0</v>
          </cell>
          <cell r="Z449">
            <v>0</v>
          </cell>
          <cell r="AA449">
            <v>0</v>
          </cell>
          <cell r="AC449">
            <v>0</v>
          </cell>
          <cell r="AD449">
            <v>0</v>
          </cell>
        </row>
        <row r="450">
          <cell r="S450">
            <v>0</v>
          </cell>
          <cell r="T450">
            <v>0</v>
          </cell>
          <cell r="U450">
            <v>0</v>
          </cell>
          <cell r="V450">
            <v>0</v>
          </cell>
          <cell r="W450">
            <v>0</v>
          </cell>
          <cell r="X450">
            <v>0</v>
          </cell>
          <cell r="Y450">
            <v>0</v>
          </cell>
          <cell r="Z450">
            <v>0</v>
          </cell>
          <cell r="AA450">
            <v>0</v>
          </cell>
          <cell r="AC450">
            <v>0</v>
          </cell>
          <cell r="AD450">
            <v>0</v>
          </cell>
        </row>
        <row r="451">
          <cell r="S451">
            <v>0</v>
          </cell>
          <cell r="T451">
            <v>0</v>
          </cell>
          <cell r="U451">
            <v>0</v>
          </cell>
          <cell r="V451">
            <v>0</v>
          </cell>
          <cell r="W451">
            <v>0</v>
          </cell>
          <cell r="X451">
            <v>0</v>
          </cell>
          <cell r="Y451">
            <v>0</v>
          </cell>
          <cell r="Z451">
            <v>0</v>
          </cell>
          <cell r="AA451">
            <v>0</v>
          </cell>
          <cell r="AC451">
            <v>0</v>
          </cell>
          <cell r="AD451">
            <v>0</v>
          </cell>
        </row>
        <row r="452">
          <cell r="B452">
            <v>15099</v>
          </cell>
          <cell r="C452" t="str">
            <v>PURCHASE A/C - PACKING MATERIALS STOCK (BS)</v>
          </cell>
          <cell r="D452">
            <v>33291615.629999999</v>
          </cell>
          <cell r="E452">
            <v>-9903680.8399999999</v>
          </cell>
          <cell r="F452">
            <v>19875809.289999999</v>
          </cell>
          <cell r="G452">
            <v>-8594611.1199999992</v>
          </cell>
          <cell r="H452">
            <v>3176.54</v>
          </cell>
          <cell r="I452">
            <v>-3168.93</v>
          </cell>
          <cell r="J452">
            <v>6294.59</v>
          </cell>
          <cell r="K452">
            <v>-6294.59</v>
          </cell>
          <cell r="L452">
            <v>0</v>
          </cell>
          <cell r="M452">
            <v>0</v>
          </cell>
          <cell r="N452">
            <v>42198.32</v>
          </cell>
          <cell r="O452">
            <v>-11602.85</v>
          </cell>
          <cell r="P452">
            <v>53219094.369999997</v>
          </cell>
          <cell r="Q452">
            <v>-18519358.329999998</v>
          </cell>
          <cell r="S452">
            <v>23418530.259999998</v>
          </cell>
          <cell r="T452">
            <v>11281205.779999999</v>
          </cell>
          <cell r="U452">
            <v>13100432.300000001</v>
          </cell>
          <cell r="V452">
            <v>5454299.8300000001</v>
          </cell>
          <cell r="W452">
            <v>10318097.959999997</v>
          </cell>
          <cell r="X452">
            <v>5826905.9499999993</v>
          </cell>
          <cell r="Y452">
            <v>10318097.959999997</v>
          </cell>
          <cell r="Z452">
            <v>5826905.9499999993</v>
          </cell>
          <cell r="AA452">
            <v>16145003.909999996</v>
          </cell>
          <cell r="AC452">
            <v>15099</v>
          </cell>
          <cell r="AD452">
            <v>0</v>
          </cell>
        </row>
        <row r="453">
          <cell r="S453">
            <v>0</v>
          </cell>
          <cell r="T453">
            <v>0</v>
          </cell>
          <cell r="U453">
            <v>0</v>
          </cell>
          <cell r="V453">
            <v>0</v>
          </cell>
          <cell r="W453">
            <v>0</v>
          </cell>
          <cell r="X453">
            <v>0</v>
          </cell>
          <cell r="Y453">
            <v>0</v>
          </cell>
          <cell r="Z453">
            <v>0</v>
          </cell>
          <cell r="AA453">
            <v>0</v>
          </cell>
          <cell r="AC453">
            <v>0</v>
          </cell>
          <cell r="AD453">
            <v>0</v>
          </cell>
        </row>
        <row r="454">
          <cell r="B454">
            <v>15116</v>
          </cell>
          <cell r="C454" t="str">
            <v>FINISHED GOODS STOCK (BS)</v>
          </cell>
          <cell r="D454">
            <v>923962143.46000004</v>
          </cell>
          <cell r="E454">
            <v>-968488027.09000003</v>
          </cell>
          <cell r="F454">
            <v>10611439357.01</v>
          </cell>
          <cell r="G454">
            <v>-10568625258.4</v>
          </cell>
          <cell r="H454">
            <v>11582482.99</v>
          </cell>
          <cell r="I454">
            <v>-20360845.399999999</v>
          </cell>
          <cell r="J454">
            <v>3367431.95</v>
          </cell>
          <cell r="K454">
            <v>-3763482.84</v>
          </cell>
          <cell r="L454">
            <v>0</v>
          </cell>
          <cell r="M454">
            <v>0</v>
          </cell>
          <cell r="N454">
            <v>11297566.65</v>
          </cell>
          <cell r="O454">
            <v>-1486400.66</v>
          </cell>
          <cell r="P454">
            <v>11561648982.059999</v>
          </cell>
          <cell r="Q454">
            <v>-11562724014.389999</v>
          </cell>
          <cell r="S454">
            <v>-34714717.639999993</v>
          </cell>
          <cell r="T454">
            <v>33639685.310000613</v>
          </cell>
          <cell r="U454">
            <v>15255552</v>
          </cell>
          <cell r="V454">
            <v>16379429.83</v>
          </cell>
          <cell r="W454">
            <v>-49970269.639999993</v>
          </cell>
          <cell r="X454">
            <v>17260255.480000615</v>
          </cell>
          <cell r="Y454">
            <v>-34714717.639999993</v>
          </cell>
          <cell r="Z454">
            <v>33639685.310000613</v>
          </cell>
          <cell r="AA454">
            <v>-1075032.3299993798</v>
          </cell>
          <cell r="AC454">
            <v>15116</v>
          </cell>
          <cell r="AD454">
            <v>0</v>
          </cell>
        </row>
        <row r="455">
          <cell r="S455">
            <v>0</v>
          </cell>
          <cell r="T455">
            <v>0</v>
          </cell>
          <cell r="U455">
            <v>0</v>
          </cell>
          <cell r="V455">
            <v>0</v>
          </cell>
          <cell r="W455">
            <v>0</v>
          </cell>
          <cell r="X455">
            <v>0</v>
          </cell>
          <cell r="Y455">
            <v>0</v>
          </cell>
          <cell r="Z455">
            <v>0</v>
          </cell>
          <cell r="AA455">
            <v>0</v>
          </cell>
          <cell r="AC455">
            <v>0</v>
          </cell>
          <cell r="AD455">
            <v>0</v>
          </cell>
        </row>
        <row r="456">
          <cell r="B456">
            <v>15117</v>
          </cell>
          <cell r="C456" t="str">
            <v>FG STOCKS - EXCISE DUTY COMPONANT</v>
          </cell>
          <cell r="D456">
            <v>4476831</v>
          </cell>
          <cell r="E456">
            <v>-4476831</v>
          </cell>
          <cell r="F456">
            <v>2082529</v>
          </cell>
          <cell r="G456">
            <v>-2082529</v>
          </cell>
          <cell r="H456">
            <v>0</v>
          </cell>
          <cell r="I456">
            <v>0</v>
          </cell>
          <cell r="J456">
            <v>0</v>
          </cell>
          <cell r="K456">
            <v>0</v>
          </cell>
          <cell r="L456">
            <v>0</v>
          </cell>
          <cell r="M456">
            <v>0</v>
          </cell>
          <cell r="N456">
            <v>0</v>
          </cell>
          <cell r="O456">
            <v>0</v>
          </cell>
          <cell r="P456">
            <v>6559360</v>
          </cell>
          <cell r="Q456">
            <v>-6559360</v>
          </cell>
          <cell r="S456">
            <v>0</v>
          </cell>
          <cell r="T456">
            <v>0</v>
          </cell>
          <cell r="U456">
            <v>0</v>
          </cell>
          <cell r="V456">
            <v>0</v>
          </cell>
          <cell r="W456">
            <v>0</v>
          </cell>
          <cell r="X456">
            <v>0</v>
          </cell>
          <cell r="Y456">
            <v>0</v>
          </cell>
          <cell r="Z456">
            <v>0</v>
          </cell>
          <cell r="AA456">
            <v>0</v>
          </cell>
          <cell r="AC456">
            <v>15117</v>
          </cell>
          <cell r="AD456">
            <v>0</v>
          </cell>
        </row>
        <row r="457">
          <cell r="S457">
            <v>0</v>
          </cell>
          <cell r="T457">
            <v>0</v>
          </cell>
          <cell r="U457">
            <v>0</v>
          </cell>
          <cell r="V457">
            <v>0</v>
          </cell>
          <cell r="W457">
            <v>0</v>
          </cell>
          <cell r="X457">
            <v>0</v>
          </cell>
          <cell r="Y457">
            <v>0</v>
          </cell>
          <cell r="Z457">
            <v>0</v>
          </cell>
          <cell r="AA457">
            <v>0</v>
          </cell>
          <cell r="AC457">
            <v>0</v>
          </cell>
          <cell r="AD457">
            <v>0</v>
          </cell>
        </row>
        <row r="458">
          <cell r="B458">
            <v>15119</v>
          </cell>
          <cell r="C458" t="str">
            <v>PACKING SLIP A/C (MATL ASSIGN YET TO DESPATCH [NET 15615])</v>
          </cell>
          <cell r="D458">
            <v>933500034.88999999</v>
          </cell>
          <cell r="E458">
            <v>-933498887.63</v>
          </cell>
          <cell r="F458">
            <v>1703406305.3800001</v>
          </cell>
          <cell r="G458">
            <v>-1703064412.5799999</v>
          </cell>
          <cell r="H458">
            <v>9593817.5999999996</v>
          </cell>
          <cell r="I458">
            <v>-9682240.0800000001</v>
          </cell>
          <cell r="J458">
            <v>1448045.2</v>
          </cell>
          <cell r="K458">
            <v>-1448045.2</v>
          </cell>
          <cell r="L458">
            <v>0</v>
          </cell>
          <cell r="M458">
            <v>0</v>
          </cell>
          <cell r="N458">
            <v>0</v>
          </cell>
          <cell r="O458">
            <v>0</v>
          </cell>
          <cell r="P458">
            <v>2647948203.0700002</v>
          </cell>
          <cell r="Q458">
            <v>-2647693585.4899998</v>
          </cell>
          <cell r="S458">
            <v>1147.2599999904633</v>
          </cell>
          <cell r="T458">
            <v>253470.32000019029</v>
          </cell>
          <cell r="U458">
            <v>0</v>
          </cell>
          <cell r="V458">
            <v>0</v>
          </cell>
          <cell r="W458">
            <v>1147.2599999904633</v>
          </cell>
          <cell r="X458">
            <v>253470.32000019029</v>
          </cell>
          <cell r="Y458">
            <v>1147.2599999904633</v>
          </cell>
          <cell r="Z458">
            <v>253470.32000019029</v>
          </cell>
          <cell r="AA458">
            <v>254617.58000018075</v>
          </cell>
          <cell r="AC458">
            <v>15119</v>
          </cell>
          <cell r="AD458">
            <v>0</v>
          </cell>
        </row>
        <row r="459">
          <cell r="S459">
            <v>0</v>
          </cell>
          <cell r="T459">
            <v>0</v>
          </cell>
          <cell r="U459">
            <v>0</v>
          </cell>
          <cell r="V459">
            <v>0</v>
          </cell>
          <cell r="W459">
            <v>0</v>
          </cell>
          <cell r="X459">
            <v>0</v>
          </cell>
          <cell r="Y459">
            <v>0</v>
          </cell>
          <cell r="Z459">
            <v>0</v>
          </cell>
          <cell r="AA459">
            <v>0</v>
          </cell>
          <cell r="AC459">
            <v>0</v>
          </cell>
          <cell r="AD459">
            <v>0</v>
          </cell>
        </row>
        <row r="460">
          <cell r="B460">
            <v>15123</v>
          </cell>
          <cell r="C460" t="str">
            <v>SCRAP RECEIPT</v>
          </cell>
          <cell r="D460">
            <v>2577410.1800000002</v>
          </cell>
          <cell r="E460">
            <v>-2014668.46</v>
          </cell>
          <cell r="F460">
            <v>0</v>
          </cell>
          <cell r="G460">
            <v>0</v>
          </cell>
          <cell r="H460">
            <v>0</v>
          </cell>
          <cell r="I460">
            <v>0</v>
          </cell>
          <cell r="J460">
            <v>0</v>
          </cell>
          <cell r="K460">
            <v>0</v>
          </cell>
          <cell r="L460">
            <v>0</v>
          </cell>
          <cell r="M460">
            <v>0</v>
          </cell>
          <cell r="N460">
            <v>0</v>
          </cell>
          <cell r="O460">
            <v>0</v>
          </cell>
          <cell r="P460">
            <v>2577410.1800000002</v>
          </cell>
          <cell r="Q460">
            <v>-2014668.46</v>
          </cell>
          <cell r="S460">
            <v>562741.7200000002</v>
          </cell>
          <cell r="T460">
            <v>0</v>
          </cell>
          <cell r="U460">
            <v>0</v>
          </cell>
          <cell r="V460">
            <v>0</v>
          </cell>
          <cell r="W460">
            <v>562741.7200000002</v>
          </cell>
          <cell r="X460">
            <v>0</v>
          </cell>
          <cell r="Y460">
            <v>562741.7200000002</v>
          </cell>
          <cell r="Z460">
            <v>0</v>
          </cell>
          <cell r="AA460">
            <v>562741.7200000002</v>
          </cell>
          <cell r="AC460">
            <v>15123</v>
          </cell>
          <cell r="AD460">
            <v>0</v>
          </cell>
        </row>
        <row r="461">
          <cell r="S461">
            <v>0</v>
          </cell>
          <cell r="T461">
            <v>0</v>
          </cell>
          <cell r="U461">
            <v>0</v>
          </cell>
          <cell r="V461">
            <v>0</v>
          </cell>
          <cell r="W461">
            <v>0</v>
          </cell>
          <cell r="X461">
            <v>0</v>
          </cell>
          <cell r="Y461">
            <v>0</v>
          </cell>
          <cell r="Z461">
            <v>0</v>
          </cell>
          <cell r="AA461">
            <v>0</v>
          </cell>
          <cell r="AC461">
            <v>0</v>
          </cell>
          <cell r="AD461">
            <v>0</v>
          </cell>
        </row>
        <row r="462">
          <cell r="B462">
            <v>15124</v>
          </cell>
          <cell r="C462" t="str">
            <v>PURCHASE, PACKING SLIP PROV FOR PENDING GRN WIP)</v>
          </cell>
          <cell r="D462">
            <v>933734.6</v>
          </cell>
          <cell r="E462">
            <v>-933734.6</v>
          </cell>
          <cell r="F462">
            <v>16420148.83</v>
          </cell>
          <cell r="G462">
            <v>-8749648.8300000001</v>
          </cell>
          <cell r="H462">
            <v>0</v>
          </cell>
          <cell r="I462">
            <v>0</v>
          </cell>
          <cell r="J462">
            <v>0</v>
          </cell>
          <cell r="K462">
            <v>0</v>
          </cell>
          <cell r="L462">
            <v>0</v>
          </cell>
          <cell r="M462">
            <v>0</v>
          </cell>
          <cell r="N462">
            <v>0</v>
          </cell>
          <cell r="O462">
            <v>0</v>
          </cell>
          <cell r="P462">
            <v>17353883.43</v>
          </cell>
          <cell r="Q462">
            <v>-9683383.4299999997</v>
          </cell>
          <cell r="S462">
            <v>0</v>
          </cell>
          <cell r="T462">
            <v>7670500</v>
          </cell>
          <cell r="U462">
            <v>0</v>
          </cell>
          <cell r="V462">
            <v>0</v>
          </cell>
          <cell r="W462">
            <v>0</v>
          </cell>
          <cell r="X462">
            <v>7670500</v>
          </cell>
          <cell r="Y462">
            <v>0</v>
          </cell>
          <cell r="Z462">
            <v>7670500</v>
          </cell>
          <cell r="AA462">
            <v>7670500</v>
          </cell>
          <cell r="AC462">
            <v>15124</v>
          </cell>
          <cell r="AD462">
            <v>0</v>
          </cell>
        </row>
        <row r="463">
          <cell r="S463">
            <v>0</v>
          </cell>
          <cell r="T463">
            <v>0</v>
          </cell>
          <cell r="U463">
            <v>0</v>
          </cell>
          <cell r="V463">
            <v>0</v>
          </cell>
          <cell r="W463">
            <v>0</v>
          </cell>
          <cell r="X463">
            <v>0</v>
          </cell>
          <cell r="Y463">
            <v>0</v>
          </cell>
          <cell r="Z463">
            <v>0</v>
          </cell>
          <cell r="AA463">
            <v>0</v>
          </cell>
          <cell r="AC463">
            <v>0</v>
          </cell>
          <cell r="AD463">
            <v>0</v>
          </cell>
        </row>
        <row r="464">
          <cell r="B464">
            <v>15130</v>
          </cell>
          <cell r="C464" t="str">
            <v>WORK IN PROCESS STOCK (BS)</v>
          </cell>
          <cell r="D464">
            <v>4165500449.9099998</v>
          </cell>
          <cell r="E464">
            <v>-4071700303.6599998</v>
          </cell>
          <cell r="F464">
            <v>3826161609.0100002</v>
          </cell>
          <cell r="G464">
            <v>-3731457247.8699999</v>
          </cell>
          <cell r="H464">
            <v>34337975.950000003</v>
          </cell>
          <cell r="I464">
            <v>-28748749.890000001</v>
          </cell>
          <cell r="J464">
            <v>0</v>
          </cell>
          <cell r="K464">
            <v>0</v>
          </cell>
          <cell r="L464">
            <v>0</v>
          </cell>
          <cell r="M464">
            <v>0</v>
          </cell>
          <cell r="N464">
            <v>27733338.59</v>
          </cell>
          <cell r="O464">
            <v>-7825475.9299999997</v>
          </cell>
          <cell r="P464">
            <v>8053733373.46</v>
          </cell>
          <cell r="Q464">
            <v>-7839731777.3500004</v>
          </cell>
          <cell r="S464">
            <v>113708008.91</v>
          </cell>
          <cell r="T464">
            <v>100293587.20000035</v>
          </cell>
          <cell r="U464">
            <v>14643091</v>
          </cell>
          <cell r="V464">
            <v>23117114.809999999</v>
          </cell>
          <cell r="W464">
            <v>99064917.909999996</v>
          </cell>
          <cell r="X464">
            <v>77176472.390000343</v>
          </cell>
          <cell r="Y464">
            <v>113708008.91</v>
          </cell>
          <cell r="Z464">
            <v>100293587.20000035</v>
          </cell>
          <cell r="AA464">
            <v>214001596.11000034</v>
          </cell>
          <cell r="AC464">
            <v>15130</v>
          </cell>
          <cell r="AD464">
            <v>0</v>
          </cell>
        </row>
        <row r="465">
          <cell r="S465">
            <v>0</v>
          </cell>
          <cell r="T465">
            <v>0</v>
          </cell>
          <cell r="U465">
            <v>0</v>
          </cell>
          <cell r="V465">
            <v>0</v>
          </cell>
          <cell r="W465">
            <v>0</v>
          </cell>
          <cell r="X465">
            <v>0</v>
          </cell>
          <cell r="Y465">
            <v>0</v>
          </cell>
          <cell r="Z465">
            <v>0</v>
          </cell>
          <cell r="AA465">
            <v>0</v>
          </cell>
          <cell r="AC465">
            <v>0</v>
          </cell>
          <cell r="AD465">
            <v>0</v>
          </cell>
        </row>
        <row r="466">
          <cell r="B466" t="str">
            <v>15135-2</v>
          </cell>
          <cell r="C466" t="str">
            <v>WORK IN PROCESS SCRAP (BS)</v>
          </cell>
          <cell r="D466">
            <v>2077765.48</v>
          </cell>
          <cell r="E466">
            <v>-166610509.47</v>
          </cell>
          <cell r="F466">
            <v>0</v>
          </cell>
          <cell r="G466">
            <v>0</v>
          </cell>
          <cell r="H466">
            <v>0</v>
          </cell>
          <cell r="I466">
            <v>0</v>
          </cell>
          <cell r="J466">
            <v>0</v>
          </cell>
          <cell r="K466">
            <v>0</v>
          </cell>
          <cell r="L466">
            <v>0</v>
          </cell>
          <cell r="M466">
            <v>0</v>
          </cell>
          <cell r="N466">
            <v>0</v>
          </cell>
          <cell r="O466">
            <v>0</v>
          </cell>
          <cell r="P466">
            <v>2077765.48</v>
          </cell>
          <cell r="Q466">
            <v>-166610509.47</v>
          </cell>
          <cell r="S466">
            <v>-164532743.99000001</v>
          </cell>
          <cell r="T466">
            <v>0</v>
          </cell>
          <cell r="U466">
            <v>-107136562.04000001</v>
          </cell>
          <cell r="V466">
            <v>0</v>
          </cell>
          <cell r="W466">
            <v>-57396181.950000003</v>
          </cell>
          <cell r="X466">
            <v>0</v>
          </cell>
          <cell r="Y466">
            <v>-164532743.99000001</v>
          </cell>
          <cell r="Z466">
            <v>0</v>
          </cell>
          <cell r="AA466">
            <v>-164532743.99000001</v>
          </cell>
          <cell r="AC466" t="str">
            <v>15135-2</v>
          </cell>
          <cell r="AD466" t="e">
            <v>#VALUE!</v>
          </cell>
        </row>
        <row r="467">
          <cell r="S467">
            <v>0</v>
          </cell>
          <cell r="T467">
            <v>0</v>
          </cell>
          <cell r="U467">
            <v>0</v>
          </cell>
          <cell r="V467">
            <v>0</v>
          </cell>
          <cell r="W467">
            <v>0</v>
          </cell>
          <cell r="X467">
            <v>0</v>
          </cell>
          <cell r="Y467">
            <v>0</v>
          </cell>
          <cell r="Z467">
            <v>0</v>
          </cell>
          <cell r="AA467">
            <v>0</v>
          </cell>
          <cell r="AC467">
            <v>0</v>
          </cell>
          <cell r="AD467">
            <v>0</v>
          </cell>
        </row>
        <row r="468">
          <cell r="B468">
            <v>15136</v>
          </cell>
          <cell r="C468" t="str">
            <v>SUNDRY DEBTORS - DOMESTIC</v>
          </cell>
          <cell r="D468">
            <v>1477573759.23</v>
          </cell>
          <cell r="E468">
            <v>-1417830540.49</v>
          </cell>
          <cell r="F468">
            <v>2513759314.9400001</v>
          </cell>
          <cell r="G468">
            <v>-2426850612.9400001</v>
          </cell>
          <cell r="H468">
            <v>22168133.050000001</v>
          </cell>
          <cell r="I468">
            <v>-10323863.050000001</v>
          </cell>
          <cell r="J468">
            <v>5682102.0999999996</v>
          </cell>
          <cell r="K468">
            <v>-5077881.0999999996</v>
          </cell>
          <cell r="L468">
            <v>10021471.460000001</v>
          </cell>
          <cell r="M468">
            <v>-7422897</v>
          </cell>
          <cell r="N468">
            <v>1191761.75</v>
          </cell>
          <cell r="O468">
            <v>-1191761.75</v>
          </cell>
          <cell r="P468">
            <v>4020375071.0700002</v>
          </cell>
          <cell r="Q468">
            <v>-3861274659.3299999</v>
          </cell>
          <cell r="S468">
            <v>62341793.200000018</v>
          </cell>
          <cell r="T468">
            <v>99357193</v>
          </cell>
          <cell r="U468">
            <v>50957639.969999999</v>
          </cell>
          <cell r="V468">
            <v>65444798.880000003</v>
          </cell>
          <cell r="W468">
            <v>11384153.230000019</v>
          </cell>
          <cell r="X468">
            <v>33912394.119999997</v>
          </cell>
          <cell r="Y468">
            <v>62341793.200000018</v>
          </cell>
          <cell r="Z468">
            <v>99357193</v>
          </cell>
          <cell r="AA468">
            <v>161698986.20000002</v>
          </cell>
          <cell r="AC468">
            <v>15136</v>
          </cell>
          <cell r="AD468">
            <v>0</v>
          </cell>
        </row>
        <row r="469">
          <cell r="S469">
            <v>0</v>
          </cell>
          <cell r="T469">
            <v>0</v>
          </cell>
          <cell r="U469">
            <v>0</v>
          </cell>
          <cell r="V469">
            <v>0</v>
          </cell>
          <cell r="W469">
            <v>0</v>
          </cell>
          <cell r="X469">
            <v>0</v>
          </cell>
          <cell r="Y469">
            <v>0</v>
          </cell>
          <cell r="Z469">
            <v>0</v>
          </cell>
          <cell r="AA469">
            <v>0</v>
          </cell>
          <cell r="AC469">
            <v>0</v>
          </cell>
          <cell r="AD469">
            <v>0</v>
          </cell>
        </row>
        <row r="470">
          <cell r="B470">
            <v>15137</v>
          </cell>
          <cell r="C470" t="str">
            <v>SUNDRY DEBTORS - FOREIGN</v>
          </cell>
          <cell r="D470">
            <v>7164635448044230</v>
          </cell>
          <cell r="E470">
            <v>-7164635376030980</v>
          </cell>
          <cell r="F470">
            <v>409814263.29000002</v>
          </cell>
          <cell r="G470">
            <v>-311095502.13999999</v>
          </cell>
          <cell r="H470">
            <v>315224</v>
          </cell>
          <cell r="I470">
            <v>0</v>
          </cell>
          <cell r="J470">
            <v>6161412.4000000004</v>
          </cell>
          <cell r="K470">
            <v>-6161412.4000000004</v>
          </cell>
          <cell r="L470">
            <v>0</v>
          </cell>
          <cell r="M470">
            <v>0</v>
          </cell>
          <cell r="N470">
            <v>91604522.209999993</v>
          </cell>
          <cell r="O470">
            <v>-91604522.209999993</v>
          </cell>
          <cell r="P470">
            <v>7164635955939650</v>
          </cell>
          <cell r="Q470">
            <v>-7164635784892420</v>
          </cell>
          <cell r="S470">
            <v>72013249.999999985</v>
          </cell>
          <cell r="T470">
            <v>99033985.150000036</v>
          </cell>
          <cell r="U470">
            <v>79899460</v>
          </cell>
          <cell r="V470">
            <v>105995349.45999999</v>
          </cell>
          <cell r="W470">
            <v>-7886210.0000000149</v>
          </cell>
          <cell r="X470">
            <v>-6961364.3099999577</v>
          </cell>
          <cell r="Y470">
            <v>72013249.999999985</v>
          </cell>
          <cell r="Z470">
            <v>99033985.150000036</v>
          </cell>
          <cell r="AA470">
            <v>171047235.15000004</v>
          </cell>
          <cell r="AC470">
            <v>15137</v>
          </cell>
          <cell r="AD470">
            <v>0</v>
          </cell>
        </row>
        <row r="471">
          <cell r="S471">
            <v>0</v>
          </cell>
          <cell r="T471">
            <v>0</v>
          </cell>
          <cell r="U471">
            <v>0</v>
          </cell>
          <cell r="V471">
            <v>0</v>
          </cell>
          <cell r="W471">
            <v>0</v>
          </cell>
          <cell r="X471">
            <v>0</v>
          </cell>
          <cell r="Y471">
            <v>0</v>
          </cell>
          <cell r="Z471">
            <v>0</v>
          </cell>
          <cell r="AA471">
            <v>0</v>
          </cell>
          <cell r="AC471">
            <v>0</v>
          </cell>
          <cell r="AD471">
            <v>0</v>
          </cell>
        </row>
        <row r="472">
          <cell r="B472">
            <v>15138</v>
          </cell>
          <cell r="C472" t="str">
            <v>PROVISION FOR DOUBTFUL DEBTS</v>
          </cell>
          <cell r="D472">
            <v>921313.02</v>
          </cell>
          <cell r="E472">
            <v>-1448630.04</v>
          </cell>
          <cell r="F472">
            <v>9807082.1300000008</v>
          </cell>
          <cell r="G472">
            <v>-12399903.939999999</v>
          </cell>
          <cell r="H472">
            <v>0</v>
          </cell>
          <cell r="I472">
            <v>0</v>
          </cell>
          <cell r="J472">
            <v>0</v>
          </cell>
          <cell r="K472">
            <v>0</v>
          </cell>
          <cell r="L472">
            <v>0</v>
          </cell>
          <cell r="M472">
            <v>0</v>
          </cell>
          <cell r="N472">
            <v>0</v>
          </cell>
          <cell r="O472">
            <v>0</v>
          </cell>
          <cell r="P472">
            <v>10728395.15</v>
          </cell>
          <cell r="Q472">
            <v>-13848533.98</v>
          </cell>
          <cell r="S472">
            <v>-527317.02</v>
          </cell>
          <cell r="T472">
            <v>-2592821.8099999987</v>
          </cell>
          <cell r="U472">
            <v>-527317.02</v>
          </cell>
          <cell r="V472">
            <v>-2592821.81</v>
          </cell>
          <cell r="W472">
            <v>0</v>
          </cell>
          <cell r="X472">
            <v>0</v>
          </cell>
          <cell r="Y472">
            <v>-527317.02</v>
          </cell>
          <cell r="Z472">
            <v>-2592821.81</v>
          </cell>
          <cell r="AA472">
            <v>-3120138.83</v>
          </cell>
          <cell r="AC472">
            <v>15138</v>
          </cell>
          <cell r="AD472">
            <v>0</v>
          </cell>
        </row>
        <row r="473">
          <cell r="S473">
            <v>0</v>
          </cell>
          <cell r="T473">
            <v>0</v>
          </cell>
          <cell r="U473">
            <v>0</v>
          </cell>
          <cell r="V473">
            <v>0</v>
          </cell>
          <cell r="W473">
            <v>0</v>
          </cell>
          <cell r="X473">
            <v>0</v>
          </cell>
          <cell r="Y473">
            <v>0</v>
          </cell>
          <cell r="Z473">
            <v>0</v>
          </cell>
          <cell r="AA473">
            <v>0</v>
          </cell>
          <cell r="AC473">
            <v>0</v>
          </cell>
          <cell r="AD473">
            <v>0</v>
          </cell>
        </row>
        <row r="474">
          <cell r="B474">
            <v>15139</v>
          </cell>
          <cell r="C474" t="str">
            <v>BRANCH SALES</v>
          </cell>
          <cell r="D474">
            <v>15213</v>
          </cell>
          <cell r="E474">
            <v>-909</v>
          </cell>
          <cell r="F474">
            <v>541133</v>
          </cell>
          <cell r="G474">
            <v>-162318</v>
          </cell>
          <cell r="H474">
            <v>0</v>
          </cell>
          <cell r="I474">
            <v>0</v>
          </cell>
          <cell r="J474">
            <v>0</v>
          </cell>
          <cell r="K474">
            <v>0</v>
          </cell>
          <cell r="L474">
            <v>0</v>
          </cell>
          <cell r="M474">
            <v>0</v>
          </cell>
          <cell r="N474">
            <v>628</v>
          </cell>
          <cell r="O474">
            <v>0</v>
          </cell>
          <cell r="P474">
            <v>556974</v>
          </cell>
          <cell r="Q474">
            <v>-163227</v>
          </cell>
          <cell r="S474">
            <v>14932</v>
          </cell>
          <cell r="T474">
            <v>378815</v>
          </cell>
          <cell r="U474">
            <v>0</v>
          </cell>
          <cell r="V474">
            <v>0</v>
          </cell>
          <cell r="W474">
            <v>14932</v>
          </cell>
          <cell r="X474">
            <v>378815</v>
          </cell>
          <cell r="Y474">
            <v>14932</v>
          </cell>
          <cell r="Z474">
            <v>378815</v>
          </cell>
          <cell r="AA474">
            <v>393747</v>
          </cell>
          <cell r="AC474">
            <v>15139</v>
          </cell>
          <cell r="AD474">
            <v>0</v>
          </cell>
        </row>
        <row r="475">
          <cell r="S475">
            <v>0</v>
          </cell>
          <cell r="T475">
            <v>0</v>
          </cell>
          <cell r="U475">
            <v>0</v>
          </cell>
          <cell r="V475">
            <v>0</v>
          </cell>
          <cell r="W475">
            <v>0</v>
          </cell>
          <cell r="X475">
            <v>0</v>
          </cell>
          <cell r="Y475">
            <v>0</v>
          </cell>
          <cell r="Z475">
            <v>0</v>
          </cell>
          <cell r="AA475">
            <v>0</v>
          </cell>
          <cell r="AC475">
            <v>0</v>
          </cell>
          <cell r="AD475">
            <v>0</v>
          </cell>
        </row>
        <row r="476">
          <cell r="B476">
            <v>15151</v>
          </cell>
          <cell r="C476" t="str">
            <v>CASH IN HAND</v>
          </cell>
          <cell r="D476">
            <v>17381129</v>
          </cell>
          <cell r="E476">
            <v>-18337212.760000002</v>
          </cell>
          <cell r="F476">
            <v>12286072.699999999</v>
          </cell>
          <cell r="G476">
            <v>-7116617.6399999997</v>
          </cell>
          <cell r="H476">
            <v>0</v>
          </cell>
          <cell r="I476">
            <v>0</v>
          </cell>
          <cell r="J476">
            <v>0</v>
          </cell>
          <cell r="K476">
            <v>0</v>
          </cell>
          <cell r="L476">
            <v>437847.7</v>
          </cell>
          <cell r="M476">
            <v>-4493868</v>
          </cell>
          <cell r="N476">
            <v>0</v>
          </cell>
          <cell r="O476">
            <v>0</v>
          </cell>
          <cell r="P476">
            <v>29667201.699999999</v>
          </cell>
          <cell r="Q476">
            <v>-25453830.399999999</v>
          </cell>
          <cell r="S476">
            <v>-5012104.0600000015</v>
          </cell>
          <cell r="T476">
            <v>5169455.0599999996</v>
          </cell>
          <cell r="U476">
            <v>-3013012</v>
          </cell>
          <cell r="V476">
            <v>3113802</v>
          </cell>
          <cell r="W476">
            <v>-1999092.0600000015</v>
          </cell>
          <cell r="X476">
            <v>2055653.0599999996</v>
          </cell>
          <cell r="Y476">
            <v>-5012104.0600000015</v>
          </cell>
          <cell r="Z476">
            <v>5169455.0599999996</v>
          </cell>
          <cell r="AA476">
            <v>157350.99999999814</v>
          </cell>
          <cell r="AC476">
            <v>15151</v>
          </cell>
          <cell r="AD476">
            <v>0</v>
          </cell>
        </row>
        <row r="477">
          <cell r="S477">
            <v>0</v>
          </cell>
          <cell r="T477">
            <v>0</v>
          </cell>
          <cell r="U477">
            <v>0</v>
          </cell>
          <cell r="V477">
            <v>0</v>
          </cell>
          <cell r="W477">
            <v>0</v>
          </cell>
          <cell r="X477">
            <v>0</v>
          </cell>
          <cell r="Y477">
            <v>0</v>
          </cell>
          <cell r="Z477">
            <v>0</v>
          </cell>
          <cell r="AA477">
            <v>0</v>
          </cell>
          <cell r="AC477">
            <v>0</v>
          </cell>
          <cell r="AD477">
            <v>0</v>
          </cell>
        </row>
        <row r="478">
          <cell r="B478">
            <v>15152</v>
          </cell>
          <cell r="C478" t="str">
            <v>CHEQUES IN HAND</v>
          </cell>
          <cell r="D478">
            <v>1613224</v>
          </cell>
          <cell r="E478">
            <v>-1613224</v>
          </cell>
          <cell r="F478">
            <v>8411136.8499999996</v>
          </cell>
          <cell r="G478">
            <v>-8411136.8499999996</v>
          </cell>
          <cell r="H478">
            <v>97284</v>
          </cell>
          <cell r="I478">
            <v>-97284</v>
          </cell>
          <cell r="J478">
            <v>0</v>
          </cell>
          <cell r="K478">
            <v>0</v>
          </cell>
          <cell r="L478">
            <v>0</v>
          </cell>
          <cell r="M478">
            <v>0</v>
          </cell>
          <cell r="N478">
            <v>0</v>
          </cell>
          <cell r="O478">
            <v>0</v>
          </cell>
          <cell r="P478">
            <v>10121644.85</v>
          </cell>
          <cell r="Q478">
            <v>-10121644.85</v>
          </cell>
          <cell r="S478">
            <v>0</v>
          </cell>
          <cell r="T478">
            <v>0</v>
          </cell>
          <cell r="U478">
            <v>500445</v>
          </cell>
          <cell r="V478">
            <v>5021701.5</v>
          </cell>
          <cell r="W478">
            <v>-500445</v>
          </cell>
          <cell r="X478">
            <v>-5021701.5</v>
          </cell>
          <cell r="Y478">
            <v>0</v>
          </cell>
          <cell r="Z478">
            <v>0</v>
          </cell>
          <cell r="AA478">
            <v>0</v>
          </cell>
          <cell r="AC478">
            <v>15152</v>
          </cell>
          <cell r="AD478">
            <v>0</v>
          </cell>
        </row>
        <row r="479">
          <cell r="S479">
            <v>0</v>
          </cell>
          <cell r="T479">
            <v>0</v>
          </cell>
          <cell r="U479">
            <v>0</v>
          </cell>
          <cell r="V479">
            <v>0</v>
          </cell>
          <cell r="W479">
            <v>0</v>
          </cell>
          <cell r="X479">
            <v>0</v>
          </cell>
          <cell r="Y479">
            <v>0</v>
          </cell>
          <cell r="Z479">
            <v>0</v>
          </cell>
          <cell r="AA479">
            <v>0</v>
          </cell>
          <cell r="AC479">
            <v>0</v>
          </cell>
          <cell r="AD479">
            <v>0</v>
          </cell>
        </row>
        <row r="480">
          <cell r="B480">
            <v>15155</v>
          </cell>
          <cell r="C480" t="str">
            <v>BOI TURHE (CURRENT A/C)</v>
          </cell>
          <cell r="D480">
            <v>0</v>
          </cell>
          <cell r="E480">
            <v>-31267830</v>
          </cell>
          <cell r="F480">
            <v>108717527.31</v>
          </cell>
          <cell r="G480">
            <v>-76964405.799999997</v>
          </cell>
          <cell r="H480">
            <v>0</v>
          </cell>
          <cell r="I480">
            <v>0</v>
          </cell>
          <cell r="J480">
            <v>0</v>
          </cell>
          <cell r="K480">
            <v>0</v>
          </cell>
          <cell r="L480">
            <v>0</v>
          </cell>
          <cell r="M480">
            <v>-49000</v>
          </cell>
          <cell r="N480">
            <v>0</v>
          </cell>
          <cell r="O480">
            <v>0</v>
          </cell>
          <cell r="P480">
            <v>108717527.31</v>
          </cell>
          <cell r="Q480">
            <v>-108232235.8</v>
          </cell>
          <cell r="S480">
            <v>-31316830</v>
          </cell>
          <cell r="T480">
            <v>31753121.510000005</v>
          </cell>
          <cell r="U480">
            <v>0</v>
          </cell>
          <cell r="V480">
            <v>167073.01</v>
          </cell>
          <cell r="W480">
            <v>-31316830</v>
          </cell>
          <cell r="X480">
            <v>31586048.500000004</v>
          </cell>
          <cell r="Y480">
            <v>-31316830</v>
          </cell>
          <cell r="Z480">
            <v>31753121.510000005</v>
          </cell>
          <cell r="AA480">
            <v>436291.51000000536</v>
          </cell>
          <cell r="AC480">
            <v>15155</v>
          </cell>
          <cell r="AD480">
            <v>0</v>
          </cell>
        </row>
        <row r="481">
          <cell r="S481">
            <v>0</v>
          </cell>
          <cell r="T481">
            <v>0</v>
          </cell>
          <cell r="U481">
            <v>0</v>
          </cell>
          <cell r="V481">
            <v>0</v>
          </cell>
          <cell r="W481">
            <v>0</v>
          </cell>
          <cell r="X481">
            <v>0</v>
          </cell>
          <cell r="Y481">
            <v>0</v>
          </cell>
          <cell r="Z481">
            <v>0</v>
          </cell>
          <cell r="AA481">
            <v>0</v>
          </cell>
          <cell r="AC481">
            <v>0</v>
          </cell>
          <cell r="AD481">
            <v>0</v>
          </cell>
        </row>
        <row r="482">
          <cell r="B482">
            <v>15156</v>
          </cell>
          <cell r="C482" t="str">
            <v>HSBC MG ROAD</v>
          </cell>
          <cell r="D482">
            <v>0</v>
          </cell>
          <cell r="E482">
            <v>0</v>
          </cell>
          <cell r="F482">
            <v>0</v>
          </cell>
          <cell r="G482">
            <v>0</v>
          </cell>
          <cell r="H482">
            <v>0</v>
          </cell>
          <cell r="I482">
            <v>0</v>
          </cell>
          <cell r="J482">
            <v>0</v>
          </cell>
          <cell r="K482">
            <v>0</v>
          </cell>
          <cell r="L482">
            <v>78255.539999999994</v>
          </cell>
          <cell r="M482">
            <v>0</v>
          </cell>
          <cell r="N482">
            <v>0</v>
          </cell>
          <cell r="O482">
            <v>0</v>
          </cell>
          <cell r="P482">
            <v>0</v>
          </cell>
          <cell r="Q482">
            <v>0</v>
          </cell>
          <cell r="S482">
            <v>78255.539999999994</v>
          </cell>
          <cell r="T482">
            <v>0</v>
          </cell>
          <cell r="U482">
            <v>78255.539999999994</v>
          </cell>
          <cell r="V482">
            <v>0</v>
          </cell>
          <cell r="W482">
            <v>0</v>
          </cell>
          <cell r="X482">
            <v>0</v>
          </cell>
          <cell r="Y482">
            <v>78255.539999999994</v>
          </cell>
          <cell r="Z482">
            <v>0</v>
          </cell>
          <cell r="AA482">
            <v>78255.539999999994</v>
          </cell>
          <cell r="AC482">
            <v>15156</v>
          </cell>
          <cell r="AD482">
            <v>0</v>
          </cell>
        </row>
        <row r="483">
          <cell r="S483">
            <v>0</v>
          </cell>
          <cell r="T483">
            <v>0</v>
          </cell>
          <cell r="U483">
            <v>0</v>
          </cell>
          <cell r="V483">
            <v>0</v>
          </cell>
          <cell r="W483">
            <v>0</v>
          </cell>
          <cell r="X483">
            <v>0</v>
          </cell>
          <cell r="Y483">
            <v>0</v>
          </cell>
          <cell r="Z483">
            <v>0</v>
          </cell>
          <cell r="AA483">
            <v>0</v>
          </cell>
          <cell r="AC483">
            <v>0</v>
          </cell>
          <cell r="AD483">
            <v>0</v>
          </cell>
        </row>
        <row r="484">
          <cell r="B484">
            <v>15157</v>
          </cell>
          <cell r="C484" t="str">
            <v>CORPORATION BANK</v>
          </cell>
          <cell r="D484">
            <v>0</v>
          </cell>
          <cell r="E484">
            <v>0</v>
          </cell>
          <cell r="F484">
            <v>0</v>
          </cell>
          <cell r="G484">
            <v>0</v>
          </cell>
          <cell r="H484">
            <v>25450000</v>
          </cell>
          <cell r="I484">
            <v>-25450000</v>
          </cell>
          <cell r="J484">
            <v>0</v>
          </cell>
          <cell r="K484">
            <v>0</v>
          </cell>
          <cell r="L484">
            <v>0</v>
          </cell>
          <cell r="M484">
            <v>0</v>
          </cell>
          <cell r="N484">
            <v>0</v>
          </cell>
          <cell r="O484">
            <v>0</v>
          </cell>
          <cell r="P484">
            <v>25450000</v>
          </cell>
          <cell r="Q484">
            <v>-25450000</v>
          </cell>
          <cell r="S484">
            <v>0</v>
          </cell>
          <cell r="T484">
            <v>0</v>
          </cell>
          <cell r="U484">
            <v>0</v>
          </cell>
          <cell r="V484">
            <v>0</v>
          </cell>
          <cell r="W484">
            <v>0</v>
          </cell>
          <cell r="X484">
            <v>0</v>
          </cell>
          <cell r="Y484">
            <v>0</v>
          </cell>
          <cell r="Z484">
            <v>0</v>
          </cell>
          <cell r="AA484">
            <v>0</v>
          </cell>
          <cell r="AC484">
            <v>15157</v>
          </cell>
          <cell r="AD484">
            <v>0</v>
          </cell>
        </row>
        <row r="485">
          <cell r="S485">
            <v>0</v>
          </cell>
          <cell r="T485">
            <v>0</v>
          </cell>
          <cell r="U485">
            <v>0</v>
          </cell>
          <cell r="V485">
            <v>0</v>
          </cell>
          <cell r="W485">
            <v>0</v>
          </cell>
          <cell r="X485">
            <v>0</v>
          </cell>
          <cell r="Y485">
            <v>0</v>
          </cell>
          <cell r="Z485">
            <v>0</v>
          </cell>
          <cell r="AA485">
            <v>0</v>
          </cell>
          <cell r="AC485">
            <v>0</v>
          </cell>
          <cell r="AD485">
            <v>0</v>
          </cell>
        </row>
        <row r="486">
          <cell r="B486">
            <v>15158</v>
          </cell>
          <cell r="C486" t="str">
            <v>ICICI BANK (CURRENT A/C)</v>
          </cell>
          <cell r="D486">
            <v>107727766</v>
          </cell>
          <cell r="E486">
            <v>-106781988.88</v>
          </cell>
          <cell r="F486">
            <v>0</v>
          </cell>
          <cell r="G486">
            <v>-1112424</v>
          </cell>
          <cell r="H486">
            <v>0</v>
          </cell>
          <cell r="I486">
            <v>0</v>
          </cell>
          <cell r="J486">
            <v>0</v>
          </cell>
          <cell r="K486">
            <v>0</v>
          </cell>
          <cell r="L486">
            <v>321889.15999999997</v>
          </cell>
          <cell r="M486">
            <v>-829435</v>
          </cell>
          <cell r="N486">
            <v>0</v>
          </cell>
          <cell r="O486">
            <v>0</v>
          </cell>
          <cell r="P486">
            <v>107727766</v>
          </cell>
          <cell r="Q486">
            <v>-107894412.88</v>
          </cell>
          <cell r="S486">
            <v>438231.28000000468</v>
          </cell>
          <cell r="T486">
            <v>-1112424</v>
          </cell>
          <cell r="U486">
            <v>178613.28</v>
          </cell>
          <cell r="V486">
            <v>-19200</v>
          </cell>
          <cell r="W486">
            <v>259618.00000000469</v>
          </cell>
          <cell r="X486">
            <v>-1093224</v>
          </cell>
          <cell r="Y486">
            <v>438231.28000000468</v>
          </cell>
          <cell r="Z486">
            <v>-1112424</v>
          </cell>
          <cell r="AA486">
            <v>-674192.71999999532</v>
          </cell>
          <cell r="AC486">
            <v>15158</v>
          </cell>
          <cell r="AD486">
            <v>0</v>
          </cell>
        </row>
        <row r="487">
          <cell r="S487">
            <v>0</v>
          </cell>
          <cell r="T487">
            <v>0</v>
          </cell>
          <cell r="U487">
            <v>0</v>
          </cell>
          <cell r="V487">
            <v>0</v>
          </cell>
          <cell r="W487">
            <v>0</v>
          </cell>
          <cell r="X487">
            <v>0</v>
          </cell>
          <cell r="Y487">
            <v>0</v>
          </cell>
          <cell r="Z487">
            <v>0</v>
          </cell>
          <cell r="AA487">
            <v>0</v>
          </cell>
          <cell r="AC487">
            <v>0</v>
          </cell>
          <cell r="AD487">
            <v>0</v>
          </cell>
        </row>
        <row r="488">
          <cell r="B488">
            <v>15159</v>
          </cell>
          <cell r="C488" t="str">
            <v>SBT- BANK</v>
          </cell>
          <cell r="D488">
            <v>19904641</v>
          </cell>
          <cell r="E488">
            <v>-19904641</v>
          </cell>
          <cell r="F488">
            <v>35231135.399999999</v>
          </cell>
          <cell r="G488">
            <v>-33799138</v>
          </cell>
          <cell r="H488">
            <v>0</v>
          </cell>
          <cell r="I488">
            <v>0</v>
          </cell>
          <cell r="J488">
            <v>0</v>
          </cell>
          <cell r="K488">
            <v>0</v>
          </cell>
          <cell r="L488">
            <v>78766</v>
          </cell>
          <cell r="M488">
            <v>-78766</v>
          </cell>
          <cell r="N488">
            <v>0</v>
          </cell>
          <cell r="O488">
            <v>0</v>
          </cell>
          <cell r="P488">
            <v>55135776.399999999</v>
          </cell>
          <cell r="Q488">
            <v>-53703779</v>
          </cell>
          <cell r="S488">
            <v>0</v>
          </cell>
          <cell r="T488">
            <v>1431997.3999999985</v>
          </cell>
          <cell r="U488">
            <v>0</v>
          </cell>
          <cell r="V488">
            <v>39063.4</v>
          </cell>
          <cell r="W488">
            <v>0</v>
          </cell>
          <cell r="X488">
            <v>1392933.9999999986</v>
          </cell>
          <cell r="Y488">
            <v>0</v>
          </cell>
          <cell r="Z488">
            <v>1431997.3999999985</v>
          </cell>
          <cell r="AA488">
            <v>1431997.3999999985</v>
          </cell>
          <cell r="AC488">
            <v>15159</v>
          </cell>
          <cell r="AD488">
            <v>0</v>
          </cell>
        </row>
        <row r="489">
          <cell r="S489">
            <v>0</v>
          </cell>
          <cell r="T489">
            <v>0</v>
          </cell>
          <cell r="U489">
            <v>0</v>
          </cell>
          <cell r="V489">
            <v>0</v>
          </cell>
          <cell r="W489">
            <v>0</v>
          </cell>
          <cell r="X489">
            <v>0</v>
          </cell>
          <cell r="Y489">
            <v>0</v>
          </cell>
          <cell r="Z489">
            <v>0</v>
          </cell>
          <cell r="AA489">
            <v>0</v>
          </cell>
          <cell r="AC489">
            <v>0</v>
          </cell>
          <cell r="AD489">
            <v>0</v>
          </cell>
        </row>
        <row r="490">
          <cell r="B490">
            <v>15160</v>
          </cell>
          <cell r="C490" t="str">
            <v>HDFC (CURRENT A/C)</v>
          </cell>
          <cell r="D490">
            <v>0</v>
          </cell>
          <cell r="E490">
            <v>0</v>
          </cell>
          <cell r="F490">
            <v>8597214.9600000009</v>
          </cell>
          <cell r="G490">
            <v>-8567581.2400000002</v>
          </cell>
          <cell r="H490">
            <v>0</v>
          </cell>
          <cell r="I490">
            <v>0</v>
          </cell>
          <cell r="J490">
            <v>0</v>
          </cell>
          <cell r="K490">
            <v>0</v>
          </cell>
          <cell r="L490">
            <v>0</v>
          </cell>
          <cell r="M490">
            <v>0</v>
          </cell>
          <cell r="N490">
            <v>0</v>
          </cell>
          <cell r="O490">
            <v>0</v>
          </cell>
          <cell r="P490">
            <v>8597214.9600000009</v>
          </cell>
          <cell r="Q490">
            <v>-8567581.2400000002</v>
          </cell>
          <cell r="S490">
            <v>0</v>
          </cell>
          <cell r="T490">
            <v>29633.720000000671</v>
          </cell>
          <cell r="U490">
            <v>0</v>
          </cell>
          <cell r="V490">
            <v>46891.45</v>
          </cell>
          <cell r="W490">
            <v>0</v>
          </cell>
          <cell r="X490">
            <v>-17257.729999999327</v>
          </cell>
          <cell r="Y490">
            <v>0</v>
          </cell>
          <cell r="Z490">
            <v>29633.720000000671</v>
          </cell>
          <cell r="AA490">
            <v>29633.720000000671</v>
          </cell>
          <cell r="AC490">
            <v>15160</v>
          </cell>
          <cell r="AD490">
            <v>0</v>
          </cell>
        </row>
        <row r="491">
          <cell r="S491">
            <v>0</v>
          </cell>
          <cell r="T491">
            <v>0</v>
          </cell>
          <cell r="U491">
            <v>0</v>
          </cell>
          <cell r="V491">
            <v>0</v>
          </cell>
          <cell r="W491">
            <v>0</v>
          </cell>
          <cell r="X491">
            <v>0</v>
          </cell>
          <cell r="Y491">
            <v>0</v>
          </cell>
          <cell r="Z491">
            <v>0</v>
          </cell>
          <cell r="AA491">
            <v>0</v>
          </cell>
          <cell r="AC491">
            <v>0</v>
          </cell>
          <cell r="AD491">
            <v>0</v>
          </cell>
        </row>
        <row r="492">
          <cell r="B492">
            <v>15162</v>
          </cell>
          <cell r="C492" t="str">
            <v>SCB (CURRENT A/C)</v>
          </cell>
          <cell r="D492">
            <v>22868770.129999999</v>
          </cell>
          <cell r="E492">
            <v>-22818158.59</v>
          </cell>
          <cell r="F492">
            <v>0</v>
          </cell>
          <cell r="G492">
            <v>0</v>
          </cell>
          <cell r="H492">
            <v>0</v>
          </cell>
          <cell r="I492">
            <v>0</v>
          </cell>
          <cell r="J492">
            <v>0</v>
          </cell>
          <cell r="K492">
            <v>0</v>
          </cell>
          <cell r="L492">
            <v>0</v>
          </cell>
          <cell r="M492">
            <v>0</v>
          </cell>
          <cell r="N492">
            <v>0</v>
          </cell>
          <cell r="O492">
            <v>0</v>
          </cell>
          <cell r="P492">
            <v>22868770.129999999</v>
          </cell>
          <cell r="Q492">
            <v>-22818158.59</v>
          </cell>
          <cell r="S492">
            <v>50611.539999999106</v>
          </cell>
          <cell r="T492">
            <v>0</v>
          </cell>
          <cell r="U492">
            <v>267611.53999999998</v>
          </cell>
          <cell r="V492">
            <v>0</v>
          </cell>
          <cell r="W492">
            <v>-217000.00000000087</v>
          </cell>
          <cell r="X492">
            <v>0</v>
          </cell>
          <cell r="Y492">
            <v>50611.539999999106</v>
          </cell>
          <cell r="Z492">
            <v>0</v>
          </cell>
          <cell r="AA492">
            <v>50611.539999999106</v>
          </cell>
          <cell r="AC492">
            <v>15162</v>
          </cell>
          <cell r="AD492">
            <v>0</v>
          </cell>
        </row>
        <row r="493">
          <cell r="S493">
            <v>0</v>
          </cell>
          <cell r="T493">
            <v>0</v>
          </cell>
          <cell r="U493">
            <v>0</v>
          </cell>
          <cell r="V493">
            <v>0</v>
          </cell>
          <cell r="W493">
            <v>0</v>
          </cell>
          <cell r="X493">
            <v>0</v>
          </cell>
          <cell r="Y493">
            <v>0</v>
          </cell>
          <cell r="Z493">
            <v>0</v>
          </cell>
          <cell r="AA493">
            <v>0</v>
          </cell>
          <cell r="AC493">
            <v>0</v>
          </cell>
          <cell r="AD493">
            <v>0</v>
          </cell>
        </row>
        <row r="494">
          <cell r="B494">
            <v>15163</v>
          </cell>
          <cell r="C494" t="str">
            <v>RBS BANK</v>
          </cell>
          <cell r="D494">
            <v>25600000</v>
          </cell>
          <cell r="E494">
            <v>-34751875.719999999</v>
          </cell>
          <cell r="F494">
            <v>0</v>
          </cell>
          <cell r="G494">
            <v>0</v>
          </cell>
          <cell r="H494">
            <v>0</v>
          </cell>
          <cell r="I494">
            <v>0</v>
          </cell>
          <cell r="J494">
            <v>0</v>
          </cell>
          <cell r="K494">
            <v>0</v>
          </cell>
          <cell r="L494">
            <v>33700166.100000001</v>
          </cell>
          <cell r="M494">
            <v>-20099744.609999999</v>
          </cell>
          <cell r="N494">
            <v>0</v>
          </cell>
          <cell r="O494">
            <v>0</v>
          </cell>
          <cell r="P494">
            <v>25600000</v>
          </cell>
          <cell r="Q494">
            <v>-34751875.719999999</v>
          </cell>
          <cell r="S494">
            <v>4448545.7700000033</v>
          </cell>
          <cell r="T494">
            <v>0</v>
          </cell>
          <cell r="U494">
            <v>376041.08</v>
          </cell>
          <cell r="V494">
            <v>0</v>
          </cell>
          <cell r="W494">
            <v>4072504.6900000032</v>
          </cell>
          <cell r="X494">
            <v>0</v>
          </cell>
          <cell r="Y494">
            <v>4448545.7700000033</v>
          </cell>
          <cell r="Z494">
            <v>0</v>
          </cell>
          <cell r="AA494">
            <v>4448545.7700000033</v>
          </cell>
          <cell r="AC494">
            <v>15163</v>
          </cell>
          <cell r="AD494">
            <v>0</v>
          </cell>
        </row>
        <row r="495">
          <cell r="S495">
            <v>0</v>
          </cell>
          <cell r="T495">
            <v>0</v>
          </cell>
          <cell r="U495">
            <v>0</v>
          </cell>
          <cell r="V495">
            <v>0</v>
          </cell>
          <cell r="W495">
            <v>0</v>
          </cell>
          <cell r="X495">
            <v>0</v>
          </cell>
          <cell r="Y495">
            <v>0</v>
          </cell>
          <cell r="Z495">
            <v>0</v>
          </cell>
          <cell r="AA495">
            <v>0</v>
          </cell>
          <cell r="AC495">
            <v>0</v>
          </cell>
          <cell r="AD495">
            <v>0</v>
          </cell>
        </row>
        <row r="496">
          <cell r="B496">
            <v>15164</v>
          </cell>
          <cell r="C496" t="str">
            <v>EEFC</v>
          </cell>
          <cell r="D496">
            <v>3724695.5</v>
          </cell>
          <cell r="E496">
            <v>-22301259.09</v>
          </cell>
          <cell r="F496">
            <v>0</v>
          </cell>
          <cell r="G496">
            <v>0</v>
          </cell>
          <cell r="H496">
            <v>0</v>
          </cell>
          <cell r="I496">
            <v>0</v>
          </cell>
          <cell r="J496">
            <v>0</v>
          </cell>
          <cell r="K496">
            <v>0</v>
          </cell>
          <cell r="L496">
            <v>0.1</v>
          </cell>
          <cell r="M496">
            <v>-0.1</v>
          </cell>
          <cell r="N496">
            <v>0</v>
          </cell>
          <cell r="O496">
            <v>0</v>
          </cell>
          <cell r="P496">
            <v>3724695.5</v>
          </cell>
          <cell r="Q496">
            <v>-22301259.09</v>
          </cell>
          <cell r="S496">
            <v>-18576563.59</v>
          </cell>
          <cell r="T496">
            <v>0</v>
          </cell>
          <cell r="U496">
            <v>0</v>
          </cell>
          <cell r="V496">
            <v>0</v>
          </cell>
          <cell r="W496">
            <v>-18576563.59</v>
          </cell>
          <cell r="X496">
            <v>0</v>
          </cell>
          <cell r="Y496">
            <v>-18576563.59</v>
          </cell>
          <cell r="Z496">
            <v>0</v>
          </cell>
          <cell r="AA496">
            <v>-18576563.59</v>
          </cell>
          <cell r="AC496">
            <v>15164</v>
          </cell>
          <cell r="AD496">
            <v>0</v>
          </cell>
        </row>
        <row r="497">
          <cell r="S497">
            <v>0</v>
          </cell>
          <cell r="T497">
            <v>0</v>
          </cell>
          <cell r="U497">
            <v>0</v>
          </cell>
          <cell r="V497">
            <v>0</v>
          </cell>
          <cell r="W497">
            <v>0</v>
          </cell>
          <cell r="X497">
            <v>0</v>
          </cell>
          <cell r="Y497">
            <v>0</v>
          </cell>
          <cell r="Z497">
            <v>0</v>
          </cell>
          <cell r="AA497">
            <v>0</v>
          </cell>
          <cell r="AC497">
            <v>0</v>
          </cell>
          <cell r="AD497">
            <v>0</v>
          </cell>
        </row>
        <row r="498">
          <cell r="B498">
            <v>15165</v>
          </cell>
          <cell r="C498" t="str">
            <v>EEFC-HSBC</v>
          </cell>
          <cell r="D498">
            <v>78959564.290000007</v>
          </cell>
          <cell r="E498">
            <v>-54616277.890000001</v>
          </cell>
          <cell r="F498">
            <v>0</v>
          </cell>
          <cell r="G498">
            <v>0</v>
          </cell>
          <cell r="H498">
            <v>0</v>
          </cell>
          <cell r="I498">
            <v>0</v>
          </cell>
          <cell r="J498">
            <v>0</v>
          </cell>
          <cell r="K498">
            <v>0</v>
          </cell>
          <cell r="L498">
            <v>0</v>
          </cell>
          <cell r="M498">
            <v>0</v>
          </cell>
          <cell r="N498">
            <v>0</v>
          </cell>
          <cell r="O498">
            <v>0</v>
          </cell>
          <cell r="P498">
            <v>78959564.290000007</v>
          </cell>
          <cell r="Q498">
            <v>-54616277.890000001</v>
          </cell>
          <cell r="S498">
            <v>24343286.400000006</v>
          </cell>
          <cell r="T498">
            <v>0</v>
          </cell>
          <cell r="U498">
            <v>0</v>
          </cell>
          <cell r="V498">
            <v>0</v>
          </cell>
          <cell r="W498">
            <v>24343286.400000006</v>
          </cell>
          <cell r="X498">
            <v>0</v>
          </cell>
          <cell r="Y498">
            <v>24343286.400000006</v>
          </cell>
          <cell r="Z498">
            <v>0</v>
          </cell>
          <cell r="AA498">
            <v>24343286.400000006</v>
          </cell>
          <cell r="AC498">
            <v>15165</v>
          </cell>
          <cell r="AD498">
            <v>0</v>
          </cell>
        </row>
        <row r="499">
          <cell r="S499">
            <v>0</v>
          </cell>
          <cell r="T499">
            <v>0</v>
          </cell>
          <cell r="U499">
            <v>0</v>
          </cell>
          <cell r="V499">
            <v>0</v>
          </cell>
          <cell r="W499">
            <v>0</v>
          </cell>
          <cell r="X499">
            <v>0</v>
          </cell>
          <cell r="Y499">
            <v>0</v>
          </cell>
          <cell r="Z499">
            <v>0</v>
          </cell>
          <cell r="AA499">
            <v>0</v>
          </cell>
          <cell r="AC499">
            <v>0</v>
          </cell>
          <cell r="AD499">
            <v>0</v>
          </cell>
        </row>
        <row r="500">
          <cell r="B500">
            <v>15169</v>
          </cell>
          <cell r="C500" t="str">
            <v>FEDRAL REFUND PCD</v>
          </cell>
          <cell r="D500">
            <v>0</v>
          </cell>
          <cell r="E500">
            <v>0</v>
          </cell>
          <cell r="F500">
            <v>0</v>
          </cell>
          <cell r="G500">
            <v>0</v>
          </cell>
          <cell r="H500">
            <v>0</v>
          </cell>
          <cell r="I500">
            <v>0</v>
          </cell>
          <cell r="J500">
            <v>0</v>
          </cell>
          <cell r="K500">
            <v>0</v>
          </cell>
          <cell r="L500">
            <v>1</v>
          </cell>
          <cell r="M500">
            <v>-1.5</v>
          </cell>
          <cell r="N500">
            <v>0</v>
          </cell>
          <cell r="O500">
            <v>0</v>
          </cell>
          <cell r="P500">
            <v>0</v>
          </cell>
          <cell r="Q500">
            <v>0</v>
          </cell>
          <cell r="S500">
            <v>-0.5</v>
          </cell>
          <cell r="T500">
            <v>0</v>
          </cell>
          <cell r="U500">
            <v>-0.5</v>
          </cell>
          <cell r="V500">
            <v>0</v>
          </cell>
          <cell r="W500">
            <v>0</v>
          </cell>
          <cell r="X500">
            <v>0</v>
          </cell>
          <cell r="Y500">
            <v>-0.5</v>
          </cell>
          <cell r="Z500">
            <v>0</v>
          </cell>
          <cell r="AA500">
            <v>-0.5</v>
          </cell>
          <cell r="AC500">
            <v>15169</v>
          </cell>
          <cell r="AD500">
            <v>0</v>
          </cell>
        </row>
        <row r="501">
          <cell r="S501">
            <v>0</v>
          </cell>
          <cell r="T501">
            <v>0</v>
          </cell>
          <cell r="U501">
            <v>0</v>
          </cell>
          <cell r="V501">
            <v>0</v>
          </cell>
          <cell r="W501">
            <v>0</v>
          </cell>
          <cell r="X501">
            <v>0</v>
          </cell>
          <cell r="Y501">
            <v>0</v>
          </cell>
          <cell r="Z501">
            <v>0</v>
          </cell>
          <cell r="AA501">
            <v>0</v>
          </cell>
          <cell r="AC501">
            <v>0</v>
          </cell>
          <cell r="AD501">
            <v>0</v>
          </cell>
        </row>
        <row r="502">
          <cell r="B502">
            <v>15170</v>
          </cell>
          <cell r="C502" t="str">
            <v>TRUSTEE GROUP GRATUITY (BOI)</v>
          </cell>
          <cell r="D502">
            <v>2435031</v>
          </cell>
          <cell r="E502">
            <v>-2830280</v>
          </cell>
          <cell r="F502">
            <v>0</v>
          </cell>
          <cell r="G502">
            <v>0</v>
          </cell>
          <cell r="H502">
            <v>0</v>
          </cell>
          <cell r="I502">
            <v>0</v>
          </cell>
          <cell r="J502">
            <v>0</v>
          </cell>
          <cell r="K502">
            <v>0</v>
          </cell>
          <cell r="L502">
            <v>827473.6</v>
          </cell>
          <cell r="M502">
            <v>-412000</v>
          </cell>
          <cell r="N502">
            <v>0</v>
          </cell>
          <cell r="O502">
            <v>0</v>
          </cell>
          <cell r="P502">
            <v>2435031</v>
          </cell>
          <cell r="Q502">
            <v>-2830280</v>
          </cell>
          <cell r="S502">
            <v>20224.599999999977</v>
          </cell>
          <cell r="T502">
            <v>0</v>
          </cell>
          <cell r="U502">
            <v>15193.6</v>
          </cell>
          <cell r="V502">
            <v>0</v>
          </cell>
          <cell r="W502">
            <v>5030.9999999999764</v>
          </cell>
          <cell r="X502">
            <v>0</v>
          </cell>
          <cell r="Y502">
            <v>20224.599999999977</v>
          </cell>
          <cell r="Z502">
            <v>0</v>
          </cell>
          <cell r="AA502">
            <v>20224.599999999977</v>
          </cell>
          <cell r="AC502">
            <v>15170</v>
          </cell>
          <cell r="AD502">
            <v>0</v>
          </cell>
        </row>
        <row r="503">
          <cell r="S503">
            <v>0</v>
          </cell>
          <cell r="T503">
            <v>0</v>
          </cell>
          <cell r="U503">
            <v>0</v>
          </cell>
          <cell r="V503">
            <v>0</v>
          </cell>
          <cell r="W503">
            <v>0</v>
          </cell>
          <cell r="X503">
            <v>0</v>
          </cell>
          <cell r="Y503">
            <v>0</v>
          </cell>
          <cell r="Z503">
            <v>0</v>
          </cell>
          <cell r="AA503">
            <v>0</v>
          </cell>
          <cell r="AC503">
            <v>0</v>
          </cell>
          <cell r="AD503">
            <v>0</v>
          </cell>
        </row>
        <row r="504">
          <cell r="B504">
            <v>15171</v>
          </cell>
          <cell r="C504" t="str">
            <v>SUPERANNUATION (BOI)</v>
          </cell>
          <cell r="D504">
            <v>280</v>
          </cell>
          <cell r="E504">
            <v>-280</v>
          </cell>
          <cell r="F504">
            <v>0</v>
          </cell>
          <cell r="G504">
            <v>0</v>
          </cell>
          <cell r="H504">
            <v>0</v>
          </cell>
          <cell r="I504">
            <v>0</v>
          </cell>
          <cell r="J504">
            <v>0</v>
          </cell>
          <cell r="K504">
            <v>0</v>
          </cell>
          <cell r="L504">
            <v>7045</v>
          </cell>
          <cell r="M504">
            <v>-215</v>
          </cell>
          <cell r="N504">
            <v>0</v>
          </cell>
          <cell r="O504">
            <v>0</v>
          </cell>
          <cell r="P504">
            <v>280</v>
          </cell>
          <cell r="Q504">
            <v>-280</v>
          </cell>
          <cell r="S504">
            <v>6830</v>
          </cell>
          <cell r="T504">
            <v>0</v>
          </cell>
          <cell r="U504">
            <v>6830</v>
          </cell>
          <cell r="V504">
            <v>0</v>
          </cell>
          <cell r="W504">
            <v>0</v>
          </cell>
          <cell r="X504">
            <v>0</v>
          </cell>
          <cell r="Y504">
            <v>6830</v>
          </cell>
          <cell r="Z504">
            <v>0</v>
          </cell>
          <cell r="AA504">
            <v>6830</v>
          </cell>
          <cell r="AC504">
            <v>15171</v>
          </cell>
          <cell r="AD504">
            <v>0</v>
          </cell>
        </row>
        <row r="505">
          <cell r="S505">
            <v>0</v>
          </cell>
          <cell r="T505">
            <v>0</v>
          </cell>
          <cell r="U505">
            <v>0</v>
          </cell>
          <cell r="V505">
            <v>0</v>
          </cell>
          <cell r="W505">
            <v>0</v>
          </cell>
          <cell r="X505">
            <v>0</v>
          </cell>
          <cell r="Y505">
            <v>0</v>
          </cell>
          <cell r="Z505">
            <v>0</v>
          </cell>
          <cell r="AA505">
            <v>0</v>
          </cell>
          <cell r="AC505">
            <v>0</v>
          </cell>
          <cell r="AD505">
            <v>0</v>
          </cell>
        </row>
        <row r="506">
          <cell r="B506">
            <v>15174</v>
          </cell>
          <cell r="C506" t="str">
            <v>DEBENTURE REDEMPTION 98-99 (BOI)</v>
          </cell>
          <cell r="D506">
            <v>0</v>
          </cell>
          <cell r="E506">
            <v>0</v>
          </cell>
          <cell r="F506">
            <v>0</v>
          </cell>
          <cell r="G506">
            <v>0</v>
          </cell>
          <cell r="H506">
            <v>0</v>
          </cell>
          <cell r="I506">
            <v>0</v>
          </cell>
          <cell r="J506">
            <v>0</v>
          </cell>
          <cell r="K506">
            <v>0</v>
          </cell>
          <cell r="L506">
            <v>26002</v>
          </cell>
          <cell r="M506">
            <v>0</v>
          </cell>
          <cell r="N506">
            <v>0</v>
          </cell>
          <cell r="O506">
            <v>0</v>
          </cell>
          <cell r="P506">
            <v>0</v>
          </cell>
          <cell r="Q506">
            <v>0</v>
          </cell>
          <cell r="S506">
            <v>26002</v>
          </cell>
          <cell r="T506">
            <v>0</v>
          </cell>
          <cell r="U506">
            <v>26002</v>
          </cell>
          <cell r="V506">
            <v>0</v>
          </cell>
          <cell r="W506">
            <v>0</v>
          </cell>
          <cell r="X506">
            <v>0</v>
          </cell>
          <cell r="Y506">
            <v>26002</v>
          </cell>
          <cell r="Z506">
            <v>0</v>
          </cell>
          <cell r="AA506">
            <v>26002</v>
          </cell>
          <cell r="AC506">
            <v>15174</v>
          </cell>
          <cell r="AD506">
            <v>0</v>
          </cell>
        </row>
        <row r="507">
          <cell r="S507">
            <v>0</v>
          </cell>
          <cell r="T507">
            <v>0</v>
          </cell>
          <cell r="U507">
            <v>0</v>
          </cell>
          <cell r="V507">
            <v>0</v>
          </cell>
          <cell r="W507">
            <v>0</v>
          </cell>
          <cell r="X507">
            <v>0</v>
          </cell>
          <cell r="Y507">
            <v>0</v>
          </cell>
          <cell r="Z507">
            <v>0</v>
          </cell>
          <cell r="AA507">
            <v>0</v>
          </cell>
          <cell r="AC507">
            <v>0</v>
          </cell>
          <cell r="AD507">
            <v>0</v>
          </cell>
        </row>
        <row r="508">
          <cell r="B508">
            <v>15175</v>
          </cell>
          <cell r="C508" t="str">
            <v>DIVIDEND (BANK/ ASSET A/C)</v>
          </cell>
          <cell r="D508">
            <v>0</v>
          </cell>
          <cell r="E508">
            <v>-82942.600000000006</v>
          </cell>
          <cell r="F508">
            <v>0</v>
          </cell>
          <cell r="G508">
            <v>0</v>
          </cell>
          <cell r="H508">
            <v>0</v>
          </cell>
          <cell r="I508">
            <v>0</v>
          </cell>
          <cell r="J508">
            <v>0</v>
          </cell>
          <cell r="K508">
            <v>0</v>
          </cell>
          <cell r="L508">
            <v>67527911.640000001</v>
          </cell>
          <cell r="M508">
            <v>-19252859.640000001</v>
          </cell>
          <cell r="N508">
            <v>0</v>
          </cell>
          <cell r="O508">
            <v>0</v>
          </cell>
          <cell r="P508">
            <v>0</v>
          </cell>
          <cell r="Q508">
            <v>-82942.600000000006</v>
          </cell>
          <cell r="S508">
            <v>48192109.400000006</v>
          </cell>
          <cell r="T508">
            <v>0</v>
          </cell>
          <cell r="U508">
            <v>1019010</v>
          </cell>
          <cell r="V508">
            <v>0</v>
          </cell>
          <cell r="W508">
            <v>47173099.400000006</v>
          </cell>
          <cell r="X508">
            <v>0</v>
          </cell>
          <cell r="Y508">
            <v>48192109.400000006</v>
          </cell>
          <cell r="Z508">
            <v>0</v>
          </cell>
          <cell r="AA508">
            <v>48192109.400000006</v>
          </cell>
          <cell r="AC508">
            <v>15175</v>
          </cell>
          <cell r="AD508">
            <v>0</v>
          </cell>
        </row>
        <row r="509">
          <cell r="S509">
            <v>0</v>
          </cell>
          <cell r="T509">
            <v>0</v>
          </cell>
          <cell r="U509">
            <v>0</v>
          </cell>
          <cell r="V509">
            <v>0</v>
          </cell>
          <cell r="W509">
            <v>0</v>
          </cell>
          <cell r="X509">
            <v>0</v>
          </cell>
          <cell r="Y509">
            <v>0</v>
          </cell>
          <cell r="Z509">
            <v>0</v>
          </cell>
          <cell r="AA509">
            <v>0</v>
          </cell>
          <cell r="AC509">
            <v>0</v>
          </cell>
          <cell r="AD509">
            <v>0</v>
          </cell>
        </row>
        <row r="510">
          <cell r="B510">
            <v>15180</v>
          </cell>
          <cell r="C510" t="str">
            <v>FIXED DEPOSITS</v>
          </cell>
          <cell r="D510">
            <v>52911.87</v>
          </cell>
          <cell r="E510">
            <v>-2500000</v>
          </cell>
          <cell r="F510">
            <v>0</v>
          </cell>
          <cell r="G510">
            <v>0</v>
          </cell>
          <cell r="H510">
            <v>0</v>
          </cell>
          <cell r="I510">
            <v>0</v>
          </cell>
          <cell r="J510">
            <v>0</v>
          </cell>
          <cell r="K510">
            <v>0</v>
          </cell>
          <cell r="L510">
            <v>3183574.8</v>
          </cell>
          <cell r="M510">
            <v>-53904.36</v>
          </cell>
          <cell r="N510">
            <v>0</v>
          </cell>
          <cell r="O510">
            <v>0</v>
          </cell>
          <cell r="P510">
            <v>52911.87</v>
          </cell>
          <cell r="Q510">
            <v>-2500000</v>
          </cell>
          <cell r="S510">
            <v>682582.30999999994</v>
          </cell>
          <cell r="T510">
            <v>0</v>
          </cell>
          <cell r="U510">
            <v>682582.31</v>
          </cell>
          <cell r="V510">
            <v>0</v>
          </cell>
          <cell r="W510">
            <v>0</v>
          </cell>
          <cell r="X510">
            <v>0</v>
          </cell>
          <cell r="Y510">
            <v>682582.31</v>
          </cell>
          <cell r="Z510">
            <v>0</v>
          </cell>
          <cell r="AA510">
            <v>682582.31</v>
          </cell>
          <cell r="AC510">
            <v>15180</v>
          </cell>
          <cell r="AD510">
            <v>0</v>
          </cell>
        </row>
        <row r="511">
          <cell r="S511">
            <v>0</v>
          </cell>
          <cell r="T511">
            <v>0</v>
          </cell>
          <cell r="U511">
            <v>0</v>
          </cell>
          <cell r="V511">
            <v>0</v>
          </cell>
          <cell r="W511">
            <v>0</v>
          </cell>
          <cell r="X511">
            <v>0</v>
          </cell>
          <cell r="Y511">
            <v>0</v>
          </cell>
          <cell r="Z511">
            <v>0</v>
          </cell>
          <cell r="AA511">
            <v>0</v>
          </cell>
          <cell r="AC511">
            <v>0</v>
          </cell>
          <cell r="AD511">
            <v>0</v>
          </cell>
        </row>
        <row r="512">
          <cell r="B512">
            <v>15182</v>
          </cell>
          <cell r="C512" t="str">
            <v>MUNICIPAL CO-OP BANK</v>
          </cell>
          <cell r="D512">
            <v>100000</v>
          </cell>
          <cell r="E512">
            <v>0</v>
          </cell>
          <cell r="F512">
            <v>6129844</v>
          </cell>
          <cell r="G512">
            <v>-2395654</v>
          </cell>
          <cell r="H512">
            <v>0</v>
          </cell>
          <cell r="I512">
            <v>0</v>
          </cell>
          <cell r="J512">
            <v>0</v>
          </cell>
          <cell r="K512">
            <v>0</v>
          </cell>
          <cell r="L512">
            <v>0</v>
          </cell>
          <cell r="M512">
            <v>0</v>
          </cell>
          <cell r="N512">
            <v>0</v>
          </cell>
          <cell r="O512">
            <v>0</v>
          </cell>
          <cell r="P512">
            <v>6229844</v>
          </cell>
          <cell r="Q512">
            <v>-2395654</v>
          </cell>
          <cell r="S512">
            <v>100000</v>
          </cell>
          <cell r="T512">
            <v>3734190</v>
          </cell>
          <cell r="U512">
            <v>100000</v>
          </cell>
          <cell r="V512">
            <v>-47902</v>
          </cell>
          <cell r="W512">
            <v>0</v>
          </cell>
          <cell r="X512">
            <v>3782092</v>
          </cell>
          <cell r="Y512">
            <v>100000</v>
          </cell>
          <cell r="Z512">
            <v>3734190</v>
          </cell>
          <cell r="AA512">
            <v>3834190</v>
          </cell>
          <cell r="AC512">
            <v>15182</v>
          </cell>
          <cell r="AD512">
            <v>0</v>
          </cell>
        </row>
        <row r="513">
          <cell r="S513">
            <v>0</v>
          </cell>
          <cell r="T513">
            <v>0</v>
          </cell>
          <cell r="U513">
            <v>0</v>
          </cell>
          <cell r="V513">
            <v>0</v>
          </cell>
          <cell r="W513">
            <v>0</v>
          </cell>
          <cell r="X513">
            <v>0</v>
          </cell>
          <cell r="Y513">
            <v>0</v>
          </cell>
          <cell r="Z513">
            <v>0</v>
          </cell>
          <cell r="AA513">
            <v>0</v>
          </cell>
          <cell r="AC513">
            <v>0</v>
          </cell>
          <cell r="AD513">
            <v>0</v>
          </cell>
        </row>
        <row r="514">
          <cell r="B514">
            <v>15183</v>
          </cell>
          <cell r="C514" t="str">
            <v>FIXED DEPOSITS (CO-OP BANK)</v>
          </cell>
          <cell r="D514">
            <v>0</v>
          </cell>
          <cell r="E514">
            <v>0</v>
          </cell>
          <cell r="F514">
            <v>10000</v>
          </cell>
          <cell r="G514">
            <v>0</v>
          </cell>
          <cell r="H514">
            <v>0</v>
          </cell>
          <cell r="I514">
            <v>0</v>
          </cell>
          <cell r="J514">
            <v>0</v>
          </cell>
          <cell r="K514">
            <v>0</v>
          </cell>
          <cell r="L514">
            <v>0</v>
          </cell>
          <cell r="M514">
            <v>0</v>
          </cell>
          <cell r="N514">
            <v>0</v>
          </cell>
          <cell r="O514">
            <v>0</v>
          </cell>
          <cell r="P514">
            <v>10000</v>
          </cell>
          <cell r="Q514">
            <v>0</v>
          </cell>
          <cell r="S514">
            <v>0</v>
          </cell>
          <cell r="T514">
            <v>10000</v>
          </cell>
          <cell r="U514">
            <v>0</v>
          </cell>
          <cell r="V514">
            <v>10000</v>
          </cell>
          <cell r="W514">
            <v>0</v>
          </cell>
          <cell r="X514">
            <v>0</v>
          </cell>
          <cell r="Y514">
            <v>0</v>
          </cell>
          <cell r="Z514">
            <v>10000</v>
          </cell>
          <cell r="AA514">
            <v>10000</v>
          </cell>
          <cell r="AC514">
            <v>15183</v>
          </cell>
          <cell r="AD514">
            <v>0</v>
          </cell>
        </row>
        <row r="515">
          <cell r="S515">
            <v>0</v>
          </cell>
          <cell r="T515">
            <v>0</v>
          </cell>
          <cell r="U515">
            <v>0</v>
          </cell>
          <cell r="V515">
            <v>0</v>
          </cell>
          <cell r="W515">
            <v>0</v>
          </cell>
          <cell r="X515">
            <v>0</v>
          </cell>
          <cell r="Y515">
            <v>0</v>
          </cell>
          <cell r="Z515">
            <v>0</v>
          </cell>
          <cell r="AA515">
            <v>0</v>
          </cell>
          <cell r="AC515">
            <v>0</v>
          </cell>
          <cell r="AD515">
            <v>0</v>
          </cell>
        </row>
        <row r="516">
          <cell r="B516">
            <v>15184</v>
          </cell>
          <cell r="C516" t="str">
            <v>MARGIN MONEY ACCOUNT</v>
          </cell>
          <cell r="D516">
            <v>900000</v>
          </cell>
          <cell r="E516">
            <v>-396612.46</v>
          </cell>
          <cell r="F516">
            <v>0</v>
          </cell>
          <cell r="G516">
            <v>0</v>
          </cell>
          <cell r="H516">
            <v>0</v>
          </cell>
          <cell r="I516">
            <v>0</v>
          </cell>
          <cell r="J516">
            <v>0</v>
          </cell>
          <cell r="K516">
            <v>0</v>
          </cell>
          <cell r="L516">
            <v>900000</v>
          </cell>
          <cell r="M516">
            <v>-1403387.54</v>
          </cell>
          <cell r="N516">
            <v>0</v>
          </cell>
          <cell r="O516">
            <v>0</v>
          </cell>
          <cell r="P516">
            <v>900000</v>
          </cell>
          <cell r="Q516">
            <v>-396612.46</v>
          </cell>
          <cell r="S516">
            <v>0</v>
          </cell>
          <cell r="T516">
            <v>0</v>
          </cell>
          <cell r="U516">
            <v>0</v>
          </cell>
          <cell r="V516">
            <v>0</v>
          </cell>
          <cell r="W516">
            <v>0</v>
          </cell>
          <cell r="X516">
            <v>0</v>
          </cell>
          <cell r="Y516">
            <v>0</v>
          </cell>
          <cell r="Z516">
            <v>0</v>
          </cell>
          <cell r="AA516">
            <v>0</v>
          </cell>
          <cell r="AC516">
            <v>15184</v>
          </cell>
          <cell r="AD516">
            <v>0</v>
          </cell>
        </row>
        <row r="517">
          <cell r="S517">
            <v>0</v>
          </cell>
          <cell r="T517">
            <v>0</v>
          </cell>
          <cell r="U517">
            <v>0</v>
          </cell>
          <cell r="V517">
            <v>0</v>
          </cell>
          <cell r="W517">
            <v>0</v>
          </cell>
          <cell r="X517">
            <v>0</v>
          </cell>
          <cell r="Y517">
            <v>0</v>
          </cell>
          <cell r="Z517">
            <v>0</v>
          </cell>
          <cell r="AA517">
            <v>0</v>
          </cell>
          <cell r="AC517">
            <v>0</v>
          </cell>
          <cell r="AD517">
            <v>0</v>
          </cell>
        </row>
        <row r="518">
          <cell r="B518">
            <v>15185</v>
          </cell>
          <cell r="C518" t="str">
            <v>UCO BANK (A/C NO 19790210005347)</v>
          </cell>
          <cell r="D518">
            <v>102139016.42</v>
          </cell>
          <cell r="E518">
            <v>-102000546.7</v>
          </cell>
          <cell r="F518">
            <v>24933807</v>
          </cell>
          <cell r="G518">
            <v>-24933807</v>
          </cell>
          <cell r="H518">
            <v>0</v>
          </cell>
          <cell r="I518">
            <v>0</v>
          </cell>
          <cell r="J518">
            <v>0</v>
          </cell>
          <cell r="K518">
            <v>0</v>
          </cell>
          <cell r="L518">
            <v>10000</v>
          </cell>
          <cell r="M518">
            <v>0</v>
          </cell>
          <cell r="N518">
            <v>0</v>
          </cell>
          <cell r="O518">
            <v>0</v>
          </cell>
          <cell r="P518">
            <v>127072823.42</v>
          </cell>
          <cell r="Q518">
            <v>-126934353.7</v>
          </cell>
          <cell r="S518">
            <v>148469.71999999881</v>
          </cell>
          <cell r="T518">
            <v>0</v>
          </cell>
          <cell r="U518">
            <v>3274440.68</v>
          </cell>
          <cell r="V518">
            <v>0</v>
          </cell>
          <cell r="W518">
            <v>-3125970.9600000014</v>
          </cell>
          <cell r="X518">
            <v>0</v>
          </cell>
          <cell r="Y518">
            <v>148469.71999999881</v>
          </cell>
          <cell r="Z518">
            <v>0</v>
          </cell>
          <cell r="AA518">
            <v>148469.71999999881</v>
          </cell>
          <cell r="AC518">
            <v>15185</v>
          </cell>
          <cell r="AD518">
            <v>0</v>
          </cell>
        </row>
        <row r="519">
          <cell r="S519">
            <v>0</v>
          </cell>
          <cell r="T519">
            <v>0</v>
          </cell>
          <cell r="U519">
            <v>0</v>
          </cell>
          <cell r="V519">
            <v>0</v>
          </cell>
          <cell r="W519">
            <v>0</v>
          </cell>
          <cell r="X519">
            <v>0</v>
          </cell>
          <cell r="Y519">
            <v>0</v>
          </cell>
          <cell r="Z519">
            <v>0</v>
          </cell>
          <cell r="AA519">
            <v>0</v>
          </cell>
          <cell r="AC519">
            <v>0</v>
          </cell>
          <cell r="AD519">
            <v>0</v>
          </cell>
        </row>
        <row r="520">
          <cell r="E520" t="str">
            <v>SDCT</v>
          </cell>
          <cell r="F520" t="str">
            <v>PCDT</v>
          </cell>
          <cell r="G520" t="str">
            <v>PCDC</v>
          </cell>
          <cell r="I520" t="str">
            <v>PCDN</v>
          </cell>
          <cell r="K520" t="str">
            <v>CORP</v>
          </cell>
          <cell r="M520" t="str">
            <v>OTHER</v>
          </cell>
          <cell r="O520" t="str">
            <v>TOTAL</v>
          </cell>
          <cell r="U520">
            <v>0</v>
          </cell>
          <cell r="V520">
            <v>0</v>
          </cell>
          <cell r="W520">
            <v>0</v>
          </cell>
          <cell r="X520">
            <v>0</v>
          </cell>
          <cell r="Y520">
            <v>0</v>
          </cell>
          <cell r="Z520">
            <v>0</v>
          </cell>
          <cell r="AA520">
            <v>0</v>
          </cell>
          <cell r="AC520">
            <v>0</v>
          </cell>
          <cell r="AD520">
            <v>0</v>
          </cell>
        </row>
        <row r="521">
          <cell r="B521" t="str">
            <v>GL CODE</v>
          </cell>
          <cell r="C521" t="str">
            <v>ACCOUNT HEAD</v>
          </cell>
          <cell r="S521">
            <v>0</v>
          </cell>
          <cell r="T521">
            <v>0</v>
          </cell>
          <cell r="U521" t="str">
            <v>SDCT</v>
          </cell>
          <cell r="V521" t="str">
            <v>PCDT</v>
          </cell>
          <cell r="AA521">
            <v>0</v>
          </cell>
          <cell r="AC521">
            <v>0</v>
          </cell>
          <cell r="AD521" t="e">
            <v>#VALUE!</v>
          </cell>
        </row>
        <row r="522">
          <cell r="S522">
            <v>0</v>
          </cell>
          <cell r="T522">
            <v>0</v>
          </cell>
          <cell r="U522">
            <v>0</v>
          </cell>
          <cell r="V522">
            <v>0</v>
          </cell>
          <cell r="W522">
            <v>0</v>
          </cell>
          <cell r="X522">
            <v>0</v>
          </cell>
          <cell r="Y522">
            <v>0</v>
          </cell>
          <cell r="Z522">
            <v>0</v>
          </cell>
          <cell r="AA522">
            <v>0</v>
          </cell>
          <cell r="AC522">
            <v>0</v>
          </cell>
          <cell r="AD522">
            <v>0</v>
          </cell>
        </row>
        <row r="523">
          <cell r="D523" t="str">
            <v>DR.</v>
          </cell>
          <cell r="E523" t="str">
            <v>CR.</v>
          </cell>
          <cell r="F523" t="str">
            <v>DR.</v>
          </cell>
          <cell r="G523" t="str">
            <v>CR.</v>
          </cell>
          <cell r="H523" t="str">
            <v>DR.</v>
          </cell>
          <cell r="I523" t="str">
            <v>CR.</v>
          </cell>
          <cell r="J523" t="str">
            <v>DR.</v>
          </cell>
          <cell r="K523" t="str">
            <v>CR.</v>
          </cell>
          <cell r="L523" t="str">
            <v>DR.</v>
          </cell>
          <cell r="M523" t="str">
            <v>CR.</v>
          </cell>
          <cell r="N523" t="str">
            <v>DR.</v>
          </cell>
          <cell r="O523" t="str">
            <v>CR.</v>
          </cell>
          <cell r="P523" t="str">
            <v>DR.</v>
          </cell>
          <cell r="Q523" t="str">
            <v>CR.</v>
          </cell>
          <cell r="U523">
            <v>0</v>
          </cell>
          <cell r="V523">
            <v>0</v>
          </cell>
          <cell r="W523">
            <v>0</v>
          </cell>
          <cell r="X523">
            <v>0</v>
          </cell>
          <cell r="Y523">
            <v>0</v>
          </cell>
          <cell r="Z523">
            <v>0</v>
          </cell>
          <cell r="AA523">
            <v>0</v>
          </cell>
          <cell r="AC523">
            <v>0</v>
          </cell>
          <cell r="AD523">
            <v>0</v>
          </cell>
        </row>
        <row r="524">
          <cell r="S524">
            <v>0</v>
          </cell>
          <cell r="T524">
            <v>0</v>
          </cell>
          <cell r="U524">
            <v>0</v>
          </cell>
          <cell r="V524">
            <v>0</v>
          </cell>
          <cell r="W524">
            <v>0</v>
          </cell>
          <cell r="X524">
            <v>0</v>
          </cell>
          <cell r="Y524">
            <v>0</v>
          </cell>
          <cell r="Z524">
            <v>0</v>
          </cell>
          <cell r="AA524">
            <v>0</v>
          </cell>
          <cell r="AC524">
            <v>0</v>
          </cell>
          <cell r="AD524">
            <v>0</v>
          </cell>
        </row>
        <row r="525">
          <cell r="S525">
            <v>0</v>
          </cell>
          <cell r="T525">
            <v>0</v>
          </cell>
          <cell r="U525">
            <v>0</v>
          </cell>
          <cell r="V525">
            <v>0</v>
          </cell>
          <cell r="W525">
            <v>0</v>
          </cell>
          <cell r="X525">
            <v>0</v>
          </cell>
          <cell r="Y525">
            <v>0</v>
          </cell>
          <cell r="Z525">
            <v>0</v>
          </cell>
          <cell r="AA525">
            <v>0</v>
          </cell>
          <cell r="AC525">
            <v>0</v>
          </cell>
          <cell r="AD525">
            <v>0</v>
          </cell>
        </row>
        <row r="526">
          <cell r="B526">
            <v>15186</v>
          </cell>
          <cell r="C526" t="str">
            <v>ICICI BANK-VASHI</v>
          </cell>
          <cell r="D526">
            <v>22955917</v>
          </cell>
          <cell r="E526">
            <v>-18237459.120000001</v>
          </cell>
          <cell r="F526">
            <v>0</v>
          </cell>
          <cell r="G526">
            <v>-2980364.87</v>
          </cell>
          <cell r="H526">
            <v>0</v>
          </cell>
          <cell r="I526">
            <v>0</v>
          </cell>
          <cell r="J526">
            <v>0</v>
          </cell>
          <cell r="K526">
            <v>0</v>
          </cell>
          <cell r="L526">
            <v>0</v>
          </cell>
          <cell r="M526">
            <v>-55105</v>
          </cell>
          <cell r="N526">
            <v>0</v>
          </cell>
          <cell r="O526">
            <v>0</v>
          </cell>
          <cell r="P526">
            <v>22955917</v>
          </cell>
          <cell r="Q526">
            <v>-21217823.989999998</v>
          </cell>
          <cell r="S526">
            <v>4663352.879999999</v>
          </cell>
          <cell r="T526">
            <v>-2980364.87</v>
          </cell>
          <cell r="U526">
            <v>247819.27</v>
          </cell>
          <cell r="V526">
            <v>0</v>
          </cell>
          <cell r="W526">
            <v>4415533.6099999994</v>
          </cell>
          <cell r="X526">
            <v>-2980364.87</v>
          </cell>
          <cell r="Y526">
            <v>4663352.879999999</v>
          </cell>
          <cell r="Z526">
            <v>-2980364.87</v>
          </cell>
          <cell r="AA526">
            <v>1682988.0099999988</v>
          </cell>
          <cell r="AC526">
            <v>15186</v>
          </cell>
          <cell r="AD526">
            <v>0</v>
          </cell>
        </row>
        <row r="527">
          <cell r="S527">
            <v>0</v>
          </cell>
          <cell r="T527">
            <v>0</v>
          </cell>
          <cell r="U527">
            <v>0</v>
          </cell>
          <cell r="V527">
            <v>0</v>
          </cell>
          <cell r="W527">
            <v>0</v>
          </cell>
          <cell r="X527">
            <v>0</v>
          </cell>
          <cell r="Y527">
            <v>0</v>
          </cell>
          <cell r="Z527">
            <v>0</v>
          </cell>
          <cell r="AA527">
            <v>0</v>
          </cell>
          <cell r="AC527">
            <v>0</v>
          </cell>
          <cell r="AD527">
            <v>0</v>
          </cell>
        </row>
        <row r="528">
          <cell r="B528">
            <v>15197</v>
          </cell>
          <cell r="C528" t="str">
            <v>DEPOSITS PAID</v>
          </cell>
          <cell r="D528">
            <v>1596790.45</v>
          </cell>
          <cell r="E528">
            <v>-424676</v>
          </cell>
          <cell r="F528">
            <v>19929754</v>
          </cell>
          <cell r="G528">
            <v>-3631738</v>
          </cell>
          <cell r="H528">
            <v>400000</v>
          </cell>
          <cell r="I528">
            <v>-400000</v>
          </cell>
          <cell r="J528">
            <v>0</v>
          </cell>
          <cell r="K528">
            <v>0</v>
          </cell>
          <cell r="L528">
            <v>4020</v>
          </cell>
          <cell r="M528">
            <v>0</v>
          </cell>
          <cell r="N528">
            <v>0</v>
          </cell>
          <cell r="O528">
            <v>0</v>
          </cell>
          <cell r="P528">
            <v>21926544.449999999</v>
          </cell>
          <cell r="Q528">
            <v>-4456414</v>
          </cell>
          <cell r="S528">
            <v>1176134.45</v>
          </cell>
          <cell r="T528">
            <v>16298016</v>
          </cell>
          <cell r="U528">
            <v>1088664.45</v>
          </cell>
          <cell r="V528">
            <v>13782749</v>
          </cell>
          <cell r="W528">
            <v>87470</v>
          </cell>
          <cell r="X528">
            <v>2515267</v>
          </cell>
          <cell r="Y528">
            <v>1176134.45</v>
          </cell>
          <cell r="Z528">
            <v>16298016</v>
          </cell>
          <cell r="AA528">
            <v>17474150.449999999</v>
          </cell>
          <cell r="AC528">
            <v>15197</v>
          </cell>
          <cell r="AD528">
            <v>0</v>
          </cell>
        </row>
        <row r="529">
          <cell r="S529">
            <v>0</v>
          </cell>
          <cell r="T529">
            <v>0</v>
          </cell>
          <cell r="U529">
            <v>0</v>
          </cell>
          <cell r="V529">
            <v>0</v>
          </cell>
          <cell r="W529">
            <v>0</v>
          </cell>
          <cell r="X529">
            <v>0</v>
          </cell>
          <cell r="Y529">
            <v>0</v>
          </cell>
          <cell r="Z529">
            <v>0</v>
          </cell>
          <cell r="AA529">
            <v>0</v>
          </cell>
          <cell r="AC529">
            <v>0</v>
          </cell>
          <cell r="AD529">
            <v>0</v>
          </cell>
        </row>
        <row r="530">
          <cell r="B530">
            <v>15198</v>
          </cell>
          <cell r="C530" t="str">
            <v>RENT DEPOSITS</v>
          </cell>
          <cell r="D530">
            <v>0</v>
          </cell>
          <cell r="E530">
            <v>0</v>
          </cell>
          <cell r="F530">
            <v>0</v>
          </cell>
          <cell r="G530">
            <v>0</v>
          </cell>
          <cell r="H530">
            <v>0</v>
          </cell>
          <cell r="I530">
            <v>0</v>
          </cell>
          <cell r="J530">
            <v>0</v>
          </cell>
          <cell r="K530">
            <v>0</v>
          </cell>
          <cell r="L530">
            <v>1800</v>
          </cell>
          <cell r="M530">
            <v>0</v>
          </cell>
          <cell r="N530">
            <v>0</v>
          </cell>
          <cell r="O530">
            <v>0</v>
          </cell>
          <cell r="P530">
            <v>0</v>
          </cell>
          <cell r="Q530">
            <v>0</v>
          </cell>
          <cell r="S530">
            <v>1800</v>
          </cell>
          <cell r="T530">
            <v>0</v>
          </cell>
          <cell r="U530">
            <v>1800</v>
          </cell>
          <cell r="V530">
            <v>0</v>
          </cell>
          <cell r="W530">
            <v>0</v>
          </cell>
          <cell r="X530">
            <v>0</v>
          </cell>
          <cell r="Y530">
            <v>1800</v>
          </cell>
          <cell r="Z530">
            <v>0</v>
          </cell>
          <cell r="AA530">
            <v>1800</v>
          </cell>
          <cell r="AC530">
            <v>15198</v>
          </cell>
          <cell r="AD530">
            <v>0</v>
          </cell>
        </row>
        <row r="531">
          <cell r="S531">
            <v>0</v>
          </cell>
          <cell r="T531">
            <v>0</v>
          </cell>
          <cell r="U531">
            <v>0</v>
          </cell>
          <cell r="V531">
            <v>0</v>
          </cell>
          <cell r="W531">
            <v>0</v>
          </cell>
          <cell r="X531">
            <v>0</v>
          </cell>
          <cell r="Y531">
            <v>0</v>
          </cell>
          <cell r="Z531">
            <v>0</v>
          </cell>
          <cell r="AA531">
            <v>0</v>
          </cell>
          <cell r="AC531">
            <v>0</v>
          </cell>
          <cell r="AD531">
            <v>0</v>
          </cell>
        </row>
        <row r="532">
          <cell r="B532">
            <v>15216</v>
          </cell>
          <cell r="C532" t="str">
            <v>INTEREST RECEIVABLE</v>
          </cell>
          <cell r="D532">
            <v>726330</v>
          </cell>
          <cell r="E532">
            <v>-726330</v>
          </cell>
          <cell r="F532">
            <v>1081929</v>
          </cell>
          <cell r="G532">
            <v>-1280634</v>
          </cell>
          <cell r="H532">
            <v>0</v>
          </cell>
          <cell r="I532">
            <v>0</v>
          </cell>
          <cell r="J532">
            <v>0</v>
          </cell>
          <cell r="K532">
            <v>0</v>
          </cell>
          <cell r="L532">
            <v>0</v>
          </cell>
          <cell r="M532">
            <v>0</v>
          </cell>
          <cell r="N532">
            <v>0</v>
          </cell>
          <cell r="O532">
            <v>0</v>
          </cell>
          <cell r="P532">
            <v>1808259</v>
          </cell>
          <cell r="Q532">
            <v>-2006964</v>
          </cell>
          <cell r="S532">
            <v>0</v>
          </cell>
          <cell r="T532">
            <v>-198705</v>
          </cell>
          <cell r="U532">
            <v>0</v>
          </cell>
          <cell r="V532">
            <v>571800</v>
          </cell>
          <cell r="W532">
            <v>0</v>
          </cell>
          <cell r="X532">
            <v>-770505</v>
          </cell>
          <cell r="Y532">
            <v>0</v>
          </cell>
          <cell r="Z532">
            <v>-198705</v>
          </cell>
          <cell r="AA532">
            <v>-198705</v>
          </cell>
          <cell r="AC532">
            <v>15216</v>
          </cell>
          <cell r="AD532">
            <v>0</v>
          </cell>
        </row>
        <row r="533">
          <cell r="S533">
            <v>0</v>
          </cell>
          <cell r="T533">
            <v>0</v>
          </cell>
          <cell r="U533">
            <v>0</v>
          </cell>
          <cell r="V533">
            <v>0</v>
          </cell>
          <cell r="W533">
            <v>0</v>
          </cell>
          <cell r="X533">
            <v>0</v>
          </cell>
          <cell r="Y533">
            <v>0</v>
          </cell>
          <cell r="Z533">
            <v>0</v>
          </cell>
          <cell r="AA533">
            <v>0</v>
          </cell>
          <cell r="AC533">
            <v>0</v>
          </cell>
          <cell r="AD533">
            <v>0</v>
          </cell>
        </row>
        <row r="534">
          <cell r="B534">
            <v>15218</v>
          </cell>
          <cell r="C534" t="str">
            <v>DEPB RECEIVABLE A/C</v>
          </cell>
          <cell r="D534">
            <v>16486506</v>
          </cell>
          <cell r="E534">
            <v>-15410642</v>
          </cell>
          <cell r="F534">
            <v>0</v>
          </cell>
          <cell r="G534">
            <v>0</v>
          </cell>
          <cell r="H534">
            <v>0</v>
          </cell>
          <cell r="I534">
            <v>0</v>
          </cell>
          <cell r="J534">
            <v>0</v>
          </cell>
          <cell r="K534">
            <v>0</v>
          </cell>
          <cell r="L534">
            <v>0</v>
          </cell>
          <cell r="M534">
            <v>0</v>
          </cell>
          <cell r="N534">
            <v>0</v>
          </cell>
          <cell r="O534">
            <v>0</v>
          </cell>
          <cell r="P534">
            <v>16486506</v>
          </cell>
          <cell r="Q534">
            <v>-15410642</v>
          </cell>
          <cell r="S534">
            <v>1075864</v>
          </cell>
          <cell r="T534">
            <v>0</v>
          </cell>
          <cell r="U534">
            <v>3801900</v>
          </cell>
          <cell r="V534">
            <v>0</v>
          </cell>
          <cell r="W534">
            <v>-2726036</v>
          </cell>
          <cell r="X534">
            <v>0</v>
          </cell>
          <cell r="Y534">
            <v>1075864</v>
          </cell>
          <cell r="Z534">
            <v>0</v>
          </cell>
          <cell r="AA534">
            <v>1075864</v>
          </cell>
          <cell r="AC534">
            <v>15218</v>
          </cell>
          <cell r="AD534">
            <v>0</v>
          </cell>
        </row>
        <row r="535">
          <cell r="S535">
            <v>0</v>
          </cell>
          <cell r="T535">
            <v>0</v>
          </cell>
          <cell r="U535">
            <v>0</v>
          </cell>
          <cell r="V535">
            <v>0</v>
          </cell>
          <cell r="W535">
            <v>0</v>
          </cell>
          <cell r="X535">
            <v>0</v>
          </cell>
          <cell r="Y535">
            <v>0</v>
          </cell>
          <cell r="Z535">
            <v>0</v>
          </cell>
          <cell r="AA535">
            <v>0</v>
          </cell>
          <cell r="AC535">
            <v>0</v>
          </cell>
          <cell r="AD535">
            <v>0</v>
          </cell>
        </row>
        <row r="536">
          <cell r="B536">
            <v>15219</v>
          </cell>
          <cell r="C536" t="str">
            <v>AA RECEIVABLE A/C</v>
          </cell>
          <cell r="D536">
            <v>25343</v>
          </cell>
          <cell r="E536">
            <v>0</v>
          </cell>
          <cell r="F536">
            <v>7500</v>
          </cell>
          <cell r="G536">
            <v>-7500</v>
          </cell>
          <cell r="H536">
            <v>0</v>
          </cell>
          <cell r="I536">
            <v>0</v>
          </cell>
          <cell r="J536">
            <v>0</v>
          </cell>
          <cell r="K536">
            <v>0</v>
          </cell>
          <cell r="L536">
            <v>0</v>
          </cell>
          <cell r="M536">
            <v>0</v>
          </cell>
          <cell r="N536">
            <v>0</v>
          </cell>
          <cell r="O536">
            <v>0</v>
          </cell>
          <cell r="P536">
            <v>32843</v>
          </cell>
          <cell r="Q536">
            <v>-7500</v>
          </cell>
          <cell r="S536">
            <v>25343</v>
          </cell>
          <cell r="T536">
            <v>0</v>
          </cell>
          <cell r="U536">
            <v>0</v>
          </cell>
          <cell r="V536">
            <v>0</v>
          </cell>
          <cell r="W536">
            <v>25343</v>
          </cell>
          <cell r="X536">
            <v>0</v>
          </cell>
          <cell r="Y536">
            <v>25343</v>
          </cell>
          <cell r="Z536">
            <v>0</v>
          </cell>
          <cell r="AA536">
            <v>25343</v>
          </cell>
          <cell r="AC536">
            <v>15219</v>
          </cell>
          <cell r="AD536">
            <v>0</v>
          </cell>
        </row>
        <row r="537">
          <cell r="S537">
            <v>0</v>
          </cell>
          <cell r="T537">
            <v>0</v>
          </cell>
          <cell r="U537">
            <v>0</v>
          </cell>
          <cell r="V537">
            <v>0</v>
          </cell>
          <cell r="W537">
            <v>0</v>
          </cell>
          <cell r="X537">
            <v>0</v>
          </cell>
          <cell r="Y537">
            <v>0</v>
          </cell>
          <cell r="Z537">
            <v>0</v>
          </cell>
          <cell r="AA537">
            <v>0</v>
          </cell>
          <cell r="AC537">
            <v>0</v>
          </cell>
          <cell r="AD537">
            <v>0</v>
          </cell>
        </row>
        <row r="538">
          <cell r="B538">
            <v>15221</v>
          </cell>
          <cell r="C538" t="str">
            <v>PREPAID EXPENSES</v>
          </cell>
          <cell r="D538">
            <v>1025058</v>
          </cell>
          <cell r="E538">
            <v>-569945</v>
          </cell>
          <cell r="F538">
            <v>678708</v>
          </cell>
          <cell r="G538">
            <v>-70778</v>
          </cell>
          <cell r="H538">
            <v>0</v>
          </cell>
          <cell r="I538">
            <v>0</v>
          </cell>
          <cell r="J538">
            <v>0</v>
          </cell>
          <cell r="K538">
            <v>0</v>
          </cell>
          <cell r="L538">
            <v>1377968.5</v>
          </cell>
          <cell r="M538">
            <v>-1582</v>
          </cell>
          <cell r="N538">
            <v>0</v>
          </cell>
          <cell r="O538">
            <v>0</v>
          </cell>
          <cell r="P538">
            <v>1703766</v>
          </cell>
          <cell r="Q538">
            <v>-640723</v>
          </cell>
          <cell r="S538">
            <v>1831499.5</v>
          </cell>
          <cell r="T538">
            <v>607930</v>
          </cell>
          <cell r="U538">
            <v>1089575.5</v>
          </cell>
          <cell r="V538">
            <v>606680</v>
          </cell>
          <cell r="W538">
            <v>741924</v>
          </cell>
          <cell r="X538">
            <v>1250</v>
          </cell>
          <cell r="Y538">
            <v>1831499.5</v>
          </cell>
          <cell r="Z538">
            <v>607930</v>
          </cell>
          <cell r="AA538">
            <v>2439429.5</v>
          </cell>
          <cell r="AC538">
            <v>15221</v>
          </cell>
          <cell r="AD538">
            <v>0</v>
          </cell>
        </row>
        <row r="539">
          <cell r="S539">
            <v>0</v>
          </cell>
          <cell r="T539">
            <v>0</v>
          </cell>
          <cell r="U539">
            <v>0</v>
          </cell>
          <cell r="V539">
            <v>0</v>
          </cell>
          <cell r="W539">
            <v>0</v>
          </cell>
          <cell r="X539">
            <v>0</v>
          </cell>
          <cell r="Y539">
            <v>0</v>
          </cell>
          <cell r="Z539">
            <v>0</v>
          </cell>
          <cell r="AA539">
            <v>0</v>
          </cell>
          <cell r="AC539">
            <v>0</v>
          </cell>
          <cell r="AD539">
            <v>0</v>
          </cell>
        </row>
        <row r="540">
          <cell r="B540">
            <v>15222</v>
          </cell>
          <cell r="C540" t="str">
            <v>PREPAID INSURANCE</v>
          </cell>
          <cell r="D540">
            <v>3715247</v>
          </cell>
          <cell r="E540">
            <v>-2009923</v>
          </cell>
          <cell r="F540">
            <v>541993</v>
          </cell>
          <cell r="G540">
            <v>-297344</v>
          </cell>
          <cell r="H540">
            <v>0</v>
          </cell>
          <cell r="I540">
            <v>0</v>
          </cell>
          <cell r="J540">
            <v>0</v>
          </cell>
          <cell r="K540">
            <v>0</v>
          </cell>
          <cell r="L540">
            <v>129994</v>
          </cell>
          <cell r="M540">
            <v>0</v>
          </cell>
          <cell r="N540">
            <v>0</v>
          </cell>
          <cell r="O540">
            <v>0</v>
          </cell>
          <cell r="P540">
            <v>4257240</v>
          </cell>
          <cell r="Q540">
            <v>-2307267</v>
          </cell>
          <cell r="S540">
            <v>1835318</v>
          </cell>
          <cell r="T540">
            <v>244649</v>
          </cell>
          <cell r="U540">
            <v>1819365</v>
          </cell>
          <cell r="V540">
            <v>233516</v>
          </cell>
          <cell r="W540">
            <v>15953</v>
          </cell>
          <cell r="X540">
            <v>11133</v>
          </cell>
          <cell r="Y540">
            <v>1835318</v>
          </cell>
          <cell r="Z540">
            <v>244649</v>
          </cell>
          <cell r="AA540">
            <v>2079967</v>
          </cell>
          <cell r="AC540">
            <v>15222</v>
          </cell>
          <cell r="AD540">
            <v>0</v>
          </cell>
        </row>
        <row r="541">
          <cell r="S541">
            <v>0</v>
          </cell>
          <cell r="T541">
            <v>0</v>
          </cell>
          <cell r="U541">
            <v>0</v>
          </cell>
          <cell r="V541">
            <v>0</v>
          </cell>
          <cell r="W541">
            <v>0</v>
          </cell>
          <cell r="X541">
            <v>0</v>
          </cell>
          <cell r="Y541">
            <v>0</v>
          </cell>
          <cell r="Z541">
            <v>0</v>
          </cell>
          <cell r="AA541">
            <v>0</v>
          </cell>
          <cell r="AC541">
            <v>0</v>
          </cell>
          <cell r="AD541">
            <v>0</v>
          </cell>
        </row>
        <row r="542">
          <cell r="B542">
            <v>15224</v>
          </cell>
          <cell r="C542" t="str">
            <v>RECOVERABLE FROM PROSEAL</v>
          </cell>
          <cell r="D542">
            <v>40617</v>
          </cell>
          <cell r="E542">
            <v>-1952723</v>
          </cell>
          <cell r="F542">
            <v>0</v>
          </cell>
          <cell r="G542">
            <v>0</v>
          </cell>
          <cell r="H542">
            <v>0</v>
          </cell>
          <cell r="I542">
            <v>0</v>
          </cell>
          <cell r="J542">
            <v>0</v>
          </cell>
          <cell r="K542">
            <v>0</v>
          </cell>
          <cell r="L542">
            <v>8889114.6600000001</v>
          </cell>
          <cell r="M542">
            <v>-6084270</v>
          </cell>
          <cell r="N542">
            <v>0</v>
          </cell>
          <cell r="O542">
            <v>0</v>
          </cell>
          <cell r="P542">
            <v>40617</v>
          </cell>
          <cell r="Q542">
            <v>-1952723</v>
          </cell>
          <cell r="S542">
            <v>892738.66000000015</v>
          </cell>
          <cell r="T542">
            <v>0</v>
          </cell>
          <cell r="U542">
            <v>713203.42</v>
          </cell>
          <cell r="V542">
            <v>0</v>
          </cell>
          <cell r="W542">
            <v>179535.24000000011</v>
          </cell>
          <cell r="X542">
            <v>0</v>
          </cell>
          <cell r="Y542">
            <v>892738.66000000015</v>
          </cell>
          <cell r="Z542">
            <v>0</v>
          </cell>
          <cell r="AA542">
            <v>892738.66000000015</v>
          </cell>
          <cell r="AC542">
            <v>15224</v>
          </cell>
          <cell r="AD542">
            <v>0</v>
          </cell>
        </row>
        <row r="543">
          <cell r="S543">
            <v>0</v>
          </cell>
          <cell r="T543">
            <v>0</v>
          </cell>
          <cell r="U543">
            <v>0</v>
          </cell>
          <cell r="V543">
            <v>0</v>
          </cell>
          <cell r="W543">
            <v>0</v>
          </cell>
          <cell r="X543">
            <v>0</v>
          </cell>
          <cell r="Y543">
            <v>0</v>
          </cell>
          <cell r="Z543">
            <v>0</v>
          </cell>
          <cell r="AA543">
            <v>0</v>
          </cell>
          <cell r="AC543">
            <v>0</v>
          </cell>
          <cell r="AD543">
            <v>0</v>
          </cell>
        </row>
        <row r="544">
          <cell r="B544">
            <v>15225</v>
          </cell>
          <cell r="C544" t="str">
            <v>RECOVERABLE FROM BALMER LAWRIE</v>
          </cell>
          <cell r="D544">
            <v>2964427</v>
          </cell>
          <cell r="E544">
            <v>-2060872</v>
          </cell>
          <cell r="F544">
            <v>0</v>
          </cell>
          <cell r="G544">
            <v>0</v>
          </cell>
          <cell r="H544">
            <v>0</v>
          </cell>
          <cell r="I544">
            <v>0</v>
          </cell>
          <cell r="J544">
            <v>0</v>
          </cell>
          <cell r="K544">
            <v>0</v>
          </cell>
          <cell r="L544">
            <v>43724</v>
          </cell>
          <cell r="M544">
            <v>0</v>
          </cell>
          <cell r="N544">
            <v>0</v>
          </cell>
          <cell r="O544">
            <v>0</v>
          </cell>
          <cell r="P544">
            <v>2964427</v>
          </cell>
          <cell r="Q544">
            <v>-2060872</v>
          </cell>
          <cell r="S544">
            <v>947279</v>
          </cell>
          <cell r="T544">
            <v>0</v>
          </cell>
          <cell r="U544">
            <v>2978921</v>
          </cell>
          <cell r="V544">
            <v>0</v>
          </cell>
          <cell r="W544">
            <v>-2031642</v>
          </cell>
          <cell r="X544">
            <v>0</v>
          </cell>
          <cell r="Y544">
            <v>947279</v>
          </cell>
          <cell r="Z544">
            <v>0</v>
          </cell>
          <cell r="AA544">
            <v>947279</v>
          </cell>
          <cell r="AC544">
            <v>15225</v>
          </cell>
          <cell r="AD544">
            <v>0</v>
          </cell>
        </row>
        <row r="545">
          <cell r="S545">
            <v>0</v>
          </cell>
          <cell r="T545">
            <v>0</v>
          </cell>
          <cell r="U545">
            <v>0</v>
          </cell>
          <cell r="V545">
            <v>0</v>
          </cell>
          <cell r="W545">
            <v>0</v>
          </cell>
          <cell r="X545">
            <v>0</v>
          </cell>
          <cell r="Y545">
            <v>0</v>
          </cell>
          <cell r="Z545">
            <v>0</v>
          </cell>
          <cell r="AA545">
            <v>0</v>
          </cell>
          <cell r="AC545">
            <v>0</v>
          </cell>
          <cell r="AD545">
            <v>0</v>
          </cell>
        </row>
        <row r="546">
          <cell r="B546">
            <v>15226</v>
          </cell>
          <cell r="C546" t="str">
            <v>RECOVERABLE FROM TRANSAFE</v>
          </cell>
          <cell r="D546">
            <v>0</v>
          </cell>
          <cell r="E546">
            <v>0</v>
          </cell>
          <cell r="F546">
            <v>17407</v>
          </cell>
          <cell r="G546">
            <v>0</v>
          </cell>
          <cell r="H546">
            <v>0</v>
          </cell>
          <cell r="I546">
            <v>0</v>
          </cell>
          <cell r="J546">
            <v>0</v>
          </cell>
          <cell r="K546">
            <v>0</v>
          </cell>
          <cell r="L546">
            <v>365331</v>
          </cell>
          <cell r="M546">
            <v>-361097</v>
          </cell>
          <cell r="N546">
            <v>0</v>
          </cell>
          <cell r="O546">
            <v>0</v>
          </cell>
          <cell r="P546">
            <v>17407</v>
          </cell>
          <cell r="Q546">
            <v>0</v>
          </cell>
          <cell r="S546">
            <v>4234</v>
          </cell>
          <cell r="T546">
            <v>17407</v>
          </cell>
          <cell r="U546">
            <v>146950.5</v>
          </cell>
          <cell r="V546">
            <v>17407</v>
          </cell>
          <cell r="W546">
            <v>-142716.5</v>
          </cell>
          <cell r="X546">
            <v>0</v>
          </cell>
          <cell r="Y546">
            <v>4234</v>
          </cell>
          <cell r="Z546">
            <v>17407</v>
          </cell>
          <cell r="AA546">
            <v>21641</v>
          </cell>
          <cell r="AC546">
            <v>15226</v>
          </cell>
          <cell r="AD546">
            <v>0</v>
          </cell>
        </row>
        <row r="547">
          <cell r="S547">
            <v>0</v>
          </cell>
          <cell r="T547">
            <v>0</v>
          </cell>
          <cell r="U547">
            <v>0</v>
          </cell>
          <cell r="V547">
            <v>0</v>
          </cell>
          <cell r="W547">
            <v>0</v>
          </cell>
          <cell r="X547">
            <v>0</v>
          </cell>
          <cell r="Y547">
            <v>0</v>
          </cell>
          <cell r="Z547">
            <v>0</v>
          </cell>
          <cell r="AA547">
            <v>0</v>
          </cell>
          <cell r="AC547">
            <v>0</v>
          </cell>
          <cell r="AD547">
            <v>0</v>
          </cell>
        </row>
        <row r="548">
          <cell r="B548">
            <v>15227</v>
          </cell>
          <cell r="C548" t="str">
            <v>RECOVERABLE FROM EMPLOYEES</v>
          </cell>
          <cell r="D548">
            <v>15721</v>
          </cell>
          <cell r="E548">
            <v>-15471</v>
          </cell>
          <cell r="F548">
            <v>301170</v>
          </cell>
          <cell r="G548">
            <v>-232974</v>
          </cell>
          <cell r="H548">
            <v>0</v>
          </cell>
          <cell r="I548">
            <v>0</v>
          </cell>
          <cell r="J548">
            <v>0</v>
          </cell>
          <cell r="K548">
            <v>0</v>
          </cell>
          <cell r="L548">
            <v>137459.1</v>
          </cell>
          <cell r="M548">
            <v>-137496.1</v>
          </cell>
          <cell r="N548">
            <v>0</v>
          </cell>
          <cell r="O548">
            <v>0</v>
          </cell>
          <cell r="P548">
            <v>316891</v>
          </cell>
          <cell r="Q548">
            <v>-248445</v>
          </cell>
          <cell r="S548">
            <v>213</v>
          </cell>
          <cell r="T548">
            <v>68196</v>
          </cell>
          <cell r="U548">
            <v>0</v>
          </cell>
          <cell r="V548">
            <v>0</v>
          </cell>
          <cell r="W548">
            <v>213</v>
          </cell>
          <cell r="X548">
            <v>68196</v>
          </cell>
          <cell r="Y548">
            <v>213</v>
          </cell>
          <cell r="Z548">
            <v>68196</v>
          </cell>
          <cell r="AA548">
            <v>68409</v>
          </cell>
          <cell r="AC548">
            <v>15227</v>
          </cell>
          <cell r="AD548">
            <v>0</v>
          </cell>
        </row>
        <row r="549">
          <cell r="S549">
            <v>0</v>
          </cell>
          <cell r="T549">
            <v>0</v>
          </cell>
          <cell r="U549">
            <v>0</v>
          </cell>
          <cell r="V549">
            <v>0</v>
          </cell>
          <cell r="W549">
            <v>0</v>
          </cell>
          <cell r="X549">
            <v>0</v>
          </cell>
          <cell r="Y549">
            <v>0</v>
          </cell>
          <cell r="Z549">
            <v>0</v>
          </cell>
          <cell r="AA549">
            <v>0</v>
          </cell>
          <cell r="AC549">
            <v>0</v>
          </cell>
          <cell r="AD549">
            <v>0</v>
          </cell>
        </row>
        <row r="550">
          <cell r="B550">
            <v>15228</v>
          </cell>
          <cell r="C550" t="str">
            <v>RECOVERABLE FROM OTHERS</v>
          </cell>
          <cell r="D550">
            <v>96676</v>
          </cell>
          <cell r="E550">
            <v>-87384</v>
          </cell>
          <cell r="F550">
            <v>974865</v>
          </cell>
          <cell r="G550">
            <v>-51686.2</v>
          </cell>
          <cell r="H550">
            <v>0</v>
          </cell>
          <cell r="I550">
            <v>0</v>
          </cell>
          <cell r="J550">
            <v>0</v>
          </cell>
          <cell r="K550">
            <v>0</v>
          </cell>
          <cell r="L550">
            <v>15180</v>
          </cell>
          <cell r="M550">
            <v>-180</v>
          </cell>
          <cell r="N550">
            <v>0</v>
          </cell>
          <cell r="O550">
            <v>0</v>
          </cell>
          <cell r="P550">
            <v>1071541</v>
          </cell>
          <cell r="Q550">
            <v>-139070.20000000001</v>
          </cell>
          <cell r="S550">
            <v>24292</v>
          </cell>
          <cell r="T550">
            <v>923178.8</v>
          </cell>
          <cell r="U550">
            <v>17691</v>
          </cell>
          <cell r="V550">
            <v>900732</v>
          </cell>
          <cell r="W550">
            <v>6601</v>
          </cell>
          <cell r="X550">
            <v>22446.800000000047</v>
          </cell>
          <cell r="Y550">
            <v>24292</v>
          </cell>
          <cell r="Z550">
            <v>923178.8</v>
          </cell>
          <cell r="AA550">
            <v>947470.8</v>
          </cell>
          <cell r="AC550">
            <v>15228</v>
          </cell>
          <cell r="AD550">
            <v>0</v>
          </cell>
        </row>
        <row r="551">
          <cell r="S551">
            <v>0</v>
          </cell>
          <cell r="T551">
            <v>0</v>
          </cell>
          <cell r="U551">
            <v>0</v>
          </cell>
          <cell r="V551">
            <v>0</v>
          </cell>
          <cell r="W551">
            <v>0</v>
          </cell>
          <cell r="X551">
            <v>0</v>
          </cell>
          <cell r="Y551">
            <v>0</v>
          </cell>
          <cell r="Z551">
            <v>0</v>
          </cell>
          <cell r="AA551">
            <v>0</v>
          </cell>
          <cell r="AC551">
            <v>0</v>
          </cell>
          <cell r="AD551">
            <v>0</v>
          </cell>
        </row>
        <row r="552">
          <cell r="B552">
            <v>15229</v>
          </cell>
          <cell r="C552" t="str">
            <v>RECOVERABLE FROM INSURANCE CO.</v>
          </cell>
          <cell r="D552">
            <v>384767</v>
          </cell>
          <cell r="E552">
            <v>-291392</v>
          </cell>
          <cell r="F552">
            <v>322162</v>
          </cell>
          <cell r="G552">
            <v>-169862</v>
          </cell>
          <cell r="H552">
            <v>0</v>
          </cell>
          <cell r="I552">
            <v>0</v>
          </cell>
          <cell r="J552">
            <v>0</v>
          </cell>
          <cell r="K552">
            <v>0</v>
          </cell>
          <cell r="L552">
            <v>0</v>
          </cell>
          <cell r="M552">
            <v>0</v>
          </cell>
          <cell r="N552">
            <v>0</v>
          </cell>
          <cell r="O552">
            <v>0</v>
          </cell>
          <cell r="P552">
            <v>706929</v>
          </cell>
          <cell r="Q552">
            <v>-461254</v>
          </cell>
          <cell r="S552">
            <v>93375</v>
          </cell>
          <cell r="T552">
            <v>152300</v>
          </cell>
          <cell r="U552">
            <v>202214</v>
          </cell>
          <cell r="V552">
            <v>177380</v>
          </cell>
          <cell r="W552">
            <v>-108839</v>
          </cell>
          <cell r="X552">
            <v>-25080</v>
          </cell>
          <cell r="Y552">
            <v>93375</v>
          </cell>
          <cell r="Z552">
            <v>152300</v>
          </cell>
          <cell r="AA552">
            <v>245675</v>
          </cell>
          <cell r="AC552">
            <v>15229</v>
          </cell>
          <cell r="AD552">
            <v>0</v>
          </cell>
        </row>
        <row r="553">
          <cell r="S553">
            <v>0</v>
          </cell>
          <cell r="T553">
            <v>0</v>
          </cell>
          <cell r="U553">
            <v>0</v>
          </cell>
          <cell r="V553">
            <v>0</v>
          </cell>
          <cell r="W553">
            <v>0</v>
          </cell>
          <cell r="X553">
            <v>0</v>
          </cell>
          <cell r="Y553">
            <v>0</v>
          </cell>
          <cell r="Z553">
            <v>0</v>
          </cell>
          <cell r="AA553">
            <v>0</v>
          </cell>
          <cell r="AC553">
            <v>0</v>
          </cell>
          <cell r="AD553">
            <v>0</v>
          </cell>
        </row>
        <row r="554">
          <cell r="B554">
            <v>15230</v>
          </cell>
          <cell r="C554" t="str">
            <v>RECOVERABLE FROM VAN LEER</v>
          </cell>
          <cell r="D554">
            <v>38000</v>
          </cell>
          <cell r="E554">
            <v>0</v>
          </cell>
          <cell r="F554">
            <v>0</v>
          </cell>
          <cell r="G554">
            <v>0</v>
          </cell>
          <cell r="H554">
            <v>0</v>
          </cell>
          <cell r="I554">
            <v>0</v>
          </cell>
          <cell r="J554">
            <v>0</v>
          </cell>
          <cell r="K554">
            <v>0</v>
          </cell>
          <cell r="L554">
            <v>269343</v>
          </cell>
          <cell r="M554">
            <v>0</v>
          </cell>
          <cell r="N554">
            <v>0</v>
          </cell>
          <cell r="O554">
            <v>0</v>
          </cell>
          <cell r="P554">
            <v>38000</v>
          </cell>
          <cell r="Q554">
            <v>0</v>
          </cell>
          <cell r="S554">
            <v>307343</v>
          </cell>
          <cell r="T554">
            <v>0</v>
          </cell>
          <cell r="U554">
            <v>269343</v>
          </cell>
          <cell r="V554">
            <v>0</v>
          </cell>
          <cell r="W554">
            <v>38000</v>
          </cell>
          <cell r="X554">
            <v>0</v>
          </cell>
          <cell r="Y554">
            <v>307343</v>
          </cell>
          <cell r="Z554">
            <v>0</v>
          </cell>
          <cell r="AA554">
            <v>307343</v>
          </cell>
          <cell r="AC554">
            <v>15230</v>
          </cell>
          <cell r="AD554">
            <v>0</v>
          </cell>
        </row>
        <row r="555">
          <cell r="S555">
            <v>0</v>
          </cell>
          <cell r="T555">
            <v>0</v>
          </cell>
          <cell r="U555">
            <v>0</v>
          </cell>
          <cell r="V555">
            <v>0</v>
          </cell>
          <cell r="W555">
            <v>0</v>
          </cell>
          <cell r="X555">
            <v>0</v>
          </cell>
          <cell r="Y555">
            <v>0</v>
          </cell>
          <cell r="Z555">
            <v>0</v>
          </cell>
          <cell r="AA555">
            <v>0</v>
          </cell>
          <cell r="AC555">
            <v>0</v>
          </cell>
          <cell r="AD555">
            <v>0</v>
          </cell>
        </row>
        <row r="556">
          <cell r="B556">
            <v>15231</v>
          </cell>
          <cell r="C556" t="str">
            <v>RECOVERABLE FROM L.I.C.- GRATUIRTY</v>
          </cell>
          <cell r="D556">
            <v>4406955.25</v>
          </cell>
          <cell r="E556">
            <v>-2324816</v>
          </cell>
          <cell r="F556">
            <v>499327</v>
          </cell>
          <cell r="G556">
            <v>0</v>
          </cell>
          <cell r="H556">
            <v>0</v>
          </cell>
          <cell r="I556">
            <v>0</v>
          </cell>
          <cell r="J556">
            <v>0</v>
          </cell>
          <cell r="K556">
            <v>0</v>
          </cell>
          <cell r="L556">
            <v>0</v>
          </cell>
          <cell r="M556">
            <v>-809366</v>
          </cell>
          <cell r="N556">
            <v>0</v>
          </cell>
          <cell r="O556">
            <v>0</v>
          </cell>
          <cell r="P556">
            <v>4906282.25</v>
          </cell>
          <cell r="Q556">
            <v>-2324816</v>
          </cell>
          <cell r="S556">
            <v>1272773.25</v>
          </cell>
          <cell r="T556">
            <v>499327</v>
          </cell>
          <cell r="U556">
            <v>3437564</v>
          </cell>
          <cell r="V556">
            <v>323654</v>
          </cell>
          <cell r="W556">
            <v>-2164790.75</v>
          </cell>
          <cell r="X556">
            <v>175673</v>
          </cell>
          <cell r="Y556">
            <v>1272773.25</v>
          </cell>
          <cell r="Z556">
            <v>499327</v>
          </cell>
          <cell r="AA556">
            <v>1772100.25</v>
          </cell>
          <cell r="AC556">
            <v>15231</v>
          </cell>
          <cell r="AD556">
            <v>0</v>
          </cell>
        </row>
        <row r="557">
          <cell r="S557">
            <v>0</v>
          </cell>
          <cell r="T557">
            <v>0</v>
          </cell>
          <cell r="U557">
            <v>0</v>
          </cell>
          <cell r="V557">
            <v>0</v>
          </cell>
          <cell r="W557">
            <v>0</v>
          </cell>
          <cell r="X557">
            <v>0</v>
          </cell>
          <cell r="Y557">
            <v>0</v>
          </cell>
          <cell r="Z557">
            <v>0</v>
          </cell>
          <cell r="AA557">
            <v>0</v>
          </cell>
          <cell r="AC557">
            <v>0</v>
          </cell>
          <cell r="AD557">
            <v>0</v>
          </cell>
        </row>
        <row r="558">
          <cell r="B558">
            <v>15232</v>
          </cell>
          <cell r="C558" t="str">
            <v>RECOVERABLE FROM ESIC</v>
          </cell>
          <cell r="D558">
            <v>15114</v>
          </cell>
          <cell r="E558">
            <v>0</v>
          </cell>
          <cell r="F558">
            <v>222894</v>
          </cell>
          <cell r="G558">
            <v>0</v>
          </cell>
          <cell r="H558">
            <v>0</v>
          </cell>
          <cell r="I558">
            <v>0</v>
          </cell>
          <cell r="J558">
            <v>0</v>
          </cell>
          <cell r="K558">
            <v>0</v>
          </cell>
          <cell r="L558">
            <v>0</v>
          </cell>
          <cell r="M558">
            <v>0</v>
          </cell>
          <cell r="N558">
            <v>0</v>
          </cell>
          <cell r="O558">
            <v>0</v>
          </cell>
          <cell r="P558">
            <v>238008</v>
          </cell>
          <cell r="Q558">
            <v>0</v>
          </cell>
          <cell r="S558">
            <v>15114</v>
          </cell>
          <cell r="T558">
            <v>222894</v>
          </cell>
          <cell r="U558">
            <v>15114</v>
          </cell>
          <cell r="V558">
            <v>222894</v>
          </cell>
          <cell r="W558">
            <v>0</v>
          </cell>
          <cell r="X558">
            <v>0</v>
          </cell>
          <cell r="Y558">
            <v>15114</v>
          </cell>
          <cell r="Z558">
            <v>222894</v>
          </cell>
          <cell r="AA558">
            <v>238008</v>
          </cell>
          <cell r="AC558">
            <v>15232</v>
          </cell>
          <cell r="AD558">
            <v>0</v>
          </cell>
        </row>
        <row r="559">
          <cell r="S559">
            <v>0</v>
          </cell>
          <cell r="T559">
            <v>0</v>
          </cell>
          <cell r="U559">
            <v>0</v>
          </cell>
          <cell r="V559">
            <v>0</v>
          </cell>
          <cell r="W559">
            <v>0</v>
          </cell>
          <cell r="X559">
            <v>0</v>
          </cell>
          <cell r="Y559">
            <v>0</v>
          </cell>
          <cell r="Z559">
            <v>0</v>
          </cell>
          <cell r="AA559">
            <v>0</v>
          </cell>
          <cell r="AC559">
            <v>0</v>
          </cell>
          <cell r="AD559">
            <v>0</v>
          </cell>
        </row>
        <row r="560">
          <cell r="B560">
            <v>15233</v>
          </cell>
          <cell r="C560" t="str">
            <v>RECOVERABLE FROM GREIF AUSTRALIA</v>
          </cell>
          <cell r="D560">
            <v>24641</v>
          </cell>
          <cell r="E560">
            <v>0</v>
          </cell>
          <cell r="F560">
            <v>0</v>
          </cell>
          <cell r="G560">
            <v>0</v>
          </cell>
          <cell r="H560">
            <v>0</v>
          </cell>
          <cell r="I560">
            <v>0</v>
          </cell>
          <cell r="J560">
            <v>0</v>
          </cell>
          <cell r="K560">
            <v>0</v>
          </cell>
          <cell r="L560">
            <v>0</v>
          </cell>
          <cell r="M560">
            <v>0</v>
          </cell>
          <cell r="N560">
            <v>0</v>
          </cell>
          <cell r="O560">
            <v>0</v>
          </cell>
          <cell r="P560">
            <v>24641</v>
          </cell>
          <cell r="Q560">
            <v>0</v>
          </cell>
          <cell r="S560">
            <v>24641</v>
          </cell>
          <cell r="T560">
            <v>0</v>
          </cell>
          <cell r="U560">
            <v>24641</v>
          </cell>
          <cell r="V560">
            <v>0</v>
          </cell>
          <cell r="W560">
            <v>0</v>
          </cell>
          <cell r="X560">
            <v>0</v>
          </cell>
          <cell r="Y560">
            <v>24641</v>
          </cell>
          <cell r="Z560">
            <v>0</v>
          </cell>
          <cell r="AA560">
            <v>24641</v>
          </cell>
          <cell r="AC560">
            <v>15233</v>
          </cell>
          <cell r="AD560">
            <v>0</v>
          </cell>
        </row>
        <row r="561">
          <cell r="S561">
            <v>0</v>
          </cell>
          <cell r="T561">
            <v>0</v>
          </cell>
          <cell r="U561">
            <v>0</v>
          </cell>
          <cell r="V561">
            <v>0</v>
          </cell>
          <cell r="W561">
            <v>0</v>
          </cell>
          <cell r="X561">
            <v>0</v>
          </cell>
          <cell r="Y561">
            <v>0</v>
          </cell>
          <cell r="Z561">
            <v>0</v>
          </cell>
          <cell r="AA561">
            <v>0</v>
          </cell>
          <cell r="AC561">
            <v>0</v>
          </cell>
          <cell r="AD561">
            <v>0</v>
          </cell>
        </row>
        <row r="562">
          <cell r="B562">
            <v>15239</v>
          </cell>
          <cell r="C562" t="str">
            <v>ADVANCE AGAINST EXPENSES</v>
          </cell>
          <cell r="D562">
            <v>1318515</v>
          </cell>
          <cell r="E562">
            <v>-1200140</v>
          </cell>
          <cell r="F562">
            <v>1506102</v>
          </cell>
          <cell r="G562">
            <v>-1431102</v>
          </cell>
          <cell r="H562">
            <v>0</v>
          </cell>
          <cell r="I562">
            <v>0</v>
          </cell>
          <cell r="J562">
            <v>0</v>
          </cell>
          <cell r="K562">
            <v>0</v>
          </cell>
          <cell r="L562">
            <v>1179302</v>
          </cell>
          <cell r="M562">
            <v>-1149302</v>
          </cell>
          <cell r="N562">
            <v>0</v>
          </cell>
          <cell r="O562">
            <v>0</v>
          </cell>
          <cell r="P562">
            <v>2824617</v>
          </cell>
          <cell r="Q562">
            <v>-2631242</v>
          </cell>
          <cell r="S562">
            <v>148375</v>
          </cell>
          <cell r="T562">
            <v>75000</v>
          </cell>
          <cell r="U562">
            <v>18140</v>
          </cell>
          <cell r="V562">
            <v>0</v>
          </cell>
          <cell r="W562">
            <v>130235</v>
          </cell>
          <cell r="X562">
            <v>75000</v>
          </cell>
          <cell r="Y562">
            <v>148375</v>
          </cell>
          <cell r="Z562">
            <v>75000</v>
          </cell>
          <cell r="AA562">
            <v>223375</v>
          </cell>
          <cell r="AC562">
            <v>15239</v>
          </cell>
          <cell r="AD562">
            <v>0</v>
          </cell>
        </row>
        <row r="563">
          <cell r="S563">
            <v>0</v>
          </cell>
          <cell r="T563">
            <v>0</v>
          </cell>
          <cell r="U563">
            <v>0</v>
          </cell>
          <cell r="V563">
            <v>0</v>
          </cell>
          <cell r="W563">
            <v>0</v>
          </cell>
          <cell r="X563">
            <v>0</v>
          </cell>
          <cell r="Y563">
            <v>0</v>
          </cell>
          <cell r="Z563">
            <v>0</v>
          </cell>
          <cell r="AA563">
            <v>0</v>
          </cell>
          <cell r="AC563">
            <v>0</v>
          </cell>
          <cell r="AD563">
            <v>0</v>
          </cell>
        </row>
        <row r="564">
          <cell r="B564">
            <v>15241</v>
          </cell>
          <cell r="C564" t="str">
            <v>ADVANCE AGAINST SALARY/WAGES</v>
          </cell>
          <cell r="D564">
            <v>1866097.74</v>
          </cell>
          <cell r="E564">
            <v>-1343948.74</v>
          </cell>
          <cell r="F564">
            <v>1704178</v>
          </cell>
          <cell r="G564">
            <v>-843482</v>
          </cell>
          <cell r="H564">
            <v>0</v>
          </cell>
          <cell r="I564">
            <v>0</v>
          </cell>
          <cell r="J564">
            <v>0</v>
          </cell>
          <cell r="K564">
            <v>0</v>
          </cell>
          <cell r="L564">
            <v>1801955</v>
          </cell>
          <cell r="M564">
            <v>-1450959</v>
          </cell>
          <cell r="N564">
            <v>0</v>
          </cell>
          <cell r="O564">
            <v>0</v>
          </cell>
          <cell r="P564">
            <v>3570275.74</v>
          </cell>
          <cell r="Q564">
            <v>-2187430.7400000002</v>
          </cell>
          <cell r="S564">
            <v>873145</v>
          </cell>
          <cell r="T564">
            <v>860696</v>
          </cell>
          <cell r="U564">
            <v>69000</v>
          </cell>
          <cell r="V564">
            <v>127502</v>
          </cell>
          <cell r="W564">
            <v>804145</v>
          </cell>
          <cell r="X564">
            <v>733194</v>
          </cell>
          <cell r="Y564">
            <v>873145</v>
          </cell>
          <cell r="Z564">
            <v>860696</v>
          </cell>
          <cell r="AA564">
            <v>1733841</v>
          </cell>
          <cell r="AC564">
            <v>15241</v>
          </cell>
          <cell r="AD564">
            <v>0</v>
          </cell>
        </row>
        <row r="565">
          <cell r="S565">
            <v>0</v>
          </cell>
          <cell r="T565">
            <v>0</v>
          </cell>
          <cell r="U565">
            <v>0</v>
          </cell>
          <cell r="V565">
            <v>0</v>
          </cell>
          <cell r="W565">
            <v>0</v>
          </cell>
          <cell r="X565">
            <v>0</v>
          </cell>
          <cell r="Y565">
            <v>0</v>
          </cell>
          <cell r="Z565">
            <v>0</v>
          </cell>
          <cell r="AA565">
            <v>0</v>
          </cell>
          <cell r="AC565">
            <v>0</v>
          </cell>
          <cell r="AD565">
            <v>0</v>
          </cell>
        </row>
        <row r="566">
          <cell r="B566">
            <v>15242</v>
          </cell>
          <cell r="C566" t="str">
            <v>ADVANCE AGAINST LTA</v>
          </cell>
          <cell r="D566">
            <v>12480</v>
          </cell>
          <cell r="E566">
            <v>0</v>
          </cell>
          <cell r="F566">
            <v>18000</v>
          </cell>
          <cell r="G566">
            <v>-18000</v>
          </cell>
          <cell r="H566">
            <v>0</v>
          </cell>
          <cell r="I566">
            <v>0</v>
          </cell>
          <cell r="J566">
            <v>0</v>
          </cell>
          <cell r="K566">
            <v>0</v>
          </cell>
          <cell r="L566">
            <v>0</v>
          </cell>
          <cell r="M566">
            <v>0</v>
          </cell>
          <cell r="N566">
            <v>0</v>
          </cell>
          <cell r="O566">
            <v>0</v>
          </cell>
          <cell r="P566">
            <v>30480</v>
          </cell>
          <cell r="Q566">
            <v>-18000</v>
          </cell>
          <cell r="S566">
            <v>12480</v>
          </cell>
          <cell r="T566">
            <v>0</v>
          </cell>
          <cell r="U566">
            <v>0</v>
          </cell>
          <cell r="V566">
            <v>0</v>
          </cell>
          <cell r="W566">
            <v>12480</v>
          </cell>
          <cell r="X566">
            <v>0</v>
          </cell>
          <cell r="Y566">
            <v>12480</v>
          </cell>
          <cell r="Z566">
            <v>0</v>
          </cell>
          <cell r="AA566">
            <v>12480</v>
          </cell>
          <cell r="AC566">
            <v>15242</v>
          </cell>
          <cell r="AD566">
            <v>0</v>
          </cell>
        </row>
        <row r="567">
          <cell r="S567">
            <v>0</v>
          </cell>
          <cell r="T567">
            <v>0</v>
          </cell>
          <cell r="U567">
            <v>0</v>
          </cell>
          <cell r="V567">
            <v>0</v>
          </cell>
          <cell r="W567">
            <v>0</v>
          </cell>
          <cell r="X567">
            <v>0</v>
          </cell>
          <cell r="Y567">
            <v>0</v>
          </cell>
          <cell r="Z567">
            <v>0</v>
          </cell>
          <cell r="AA567">
            <v>0</v>
          </cell>
          <cell r="AC567">
            <v>0</v>
          </cell>
          <cell r="AD567">
            <v>0</v>
          </cell>
        </row>
        <row r="568">
          <cell r="B568">
            <v>15243</v>
          </cell>
          <cell r="C568" t="str">
            <v>ADVANCE SUPPLIERS/ OTHERS (3410)</v>
          </cell>
          <cell r="D568">
            <v>250001</v>
          </cell>
          <cell r="E568">
            <v>-236671</v>
          </cell>
          <cell r="F568">
            <v>1731309</v>
          </cell>
          <cell r="G568">
            <v>-1143622</v>
          </cell>
          <cell r="H568">
            <v>0</v>
          </cell>
          <cell r="I568">
            <v>0</v>
          </cell>
          <cell r="J568">
            <v>0</v>
          </cell>
          <cell r="K568">
            <v>0</v>
          </cell>
          <cell r="L568">
            <v>210199.6</v>
          </cell>
          <cell r="M568">
            <v>-215592.6</v>
          </cell>
          <cell r="N568">
            <v>0</v>
          </cell>
          <cell r="O568">
            <v>0</v>
          </cell>
          <cell r="P568">
            <v>1981310</v>
          </cell>
          <cell r="Q568">
            <v>-1380293</v>
          </cell>
          <cell r="S568">
            <v>7937</v>
          </cell>
          <cell r="T568">
            <v>587687</v>
          </cell>
          <cell r="U568">
            <v>15921</v>
          </cell>
          <cell r="V568">
            <v>273581</v>
          </cell>
          <cell r="W568">
            <v>-7984</v>
          </cell>
          <cell r="X568">
            <v>314106</v>
          </cell>
          <cell r="Y568">
            <v>7937</v>
          </cell>
          <cell r="Z568">
            <v>587687</v>
          </cell>
          <cell r="AA568">
            <v>595624</v>
          </cell>
          <cell r="AC568">
            <v>15243</v>
          </cell>
          <cell r="AD568">
            <v>0</v>
          </cell>
        </row>
        <row r="569">
          <cell r="S569">
            <v>0</v>
          </cell>
          <cell r="T569">
            <v>0</v>
          </cell>
          <cell r="U569">
            <v>0</v>
          </cell>
          <cell r="V569">
            <v>0</v>
          </cell>
          <cell r="W569">
            <v>0</v>
          </cell>
          <cell r="X569">
            <v>0</v>
          </cell>
          <cell r="Y569">
            <v>0</v>
          </cell>
          <cell r="Z569">
            <v>0</v>
          </cell>
          <cell r="AA569">
            <v>0</v>
          </cell>
          <cell r="AC569">
            <v>0</v>
          </cell>
          <cell r="AD569">
            <v>0</v>
          </cell>
        </row>
        <row r="570">
          <cell r="B570">
            <v>15244</v>
          </cell>
          <cell r="C570" t="str">
            <v>ADVANCE AGAINST CHEQUE</v>
          </cell>
          <cell r="D570">
            <v>83000</v>
          </cell>
          <cell r="E570">
            <v>-110500</v>
          </cell>
          <cell r="F570">
            <v>367082</v>
          </cell>
          <cell r="G570">
            <v>-367082</v>
          </cell>
          <cell r="H570">
            <v>0</v>
          </cell>
          <cell r="I570">
            <v>0</v>
          </cell>
          <cell r="J570">
            <v>0</v>
          </cell>
          <cell r="K570">
            <v>0</v>
          </cell>
          <cell r="L570">
            <v>1410518</v>
          </cell>
          <cell r="M570">
            <v>-1383018</v>
          </cell>
          <cell r="N570">
            <v>0</v>
          </cell>
          <cell r="O570">
            <v>0</v>
          </cell>
          <cell r="P570">
            <v>450082</v>
          </cell>
          <cell r="Q570">
            <v>-477582</v>
          </cell>
          <cell r="S570">
            <v>0</v>
          </cell>
          <cell r="T570">
            <v>0</v>
          </cell>
          <cell r="U570">
            <v>0</v>
          </cell>
          <cell r="V570">
            <v>0</v>
          </cell>
          <cell r="W570">
            <v>0</v>
          </cell>
          <cell r="X570">
            <v>0</v>
          </cell>
          <cell r="Y570">
            <v>0</v>
          </cell>
          <cell r="Z570">
            <v>0</v>
          </cell>
          <cell r="AA570">
            <v>0</v>
          </cell>
          <cell r="AC570">
            <v>15244</v>
          </cell>
          <cell r="AD570">
            <v>0</v>
          </cell>
        </row>
        <row r="571">
          <cell r="S571">
            <v>0</v>
          </cell>
          <cell r="T571">
            <v>0</v>
          </cell>
          <cell r="U571">
            <v>0</v>
          </cell>
          <cell r="V571">
            <v>0</v>
          </cell>
          <cell r="W571">
            <v>0</v>
          </cell>
          <cell r="X571">
            <v>0</v>
          </cell>
          <cell r="Y571">
            <v>0</v>
          </cell>
          <cell r="Z571">
            <v>0</v>
          </cell>
          <cell r="AA571">
            <v>0</v>
          </cell>
          <cell r="AC571">
            <v>0</v>
          </cell>
          <cell r="AD571">
            <v>0</v>
          </cell>
        </row>
        <row r="572">
          <cell r="B572">
            <v>15249</v>
          </cell>
          <cell r="C572" t="str">
            <v>FESTIVALS LOAN</v>
          </cell>
          <cell r="D572">
            <v>2270400</v>
          </cell>
          <cell r="E572">
            <v>-754000</v>
          </cell>
          <cell r="F572">
            <v>973602.66</v>
          </cell>
          <cell r="G572">
            <v>-400002.66</v>
          </cell>
          <cell r="H572">
            <v>0</v>
          </cell>
          <cell r="I572">
            <v>0</v>
          </cell>
          <cell r="J572">
            <v>0</v>
          </cell>
          <cell r="K572">
            <v>0</v>
          </cell>
          <cell r="L572">
            <v>74200</v>
          </cell>
          <cell r="M572">
            <v>-40200</v>
          </cell>
          <cell r="N572">
            <v>0</v>
          </cell>
          <cell r="O572">
            <v>0</v>
          </cell>
          <cell r="P572">
            <v>3244002.66</v>
          </cell>
          <cell r="Q572">
            <v>-1154002.6599999999</v>
          </cell>
          <cell r="S572">
            <v>1550400</v>
          </cell>
          <cell r="T572">
            <v>573600</v>
          </cell>
          <cell r="U572">
            <v>382800</v>
          </cell>
          <cell r="V572">
            <v>156600</v>
          </cell>
          <cell r="W572">
            <v>1167600</v>
          </cell>
          <cell r="X572">
            <v>417000</v>
          </cell>
          <cell r="Y572">
            <v>1550400</v>
          </cell>
          <cell r="Z572">
            <v>573600</v>
          </cell>
          <cell r="AA572">
            <v>2124000</v>
          </cell>
          <cell r="AC572">
            <v>15249</v>
          </cell>
          <cell r="AD572">
            <v>0</v>
          </cell>
        </row>
        <row r="573">
          <cell r="S573">
            <v>0</v>
          </cell>
          <cell r="T573">
            <v>0</v>
          </cell>
          <cell r="U573">
            <v>0</v>
          </cell>
          <cell r="V573">
            <v>0</v>
          </cell>
          <cell r="W573">
            <v>0</v>
          </cell>
          <cell r="X573">
            <v>0</v>
          </cell>
          <cell r="Y573">
            <v>0</v>
          </cell>
          <cell r="Z573">
            <v>0</v>
          </cell>
          <cell r="AA573">
            <v>0</v>
          </cell>
          <cell r="AC573">
            <v>0</v>
          </cell>
          <cell r="AD573">
            <v>0</v>
          </cell>
        </row>
        <row r="574">
          <cell r="B574">
            <v>15250</v>
          </cell>
          <cell r="C574" t="str">
            <v>CAR LOAN</v>
          </cell>
          <cell r="D574">
            <v>527025.88</v>
          </cell>
          <cell r="E574">
            <v>-168096.12</v>
          </cell>
          <cell r="F574">
            <v>283015</v>
          </cell>
          <cell r="G574">
            <v>-85080</v>
          </cell>
          <cell r="H574">
            <v>0</v>
          </cell>
          <cell r="I574">
            <v>0</v>
          </cell>
          <cell r="J574">
            <v>0</v>
          </cell>
          <cell r="K574">
            <v>0</v>
          </cell>
          <cell r="L574">
            <v>245490</v>
          </cell>
          <cell r="M574">
            <v>-245502.94</v>
          </cell>
          <cell r="N574">
            <v>0</v>
          </cell>
          <cell r="O574">
            <v>0</v>
          </cell>
          <cell r="P574">
            <v>810040.88</v>
          </cell>
          <cell r="Q574">
            <v>-253176.12</v>
          </cell>
          <cell r="S574">
            <v>358916.82</v>
          </cell>
          <cell r="T574">
            <v>197935</v>
          </cell>
          <cell r="U574">
            <v>358916.82</v>
          </cell>
          <cell r="V574">
            <v>197935</v>
          </cell>
          <cell r="W574">
            <v>0</v>
          </cell>
          <cell r="X574">
            <v>0</v>
          </cell>
          <cell r="Y574">
            <v>358916.82</v>
          </cell>
          <cell r="Z574">
            <v>197935</v>
          </cell>
          <cell r="AA574">
            <v>556851.82000000007</v>
          </cell>
          <cell r="AC574">
            <v>15250</v>
          </cell>
          <cell r="AD574">
            <v>0</v>
          </cell>
        </row>
        <row r="575">
          <cell r="S575">
            <v>0</v>
          </cell>
          <cell r="T575">
            <v>0</v>
          </cell>
          <cell r="U575">
            <v>0</v>
          </cell>
          <cell r="V575">
            <v>0</v>
          </cell>
          <cell r="W575">
            <v>0</v>
          </cell>
          <cell r="X575">
            <v>0</v>
          </cell>
          <cell r="Y575">
            <v>0</v>
          </cell>
          <cell r="Z575">
            <v>0</v>
          </cell>
          <cell r="AA575">
            <v>0</v>
          </cell>
          <cell r="AC575">
            <v>0</v>
          </cell>
          <cell r="AD575">
            <v>0</v>
          </cell>
        </row>
        <row r="576">
          <cell r="B576">
            <v>15251</v>
          </cell>
          <cell r="C576" t="str">
            <v>SUNDRY LOAN</v>
          </cell>
          <cell r="D576">
            <v>604726.92000000004</v>
          </cell>
          <cell r="E576">
            <v>-187041.48</v>
          </cell>
          <cell r="F576">
            <v>1472865</v>
          </cell>
          <cell r="G576">
            <v>-1061834.3600000001</v>
          </cell>
          <cell r="H576">
            <v>0</v>
          </cell>
          <cell r="I576">
            <v>0</v>
          </cell>
          <cell r="J576">
            <v>0</v>
          </cell>
          <cell r="K576">
            <v>0</v>
          </cell>
          <cell r="L576">
            <v>350005.92</v>
          </cell>
          <cell r="M576">
            <v>-57493</v>
          </cell>
          <cell r="N576">
            <v>0</v>
          </cell>
          <cell r="O576">
            <v>0</v>
          </cell>
          <cell r="P576">
            <v>2077591.92</v>
          </cell>
          <cell r="Q576">
            <v>-1248875.8400000001</v>
          </cell>
          <cell r="S576">
            <v>710198.3600000001</v>
          </cell>
          <cell r="T576">
            <v>411030.6399999999</v>
          </cell>
          <cell r="U576">
            <v>515198.36</v>
          </cell>
          <cell r="V576">
            <v>311030.64</v>
          </cell>
          <cell r="W576">
            <v>195000.00000000012</v>
          </cell>
          <cell r="X576">
            <v>99999.999999999884</v>
          </cell>
          <cell r="Y576">
            <v>710198.3600000001</v>
          </cell>
          <cell r="Z576">
            <v>411030.6399999999</v>
          </cell>
          <cell r="AA576">
            <v>1121229</v>
          </cell>
          <cell r="AC576">
            <v>15251</v>
          </cell>
          <cell r="AD576">
            <v>0</v>
          </cell>
        </row>
        <row r="577">
          <cell r="S577">
            <v>0</v>
          </cell>
          <cell r="T577">
            <v>0</v>
          </cell>
          <cell r="U577">
            <v>0</v>
          </cell>
          <cell r="V577">
            <v>0</v>
          </cell>
          <cell r="W577">
            <v>0</v>
          </cell>
          <cell r="X577">
            <v>0</v>
          </cell>
          <cell r="Y577">
            <v>0</v>
          </cell>
          <cell r="Z577">
            <v>0</v>
          </cell>
          <cell r="AA577">
            <v>0</v>
          </cell>
          <cell r="AC577">
            <v>0</v>
          </cell>
          <cell r="AD577">
            <v>0</v>
          </cell>
        </row>
        <row r="578">
          <cell r="B578">
            <v>15256</v>
          </cell>
          <cell r="C578" t="str">
            <v>CREDITORS DEBIT BALANCES</v>
          </cell>
          <cell r="D578">
            <v>6866589.7999999998</v>
          </cell>
          <cell r="E578">
            <v>-7775889.7999999998</v>
          </cell>
          <cell r="F578">
            <v>2773824.75</v>
          </cell>
          <cell r="G578">
            <v>-2773824.75</v>
          </cell>
          <cell r="H578">
            <v>0</v>
          </cell>
          <cell r="I578">
            <v>0</v>
          </cell>
          <cell r="J578">
            <v>0</v>
          </cell>
          <cell r="K578">
            <v>0</v>
          </cell>
          <cell r="L578">
            <v>36688</v>
          </cell>
          <cell r="M578">
            <v>0</v>
          </cell>
          <cell r="N578">
            <v>0</v>
          </cell>
          <cell r="O578">
            <v>0</v>
          </cell>
          <cell r="P578">
            <v>9640414.5500000007</v>
          </cell>
          <cell r="Q578">
            <v>-10549714.550000001</v>
          </cell>
          <cell r="S578">
            <v>-872612</v>
          </cell>
          <cell r="T578">
            <v>0</v>
          </cell>
          <cell r="U578">
            <v>4949933.8</v>
          </cell>
          <cell r="V578">
            <v>1296046.75</v>
          </cell>
          <cell r="W578">
            <v>-5822545.7999999998</v>
          </cell>
          <cell r="X578">
            <v>-1296046.75</v>
          </cell>
          <cell r="Y578">
            <v>-872612</v>
          </cell>
          <cell r="Z578">
            <v>0</v>
          </cell>
          <cell r="AA578">
            <v>-872612</v>
          </cell>
          <cell r="AC578">
            <v>15256</v>
          </cell>
          <cell r="AD578">
            <v>0</v>
          </cell>
        </row>
        <row r="579">
          <cell r="S579">
            <v>0</v>
          </cell>
          <cell r="T579">
            <v>0</v>
          </cell>
          <cell r="U579">
            <v>0</v>
          </cell>
          <cell r="V579">
            <v>0</v>
          </cell>
          <cell r="W579">
            <v>0</v>
          </cell>
          <cell r="X579">
            <v>0</v>
          </cell>
          <cell r="Y579">
            <v>0</v>
          </cell>
          <cell r="Z579">
            <v>0</v>
          </cell>
          <cell r="AA579">
            <v>0</v>
          </cell>
          <cell r="AC579">
            <v>0</v>
          </cell>
          <cell r="AD579">
            <v>0</v>
          </cell>
        </row>
        <row r="580">
          <cell r="B580">
            <v>15269</v>
          </cell>
          <cell r="C580" t="str">
            <v>PROVISION FOR LOANS &amp; ADVANCES</v>
          </cell>
          <cell r="D580">
            <v>388511</v>
          </cell>
          <cell r="E580">
            <v>-1382840</v>
          </cell>
          <cell r="F580">
            <v>0</v>
          </cell>
          <cell r="G580">
            <v>-1092988.25</v>
          </cell>
          <cell r="H580">
            <v>0</v>
          </cell>
          <cell r="I580">
            <v>0</v>
          </cell>
          <cell r="J580">
            <v>0</v>
          </cell>
          <cell r="K580">
            <v>0</v>
          </cell>
          <cell r="L580">
            <v>0</v>
          </cell>
          <cell r="M580">
            <v>-1365</v>
          </cell>
          <cell r="N580">
            <v>0</v>
          </cell>
          <cell r="O580">
            <v>0</v>
          </cell>
          <cell r="P580">
            <v>388511</v>
          </cell>
          <cell r="Q580">
            <v>-2475828.25</v>
          </cell>
          <cell r="S580">
            <v>-995694</v>
          </cell>
          <cell r="T580">
            <v>-1092988.25</v>
          </cell>
          <cell r="U580">
            <v>-995694</v>
          </cell>
          <cell r="V580">
            <v>-1092988.25</v>
          </cell>
          <cell r="W580">
            <v>0</v>
          </cell>
          <cell r="X580">
            <v>0</v>
          </cell>
          <cell r="Y580">
            <v>-995694</v>
          </cell>
          <cell r="Z580">
            <v>-1092988.25</v>
          </cell>
          <cell r="AA580">
            <v>-2088682.25</v>
          </cell>
          <cell r="AC580">
            <v>15269</v>
          </cell>
          <cell r="AD580">
            <v>0</v>
          </cell>
        </row>
        <row r="581">
          <cell r="S581">
            <v>0</v>
          </cell>
          <cell r="T581">
            <v>0</v>
          </cell>
          <cell r="U581">
            <v>0</v>
          </cell>
          <cell r="V581">
            <v>0</v>
          </cell>
          <cell r="W581">
            <v>0</v>
          </cell>
          <cell r="X581">
            <v>0</v>
          </cell>
          <cell r="Y581">
            <v>0</v>
          </cell>
          <cell r="Z581">
            <v>0</v>
          </cell>
          <cell r="AA581">
            <v>0</v>
          </cell>
          <cell r="AC581">
            <v>0</v>
          </cell>
          <cell r="AD581">
            <v>0</v>
          </cell>
        </row>
        <row r="582">
          <cell r="B582">
            <v>15297</v>
          </cell>
          <cell r="C582" t="str">
            <v>PROVISION FOR PENDING GRN (PURCHASE PACKING SLIP OFFSET AC)</v>
          </cell>
          <cell r="D582">
            <v>933734.6</v>
          </cell>
          <cell r="E582">
            <v>-933734.6</v>
          </cell>
          <cell r="F582">
            <v>8749648.8300000001</v>
          </cell>
          <cell r="G582">
            <v>-16420148.83</v>
          </cell>
          <cell r="H582">
            <v>0</v>
          </cell>
          <cell r="I582">
            <v>0</v>
          </cell>
          <cell r="J582">
            <v>0</v>
          </cell>
          <cell r="K582">
            <v>0</v>
          </cell>
          <cell r="L582">
            <v>0</v>
          </cell>
          <cell r="M582">
            <v>0</v>
          </cell>
          <cell r="N582">
            <v>0</v>
          </cell>
          <cell r="O582">
            <v>0</v>
          </cell>
          <cell r="P582">
            <v>9683383.4299999997</v>
          </cell>
          <cell r="Q582">
            <v>-17353883.43</v>
          </cell>
          <cell r="S582">
            <v>0</v>
          </cell>
          <cell r="T582">
            <v>-7670500</v>
          </cell>
          <cell r="U582">
            <v>0</v>
          </cell>
          <cell r="V582">
            <v>0</v>
          </cell>
          <cell r="W582">
            <v>0</v>
          </cell>
          <cell r="X582">
            <v>-7670500</v>
          </cell>
          <cell r="Y582">
            <v>0</v>
          </cell>
          <cell r="Z582">
            <v>-7670500</v>
          </cell>
          <cell r="AA582">
            <v>-7670500</v>
          </cell>
          <cell r="AC582">
            <v>15297</v>
          </cell>
          <cell r="AD582">
            <v>0</v>
          </cell>
        </row>
        <row r="583">
          <cell r="S583">
            <v>0</v>
          </cell>
          <cell r="T583">
            <v>0</v>
          </cell>
          <cell r="U583">
            <v>0</v>
          </cell>
          <cell r="V583">
            <v>0</v>
          </cell>
          <cell r="W583">
            <v>0</v>
          </cell>
          <cell r="X583">
            <v>0</v>
          </cell>
          <cell r="Y583">
            <v>0</v>
          </cell>
          <cell r="Z583">
            <v>0</v>
          </cell>
          <cell r="AA583">
            <v>0</v>
          </cell>
          <cell r="AC583">
            <v>0</v>
          </cell>
          <cell r="AD583">
            <v>0</v>
          </cell>
        </row>
        <row r="584">
          <cell r="B584">
            <v>15310</v>
          </cell>
          <cell r="C584" t="str">
            <v>INTERIM HEDU CESS - PLA A/C</v>
          </cell>
          <cell r="D584">
            <v>0</v>
          </cell>
          <cell r="E584">
            <v>0</v>
          </cell>
          <cell r="F584">
            <v>0</v>
          </cell>
          <cell r="G584">
            <v>0</v>
          </cell>
          <cell r="H584">
            <v>0</v>
          </cell>
          <cell r="I584">
            <v>0</v>
          </cell>
          <cell r="J584">
            <v>0</v>
          </cell>
          <cell r="K584">
            <v>0</v>
          </cell>
          <cell r="L584">
            <v>0</v>
          </cell>
          <cell r="M584">
            <v>0</v>
          </cell>
          <cell r="N584">
            <v>0</v>
          </cell>
          <cell r="O584">
            <v>-2137782.7599999998</v>
          </cell>
          <cell r="P584">
            <v>0</v>
          </cell>
          <cell r="Q584">
            <v>-2137782.7599999998</v>
          </cell>
          <cell r="S584">
            <v>-2137782.7599999998</v>
          </cell>
          <cell r="T584">
            <v>0</v>
          </cell>
          <cell r="U584">
            <v>-726357.58</v>
          </cell>
          <cell r="V584">
            <v>0</v>
          </cell>
          <cell r="W584">
            <v>-1411425.1799999997</v>
          </cell>
          <cell r="X584">
            <v>0</v>
          </cell>
          <cell r="Y584">
            <v>-2137782.7599999998</v>
          </cell>
          <cell r="Z584">
            <v>0</v>
          </cell>
          <cell r="AA584">
            <v>-2137782.7599999998</v>
          </cell>
          <cell r="AC584">
            <v>15310</v>
          </cell>
          <cell r="AD584">
            <v>0</v>
          </cell>
        </row>
        <row r="585">
          <cell r="S585">
            <v>0</v>
          </cell>
          <cell r="T585">
            <v>0</v>
          </cell>
          <cell r="U585">
            <v>0</v>
          </cell>
          <cell r="V585">
            <v>0</v>
          </cell>
          <cell r="W585">
            <v>0</v>
          </cell>
          <cell r="X585">
            <v>0</v>
          </cell>
          <cell r="Y585">
            <v>0</v>
          </cell>
          <cell r="Z585">
            <v>0</v>
          </cell>
          <cell r="AA585">
            <v>0</v>
          </cell>
          <cell r="AC585">
            <v>0</v>
          </cell>
          <cell r="AD585">
            <v>0</v>
          </cell>
        </row>
        <row r="586">
          <cell r="B586">
            <v>15311</v>
          </cell>
          <cell r="C586" t="str">
            <v>INTERIM PLA ACCOUNT</v>
          </cell>
          <cell r="D586">
            <v>0</v>
          </cell>
          <cell r="E586">
            <v>0</v>
          </cell>
          <cell r="F586">
            <v>0</v>
          </cell>
          <cell r="G586">
            <v>0</v>
          </cell>
          <cell r="H586">
            <v>0</v>
          </cell>
          <cell r="I586">
            <v>0</v>
          </cell>
          <cell r="J586">
            <v>0</v>
          </cell>
          <cell r="K586">
            <v>0</v>
          </cell>
          <cell r="L586">
            <v>0</v>
          </cell>
          <cell r="M586">
            <v>0</v>
          </cell>
          <cell r="N586">
            <v>0</v>
          </cell>
          <cell r="O586">
            <v>-28822366.98</v>
          </cell>
          <cell r="P586">
            <v>0</v>
          </cell>
          <cell r="Q586">
            <v>-28822366.98</v>
          </cell>
          <cell r="S586">
            <v>-28822366.98</v>
          </cell>
          <cell r="T586">
            <v>0</v>
          </cell>
          <cell r="U586">
            <v>-9824279.3599999994</v>
          </cell>
          <cell r="V586">
            <v>0</v>
          </cell>
          <cell r="W586">
            <v>-18998087.620000001</v>
          </cell>
          <cell r="X586">
            <v>0</v>
          </cell>
          <cell r="Y586">
            <v>-28822366.98</v>
          </cell>
          <cell r="Z586">
            <v>0</v>
          </cell>
          <cell r="AA586">
            <v>-28822366.98</v>
          </cell>
          <cell r="AC586">
            <v>15311</v>
          </cell>
          <cell r="AD586">
            <v>0</v>
          </cell>
        </row>
        <row r="587">
          <cell r="S587">
            <v>0</v>
          </cell>
          <cell r="T587">
            <v>0</v>
          </cell>
          <cell r="U587">
            <v>0</v>
          </cell>
          <cell r="V587">
            <v>0</v>
          </cell>
          <cell r="W587">
            <v>0</v>
          </cell>
          <cell r="X587">
            <v>0</v>
          </cell>
          <cell r="Y587">
            <v>0</v>
          </cell>
          <cell r="Z587">
            <v>0</v>
          </cell>
          <cell r="AA587">
            <v>0</v>
          </cell>
          <cell r="AC587">
            <v>0</v>
          </cell>
          <cell r="AD587">
            <v>0</v>
          </cell>
        </row>
        <row r="588">
          <cell r="B588">
            <v>15312</v>
          </cell>
          <cell r="C588" t="str">
            <v>INTERIM EDUCESS - PLA A/C</v>
          </cell>
          <cell r="D588">
            <v>0</v>
          </cell>
          <cell r="E588">
            <v>0</v>
          </cell>
          <cell r="F588">
            <v>0</v>
          </cell>
          <cell r="G588">
            <v>0</v>
          </cell>
          <cell r="H588">
            <v>0</v>
          </cell>
          <cell r="I588">
            <v>0</v>
          </cell>
          <cell r="J588">
            <v>0</v>
          </cell>
          <cell r="K588">
            <v>0</v>
          </cell>
          <cell r="L588">
            <v>0</v>
          </cell>
          <cell r="M588">
            <v>0</v>
          </cell>
          <cell r="N588">
            <v>0</v>
          </cell>
          <cell r="O588">
            <v>-6110101.75</v>
          </cell>
          <cell r="P588">
            <v>0</v>
          </cell>
          <cell r="Q588">
            <v>-6110101.75</v>
          </cell>
          <cell r="S588">
            <v>-6110101.75</v>
          </cell>
          <cell r="T588">
            <v>0</v>
          </cell>
          <cell r="U588">
            <v>-1470778.38</v>
          </cell>
          <cell r="V588">
            <v>0</v>
          </cell>
          <cell r="W588">
            <v>-4639323.37</v>
          </cell>
          <cell r="X588">
            <v>0</v>
          </cell>
          <cell r="Y588">
            <v>-6110101.75</v>
          </cell>
          <cell r="Z588">
            <v>0</v>
          </cell>
          <cell r="AA588">
            <v>-6110101.75</v>
          </cell>
          <cell r="AC588">
            <v>15312</v>
          </cell>
          <cell r="AD588">
            <v>0</v>
          </cell>
        </row>
        <row r="589">
          <cell r="S589">
            <v>0</v>
          </cell>
          <cell r="T589">
            <v>0</v>
          </cell>
          <cell r="U589">
            <v>0</v>
          </cell>
          <cell r="V589">
            <v>0</v>
          </cell>
          <cell r="W589">
            <v>0</v>
          </cell>
          <cell r="X589">
            <v>0</v>
          </cell>
          <cell r="Y589">
            <v>0</v>
          </cell>
          <cell r="Z589">
            <v>0</v>
          </cell>
          <cell r="AA589">
            <v>0</v>
          </cell>
          <cell r="AC589">
            <v>0</v>
          </cell>
          <cell r="AD589">
            <v>0</v>
          </cell>
        </row>
        <row r="590">
          <cell r="B590">
            <v>15314</v>
          </cell>
          <cell r="C590" t="str">
            <v>EDUCATION CESS - PLA A/C</v>
          </cell>
          <cell r="D590">
            <v>600000</v>
          </cell>
          <cell r="E590">
            <v>0</v>
          </cell>
          <cell r="F590">
            <v>0</v>
          </cell>
          <cell r="G590">
            <v>0</v>
          </cell>
          <cell r="H590">
            <v>0</v>
          </cell>
          <cell r="I590">
            <v>0</v>
          </cell>
          <cell r="J590">
            <v>0</v>
          </cell>
          <cell r="K590">
            <v>0</v>
          </cell>
          <cell r="L590">
            <v>1700000</v>
          </cell>
          <cell r="M590">
            <v>0</v>
          </cell>
          <cell r="N590">
            <v>0</v>
          </cell>
          <cell r="O590">
            <v>0</v>
          </cell>
          <cell r="P590">
            <v>600000</v>
          </cell>
          <cell r="Q590">
            <v>0</v>
          </cell>
          <cell r="S590">
            <v>2300000</v>
          </cell>
          <cell r="T590">
            <v>0</v>
          </cell>
          <cell r="U590">
            <v>2300000</v>
          </cell>
          <cell r="V590">
            <v>0</v>
          </cell>
          <cell r="W590">
            <v>0</v>
          </cell>
          <cell r="X590">
            <v>0</v>
          </cell>
          <cell r="Y590">
            <v>2300000</v>
          </cell>
          <cell r="Z590">
            <v>0</v>
          </cell>
          <cell r="AA590">
            <v>2300000</v>
          </cell>
          <cell r="AC590">
            <v>15314</v>
          </cell>
          <cell r="AD590">
            <v>0</v>
          </cell>
        </row>
        <row r="591">
          <cell r="S591">
            <v>0</v>
          </cell>
          <cell r="T591">
            <v>0</v>
          </cell>
          <cell r="U591">
            <v>0</v>
          </cell>
          <cell r="V591">
            <v>0</v>
          </cell>
          <cell r="W591">
            <v>0</v>
          </cell>
          <cell r="X591">
            <v>0</v>
          </cell>
          <cell r="Y591">
            <v>0</v>
          </cell>
          <cell r="Z591">
            <v>0</v>
          </cell>
          <cell r="AA591">
            <v>0</v>
          </cell>
          <cell r="AC591">
            <v>0</v>
          </cell>
          <cell r="AD591">
            <v>0</v>
          </cell>
        </row>
        <row r="592">
          <cell r="B592">
            <v>15315</v>
          </cell>
          <cell r="C592" t="str">
            <v>HIGHER EDUCATION CESS - PLA A/C</v>
          </cell>
          <cell r="D592">
            <v>300000</v>
          </cell>
          <cell r="E592">
            <v>0</v>
          </cell>
          <cell r="F592">
            <v>0</v>
          </cell>
          <cell r="G592">
            <v>0</v>
          </cell>
          <cell r="H592">
            <v>0</v>
          </cell>
          <cell r="I592">
            <v>0</v>
          </cell>
          <cell r="J592">
            <v>0</v>
          </cell>
          <cell r="K592">
            <v>0</v>
          </cell>
          <cell r="L592">
            <v>925000</v>
          </cell>
          <cell r="M592">
            <v>0</v>
          </cell>
          <cell r="N592">
            <v>0</v>
          </cell>
          <cell r="O592">
            <v>0</v>
          </cell>
          <cell r="P592">
            <v>300000</v>
          </cell>
          <cell r="Q592">
            <v>0</v>
          </cell>
          <cell r="S592">
            <v>1225000</v>
          </cell>
          <cell r="T592">
            <v>0</v>
          </cell>
          <cell r="U592">
            <v>1225000</v>
          </cell>
          <cell r="V592">
            <v>0</v>
          </cell>
          <cell r="W592">
            <v>0</v>
          </cell>
          <cell r="X592">
            <v>0</v>
          </cell>
          <cell r="Y592">
            <v>1225000</v>
          </cell>
          <cell r="Z592">
            <v>0</v>
          </cell>
          <cell r="AA592">
            <v>1225000</v>
          </cell>
          <cell r="AC592">
            <v>15315</v>
          </cell>
          <cell r="AD592">
            <v>0</v>
          </cell>
        </row>
        <row r="593">
          <cell r="S593">
            <v>0</v>
          </cell>
          <cell r="T593">
            <v>0</v>
          </cell>
          <cell r="U593">
            <v>0</v>
          </cell>
          <cell r="V593">
            <v>0</v>
          </cell>
          <cell r="W593">
            <v>0</v>
          </cell>
          <cell r="X593">
            <v>0</v>
          </cell>
          <cell r="Y593">
            <v>0</v>
          </cell>
          <cell r="Z593">
            <v>0</v>
          </cell>
          <cell r="AA593">
            <v>0</v>
          </cell>
          <cell r="AC593">
            <v>0</v>
          </cell>
          <cell r="AD593">
            <v>0</v>
          </cell>
        </row>
        <row r="594">
          <cell r="E594" t="str">
            <v>SDCT</v>
          </cell>
          <cell r="F594" t="str">
            <v>PCDT</v>
          </cell>
          <cell r="G594" t="str">
            <v>PCDC</v>
          </cell>
          <cell r="I594" t="str">
            <v>PCDN</v>
          </cell>
          <cell r="K594" t="str">
            <v>CORP</v>
          </cell>
          <cell r="M594" t="str">
            <v>OTHER</v>
          </cell>
          <cell r="O594" t="str">
            <v>TOTAL</v>
          </cell>
          <cell r="U594">
            <v>0</v>
          </cell>
          <cell r="V594">
            <v>0</v>
          </cell>
          <cell r="W594">
            <v>0</v>
          </cell>
          <cell r="X594">
            <v>0</v>
          </cell>
          <cell r="Y594">
            <v>0</v>
          </cell>
          <cell r="Z594">
            <v>0</v>
          </cell>
          <cell r="AA594">
            <v>0</v>
          </cell>
          <cell r="AC594">
            <v>0</v>
          </cell>
          <cell r="AD594">
            <v>0</v>
          </cell>
        </row>
        <row r="595">
          <cell r="B595" t="str">
            <v>GL CODE</v>
          </cell>
          <cell r="C595" t="str">
            <v>ACCOUNT HEAD</v>
          </cell>
          <cell r="S595">
            <v>0</v>
          </cell>
          <cell r="T595">
            <v>0</v>
          </cell>
          <cell r="U595" t="str">
            <v>SDCT</v>
          </cell>
          <cell r="V595" t="str">
            <v>PCDT</v>
          </cell>
          <cell r="AA595">
            <v>0</v>
          </cell>
          <cell r="AC595">
            <v>0</v>
          </cell>
          <cell r="AD595" t="e">
            <v>#VALUE!</v>
          </cell>
        </row>
        <row r="596">
          <cell r="S596">
            <v>0</v>
          </cell>
          <cell r="T596">
            <v>0</v>
          </cell>
          <cell r="U596">
            <v>0</v>
          </cell>
          <cell r="V596">
            <v>0</v>
          </cell>
          <cell r="W596">
            <v>0</v>
          </cell>
          <cell r="X596">
            <v>0</v>
          </cell>
          <cell r="Y596">
            <v>0</v>
          </cell>
          <cell r="Z596">
            <v>0</v>
          </cell>
          <cell r="AA596">
            <v>0</v>
          </cell>
          <cell r="AC596">
            <v>0</v>
          </cell>
          <cell r="AD596">
            <v>0</v>
          </cell>
        </row>
        <row r="597">
          <cell r="D597" t="str">
            <v>DR.</v>
          </cell>
          <cell r="E597" t="str">
            <v>CR.</v>
          </cell>
          <cell r="F597" t="str">
            <v>DR.</v>
          </cell>
          <cell r="G597" t="str">
            <v>CR.</v>
          </cell>
          <cell r="H597" t="str">
            <v>DR.</v>
          </cell>
          <cell r="I597" t="str">
            <v>CR.</v>
          </cell>
          <cell r="J597" t="str">
            <v>DR.</v>
          </cell>
          <cell r="K597" t="str">
            <v>CR.</v>
          </cell>
          <cell r="L597" t="str">
            <v>DR.</v>
          </cell>
          <cell r="M597" t="str">
            <v>CR.</v>
          </cell>
          <cell r="N597" t="str">
            <v>DR.</v>
          </cell>
          <cell r="O597" t="str">
            <v>CR.</v>
          </cell>
          <cell r="P597" t="str">
            <v>DR.</v>
          </cell>
          <cell r="Q597" t="str">
            <v>CR.</v>
          </cell>
          <cell r="U597">
            <v>0</v>
          </cell>
          <cell r="V597">
            <v>0</v>
          </cell>
          <cell r="W597">
            <v>0</v>
          </cell>
          <cell r="X597">
            <v>0</v>
          </cell>
          <cell r="Y597">
            <v>0</v>
          </cell>
          <cell r="Z597">
            <v>0</v>
          </cell>
          <cell r="AA597">
            <v>0</v>
          </cell>
          <cell r="AC597">
            <v>0</v>
          </cell>
          <cell r="AD597">
            <v>0</v>
          </cell>
        </row>
        <row r="598">
          <cell r="S598">
            <v>0</v>
          </cell>
          <cell r="T598">
            <v>0</v>
          </cell>
          <cell r="U598">
            <v>0</v>
          </cell>
          <cell r="V598">
            <v>0</v>
          </cell>
          <cell r="W598">
            <v>0</v>
          </cell>
          <cell r="X598">
            <v>0</v>
          </cell>
          <cell r="Y598">
            <v>0</v>
          </cell>
          <cell r="Z598">
            <v>0</v>
          </cell>
          <cell r="AA598">
            <v>0</v>
          </cell>
          <cell r="AC598">
            <v>0</v>
          </cell>
          <cell r="AD598">
            <v>0</v>
          </cell>
        </row>
        <row r="599">
          <cell r="S599">
            <v>0</v>
          </cell>
          <cell r="T599">
            <v>0</v>
          </cell>
          <cell r="U599">
            <v>0</v>
          </cell>
          <cell r="V599">
            <v>0</v>
          </cell>
          <cell r="W599">
            <v>0</v>
          </cell>
          <cell r="X599">
            <v>0</v>
          </cell>
          <cell r="Y599">
            <v>0</v>
          </cell>
          <cell r="Z599">
            <v>0</v>
          </cell>
          <cell r="AA599">
            <v>0</v>
          </cell>
          <cell r="AC599">
            <v>0</v>
          </cell>
          <cell r="AD599">
            <v>0</v>
          </cell>
        </row>
        <row r="600">
          <cell r="B600">
            <v>15323</v>
          </cell>
          <cell r="C600" t="str">
            <v>BASIC EXCISE DUTY RECOVERABLE - RG 23 A</v>
          </cell>
          <cell r="D600">
            <v>2435722418.46</v>
          </cell>
          <cell r="E600">
            <v>-2432067791.3899999</v>
          </cell>
          <cell r="F600">
            <v>683050869.37</v>
          </cell>
          <cell r="G600">
            <v>-631182711.47000003</v>
          </cell>
          <cell r="H600">
            <v>144220.1</v>
          </cell>
          <cell r="I600">
            <v>-142845.28</v>
          </cell>
          <cell r="J600">
            <v>0</v>
          </cell>
          <cell r="K600">
            <v>0</v>
          </cell>
          <cell r="L600">
            <v>0</v>
          </cell>
          <cell r="M600">
            <v>0</v>
          </cell>
          <cell r="N600">
            <v>20456068.760000002</v>
          </cell>
          <cell r="O600">
            <v>-20456068.760000002</v>
          </cell>
          <cell r="P600">
            <v>3139373576.6900001</v>
          </cell>
          <cell r="Q600">
            <v>-3083849416.9000001</v>
          </cell>
          <cell r="S600">
            <v>3654627.0700001717</v>
          </cell>
          <cell r="T600">
            <v>51869532.719999976</v>
          </cell>
          <cell r="U600">
            <v>86671268.620000005</v>
          </cell>
          <cell r="V600">
            <v>47902248.990000002</v>
          </cell>
          <cell r="W600">
            <v>-83016641.549999833</v>
          </cell>
          <cell r="X600">
            <v>3967283.7299999744</v>
          </cell>
          <cell r="Y600">
            <v>3654627.0700001717</v>
          </cell>
          <cell r="Z600">
            <v>51869532.719999976</v>
          </cell>
          <cell r="AA600">
            <v>55524159.790000148</v>
          </cell>
          <cell r="AC600">
            <v>15323</v>
          </cell>
          <cell r="AD600">
            <v>0</v>
          </cell>
        </row>
        <row r="601">
          <cell r="S601">
            <v>0</v>
          </cell>
          <cell r="T601">
            <v>0</v>
          </cell>
          <cell r="U601">
            <v>0</v>
          </cell>
          <cell r="V601">
            <v>0</v>
          </cell>
          <cell r="W601">
            <v>0</v>
          </cell>
          <cell r="X601">
            <v>0</v>
          </cell>
          <cell r="Y601">
            <v>0</v>
          </cell>
          <cell r="Z601">
            <v>0</v>
          </cell>
          <cell r="AA601">
            <v>0</v>
          </cell>
          <cell r="AC601">
            <v>0</v>
          </cell>
          <cell r="AD601">
            <v>0</v>
          </cell>
        </row>
        <row r="602">
          <cell r="B602">
            <v>15324</v>
          </cell>
          <cell r="C602" t="str">
            <v>EDUCATION CESS - RG 23 A</v>
          </cell>
          <cell r="D602">
            <v>4300520.6399999997</v>
          </cell>
          <cell r="E602">
            <v>-3490949.6</v>
          </cell>
          <cell r="F602">
            <v>2890560.28</v>
          </cell>
          <cell r="G602">
            <v>-4188295.98</v>
          </cell>
          <cell r="H602">
            <v>880.91</v>
          </cell>
          <cell r="I602">
            <v>-880.92</v>
          </cell>
          <cell r="J602">
            <v>0</v>
          </cell>
          <cell r="K602">
            <v>0</v>
          </cell>
          <cell r="L602">
            <v>0</v>
          </cell>
          <cell r="M602">
            <v>0</v>
          </cell>
          <cell r="N602">
            <v>283521.74</v>
          </cell>
          <cell r="O602">
            <v>-283521.74</v>
          </cell>
          <cell r="P602">
            <v>7475483.5700000003</v>
          </cell>
          <cell r="Q602">
            <v>-7963648.2400000002</v>
          </cell>
          <cell r="S602">
            <v>809571.03999999957</v>
          </cell>
          <cell r="T602">
            <v>-1297735.7100000002</v>
          </cell>
          <cell r="U602">
            <v>2530956.6800000002</v>
          </cell>
          <cell r="V602">
            <v>-3344235.94</v>
          </cell>
          <cell r="W602">
            <v>-1721385.6400000006</v>
          </cell>
          <cell r="X602">
            <v>2046500.2299999997</v>
          </cell>
          <cell r="Y602">
            <v>809571.03999999957</v>
          </cell>
          <cell r="Z602">
            <v>-1297735.7100000002</v>
          </cell>
          <cell r="AA602">
            <v>-488164.67000000062</v>
          </cell>
          <cell r="AC602">
            <v>15324</v>
          </cell>
          <cell r="AD602">
            <v>0</v>
          </cell>
        </row>
        <row r="603">
          <cell r="S603">
            <v>0</v>
          </cell>
          <cell r="T603">
            <v>0</v>
          </cell>
          <cell r="U603">
            <v>0</v>
          </cell>
          <cell r="V603">
            <v>0</v>
          </cell>
          <cell r="W603">
            <v>0</v>
          </cell>
          <cell r="X603">
            <v>0</v>
          </cell>
          <cell r="Y603">
            <v>0</v>
          </cell>
          <cell r="Z603">
            <v>0</v>
          </cell>
          <cell r="AA603">
            <v>0</v>
          </cell>
          <cell r="AC603">
            <v>0</v>
          </cell>
          <cell r="AD603">
            <v>0</v>
          </cell>
        </row>
        <row r="604">
          <cell r="B604">
            <v>15325</v>
          </cell>
          <cell r="C604" t="str">
            <v>HIGHER EDUCATION CESS - RG 23 A</v>
          </cell>
          <cell r="D604">
            <v>1756361.06</v>
          </cell>
          <cell r="E604">
            <v>-1759550.81</v>
          </cell>
          <cell r="F604">
            <v>548441.02</v>
          </cell>
          <cell r="G604">
            <v>-462427.78</v>
          </cell>
          <cell r="H604">
            <v>492.08</v>
          </cell>
          <cell r="I604">
            <v>-492.08</v>
          </cell>
          <cell r="J604">
            <v>0</v>
          </cell>
          <cell r="K604">
            <v>0</v>
          </cell>
          <cell r="L604">
            <v>0</v>
          </cell>
          <cell r="M604">
            <v>0</v>
          </cell>
          <cell r="N604">
            <v>141761.42000000001</v>
          </cell>
          <cell r="O604">
            <v>-141761.42000000001</v>
          </cell>
          <cell r="P604">
            <v>2447055.58</v>
          </cell>
          <cell r="Q604">
            <v>-2364232.09</v>
          </cell>
          <cell r="S604">
            <v>-3189.75</v>
          </cell>
          <cell r="T604">
            <v>86013.239999999991</v>
          </cell>
          <cell r="U604">
            <v>857503.96</v>
          </cell>
          <cell r="V604">
            <v>-32293.53</v>
          </cell>
          <cell r="W604">
            <v>-860693.71</v>
          </cell>
          <cell r="X604">
            <v>118306.76999999999</v>
          </cell>
          <cell r="Y604">
            <v>-3189.75</v>
          </cell>
          <cell r="Z604">
            <v>86013.239999999991</v>
          </cell>
          <cell r="AA604">
            <v>82823.489999999991</v>
          </cell>
          <cell r="AC604">
            <v>15325</v>
          </cell>
          <cell r="AD604">
            <v>0</v>
          </cell>
        </row>
        <row r="605">
          <cell r="S605">
            <v>0</v>
          </cell>
          <cell r="T605">
            <v>0</v>
          </cell>
          <cell r="U605">
            <v>0</v>
          </cell>
          <cell r="V605">
            <v>0</v>
          </cell>
          <cell r="W605">
            <v>0</v>
          </cell>
          <cell r="X605">
            <v>0</v>
          </cell>
          <cell r="Y605">
            <v>0</v>
          </cell>
          <cell r="Z605">
            <v>0</v>
          </cell>
          <cell r="AA605">
            <v>0</v>
          </cell>
          <cell r="AC605">
            <v>0</v>
          </cell>
          <cell r="AD605">
            <v>0</v>
          </cell>
        </row>
        <row r="606">
          <cell r="B606">
            <v>15332</v>
          </cell>
          <cell r="C606" t="str">
            <v>BASIC EXCISE DUTY RECOVERABLE - RG 23 C</v>
          </cell>
          <cell r="D606">
            <v>165948671.18000001</v>
          </cell>
          <cell r="E606">
            <v>-158068316.18000001</v>
          </cell>
          <cell r="F606">
            <v>19778010.239999998</v>
          </cell>
          <cell r="G606">
            <v>-1601736.54</v>
          </cell>
          <cell r="H606">
            <v>0</v>
          </cell>
          <cell r="I606">
            <v>0</v>
          </cell>
          <cell r="J606">
            <v>0</v>
          </cell>
          <cell r="K606">
            <v>0</v>
          </cell>
          <cell r="L606">
            <v>0</v>
          </cell>
          <cell r="M606">
            <v>0</v>
          </cell>
          <cell r="N606">
            <v>0</v>
          </cell>
          <cell r="O606">
            <v>0</v>
          </cell>
          <cell r="P606">
            <v>185726681.41999999</v>
          </cell>
          <cell r="Q606">
            <v>-159670052.72</v>
          </cell>
          <cell r="S606">
            <v>7880355</v>
          </cell>
          <cell r="T606">
            <v>18176273.699999999</v>
          </cell>
          <cell r="U606">
            <v>6786843.1399999997</v>
          </cell>
          <cell r="V606">
            <v>18176622.710000001</v>
          </cell>
          <cell r="W606">
            <v>1093511.8600000003</v>
          </cell>
          <cell r="X606">
            <v>-349.01000000163913</v>
          </cell>
          <cell r="Y606">
            <v>7880355</v>
          </cell>
          <cell r="Z606">
            <v>18176273.699999999</v>
          </cell>
          <cell r="AA606">
            <v>26056628.699999999</v>
          </cell>
          <cell r="AC606">
            <v>15332</v>
          </cell>
          <cell r="AD606">
            <v>0</v>
          </cell>
        </row>
        <row r="607">
          <cell r="S607">
            <v>0</v>
          </cell>
          <cell r="T607">
            <v>0</v>
          </cell>
          <cell r="U607">
            <v>0</v>
          </cell>
          <cell r="V607">
            <v>0</v>
          </cell>
          <cell r="W607">
            <v>0</v>
          </cell>
          <cell r="X607">
            <v>0</v>
          </cell>
          <cell r="Y607">
            <v>0</v>
          </cell>
          <cell r="Z607">
            <v>0</v>
          </cell>
          <cell r="AA607">
            <v>0</v>
          </cell>
          <cell r="AC607">
            <v>0</v>
          </cell>
          <cell r="AD607">
            <v>0</v>
          </cell>
        </row>
        <row r="608">
          <cell r="B608">
            <v>15333</v>
          </cell>
          <cell r="C608" t="str">
            <v>EDUCATION CESS - RG 23 C</v>
          </cell>
          <cell r="D608">
            <v>880463.1</v>
          </cell>
          <cell r="E608">
            <v>-857456.23</v>
          </cell>
          <cell r="F608">
            <v>30708.31</v>
          </cell>
          <cell r="G608">
            <v>-28780.61</v>
          </cell>
          <cell r="H608">
            <v>0</v>
          </cell>
          <cell r="I608">
            <v>0</v>
          </cell>
          <cell r="J608">
            <v>0</v>
          </cell>
          <cell r="K608">
            <v>0</v>
          </cell>
          <cell r="L608">
            <v>0</v>
          </cell>
          <cell r="M608">
            <v>0</v>
          </cell>
          <cell r="N608">
            <v>0</v>
          </cell>
          <cell r="O608">
            <v>0</v>
          </cell>
          <cell r="P608">
            <v>911171.41</v>
          </cell>
          <cell r="Q608">
            <v>-886236.84</v>
          </cell>
          <cell r="S608">
            <v>23006.869999999995</v>
          </cell>
          <cell r="T608">
            <v>1927.7000000000007</v>
          </cell>
          <cell r="U608">
            <v>4400.55</v>
          </cell>
          <cell r="V608">
            <v>1927.7</v>
          </cell>
          <cell r="W608">
            <v>18606.319999999996</v>
          </cell>
          <cell r="X608">
            <v>0</v>
          </cell>
          <cell r="Y608">
            <v>23006.869999999995</v>
          </cell>
          <cell r="Z608">
            <v>1927.7</v>
          </cell>
          <cell r="AA608">
            <v>24934.569999999996</v>
          </cell>
          <cell r="AC608">
            <v>15333</v>
          </cell>
          <cell r="AD608">
            <v>0</v>
          </cell>
        </row>
        <row r="609">
          <cell r="S609">
            <v>0</v>
          </cell>
          <cell r="T609">
            <v>0</v>
          </cell>
          <cell r="U609">
            <v>0</v>
          </cell>
          <cell r="V609">
            <v>0</v>
          </cell>
          <cell r="W609">
            <v>0</v>
          </cell>
          <cell r="X609">
            <v>0</v>
          </cell>
          <cell r="Y609">
            <v>0</v>
          </cell>
          <cell r="Z609">
            <v>0</v>
          </cell>
          <cell r="AA609">
            <v>0</v>
          </cell>
          <cell r="AC609">
            <v>0</v>
          </cell>
          <cell r="AD609">
            <v>0</v>
          </cell>
        </row>
        <row r="610">
          <cell r="B610">
            <v>15334</v>
          </cell>
          <cell r="C610" t="str">
            <v>HIGHER EDUCATION CESS - RG 23 C</v>
          </cell>
          <cell r="D610">
            <v>132027.34</v>
          </cell>
          <cell r="E610">
            <v>-120063.93</v>
          </cell>
          <cell r="F610">
            <v>14937.8</v>
          </cell>
          <cell r="G610">
            <v>-14000.27</v>
          </cell>
          <cell r="H610">
            <v>0</v>
          </cell>
          <cell r="I610">
            <v>0</v>
          </cell>
          <cell r="J610">
            <v>0</v>
          </cell>
          <cell r="K610">
            <v>0</v>
          </cell>
          <cell r="L610">
            <v>0</v>
          </cell>
          <cell r="M610">
            <v>0</v>
          </cell>
          <cell r="N610">
            <v>0</v>
          </cell>
          <cell r="O610">
            <v>0</v>
          </cell>
          <cell r="P610">
            <v>146965.14000000001</v>
          </cell>
          <cell r="Q610">
            <v>-134064.20000000001</v>
          </cell>
          <cell r="S610">
            <v>11963.410000000003</v>
          </cell>
          <cell r="T610">
            <v>937.52999999999884</v>
          </cell>
          <cell r="U610">
            <v>2224.4899999999998</v>
          </cell>
          <cell r="V610">
            <v>937.53</v>
          </cell>
          <cell r="W610">
            <v>9738.9200000000037</v>
          </cell>
          <cell r="X610">
            <v>-1.1368683772161603E-12</v>
          </cell>
          <cell r="Y610">
            <v>11963.410000000003</v>
          </cell>
          <cell r="Z610">
            <v>937.52999999999884</v>
          </cell>
          <cell r="AA610">
            <v>12900.940000000002</v>
          </cell>
          <cell r="AC610">
            <v>15334</v>
          </cell>
          <cell r="AD610">
            <v>0</v>
          </cell>
        </row>
        <row r="611">
          <cell r="S611">
            <v>0</v>
          </cell>
          <cell r="T611">
            <v>0</v>
          </cell>
          <cell r="U611">
            <v>0</v>
          </cell>
          <cell r="V611">
            <v>0</v>
          </cell>
          <cell r="W611">
            <v>0</v>
          </cell>
          <cell r="X611">
            <v>0</v>
          </cell>
          <cell r="Y611">
            <v>0</v>
          </cell>
          <cell r="Z611">
            <v>0</v>
          </cell>
          <cell r="AA611">
            <v>0</v>
          </cell>
          <cell r="AC611">
            <v>0</v>
          </cell>
          <cell r="AD611">
            <v>0</v>
          </cell>
        </row>
        <row r="612">
          <cell r="B612">
            <v>15339</v>
          </cell>
          <cell r="C612" t="str">
            <v>RG 23 D CENVAT CREDIT TRANSFER ACCOUNT</v>
          </cell>
          <cell r="D612">
            <v>0</v>
          </cell>
          <cell r="E612">
            <v>0</v>
          </cell>
          <cell r="F612">
            <v>33671</v>
          </cell>
          <cell r="G612">
            <v>-8384150</v>
          </cell>
          <cell r="H612">
            <v>0</v>
          </cell>
          <cell r="I612">
            <v>0</v>
          </cell>
          <cell r="J612">
            <v>0</v>
          </cell>
          <cell r="K612">
            <v>-4017</v>
          </cell>
          <cell r="L612">
            <v>0</v>
          </cell>
          <cell r="M612">
            <v>0</v>
          </cell>
          <cell r="N612">
            <v>0</v>
          </cell>
          <cell r="O612">
            <v>0</v>
          </cell>
          <cell r="P612">
            <v>33671</v>
          </cell>
          <cell r="Q612">
            <v>-8388167</v>
          </cell>
          <cell r="S612">
            <v>0</v>
          </cell>
          <cell r="T612">
            <v>-8354496</v>
          </cell>
          <cell r="U612">
            <v>0</v>
          </cell>
          <cell r="V612">
            <v>-5130234</v>
          </cell>
          <cell r="W612">
            <v>0</v>
          </cell>
          <cell r="X612">
            <v>-3224262</v>
          </cell>
          <cell r="Y612">
            <v>0</v>
          </cell>
          <cell r="Z612">
            <v>-8354496</v>
          </cell>
          <cell r="AA612">
            <v>-8354496</v>
          </cell>
          <cell r="AC612">
            <v>15339</v>
          </cell>
          <cell r="AD612">
            <v>0</v>
          </cell>
        </row>
        <row r="613">
          <cell r="S613">
            <v>0</v>
          </cell>
          <cell r="T613">
            <v>0</v>
          </cell>
          <cell r="U613">
            <v>0</v>
          </cell>
          <cell r="V613">
            <v>0</v>
          </cell>
          <cell r="W613">
            <v>0</v>
          </cell>
          <cell r="X613">
            <v>0</v>
          </cell>
          <cell r="Y613">
            <v>0</v>
          </cell>
          <cell r="Z613">
            <v>0</v>
          </cell>
          <cell r="AA613">
            <v>0</v>
          </cell>
          <cell r="AC613">
            <v>0</v>
          </cell>
          <cell r="AD613">
            <v>0</v>
          </cell>
        </row>
        <row r="614">
          <cell r="B614">
            <v>15340</v>
          </cell>
          <cell r="C614" t="str">
            <v>RG23D CENVAT CREDIT ACCOUNT</v>
          </cell>
          <cell r="D614">
            <v>734643.7</v>
          </cell>
          <cell r="E614">
            <v>-734643.7</v>
          </cell>
          <cell r="F614">
            <v>8289645.9400000004</v>
          </cell>
          <cell r="G614">
            <v>0</v>
          </cell>
          <cell r="H614">
            <v>0</v>
          </cell>
          <cell r="I614">
            <v>0</v>
          </cell>
          <cell r="J614">
            <v>0</v>
          </cell>
          <cell r="K614">
            <v>0</v>
          </cell>
          <cell r="L614">
            <v>0</v>
          </cell>
          <cell r="M614">
            <v>0</v>
          </cell>
          <cell r="N614">
            <v>0</v>
          </cell>
          <cell r="O614">
            <v>0</v>
          </cell>
          <cell r="P614">
            <v>9024289.6400000006</v>
          </cell>
          <cell r="Q614">
            <v>-734643.7</v>
          </cell>
          <cell r="S614">
            <v>0</v>
          </cell>
          <cell r="T614">
            <v>8289645.9400000004</v>
          </cell>
          <cell r="U614">
            <v>0</v>
          </cell>
          <cell r="V614">
            <v>5356508.9400000004</v>
          </cell>
          <cell r="W614">
            <v>0</v>
          </cell>
          <cell r="X614">
            <v>2933137</v>
          </cell>
          <cell r="Y614">
            <v>0</v>
          </cell>
          <cell r="Z614">
            <v>8289645.9400000004</v>
          </cell>
          <cell r="AA614">
            <v>8289645.9400000004</v>
          </cell>
          <cell r="AC614">
            <v>15340</v>
          </cell>
          <cell r="AD614">
            <v>0</v>
          </cell>
        </row>
        <row r="615">
          <cell r="S615">
            <v>0</v>
          </cell>
          <cell r="T615">
            <v>0</v>
          </cell>
          <cell r="U615">
            <v>0</v>
          </cell>
          <cell r="V615">
            <v>0</v>
          </cell>
          <cell r="W615">
            <v>0</v>
          </cell>
          <cell r="X615">
            <v>0</v>
          </cell>
          <cell r="Y615">
            <v>0</v>
          </cell>
          <cell r="Z615">
            <v>0</v>
          </cell>
          <cell r="AA615">
            <v>0</v>
          </cell>
          <cell r="AC615">
            <v>0</v>
          </cell>
          <cell r="AD615">
            <v>0</v>
          </cell>
        </row>
        <row r="616">
          <cell r="B616">
            <v>15344</v>
          </cell>
          <cell r="C616" t="str">
            <v>SERVICE TAX (RECEIVABLE)</v>
          </cell>
          <cell r="D616">
            <v>12831835.470000001</v>
          </cell>
          <cell r="E616">
            <v>-15806752.789999999</v>
          </cell>
          <cell r="F616">
            <v>45649552.560000002</v>
          </cell>
          <cell r="G616">
            <v>-15847279.52</v>
          </cell>
          <cell r="H616">
            <v>10020.08</v>
          </cell>
          <cell r="I616">
            <v>0</v>
          </cell>
          <cell r="J616">
            <v>0</v>
          </cell>
          <cell r="K616">
            <v>0</v>
          </cell>
          <cell r="L616">
            <v>2528053.69</v>
          </cell>
          <cell r="M616">
            <v>-22465.99</v>
          </cell>
          <cell r="N616">
            <v>0</v>
          </cell>
          <cell r="O616">
            <v>0</v>
          </cell>
          <cell r="P616">
            <v>58491408.109999999</v>
          </cell>
          <cell r="Q616">
            <v>-31654032.309999999</v>
          </cell>
          <cell r="S616">
            <v>-469329.61999999848</v>
          </cell>
          <cell r="T616">
            <v>29812293.120000001</v>
          </cell>
          <cell r="U616">
            <v>-4442713.3499999996</v>
          </cell>
          <cell r="V616">
            <v>22284397.309999999</v>
          </cell>
          <cell r="W616">
            <v>3973383.7300000014</v>
          </cell>
          <cell r="X616">
            <v>7527895.8100000024</v>
          </cell>
          <cell r="Y616">
            <v>-469329.61999999825</v>
          </cell>
          <cell r="Z616">
            <v>29812293.120000001</v>
          </cell>
          <cell r="AA616">
            <v>29342963.500000004</v>
          </cell>
          <cell r="AC616">
            <v>15344</v>
          </cell>
          <cell r="AD616">
            <v>0</v>
          </cell>
        </row>
        <row r="617">
          <cell r="S617">
            <v>0</v>
          </cell>
          <cell r="T617">
            <v>0</v>
          </cell>
          <cell r="U617">
            <v>0</v>
          </cell>
          <cell r="V617">
            <v>0</v>
          </cell>
          <cell r="W617">
            <v>0</v>
          </cell>
          <cell r="X617">
            <v>0</v>
          </cell>
          <cell r="Y617">
            <v>0</v>
          </cell>
          <cell r="Z617">
            <v>0</v>
          </cell>
          <cell r="AA617">
            <v>0</v>
          </cell>
          <cell r="AC617">
            <v>0</v>
          </cell>
          <cell r="AD617">
            <v>0</v>
          </cell>
        </row>
        <row r="618">
          <cell r="B618">
            <v>15345</v>
          </cell>
          <cell r="C618" t="str">
            <v>EDUCATION CESS ON SERVICE TAX (RECEIVABLE)</v>
          </cell>
          <cell r="D618">
            <v>188513.14</v>
          </cell>
          <cell r="E618">
            <v>-76667.11</v>
          </cell>
          <cell r="F618">
            <v>1464780.33</v>
          </cell>
          <cell r="G618">
            <v>-453154.65</v>
          </cell>
          <cell r="H618">
            <v>702.17</v>
          </cell>
          <cell r="I618">
            <v>0</v>
          </cell>
          <cell r="J618">
            <v>0</v>
          </cell>
          <cell r="K618">
            <v>0</v>
          </cell>
          <cell r="L618">
            <v>61376.68</v>
          </cell>
          <cell r="M618">
            <v>-494.03</v>
          </cell>
          <cell r="N618">
            <v>0</v>
          </cell>
          <cell r="O618">
            <v>0</v>
          </cell>
          <cell r="P618">
            <v>1653995.64</v>
          </cell>
          <cell r="Q618">
            <v>-529821.76</v>
          </cell>
          <cell r="S618">
            <v>172728.68000000002</v>
          </cell>
          <cell r="T618">
            <v>1012327.8500000001</v>
          </cell>
          <cell r="U618">
            <v>86715.12</v>
          </cell>
          <cell r="V618">
            <v>769664.15</v>
          </cell>
          <cell r="W618">
            <v>86013.560000000027</v>
          </cell>
          <cell r="X618">
            <v>242663.70000000007</v>
          </cell>
          <cell r="Y618">
            <v>172728.68000000002</v>
          </cell>
          <cell r="Z618">
            <v>1012327.8500000001</v>
          </cell>
          <cell r="AA618">
            <v>1185056.53</v>
          </cell>
          <cell r="AC618">
            <v>15345</v>
          </cell>
          <cell r="AD618">
            <v>0</v>
          </cell>
        </row>
        <row r="619">
          <cell r="S619">
            <v>0</v>
          </cell>
          <cell r="T619">
            <v>0</v>
          </cell>
          <cell r="U619">
            <v>0</v>
          </cell>
          <cell r="V619">
            <v>0</v>
          </cell>
          <cell r="W619">
            <v>0</v>
          </cell>
          <cell r="X619">
            <v>0</v>
          </cell>
          <cell r="Y619">
            <v>0</v>
          </cell>
          <cell r="Z619">
            <v>0</v>
          </cell>
          <cell r="AA619">
            <v>0</v>
          </cell>
          <cell r="AC619">
            <v>0</v>
          </cell>
          <cell r="AD619">
            <v>0</v>
          </cell>
        </row>
        <row r="620">
          <cell r="B620">
            <v>15346</v>
          </cell>
          <cell r="C620" t="str">
            <v>HIGHER EDUCATION CESS ON SERVICE TAX (RECEIVABLE)</v>
          </cell>
          <cell r="D620">
            <v>264984.03999999998</v>
          </cell>
          <cell r="E620">
            <v>-166332.96</v>
          </cell>
          <cell r="F620">
            <v>481901.72</v>
          </cell>
          <cell r="G620">
            <v>-101334.93</v>
          </cell>
          <cell r="H620">
            <v>350.29</v>
          </cell>
          <cell r="I620">
            <v>0</v>
          </cell>
          <cell r="J620">
            <v>0</v>
          </cell>
          <cell r="K620">
            <v>0</v>
          </cell>
          <cell r="L620">
            <v>30677.81</v>
          </cell>
          <cell r="M620">
            <v>-245.98</v>
          </cell>
          <cell r="N620">
            <v>0</v>
          </cell>
          <cell r="O620">
            <v>0</v>
          </cell>
          <cell r="P620">
            <v>747236.05</v>
          </cell>
          <cell r="Q620">
            <v>-267667.89</v>
          </cell>
          <cell r="S620">
            <v>129082.90999999999</v>
          </cell>
          <cell r="T620">
            <v>380917.07999999996</v>
          </cell>
          <cell r="U620">
            <v>86110.399999999994</v>
          </cell>
          <cell r="V620">
            <v>259594.36</v>
          </cell>
          <cell r="W620">
            <v>42972.509999999995</v>
          </cell>
          <cell r="X620">
            <v>121322.71999999997</v>
          </cell>
          <cell r="Y620">
            <v>129082.90999999999</v>
          </cell>
          <cell r="Z620">
            <v>380917.07999999996</v>
          </cell>
          <cell r="AA620">
            <v>509999.98999999993</v>
          </cell>
          <cell r="AC620">
            <v>15346</v>
          </cell>
          <cell r="AD620">
            <v>0</v>
          </cell>
        </row>
        <row r="621">
          <cell r="S621">
            <v>0</v>
          </cell>
          <cell r="T621">
            <v>0</v>
          </cell>
          <cell r="U621">
            <v>0</v>
          </cell>
          <cell r="V621">
            <v>0</v>
          </cell>
          <cell r="W621">
            <v>0</v>
          </cell>
          <cell r="X621">
            <v>0</v>
          </cell>
          <cell r="Y621">
            <v>0</v>
          </cell>
          <cell r="Z621">
            <v>0</v>
          </cell>
          <cell r="AA621">
            <v>0</v>
          </cell>
          <cell r="AC621">
            <v>0</v>
          </cell>
          <cell r="AD621">
            <v>0</v>
          </cell>
        </row>
        <row r="622">
          <cell r="B622">
            <v>15347</v>
          </cell>
          <cell r="C622" t="str">
            <v>SERVICE TAX (PAYABLE)</v>
          </cell>
          <cell r="D622">
            <v>1312190.21</v>
          </cell>
          <cell r="E622">
            <v>-2496033.36</v>
          </cell>
          <cell r="F622">
            <v>75867.62</v>
          </cell>
          <cell r="G622">
            <v>-1965375.64</v>
          </cell>
          <cell r="H622">
            <v>0</v>
          </cell>
          <cell r="I622">
            <v>-3672.3</v>
          </cell>
          <cell r="J622">
            <v>0</v>
          </cell>
          <cell r="K622">
            <v>0</v>
          </cell>
          <cell r="L622">
            <v>4911.88</v>
          </cell>
          <cell r="M622">
            <v>-106799.57</v>
          </cell>
          <cell r="N622">
            <v>0</v>
          </cell>
          <cell r="O622">
            <v>0</v>
          </cell>
          <cell r="P622">
            <v>1388057.83</v>
          </cell>
          <cell r="Q622">
            <v>-4465081.3</v>
          </cell>
          <cell r="S622">
            <v>-1285730.8400000001</v>
          </cell>
          <cell r="T622">
            <v>-1893180.32</v>
          </cell>
          <cell r="U622">
            <v>-678437.73</v>
          </cell>
          <cell r="V622">
            <v>-1008219.98</v>
          </cell>
          <cell r="W622">
            <v>-607293.1100000001</v>
          </cell>
          <cell r="X622">
            <v>-884960.34000000008</v>
          </cell>
          <cell r="Y622">
            <v>-1285730.8400000001</v>
          </cell>
          <cell r="Z622">
            <v>-1893180.32</v>
          </cell>
          <cell r="AA622">
            <v>-3178911.16</v>
          </cell>
          <cell r="AC622">
            <v>15347</v>
          </cell>
          <cell r="AD622">
            <v>0</v>
          </cell>
        </row>
        <row r="623">
          <cell r="S623">
            <v>0</v>
          </cell>
          <cell r="T623">
            <v>0</v>
          </cell>
          <cell r="U623">
            <v>0</v>
          </cell>
          <cell r="V623">
            <v>0</v>
          </cell>
          <cell r="W623">
            <v>0</v>
          </cell>
          <cell r="X623">
            <v>0</v>
          </cell>
          <cell r="Y623">
            <v>0</v>
          </cell>
          <cell r="Z623">
            <v>0</v>
          </cell>
          <cell r="AA623">
            <v>0</v>
          </cell>
          <cell r="AC623">
            <v>0</v>
          </cell>
          <cell r="AD623">
            <v>0</v>
          </cell>
        </row>
        <row r="624">
          <cell r="B624">
            <v>15348</v>
          </cell>
          <cell r="C624" t="str">
            <v>EDUCATION CESS ON SERVICE TAX (PAYABLE)</v>
          </cell>
          <cell r="D624">
            <v>4061.01</v>
          </cell>
          <cell r="E624">
            <v>-11876.76</v>
          </cell>
          <cell r="F624">
            <v>1289.3</v>
          </cell>
          <cell r="G624">
            <v>-36087.46</v>
          </cell>
          <cell r="H624">
            <v>0</v>
          </cell>
          <cell r="I624">
            <v>-73.44</v>
          </cell>
          <cell r="J624">
            <v>0</v>
          </cell>
          <cell r="K624">
            <v>0</v>
          </cell>
          <cell r="L624">
            <v>236.06</v>
          </cell>
          <cell r="M624">
            <v>-2135.9899999999998</v>
          </cell>
          <cell r="N624">
            <v>0</v>
          </cell>
          <cell r="O624">
            <v>0</v>
          </cell>
          <cell r="P624">
            <v>5350.31</v>
          </cell>
          <cell r="Q624">
            <v>-48037.66</v>
          </cell>
          <cell r="S624">
            <v>-9715.68</v>
          </cell>
          <cell r="T624">
            <v>-34871.599999999999</v>
          </cell>
          <cell r="U624">
            <v>1874.43</v>
          </cell>
          <cell r="V624">
            <v>-17481.48</v>
          </cell>
          <cell r="W624">
            <v>-11590.11</v>
          </cell>
          <cell r="X624">
            <v>-17390.12</v>
          </cell>
          <cell r="Y624">
            <v>-9715.68</v>
          </cell>
          <cell r="Z624">
            <v>-34871.599999999999</v>
          </cell>
          <cell r="AA624">
            <v>-44587.28</v>
          </cell>
          <cell r="AC624">
            <v>15348</v>
          </cell>
          <cell r="AD624">
            <v>0</v>
          </cell>
        </row>
        <row r="625">
          <cell r="S625">
            <v>0</v>
          </cell>
          <cell r="T625">
            <v>0</v>
          </cell>
          <cell r="U625">
            <v>0</v>
          </cell>
          <cell r="V625">
            <v>0</v>
          </cell>
          <cell r="W625">
            <v>0</v>
          </cell>
          <cell r="X625">
            <v>0</v>
          </cell>
          <cell r="Y625">
            <v>0</v>
          </cell>
          <cell r="Z625">
            <v>0</v>
          </cell>
          <cell r="AA625">
            <v>0</v>
          </cell>
          <cell r="AC625">
            <v>0</v>
          </cell>
          <cell r="AD625">
            <v>0</v>
          </cell>
        </row>
        <row r="626">
          <cell r="B626">
            <v>15349</v>
          </cell>
          <cell r="C626" t="str">
            <v>HIGHER EDUCATION CESS ON SERVICE TAX (PAYABLE)</v>
          </cell>
          <cell r="D626">
            <v>2030.67</v>
          </cell>
          <cell r="E626">
            <v>-5922.11</v>
          </cell>
          <cell r="F626">
            <v>646.36</v>
          </cell>
          <cell r="G626">
            <v>-17845.64</v>
          </cell>
          <cell r="H626">
            <v>0</v>
          </cell>
          <cell r="I626">
            <v>-36.72</v>
          </cell>
          <cell r="J626">
            <v>0</v>
          </cell>
          <cell r="K626">
            <v>0</v>
          </cell>
          <cell r="L626">
            <v>118.06</v>
          </cell>
          <cell r="M626">
            <v>-1068</v>
          </cell>
          <cell r="N626">
            <v>0</v>
          </cell>
          <cell r="O626">
            <v>0</v>
          </cell>
          <cell r="P626">
            <v>2677.03</v>
          </cell>
          <cell r="Q626">
            <v>-23804.47</v>
          </cell>
          <cell r="S626">
            <v>-4841.3799999999992</v>
          </cell>
          <cell r="T626">
            <v>-17236</v>
          </cell>
          <cell r="U626">
            <v>937.59</v>
          </cell>
          <cell r="V626">
            <v>-8685.5400000000009</v>
          </cell>
          <cell r="W626">
            <v>-5778.9699999999993</v>
          </cell>
          <cell r="X626">
            <v>-8550.4599999999991</v>
          </cell>
          <cell r="Y626">
            <v>-4841.3799999999992</v>
          </cell>
          <cell r="Z626">
            <v>-17236</v>
          </cell>
          <cell r="AA626">
            <v>-22077.379999999997</v>
          </cell>
          <cell r="AC626">
            <v>15349</v>
          </cell>
          <cell r="AD626">
            <v>0</v>
          </cell>
        </row>
        <row r="627">
          <cell r="S627">
            <v>0</v>
          </cell>
          <cell r="T627">
            <v>0</v>
          </cell>
          <cell r="U627">
            <v>0</v>
          </cell>
          <cell r="V627">
            <v>0</v>
          </cell>
          <cell r="W627">
            <v>0</v>
          </cell>
          <cell r="X627">
            <v>0</v>
          </cell>
          <cell r="Y627">
            <v>0</v>
          </cell>
          <cell r="Z627">
            <v>0</v>
          </cell>
          <cell r="AA627">
            <v>0</v>
          </cell>
          <cell r="AC627">
            <v>0</v>
          </cell>
          <cell r="AD627">
            <v>0</v>
          </cell>
        </row>
        <row r="628">
          <cell r="B628">
            <v>15350</v>
          </cell>
          <cell r="C628" t="str">
            <v>SERVICE TAX INTERIM PAYABLE</v>
          </cell>
          <cell r="D628">
            <v>631888.32999999996</v>
          </cell>
          <cell r="E628">
            <v>-503506.98</v>
          </cell>
          <cell r="F628">
            <v>1864812.48</v>
          </cell>
          <cell r="G628">
            <v>-1874713.12</v>
          </cell>
          <cell r="H628">
            <v>3782.46</v>
          </cell>
          <cell r="I628">
            <v>0</v>
          </cell>
          <cell r="J628">
            <v>0</v>
          </cell>
          <cell r="K628">
            <v>0</v>
          </cell>
          <cell r="L628">
            <v>110070.56</v>
          </cell>
          <cell r="M628">
            <v>-1105989.29</v>
          </cell>
          <cell r="N628">
            <v>0</v>
          </cell>
          <cell r="O628">
            <v>0</v>
          </cell>
          <cell r="P628">
            <v>2500483.27</v>
          </cell>
          <cell r="Q628">
            <v>-2378220.1</v>
          </cell>
          <cell r="S628">
            <v>-867537.38000000012</v>
          </cell>
          <cell r="T628">
            <v>-6118.1800000001303</v>
          </cell>
          <cell r="U628">
            <v>-1329716.05</v>
          </cell>
          <cell r="V628">
            <v>-164576.51</v>
          </cell>
          <cell r="W628">
            <v>462178.66999999993</v>
          </cell>
          <cell r="X628">
            <v>158458.32999999987</v>
          </cell>
          <cell r="Y628">
            <v>-867537.38000000012</v>
          </cell>
          <cell r="Z628">
            <v>-6118.1800000001385</v>
          </cell>
          <cell r="AA628">
            <v>-873655.56000000029</v>
          </cell>
          <cell r="AC628">
            <v>15350</v>
          </cell>
          <cell r="AD628">
            <v>0</v>
          </cell>
        </row>
        <row r="629">
          <cell r="S629">
            <v>0</v>
          </cell>
          <cell r="T629">
            <v>0</v>
          </cell>
          <cell r="U629">
            <v>0</v>
          </cell>
          <cell r="V629">
            <v>0</v>
          </cell>
          <cell r="W629">
            <v>0</v>
          </cell>
          <cell r="X629">
            <v>0</v>
          </cell>
          <cell r="Y629">
            <v>0</v>
          </cell>
          <cell r="Z629">
            <v>0</v>
          </cell>
          <cell r="AA629">
            <v>0</v>
          </cell>
          <cell r="AC629">
            <v>0</v>
          </cell>
          <cell r="AD629">
            <v>0</v>
          </cell>
        </row>
        <row r="630">
          <cell r="B630">
            <v>15351</v>
          </cell>
          <cell r="C630" t="str">
            <v>SERVICE TAX INTERIM RECOVERABLE</v>
          </cell>
          <cell r="D630">
            <v>4266675.6100000003</v>
          </cell>
          <cell r="E630">
            <v>-3937473.49</v>
          </cell>
          <cell r="F630">
            <v>9437630.5</v>
          </cell>
          <cell r="G630">
            <v>-11706128.380000001</v>
          </cell>
          <cell r="H630">
            <v>2472</v>
          </cell>
          <cell r="I630">
            <v>0</v>
          </cell>
          <cell r="J630">
            <v>0</v>
          </cell>
          <cell r="K630">
            <v>0</v>
          </cell>
          <cell r="L630">
            <v>1606616.34</v>
          </cell>
          <cell r="M630">
            <v>-1794774.34</v>
          </cell>
          <cell r="N630">
            <v>0</v>
          </cell>
          <cell r="O630">
            <v>0</v>
          </cell>
          <cell r="P630">
            <v>13706778.109999999</v>
          </cell>
          <cell r="Q630">
            <v>-15643601.869999999</v>
          </cell>
          <cell r="S630">
            <v>141044.12000000011</v>
          </cell>
          <cell r="T630">
            <v>-2266025.8800000008</v>
          </cell>
          <cell r="U630">
            <v>635589.6</v>
          </cell>
          <cell r="V630">
            <v>-394940.45</v>
          </cell>
          <cell r="W630">
            <v>-494545.47999999986</v>
          </cell>
          <cell r="X630">
            <v>-1871085.4300000009</v>
          </cell>
          <cell r="Y630">
            <v>141044.12000000011</v>
          </cell>
          <cell r="Z630">
            <v>-2266025.8800000008</v>
          </cell>
          <cell r="AA630">
            <v>-2124981.7600000007</v>
          </cell>
          <cell r="AC630">
            <v>15351</v>
          </cell>
          <cell r="AD630">
            <v>0</v>
          </cell>
        </row>
        <row r="631">
          <cell r="S631">
            <v>0</v>
          </cell>
          <cell r="T631">
            <v>0</v>
          </cell>
          <cell r="U631">
            <v>0</v>
          </cell>
          <cell r="V631">
            <v>0</v>
          </cell>
          <cell r="W631">
            <v>0</v>
          </cell>
          <cell r="X631">
            <v>0</v>
          </cell>
          <cell r="Y631">
            <v>0</v>
          </cell>
          <cell r="Z631">
            <v>0</v>
          </cell>
          <cell r="AA631">
            <v>0</v>
          </cell>
          <cell r="AC631">
            <v>0</v>
          </cell>
          <cell r="AD631">
            <v>0</v>
          </cell>
        </row>
        <row r="632">
          <cell r="B632">
            <v>15356</v>
          </cell>
          <cell r="C632" t="str">
            <v>RECOVERABLE FROM EXCISE</v>
          </cell>
          <cell r="D632">
            <v>10368704</v>
          </cell>
          <cell r="E632">
            <v>-9826883</v>
          </cell>
          <cell r="F632">
            <v>9229512.8000000007</v>
          </cell>
          <cell r="G632">
            <v>-12043352.630000001</v>
          </cell>
          <cell r="H632">
            <v>0</v>
          </cell>
          <cell r="I632">
            <v>0</v>
          </cell>
          <cell r="J632">
            <v>0</v>
          </cell>
          <cell r="K632">
            <v>0</v>
          </cell>
          <cell r="L632">
            <v>0</v>
          </cell>
          <cell r="M632">
            <v>0</v>
          </cell>
          <cell r="N632">
            <v>0</v>
          </cell>
          <cell r="O632">
            <v>0</v>
          </cell>
          <cell r="P632">
            <v>19598216.800000001</v>
          </cell>
          <cell r="Q632">
            <v>-21870235.629999999</v>
          </cell>
          <cell r="S632">
            <v>541821</v>
          </cell>
          <cell r="T632">
            <v>-2813839.83</v>
          </cell>
          <cell r="U632">
            <v>541821</v>
          </cell>
          <cell r="V632">
            <v>-2813839.83</v>
          </cell>
          <cell r="W632">
            <v>0</v>
          </cell>
          <cell r="X632">
            <v>0</v>
          </cell>
          <cell r="Y632">
            <v>541821</v>
          </cell>
          <cell r="Z632">
            <v>-2813839.83</v>
          </cell>
          <cell r="AA632">
            <v>-2272018.83</v>
          </cell>
          <cell r="AC632">
            <v>15356</v>
          </cell>
          <cell r="AD632">
            <v>0</v>
          </cell>
        </row>
        <row r="633">
          <cell r="S633">
            <v>0</v>
          </cell>
          <cell r="T633">
            <v>0</v>
          </cell>
          <cell r="U633">
            <v>0</v>
          </cell>
          <cell r="V633">
            <v>0</v>
          </cell>
          <cell r="W633">
            <v>0</v>
          </cell>
          <cell r="X633">
            <v>0</v>
          </cell>
          <cell r="Y633">
            <v>0</v>
          </cell>
          <cell r="Z633">
            <v>0</v>
          </cell>
          <cell r="AA633">
            <v>0</v>
          </cell>
          <cell r="AC633">
            <v>0</v>
          </cell>
          <cell r="AD633">
            <v>0</v>
          </cell>
        </row>
        <row r="634">
          <cell r="B634">
            <v>15357</v>
          </cell>
          <cell r="C634" t="str">
            <v>DEFERRED EXCISE DUTY (CAPITAL GOODS)</v>
          </cell>
          <cell r="D634">
            <v>4631718.3499999996</v>
          </cell>
          <cell r="E634">
            <v>-4982.5</v>
          </cell>
          <cell r="F634">
            <v>2469572.67</v>
          </cell>
          <cell r="G634">
            <v>-752.37</v>
          </cell>
          <cell r="H634">
            <v>5364.21</v>
          </cell>
          <cell r="I634">
            <v>0</v>
          </cell>
          <cell r="J634">
            <v>0</v>
          </cell>
          <cell r="K634">
            <v>0</v>
          </cell>
          <cell r="L634">
            <v>0</v>
          </cell>
          <cell r="M634">
            <v>0</v>
          </cell>
          <cell r="N634">
            <v>0</v>
          </cell>
          <cell r="O634">
            <v>0</v>
          </cell>
          <cell r="P634">
            <v>7106655.2300000004</v>
          </cell>
          <cell r="Q634">
            <v>-5734.87</v>
          </cell>
          <cell r="S634">
            <v>4626735.8499999996</v>
          </cell>
          <cell r="T634">
            <v>2474184.5099999998</v>
          </cell>
          <cell r="U634">
            <v>847620.29</v>
          </cell>
          <cell r="V634">
            <v>1839407.29</v>
          </cell>
          <cell r="W634">
            <v>3779115.5599999996</v>
          </cell>
          <cell r="X634">
            <v>634777.21999999974</v>
          </cell>
          <cell r="Y634">
            <v>4626735.8499999996</v>
          </cell>
          <cell r="Z634">
            <v>2474184.5099999998</v>
          </cell>
          <cell r="AA634">
            <v>7100920.3599999994</v>
          </cell>
          <cell r="AC634">
            <v>15357</v>
          </cell>
          <cell r="AD634">
            <v>0</v>
          </cell>
        </row>
        <row r="635">
          <cell r="S635">
            <v>0</v>
          </cell>
          <cell r="T635">
            <v>0</v>
          </cell>
          <cell r="U635">
            <v>0</v>
          </cell>
          <cell r="V635">
            <v>0</v>
          </cell>
          <cell r="W635">
            <v>0</v>
          </cell>
          <cell r="X635">
            <v>0</v>
          </cell>
          <cell r="Y635">
            <v>0</v>
          </cell>
          <cell r="Z635">
            <v>0</v>
          </cell>
          <cell r="AA635">
            <v>0</v>
          </cell>
          <cell r="AC635">
            <v>0</v>
          </cell>
          <cell r="AD635">
            <v>0</v>
          </cell>
        </row>
        <row r="636">
          <cell r="B636">
            <v>15358</v>
          </cell>
          <cell r="C636" t="str">
            <v>DEFERRED EDU. CESS (CAPITAL GOODS)</v>
          </cell>
          <cell r="D636">
            <v>44652.86</v>
          </cell>
          <cell r="E636">
            <v>-99.9</v>
          </cell>
          <cell r="F636">
            <v>16662.13</v>
          </cell>
          <cell r="G636">
            <v>-11.5</v>
          </cell>
          <cell r="H636">
            <v>107.5</v>
          </cell>
          <cell r="I636">
            <v>0</v>
          </cell>
          <cell r="J636">
            <v>0</v>
          </cell>
          <cell r="K636">
            <v>0</v>
          </cell>
          <cell r="L636">
            <v>0</v>
          </cell>
          <cell r="M636">
            <v>0</v>
          </cell>
          <cell r="N636">
            <v>0</v>
          </cell>
          <cell r="O636">
            <v>0</v>
          </cell>
          <cell r="P636">
            <v>61422.49</v>
          </cell>
          <cell r="Q636">
            <v>-111.4</v>
          </cell>
          <cell r="S636">
            <v>44552.959999999999</v>
          </cell>
          <cell r="T636">
            <v>16758.13</v>
          </cell>
          <cell r="U636">
            <v>11676.29</v>
          </cell>
          <cell r="V636">
            <v>7189.19</v>
          </cell>
          <cell r="W636">
            <v>32876.67</v>
          </cell>
          <cell r="X636">
            <v>9568.9400000000023</v>
          </cell>
          <cell r="Y636">
            <v>44552.959999999999</v>
          </cell>
          <cell r="Z636">
            <v>16758.13</v>
          </cell>
          <cell r="AA636">
            <v>61311.09</v>
          </cell>
          <cell r="AC636">
            <v>15358</v>
          </cell>
          <cell r="AD636">
            <v>0</v>
          </cell>
        </row>
        <row r="637">
          <cell r="S637">
            <v>0</v>
          </cell>
          <cell r="T637">
            <v>0</v>
          </cell>
          <cell r="U637">
            <v>0</v>
          </cell>
          <cell r="V637">
            <v>0</v>
          </cell>
          <cell r="W637">
            <v>0</v>
          </cell>
          <cell r="X637">
            <v>0</v>
          </cell>
          <cell r="Y637">
            <v>0</v>
          </cell>
          <cell r="Z637">
            <v>0</v>
          </cell>
          <cell r="AA637">
            <v>0</v>
          </cell>
          <cell r="AC637">
            <v>0</v>
          </cell>
          <cell r="AD637">
            <v>0</v>
          </cell>
        </row>
        <row r="638">
          <cell r="B638">
            <v>15359</v>
          </cell>
          <cell r="C638" t="str">
            <v>DEFERRED HIGHER EDU CESS (CAPITAL GOODS)</v>
          </cell>
          <cell r="D638">
            <v>23614.52</v>
          </cell>
          <cell r="E638">
            <v>-49.76</v>
          </cell>
          <cell r="F638">
            <v>9555.75</v>
          </cell>
          <cell r="G638">
            <v>-6</v>
          </cell>
          <cell r="H638">
            <v>53.5</v>
          </cell>
          <cell r="I638">
            <v>0</v>
          </cell>
          <cell r="J638">
            <v>0</v>
          </cell>
          <cell r="K638">
            <v>0</v>
          </cell>
          <cell r="L638">
            <v>0</v>
          </cell>
          <cell r="M638">
            <v>0</v>
          </cell>
          <cell r="N638">
            <v>0</v>
          </cell>
          <cell r="O638">
            <v>0</v>
          </cell>
          <cell r="P638">
            <v>33223.769999999997</v>
          </cell>
          <cell r="Q638">
            <v>-55.76</v>
          </cell>
          <cell r="S638">
            <v>23564.760000000002</v>
          </cell>
          <cell r="T638">
            <v>9603.25</v>
          </cell>
          <cell r="U638">
            <v>5841.74</v>
          </cell>
          <cell r="V638">
            <v>4897.92</v>
          </cell>
          <cell r="W638">
            <v>17723.020000000004</v>
          </cell>
          <cell r="X638">
            <v>4705.33</v>
          </cell>
          <cell r="Y638">
            <v>23564.760000000002</v>
          </cell>
          <cell r="Z638">
            <v>9603.25</v>
          </cell>
          <cell r="AA638">
            <v>33168.01</v>
          </cell>
          <cell r="AC638">
            <v>15359</v>
          </cell>
          <cell r="AD638">
            <v>0</v>
          </cell>
        </row>
        <row r="639">
          <cell r="S639">
            <v>0</v>
          </cell>
          <cell r="T639">
            <v>0</v>
          </cell>
          <cell r="U639">
            <v>0</v>
          </cell>
          <cell r="V639">
            <v>0</v>
          </cell>
          <cell r="W639">
            <v>0</v>
          </cell>
          <cell r="X639">
            <v>0</v>
          </cell>
          <cell r="Y639">
            <v>0</v>
          </cell>
          <cell r="Z639">
            <v>0</v>
          </cell>
          <cell r="AA639">
            <v>0</v>
          </cell>
          <cell r="AC639">
            <v>0</v>
          </cell>
          <cell r="AD639">
            <v>0</v>
          </cell>
        </row>
        <row r="640">
          <cell r="B640">
            <v>15368</v>
          </cell>
          <cell r="C640" t="str">
            <v>BASIC EXCISE DUTY PAYABLE</v>
          </cell>
          <cell r="D640">
            <v>139203415.27000001</v>
          </cell>
          <cell r="E640">
            <v>-143019708.97999999</v>
          </cell>
          <cell r="F640">
            <v>246196189.52000001</v>
          </cell>
          <cell r="G640">
            <v>-262726897.69</v>
          </cell>
          <cell r="H640">
            <v>1378807.2</v>
          </cell>
          <cell r="I640">
            <v>-1366327.2</v>
          </cell>
          <cell r="J640">
            <v>105707</v>
          </cell>
          <cell r="K640">
            <v>-105707</v>
          </cell>
          <cell r="L640">
            <v>0</v>
          </cell>
          <cell r="M640">
            <v>0</v>
          </cell>
          <cell r="N640">
            <v>0</v>
          </cell>
          <cell r="O640">
            <v>0</v>
          </cell>
          <cell r="P640">
            <v>386884118.99000001</v>
          </cell>
          <cell r="Q640">
            <v>-407218640.87</v>
          </cell>
          <cell r="S640">
            <v>-3816293.7099999785</v>
          </cell>
          <cell r="T640">
            <v>-16518228.169999987</v>
          </cell>
          <cell r="U640">
            <v>-82373869.200000003</v>
          </cell>
          <cell r="V640">
            <v>-35210270.25</v>
          </cell>
          <cell r="W640">
            <v>78557575.490000024</v>
          </cell>
          <cell r="X640">
            <v>18692042.080000013</v>
          </cell>
          <cell r="Y640">
            <v>-3816293.7099999785</v>
          </cell>
          <cell r="Z640">
            <v>-16518228.169999987</v>
          </cell>
          <cell r="AA640">
            <v>-20334521.879999965</v>
          </cell>
          <cell r="AC640">
            <v>15368</v>
          </cell>
          <cell r="AD640">
            <v>0</v>
          </cell>
        </row>
        <row r="641">
          <cell r="S641">
            <v>0</v>
          </cell>
          <cell r="T641">
            <v>0</v>
          </cell>
          <cell r="U641">
            <v>0</v>
          </cell>
          <cell r="V641">
            <v>0</v>
          </cell>
          <cell r="W641">
            <v>0</v>
          </cell>
          <cell r="X641">
            <v>0</v>
          </cell>
          <cell r="Y641">
            <v>0</v>
          </cell>
          <cell r="Z641">
            <v>0</v>
          </cell>
          <cell r="AA641">
            <v>0</v>
          </cell>
          <cell r="AC641">
            <v>0</v>
          </cell>
          <cell r="AD641">
            <v>0</v>
          </cell>
        </row>
        <row r="642">
          <cell r="B642">
            <v>15369</v>
          </cell>
          <cell r="C642" t="str">
            <v>EDUCATION CESS PAYABLE</v>
          </cell>
          <cell r="D642">
            <v>2784310.59</v>
          </cell>
          <cell r="E642">
            <v>-2860644.11</v>
          </cell>
          <cell r="F642">
            <v>4815123.54</v>
          </cell>
          <cell r="G642">
            <v>-5135311.24</v>
          </cell>
          <cell r="H642">
            <v>27586</v>
          </cell>
          <cell r="I642">
            <v>-27336</v>
          </cell>
          <cell r="J642">
            <v>2114</v>
          </cell>
          <cell r="K642">
            <v>-2114</v>
          </cell>
          <cell r="L642">
            <v>0</v>
          </cell>
          <cell r="M642">
            <v>0</v>
          </cell>
          <cell r="N642">
            <v>0</v>
          </cell>
          <cell r="O642">
            <v>0</v>
          </cell>
          <cell r="P642">
            <v>7629134.1299999999</v>
          </cell>
          <cell r="Q642">
            <v>-8025405.3499999996</v>
          </cell>
          <cell r="S642">
            <v>-76333.520000000019</v>
          </cell>
          <cell r="T642">
            <v>-319937.70000000019</v>
          </cell>
          <cell r="U642">
            <v>-1647514.4</v>
          </cell>
          <cell r="V642">
            <v>-686321.7</v>
          </cell>
          <cell r="W642">
            <v>1571180.88</v>
          </cell>
          <cell r="X642">
            <v>366383.99999999977</v>
          </cell>
          <cell r="Y642">
            <v>-76333.520000000019</v>
          </cell>
          <cell r="Z642">
            <v>-319937.70000000019</v>
          </cell>
          <cell r="AA642">
            <v>-396271.2200000002</v>
          </cell>
          <cell r="AC642">
            <v>15369</v>
          </cell>
          <cell r="AD642">
            <v>0</v>
          </cell>
        </row>
        <row r="643">
          <cell r="S643">
            <v>0</v>
          </cell>
          <cell r="T643">
            <v>0</v>
          </cell>
          <cell r="U643">
            <v>0</v>
          </cell>
          <cell r="V643">
            <v>0</v>
          </cell>
          <cell r="W643">
            <v>0</v>
          </cell>
          <cell r="X643">
            <v>0</v>
          </cell>
          <cell r="Y643">
            <v>0</v>
          </cell>
          <cell r="Z643">
            <v>0</v>
          </cell>
          <cell r="AA643">
            <v>0</v>
          </cell>
          <cell r="AC643">
            <v>0</v>
          </cell>
          <cell r="AD643">
            <v>0</v>
          </cell>
        </row>
        <row r="644">
          <cell r="B644">
            <v>15370</v>
          </cell>
          <cell r="C644" t="str">
            <v>HIGHER EDUCATION CESS PAYABLE</v>
          </cell>
          <cell r="D644">
            <v>1392067.73</v>
          </cell>
          <cell r="E644">
            <v>-1430226.5</v>
          </cell>
          <cell r="F644">
            <v>2407554.4</v>
          </cell>
          <cell r="G644">
            <v>-2567663.2999999998</v>
          </cell>
          <cell r="H644">
            <v>13783.7</v>
          </cell>
          <cell r="I644">
            <v>-13658.7</v>
          </cell>
          <cell r="J644">
            <v>1057</v>
          </cell>
          <cell r="K644">
            <v>-1057</v>
          </cell>
          <cell r="L644">
            <v>0</v>
          </cell>
          <cell r="M644">
            <v>0</v>
          </cell>
          <cell r="N644">
            <v>0</v>
          </cell>
          <cell r="O644">
            <v>0</v>
          </cell>
          <cell r="P644">
            <v>3814462.83</v>
          </cell>
          <cell r="Q644">
            <v>-4012605.5</v>
          </cell>
          <cell r="S644">
            <v>-38158.770000000019</v>
          </cell>
          <cell r="T644">
            <v>-159983.89999999991</v>
          </cell>
          <cell r="U644">
            <v>-823749.4</v>
          </cell>
          <cell r="V644">
            <v>-343184.9</v>
          </cell>
          <cell r="W644">
            <v>785590.63</v>
          </cell>
          <cell r="X644">
            <v>183201.00000000012</v>
          </cell>
          <cell r="Y644">
            <v>-38158.770000000019</v>
          </cell>
          <cell r="Z644">
            <v>-159983.89999999991</v>
          </cell>
          <cell r="AA644">
            <v>-198142.66999999993</v>
          </cell>
          <cell r="AC644">
            <v>15370</v>
          </cell>
          <cell r="AD644">
            <v>0</v>
          </cell>
        </row>
        <row r="645">
          <cell r="S645">
            <v>0</v>
          </cell>
          <cell r="T645">
            <v>0</v>
          </cell>
          <cell r="U645">
            <v>0</v>
          </cell>
          <cell r="V645">
            <v>0</v>
          </cell>
          <cell r="W645">
            <v>0</v>
          </cell>
          <cell r="X645">
            <v>0</v>
          </cell>
          <cell r="Y645">
            <v>0</v>
          </cell>
          <cell r="Z645">
            <v>0</v>
          </cell>
          <cell r="AA645">
            <v>0</v>
          </cell>
          <cell r="AC645">
            <v>0</v>
          </cell>
          <cell r="AD645">
            <v>0</v>
          </cell>
        </row>
        <row r="646">
          <cell r="B646">
            <v>15371</v>
          </cell>
          <cell r="C646" t="str">
            <v>RECOVERABLE FROM EXCISE (TILL THE TIME MATL IS WITH PROCESSO</v>
          </cell>
          <cell r="D646">
            <v>27203582.16</v>
          </cell>
          <cell r="E646">
            <v>-25938200.27</v>
          </cell>
          <cell r="F646">
            <v>74293</v>
          </cell>
          <cell r="G646">
            <v>0</v>
          </cell>
          <cell r="H646">
            <v>0</v>
          </cell>
          <cell r="I646">
            <v>0</v>
          </cell>
          <cell r="J646">
            <v>0</v>
          </cell>
          <cell r="K646">
            <v>0</v>
          </cell>
          <cell r="L646">
            <v>0</v>
          </cell>
          <cell r="M646">
            <v>0</v>
          </cell>
          <cell r="N646">
            <v>0</v>
          </cell>
          <cell r="O646">
            <v>0</v>
          </cell>
          <cell r="P646">
            <v>27277875.16</v>
          </cell>
          <cell r="Q646">
            <v>-25938200.27</v>
          </cell>
          <cell r="S646">
            <v>1265381.8900000006</v>
          </cell>
          <cell r="T646">
            <v>74293</v>
          </cell>
          <cell r="U646">
            <v>1218777.55</v>
          </cell>
          <cell r="V646">
            <v>74293</v>
          </cell>
          <cell r="W646">
            <v>46604.340000000549</v>
          </cell>
          <cell r="X646">
            <v>0</v>
          </cell>
          <cell r="Y646">
            <v>1265381.8900000006</v>
          </cell>
          <cell r="Z646">
            <v>74293</v>
          </cell>
          <cell r="AA646">
            <v>1339674.8900000006</v>
          </cell>
          <cell r="AC646">
            <v>15371</v>
          </cell>
          <cell r="AD646">
            <v>0</v>
          </cell>
        </row>
        <row r="647">
          <cell r="S647">
            <v>0</v>
          </cell>
          <cell r="T647">
            <v>0</v>
          </cell>
          <cell r="U647">
            <v>0</v>
          </cell>
          <cell r="V647">
            <v>0</v>
          </cell>
          <cell r="W647">
            <v>0</v>
          </cell>
          <cell r="X647">
            <v>0</v>
          </cell>
          <cell r="Y647">
            <v>0</v>
          </cell>
          <cell r="Z647">
            <v>0</v>
          </cell>
          <cell r="AA647">
            <v>0</v>
          </cell>
          <cell r="AC647">
            <v>0</v>
          </cell>
          <cell r="AD647">
            <v>0</v>
          </cell>
        </row>
        <row r="648">
          <cell r="B648">
            <v>15381</v>
          </cell>
          <cell r="C648" t="str">
            <v>RECOVERABLE FROM SALES TAX A/C</v>
          </cell>
          <cell r="D648">
            <v>7003735</v>
          </cell>
          <cell r="E648">
            <v>0</v>
          </cell>
          <cell r="F648">
            <v>0</v>
          </cell>
          <cell r="G648">
            <v>0</v>
          </cell>
          <cell r="H648">
            <v>0</v>
          </cell>
          <cell r="I648">
            <v>0</v>
          </cell>
          <cell r="J648">
            <v>0</v>
          </cell>
          <cell r="K648">
            <v>0</v>
          </cell>
          <cell r="L648">
            <v>0</v>
          </cell>
          <cell r="M648">
            <v>0</v>
          </cell>
          <cell r="N648">
            <v>0</v>
          </cell>
          <cell r="O648">
            <v>0</v>
          </cell>
          <cell r="P648">
            <v>7003735</v>
          </cell>
          <cell r="Q648">
            <v>0</v>
          </cell>
          <cell r="S648">
            <v>7003735</v>
          </cell>
          <cell r="T648">
            <v>0</v>
          </cell>
          <cell r="U648">
            <v>5003735</v>
          </cell>
          <cell r="V648">
            <v>0</v>
          </cell>
          <cell r="W648">
            <v>2000000</v>
          </cell>
          <cell r="X648">
            <v>0</v>
          </cell>
          <cell r="Y648">
            <v>7003735</v>
          </cell>
          <cell r="Z648">
            <v>0</v>
          </cell>
          <cell r="AA648">
            <v>7003735</v>
          </cell>
          <cell r="AC648">
            <v>15381</v>
          </cell>
          <cell r="AD648">
            <v>0</v>
          </cell>
        </row>
        <row r="649">
          <cell r="S649">
            <v>0</v>
          </cell>
          <cell r="T649">
            <v>0</v>
          </cell>
          <cell r="U649">
            <v>0</v>
          </cell>
          <cell r="V649">
            <v>0</v>
          </cell>
          <cell r="W649">
            <v>0</v>
          </cell>
          <cell r="X649">
            <v>0</v>
          </cell>
          <cell r="Y649">
            <v>0</v>
          </cell>
          <cell r="Z649">
            <v>0</v>
          </cell>
          <cell r="AA649">
            <v>0</v>
          </cell>
          <cell r="AC649">
            <v>0</v>
          </cell>
          <cell r="AD649">
            <v>0</v>
          </cell>
        </row>
        <row r="650">
          <cell r="B650">
            <v>15398</v>
          </cell>
          <cell r="C650" t="str">
            <v>ADVANCE INCOME TAX</v>
          </cell>
          <cell r="D650">
            <v>8004350</v>
          </cell>
          <cell r="E650">
            <v>-22963</v>
          </cell>
          <cell r="F650">
            <v>191392</v>
          </cell>
          <cell r="G650">
            <v>-88546</v>
          </cell>
          <cell r="H650">
            <v>0</v>
          </cell>
          <cell r="I650">
            <v>0</v>
          </cell>
          <cell r="J650">
            <v>0</v>
          </cell>
          <cell r="K650">
            <v>0</v>
          </cell>
          <cell r="L650">
            <v>168702885.09</v>
          </cell>
          <cell r="M650">
            <v>-146029641</v>
          </cell>
          <cell r="N650">
            <v>0</v>
          </cell>
          <cell r="O650">
            <v>0</v>
          </cell>
          <cell r="P650">
            <v>8195742</v>
          </cell>
          <cell r="Q650">
            <v>-111509</v>
          </cell>
          <cell r="S650">
            <v>30654631.090000004</v>
          </cell>
          <cell r="T650">
            <v>102846</v>
          </cell>
          <cell r="U650">
            <v>22635321.09</v>
          </cell>
          <cell r="V650">
            <v>88546</v>
          </cell>
          <cell r="W650">
            <v>8019310.0000000037</v>
          </cell>
          <cell r="X650">
            <v>14300</v>
          </cell>
          <cell r="Y650">
            <v>30654631.090000004</v>
          </cell>
          <cell r="Z650">
            <v>102846</v>
          </cell>
          <cell r="AA650">
            <v>30757477.090000004</v>
          </cell>
          <cell r="AC650">
            <v>15398</v>
          </cell>
          <cell r="AD650">
            <v>0</v>
          </cell>
        </row>
        <row r="651">
          <cell r="S651">
            <v>0</v>
          </cell>
          <cell r="T651">
            <v>0</v>
          </cell>
          <cell r="U651">
            <v>0</v>
          </cell>
          <cell r="V651">
            <v>0</v>
          </cell>
          <cell r="W651">
            <v>0</v>
          </cell>
          <cell r="X651">
            <v>0</v>
          </cell>
          <cell r="Y651">
            <v>0</v>
          </cell>
          <cell r="Z651">
            <v>0</v>
          </cell>
          <cell r="AA651">
            <v>0</v>
          </cell>
          <cell r="AC651">
            <v>0</v>
          </cell>
          <cell r="AD651">
            <v>0</v>
          </cell>
        </row>
        <row r="652">
          <cell r="B652">
            <v>15427</v>
          </cell>
          <cell r="C652" t="str">
            <v>SUNDRY CREDITORS DOMESTIC</v>
          </cell>
          <cell r="D652">
            <v>1057778684.04</v>
          </cell>
          <cell r="E652">
            <v>-1122394738.51</v>
          </cell>
          <cell r="F652">
            <v>702472448.32000005</v>
          </cell>
          <cell r="G652">
            <v>-727928628.30999994</v>
          </cell>
          <cell r="H652">
            <v>20558119.370000001</v>
          </cell>
          <cell r="I652">
            <v>-20590911.539999999</v>
          </cell>
          <cell r="J652">
            <v>993206.5</v>
          </cell>
          <cell r="K652">
            <v>-632445.5</v>
          </cell>
          <cell r="L652">
            <v>10493345.869999999</v>
          </cell>
          <cell r="M652">
            <v>-11629531.220000001</v>
          </cell>
          <cell r="N652">
            <v>0</v>
          </cell>
          <cell r="O652">
            <v>-1056352.77</v>
          </cell>
          <cell r="P652">
            <v>1781802458.23</v>
          </cell>
          <cell r="Q652">
            <v>-1872603076.6300001</v>
          </cell>
          <cell r="S652">
            <v>-66808592.590000033</v>
          </cell>
          <cell r="T652">
            <v>-25128211.159999888</v>
          </cell>
          <cell r="U652">
            <v>-47661789.469999999</v>
          </cell>
          <cell r="V652">
            <v>-27136917.510000002</v>
          </cell>
          <cell r="W652">
            <v>-19146803.120000035</v>
          </cell>
          <cell r="X652">
            <v>2008706.3500001132</v>
          </cell>
          <cell r="Y652">
            <v>-66808592.590000033</v>
          </cell>
          <cell r="Z652">
            <v>-25128211.159999888</v>
          </cell>
          <cell r="AA652">
            <v>-91936803.749999925</v>
          </cell>
          <cell r="AC652">
            <v>15427</v>
          </cell>
          <cell r="AD652">
            <v>0</v>
          </cell>
        </row>
        <row r="653">
          <cell r="S653">
            <v>0</v>
          </cell>
          <cell r="T653">
            <v>0</v>
          </cell>
          <cell r="U653">
            <v>0</v>
          </cell>
          <cell r="V653">
            <v>0</v>
          </cell>
          <cell r="W653">
            <v>0</v>
          </cell>
          <cell r="X653">
            <v>0</v>
          </cell>
          <cell r="Y653">
            <v>0</v>
          </cell>
          <cell r="Z653">
            <v>0</v>
          </cell>
          <cell r="AA653">
            <v>0</v>
          </cell>
          <cell r="AC653">
            <v>0</v>
          </cell>
          <cell r="AD653">
            <v>0</v>
          </cell>
        </row>
        <row r="654">
          <cell r="B654">
            <v>15428</v>
          </cell>
          <cell r="C654" t="str">
            <v>SUNDRY CREDITORS FOREIGN</v>
          </cell>
          <cell r="D654">
            <v>304051302.04000002</v>
          </cell>
          <cell r="E654">
            <v>-329785478.31999999</v>
          </cell>
          <cell r="F654">
            <v>1717076924.52</v>
          </cell>
          <cell r="G654">
            <v>-1819347054.4200001</v>
          </cell>
          <cell r="H654">
            <v>16752146.4</v>
          </cell>
          <cell r="I654">
            <v>-16752146.4</v>
          </cell>
          <cell r="J654">
            <v>0</v>
          </cell>
          <cell r="K654">
            <v>0</v>
          </cell>
          <cell r="L654">
            <v>0</v>
          </cell>
          <cell r="M654">
            <v>-685760.68</v>
          </cell>
          <cell r="N654">
            <v>139330444.31999999</v>
          </cell>
          <cell r="O654">
            <v>-139330444.31999999</v>
          </cell>
          <cell r="P654">
            <v>2177210817.2800002</v>
          </cell>
          <cell r="Q654">
            <v>-2305215123.46</v>
          </cell>
          <cell r="S654">
            <v>-26419936.959999979</v>
          </cell>
          <cell r="T654">
            <v>-102270129.9000001</v>
          </cell>
          <cell r="U654">
            <v>-23666906.75</v>
          </cell>
          <cell r="V654">
            <v>-103653649.8</v>
          </cell>
          <cell r="W654">
            <v>-2753030.2099999785</v>
          </cell>
          <cell r="X654">
            <v>1383519.8999999017</v>
          </cell>
          <cell r="Y654">
            <v>-26419936.959999979</v>
          </cell>
          <cell r="Z654">
            <v>-102270129.9000001</v>
          </cell>
          <cell r="AA654">
            <v>-128690066.86000007</v>
          </cell>
          <cell r="AC654">
            <v>15428</v>
          </cell>
          <cell r="AD654">
            <v>0</v>
          </cell>
        </row>
        <row r="655">
          <cell r="S655">
            <v>0</v>
          </cell>
          <cell r="T655">
            <v>0</v>
          </cell>
          <cell r="U655">
            <v>0</v>
          </cell>
          <cell r="V655">
            <v>0</v>
          </cell>
          <cell r="W655">
            <v>0</v>
          </cell>
          <cell r="X655">
            <v>0</v>
          </cell>
          <cell r="Y655">
            <v>0</v>
          </cell>
          <cell r="Z655">
            <v>0</v>
          </cell>
          <cell r="AA655">
            <v>0</v>
          </cell>
          <cell r="AC655">
            <v>0</v>
          </cell>
          <cell r="AD655">
            <v>0</v>
          </cell>
        </row>
        <row r="656">
          <cell r="B656">
            <v>15429</v>
          </cell>
          <cell r="C656" t="str">
            <v>PROVISION FOR PENDING GRN (PURC PACK SLIP OFFSET NET W15078)</v>
          </cell>
          <cell r="D656">
            <v>792681070.59000003</v>
          </cell>
          <cell r="E656">
            <v>-795020388.83000004</v>
          </cell>
          <cell r="F656">
            <v>23559613227.720001</v>
          </cell>
          <cell r="G656">
            <v>-23634781770.009998</v>
          </cell>
          <cell r="H656">
            <v>35514003.289999999</v>
          </cell>
          <cell r="I656">
            <v>-35514003.289999999</v>
          </cell>
          <cell r="J656">
            <v>169538.74</v>
          </cell>
          <cell r="K656">
            <v>-169538.74</v>
          </cell>
          <cell r="L656">
            <v>235743.96</v>
          </cell>
          <cell r="M656">
            <v>-235743.96</v>
          </cell>
          <cell r="N656">
            <v>0</v>
          </cell>
          <cell r="O656">
            <v>0</v>
          </cell>
          <cell r="P656">
            <v>24387977840.34</v>
          </cell>
          <cell r="Q656">
            <v>-24465485700.869999</v>
          </cell>
          <cell r="S656">
            <v>-2339318.2400000095</v>
          </cell>
          <cell r="T656">
            <v>-75168542.289997101</v>
          </cell>
          <cell r="U656">
            <v>-299870.06</v>
          </cell>
          <cell r="V656">
            <v>-22692</v>
          </cell>
          <cell r="W656">
            <v>-2039448.1800000095</v>
          </cell>
          <cell r="X656">
            <v>-75145850.289997101</v>
          </cell>
          <cell r="Y656">
            <v>-2339318.2400000095</v>
          </cell>
          <cell r="Z656">
            <v>-75168542.289997101</v>
          </cell>
          <cell r="AA656">
            <v>-77507860.52999711</v>
          </cell>
          <cell r="AC656">
            <v>15429</v>
          </cell>
          <cell r="AD656">
            <v>0</v>
          </cell>
        </row>
        <row r="657">
          <cell r="S657">
            <v>0</v>
          </cell>
          <cell r="T657">
            <v>0</v>
          </cell>
          <cell r="U657">
            <v>0</v>
          </cell>
          <cell r="V657">
            <v>0</v>
          </cell>
          <cell r="W657">
            <v>0</v>
          </cell>
          <cell r="X657">
            <v>0</v>
          </cell>
          <cell r="Y657">
            <v>0</v>
          </cell>
          <cell r="Z657">
            <v>0</v>
          </cell>
          <cell r="AA657">
            <v>0</v>
          </cell>
          <cell r="AC657">
            <v>0</v>
          </cell>
          <cell r="AD657">
            <v>0</v>
          </cell>
        </row>
        <row r="658">
          <cell r="B658">
            <v>15433</v>
          </cell>
          <cell r="C658" t="str">
            <v>STALE CHEQUE A/C</v>
          </cell>
          <cell r="D658">
            <v>87420</v>
          </cell>
          <cell r="E658">
            <v>-513354.8</v>
          </cell>
          <cell r="F658">
            <v>53540</v>
          </cell>
          <cell r="G658">
            <v>-527513.5</v>
          </cell>
          <cell r="H658">
            <v>0</v>
          </cell>
          <cell r="I658">
            <v>0</v>
          </cell>
          <cell r="J658">
            <v>0</v>
          </cell>
          <cell r="K658">
            <v>0</v>
          </cell>
          <cell r="L658">
            <v>0</v>
          </cell>
          <cell r="M658">
            <v>0</v>
          </cell>
          <cell r="N658">
            <v>0</v>
          </cell>
          <cell r="O658">
            <v>0</v>
          </cell>
          <cell r="P658">
            <v>140960</v>
          </cell>
          <cell r="Q658">
            <v>-1040868.3</v>
          </cell>
          <cell r="S658">
            <v>-425934.8</v>
          </cell>
          <cell r="T658">
            <v>-473973.5</v>
          </cell>
          <cell r="U658">
            <v>-462623.8</v>
          </cell>
          <cell r="V658">
            <v>-473973.5</v>
          </cell>
          <cell r="W658">
            <v>36689</v>
          </cell>
          <cell r="X658">
            <v>0</v>
          </cell>
          <cell r="Y658">
            <v>-425934.8</v>
          </cell>
          <cell r="Z658">
            <v>-473973.5</v>
          </cell>
          <cell r="AA658">
            <v>-899908.3</v>
          </cell>
          <cell r="AC658">
            <v>15433</v>
          </cell>
          <cell r="AD658">
            <v>0</v>
          </cell>
        </row>
        <row r="659">
          <cell r="S659">
            <v>0</v>
          </cell>
          <cell r="T659">
            <v>0</v>
          </cell>
          <cell r="U659">
            <v>0</v>
          </cell>
          <cell r="V659">
            <v>0</v>
          </cell>
          <cell r="W659">
            <v>0</v>
          </cell>
          <cell r="X659">
            <v>0</v>
          </cell>
          <cell r="Y659">
            <v>0</v>
          </cell>
          <cell r="Z659">
            <v>0</v>
          </cell>
          <cell r="AA659">
            <v>0</v>
          </cell>
          <cell r="AC659">
            <v>0</v>
          </cell>
          <cell r="AD659">
            <v>0</v>
          </cell>
        </row>
        <row r="660">
          <cell r="B660">
            <v>15434</v>
          </cell>
          <cell r="C660" t="str">
            <v>CREDITORS FOR EXPENSES (SERVICE PROVIDERS)</v>
          </cell>
          <cell r="D660">
            <v>41130069.030000001</v>
          </cell>
          <cell r="E660">
            <v>-41497520.090000004</v>
          </cell>
          <cell r="F660">
            <v>68456966.099999994</v>
          </cell>
          <cell r="G660">
            <v>-75116184.540000007</v>
          </cell>
          <cell r="H660">
            <v>0</v>
          </cell>
          <cell r="I660">
            <v>-18000</v>
          </cell>
          <cell r="J660">
            <v>0</v>
          </cell>
          <cell r="K660">
            <v>0</v>
          </cell>
          <cell r="L660">
            <v>21364900.609999999</v>
          </cell>
          <cell r="M660">
            <v>-21251883.850000001</v>
          </cell>
          <cell r="N660">
            <v>0</v>
          </cell>
          <cell r="O660">
            <v>0</v>
          </cell>
          <cell r="P660">
            <v>109587035.13</v>
          </cell>
          <cell r="Q660">
            <v>-116631704.63</v>
          </cell>
          <cell r="S660">
            <v>-254434.30000000447</v>
          </cell>
          <cell r="T660">
            <v>-6677218.4400000125</v>
          </cell>
          <cell r="U660">
            <v>-4118781.98</v>
          </cell>
          <cell r="V660">
            <v>-8440082.3100000005</v>
          </cell>
          <cell r="W660">
            <v>3864347.6799999955</v>
          </cell>
          <cell r="X660">
            <v>1762863.869999988</v>
          </cell>
          <cell r="Y660">
            <v>-254434.30000000447</v>
          </cell>
          <cell r="Z660">
            <v>-6677218.4400000125</v>
          </cell>
          <cell r="AA660">
            <v>-6931652.740000017</v>
          </cell>
          <cell r="AC660">
            <v>15434</v>
          </cell>
          <cell r="AD660">
            <v>0</v>
          </cell>
        </row>
        <row r="661">
          <cell r="S661">
            <v>0</v>
          </cell>
          <cell r="T661">
            <v>0</v>
          </cell>
          <cell r="U661">
            <v>0</v>
          </cell>
          <cell r="V661">
            <v>0</v>
          </cell>
          <cell r="W661">
            <v>0</v>
          </cell>
          <cell r="X661">
            <v>0</v>
          </cell>
          <cell r="Y661">
            <v>0</v>
          </cell>
          <cell r="Z661">
            <v>0</v>
          </cell>
          <cell r="AA661">
            <v>0</v>
          </cell>
          <cell r="AC661">
            <v>0</v>
          </cell>
          <cell r="AD661">
            <v>0</v>
          </cell>
        </row>
        <row r="662">
          <cell r="B662">
            <v>15435</v>
          </cell>
          <cell r="C662" t="str">
            <v>BL - LIABILITY TRAVEL</v>
          </cell>
          <cell r="D662">
            <v>55018</v>
          </cell>
          <cell r="E662">
            <v>-637888.13</v>
          </cell>
          <cell r="F662">
            <v>55158</v>
          </cell>
          <cell r="G662">
            <v>-152442</v>
          </cell>
          <cell r="H662">
            <v>0</v>
          </cell>
          <cell r="I662">
            <v>0</v>
          </cell>
          <cell r="J662">
            <v>0</v>
          </cell>
          <cell r="K662">
            <v>0</v>
          </cell>
          <cell r="L662">
            <v>1393859</v>
          </cell>
          <cell r="M662">
            <v>-2033242</v>
          </cell>
          <cell r="N662">
            <v>0</v>
          </cell>
          <cell r="O662">
            <v>0</v>
          </cell>
          <cell r="P662">
            <v>110176</v>
          </cell>
          <cell r="Q662">
            <v>-790330.13</v>
          </cell>
          <cell r="S662">
            <v>-1222253.1299999999</v>
          </cell>
          <cell r="T662">
            <v>-97284</v>
          </cell>
          <cell r="U662">
            <v>-2616112.13</v>
          </cell>
          <cell r="V662">
            <v>-97284</v>
          </cell>
          <cell r="W662">
            <v>1393859</v>
          </cell>
          <cell r="X662">
            <v>0</v>
          </cell>
          <cell r="Y662">
            <v>-1222253.1299999999</v>
          </cell>
          <cell r="Z662">
            <v>-97284</v>
          </cell>
          <cell r="AA662">
            <v>-1319537.1299999999</v>
          </cell>
          <cell r="AC662">
            <v>15435</v>
          </cell>
          <cell r="AD662">
            <v>0</v>
          </cell>
        </row>
        <row r="663">
          <cell r="S663">
            <v>0</v>
          </cell>
          <cell r="T663">
            <v>0</v>
          </cell>
          <cell r="U663">
            <v>0</v>
          </cell>
          <cell r="V663">
            <v>0</v>
          </cell>
          <cell r="W663">
            <v>0</v>
          </cell>
          <cell r="X663">
            <v>0</v>
          </cell>
          <cell r="Y663">
            <v>0</v>
          </cell>
          <cell r="Z663">
            <v>0</v>
          </cell>
          <cell r="AA663">
            <v>0</v>
          </cell>
          <cell r="AC663">
            <v>0</v>
          </cell>
          <cell r="AD663">
            <v>0</v>
          </cell>
        </row>
        <row r="664">
          <cell r="B664">
            <v>15436</v>
          </cell>
          <cell r="C664" t="str">
            <v>LIABILITY FOR EXPENSES (2010-11)</v>
          </cell>
          <cell r="D664">
            <v>222484</v>
          </cell>
          <cell r="E664">
            <v>-1428921.26</v>
          </cell>
          <cell r="F664">
            <v>446173.03</v>
          </cell>
          <cell r="G664">
            <v>-1958015</v>
          </cell>
          <cell r="H664">
            <v>0</v>
          </cell>
          <cell r="I664">
            <v>0</v>
          </cell>
          <cell r="J664">
            <v>0</v>
          </cell>
          <cell r="K664">
            <v>0</v>
          </cell>
          <cell r="L664">
            <v>0</v>
          </cell>
          <cell r="M664">
            <v>-66316</v>
          </cell>
          <cell r="N664">
            <v>0</v>
          </cell>
          <cell r="O664">
            <v>0</v>
          </cell>
          <cell r="P664">
            <v>668657.03</v>
          </cell>
          <cell r="Q664">
            <v>-3386936.26</v>
          </cell>
          <cell r="S664">
            <v>-1272753.26</v>
          </cell>
          <cell r="T664">
            <v>-1511841.97</v>
          </cell>
          <cell r="U664">
            <v>-1272753.26</v>
          </cell>
          <cell r="V664">
            <v>-1827177.97</v>
          </cell>
          <cell r="W664">
            <v>0</v>
          </cell>
          <cell r="X664">
            <v>315336</v>
          </cell>
          <cell r="Y664">
            <v>-1272753.26</v>
          </cell>
          <cell r="Z664">
            <v>-1511841.97</v>
          </cell>
          <cell r="AA664">
            <v>-2784595.23</v>
          </cell>
          <cell r="AC664">
            <v>15436</v>
          </cell>
          <cell r="AD664">
            <v>0</v>
          </cell>
        </row>
        <row r="665">
          <cell r="S665">
            <v>0</v>
          </cell>
          <cell r="T665">
            <v>0</v>
          </cell>
          <cell r="U665">
            <v>0</v>
          </cell>
          <cell r="V665">
            <v>0</v>
          </cell>
          <cell r="W665">
            <v>0</v>
          </cell>
          <cell r="X665">
            <v>0</v>
          </cell>
          <cell r="Y665">
            <v>0</v>
          </cell>
          <cell r="Z665">
            <v>0</v>
          </cell>
          <cell r="AA665">
            <v>0</v>
          </cell>
          <cell r="AC665">
            <v>0</v>
          </cell>
          <cell r="AD665">
            <v>0</v>
          </cell>
        </row>
        <row r="666">
          <cell r="B666">
            <v>15439</v>
          </cell>
          <cell r="C666" t="str">
            <v>SHARE APPLN MONEY BOI</v>
          </cell>
          <cell r="D666">
            <v>0</v>
          </cell>
          <cell r="E666">
            <v>0</v>
          </cell>
          <cell r="F666">
            <v>0</v>
          </cell>
          <cell r="G666">
            <v>0</v>
          </cell>
          <cell r="H666">
            <v>0</v>
          </cell>
          <cell r="I666">
            <v>0</v>
          </cell>
          <cell r="J666">
            <v>0</v>
          </cell>
          <cell r="K666">
            <v>0</v>
          </cell>
          <cell r="L666">
            <v>0</v>
          </cell>
          <cell r="M666">
            <v>-1550</v>
          </cell>
          <cell r="N666">
            <v>0</v>
          </cell>
          <cell r="O666">
            <v>0</v>
          </cell>
          <cell r="P666">
            <v>0</v>
          </cell>
          <cell r="Q666">
            <v>0</v>
          </cell>
          <cell r="S666">
            <v>-1550</v>
          </cell>
          <cell r="T666">
            <v>0</v>
          </cell>
          <cell r="U666">
            <v>-1550</v>
          </cell>
          <cell r="V666">
            <v>0</v>
          </cell>
          <cell r="W666">
            <v>0</v>
          </cell>
          <cell r="X666">
            <v>0</v>
          </cell>
          <cell r="Y666">
            <v>-1550</v>
          </cell>
          <cell r="Z666">
            <v>0</v>
          </cell>
          <cell r="AA666">
            <v>-1550</v>
          </cell>
          <cell r="AC666">
            <v>15439</v>
          </cell>
          <cell r="AD666">
            <v>0</v>
          </cell>
        </row>
        <row r="667">
          <cell r="S667">
            <v>0</v>
          </cell>
          <cell r="T667">
            <v>0</v>
          </cell>
          <cell r="U667">
            <v>0</v>
          </cell>
          <cell r="V667">
            <v>0</v>
          </cell>
          <cell r="W667">
            <v>0</v>
          </cell>
          <cell r="X667">
            <v>0</v>
          </cell>
          <cell r="Y667">
            <v>0</v>
          </cell>
          <cell r="Z667">
            <v>0</v>
          </cell>
          <cell r="AA667">
            <v>0</v>
          </cell>
          <cell r="AC667">
            <v>0</v>
          </cell>
          <cell r="AD667">
            <v>0</v>
          </cell>
        </row>
        <row r="668">
          <cell r="E668" t="str">
            <v>SDCT</v>
          </cell>
          <cell r="F668" t="str">
            <v>PCDT</v>
          </cell>
          <cell r="G668" t="str">
            <v>PCDC</v>
          </cell>
          <cell r="I668" t="str">
            <v>PCDN</v>
          </cell>
          <cell r="K668" t="str">
            <v>CORP</v>
          </cell>
          <cell r="M668" t="str">
            <v>OTHER</v>
          </cell>
          <cell r="O668" t="str">
            <v>TOTAL</v>
          </cell>
          <cell r="U668">
            <v>0</v>
          </cell>
          <cell r="V668">
            <v>0</v>
          </cell>
          <cell r="W668">
            <v>0</v>
          </cell>
          <cell r="X668">
            <v>0</v>
          </cell>
          <cell r="Y668">
            <v>0</v>
          </cell>
          <cell r="Z668">
            <v>0</v>
          </cell>
          <cell r="AA668">
            <v>0</v>
          </cell>
          <cell r="AC668">
            <v>0</v>
          </cell>
          <cell r="AD668">
            <v>0</v>
          </cell>
        </row>
        <row r="669">
          <cell r="B669" t="str">
            <v>GL CODE</v>
          </cell>
          <cell r="C669" t="str">
            <v>ACCOUNT HEAD</v>
          </cell>
          <cell r="S669">
            <v>0</v>
          </cell>
          <cell r="T669">
            <v>0</v>
          </cell>
          <cell r="U669" t="str">
            <v>SDCT</v>
          </cell>
          <cell r="V669" t="str">
            <v>PCDT</v>
          </cell>
          <cell r="AA669">
            <v>0</v>
          </cell>
          <cell r="AC669">
            <v>0</v>
          </cell>
          <cell r="AD669" t="e">
            <v>#VALUE!</v>
          </cell>
        </row>
        <row r="670">
          <cell r="S670">
            <v>0</v>
          </cell>
          <cell r="T670">
            <v>0</v>
          </cell>
          <cell r="U670">
            <v>0</v>
          </cell>
          <cell r="V670">
            <v>0</v>
          </cell>
          <cell r="W670">
            <v>0</v>
          </cell>
          <cell r="X670">
            <v>0</v>
          </cell>
          <cell r="Y670">
            <v>0</v>
          </cell>
          <cell r="Z670">
            <v>0</v>
          </cell>
          <cell r="AA670">
            <v>0</v>
          </cell>
          <cell r="AC670">
            <v>0</v>
          </cell>
          <cell r="AD670">
            <v>0</v>
          </cell>
        </row>
        <row r="671">
          <cell r="D671" t="str">
            <v>DR.</v>
          </cell>
          <cell r="E671" t="str">
            <v>CR.</v>
          </cell>
          <cell r="F671" t="str">
            <v>DR.</v>
          </cell>
          <cell r="G671" t="str">
            <v>CR.</v>
          </cell>
          <cell r="H671" t="str">
            <v>DR.</v>
          </cell>
          <cell r="I671" t="str">
            <v>CR.</v>
          </cell>
          <cell r="J671" t="str">
            <v>DR.</v>
          </cell>
          <cell r="K671" t="str">
            <v>CR.</v>
          </cell>
          <cell r="L671" t="str">
            <v>DR.</v>
          </cell>
          <cell r="M671" t="str">
            <v>CR.</v>
          </cell>
          <cell r="N671" t="str">
            <v>DR.</v>
          </cell>
          <cell r="O671" t="str">
            <v>CR.</v>
          </cell>
          <cell r="P671" t="str">
            <v>DR.</v>
          </cell>
          <cell r="Q671" t="str">
            <v>CR.</v>
          </cell>
          <cell r="U671">
            <v>0</v>
          </cell>
          <cell r="V671">
            <v>0</v>
          </cell>
          <cell r="W671">
            <v>0</v>
          </cell>
          <cell r="X671">
            <v>0</v>
          </cell>
          <cell r="Y671">
            <v>0</v>
          </cell>
          <cell r="Z671">
            <v>0</v>
          </cell>
          <cell r="AA671">
            <v>0</v>
          </cell>
          <cell r="AC671">
            <v>0</v>
          </cell>
          <cell r="AD671">
            <v>0</v>
          </cell>
        </row>
        <row r="672">
          <cell r="S672">
            <v>0</v>
          </cell>
          <cell r="T672">
            <v>0</v>
          </cell>
          <cell r="U672">
            <v>0</v>
          </cell>
          <cell r="V672">
            <v>0</v>
          </cell>
          <cell r="W672">
            <v>0</v>
          </cell>
          <cell r="X672">
            <v>0</v>
          </cell>
          <cell r="Y672">
            <v>0</v>
          </cell>
          <cell r="Z672">
            <v>0</v>
          </cell>
          <cell r="AA672">
            <v>0</v>
          </cell>
          <cell r="AC672">
            <v>0</v>
          </cell>
          <cell r="AD672">
            <v>0</v>
          </cell>
        </row>
        <row r="673">
          <cell r="S673">
            <v>0</v>
          </cell>
          <cell r="T673">
            <v>0</v>
          </cell>
          <cell r="U673">
            <v>0</v>
          </cell>
          <cell r="V673">
            <v>0</v>
          </cell>
          <cell r="W673">
            <v>0</v>
          </cell>
          <cell r="X673">
            <v>0</v>
          </cell>
          <cell r="Y673">
            <v>0</v>
          </cell>
          <cell r="Z673">
            <v>0</v>
          </cell>
          <cell r="AA673">
            <v>0</v>
          </cell>
          <cell r="AC673">
            <v>0</v>
          </cell>
          <cell r="AD673">
            <v>0</v>
          </cell>
        </row>
        <row r="674">
          <cell r="B674">
            <v>15440</v>
          </cell>
          <cell r="C674" t="str">
            <v>NET SALARY ADJUSTABLE</v>
          </cell>
          <cell r="D674">
            <v>62671178</v>
          </cell>
          <cell r="E674">
            <v>-37433213</v>
          </cell>
          <cell r="F674">
            <v>46526058</v>
          </cell>
          <cell r="G674">
            <v>-26545092</v>
          </cell>
          <cell r="H674">
            <v>0</v>
          </cell>
          <cell r="I674">
            <v>0</v>
          </cell>
          <cell r="J674">
            <v>0</v>
          </cell>
          <cell r="K674">
            <v>0</v>
          </cell>
          <cell r="L674">
            <v>18394813</v>
          </cell>
          <cell r="M674">
            <v>-10156273</v>
          </cell>
          <cell r="N674">
            <v>0</v>
          </cell>
          <cell r="O674">
            <v>0</v>
          </cell>
          <cell r="P674">
            <v>109197236</v>
          </cell>
          <cell r="Q674">
            <v>-63978305</v>
          </cell>
          <cell r="S674">
            <v>33476505</v>
          </cell>
          <cell r="T674">
            <v>19980966</v>
          </cell>
          <cell r="U674">
            <v>-3941883</v>
          </cell>
          <cell r="V674">
            <v>-1515947</v>
          </cell>
          <cell r="W674">
            <v>37418388</v>
          </cell>
          <cell r="X674">
            <v>21496913</v>
          </cell>
          <cell r="Y674">
            <v>33476505</v>
          </cell>
          <cell r="Z674">
            <v>19980966</v>
          </cell>
          <cell r="AA674">
            <v>53457471</v>
          </cell>
          <cell r="AC674">
            <v>15440</v>
          </cell>
          <cell r="AD674">
            <v>0</v>
          </cell>
        </row>
        <row r="675">
          <cell r="S675">
            <v>0</v>
          </cell>
          <cell r="T675">
            <v>0</v>
          </cell>
          <cell r="U675">
            <v>0</v>
          </cell>
          <cell r="V675">
            <v>0</v>
          </cell>
          <cell r="W675">
            <v>0</v>
          </cell>
          <cell r="X675">
            <v>0</v>
          </cell>
          <cell r="Y675">
            <v>0</v>
          </cell>
          <cell r="Z675">
            <v>0</v>
          </cell>
          <cell r="AA675">
            <v>0</v>
          </cell>
          <cell r="AC675">
            <v>0</v>
          </cell>
          <cell r="AD675">
            <v>0</v>
          </cell>
        </row>
        <row r="676">
          <cell r="B676">
            <v>15441</v>
          </cell>
          <cell r="C676" t="str">
            <v>SUPERANNUATION ADJUSTABLE</v>
          </cell>
          <cell r="D676">
            <v>49234</v>
          </cell>
          <cell r="E676">
            <v>-70935</v>
          </cell>
          <cell r="F676">
            <v>76116</v>
          </cell>
          <cell r="G676">
            <v>-76116</v>
          </cell>
          <cell r="H676">
            <v>0</v>
          </cell>
          <cell r="I676">
            <v>0</v>
          </cell>
          <cell r="J676">
            <v>0</v>
          </cell>
          <cell r="K676">
            <v>0</v>
          </cell>
          <cell r="L676">
            <v>62559</v>
          </cell>
          <cell r="M676">
            <v>-62559</v>
          </cell>
          <cell r="N676">
            <v>0</v>
          </cell>
          <cell r="O676">
            <v>0</v>
          </cell>
          <cell r="P676">
            <v>125350</v>
          </cell>
          <cell r="Q676">
            <v>-147051</v>
          </cell>
          <cell r="S676">
            <v>-21701</v>
          </cell>
          <cell r="T676">
            <v>0</v>
          </cell>
          <cell r="U676">
            <v>-21701</v>
          </cell>
          <cell r="V676">
            <v>0</v>
          </cell>
          <cell r="W676">
            <v>0</v>
          </cell>
          <cell r="X676">
            <v>0</v>
          </cell>
          <cell r="Y676">
            <v>-21701</v>
          </cell>
          <cell r="Z676">
            <v>0</v>
          </cell>
          <cell r="AA676">
            <v>-21701</v>
          </cell>
          <cell r="AC676">
            <v>15441</v>
          </cell>
          <cell r="AD676">
            <v>0</v>
          </cell>
        </row>
        <row r="677">
          <cell r="S677">
            <v>0</v>
          </cell>
          <cell r="T677">
            <v>0</v>
          </cell>
          <cell r="U677">
            <v>0</v>
          </cell>
          <cell r="V677">
            <v>0</v>
          </cell>
          <cell r="W677">
            <v>0</v>
          </cell>
          <cell r="X677">
            <v>0</v>
          </cell>
          <cell r="Y677">
            <v>0</v>
          </cell>
          <cell r="Z677">
            <v>0</v>
          </cell>
          <cell r="AA677">
            <v>0</v>
          </cell>
          <cell r="AC677">
            <v>0</v>
          </cell>
          <cell r="AD677">
            <v>0</v>
          </cell>
        </row>
        <row r="678">
          <cell r="B678">
            <v>15442</v>
          </cell>
          <cell r="C678" t="str">
            <v>WELFARE FUND ADJUSTABLE</v>
          </cell>
          <cell r="D678">
            <v>5370</v>
          </cell>
          <cell r="E678">
            <v>-62262</v>
          </cell>
          <cell r="F678">
            <v>6636</v>
          </cell>
          <cell r="G678">
            <v>-6000</v>
          </cell>
          <cell r="H678">
            <v>0</v>
          </cell>
          <cell r="I678">
            <v>0</v>
          </cell>
          <cell r="J678">
            <v>0</v>
          </cell>
          <cell r="K678">
            <v>0</v>
          </cell>
          <cell r="L678">
            <v>0</v>
          </cell>
          <cell r="M678">
            <v>0</v>
          </cell>
          <cell r="N678">
            <v>0</v>
          </cell>
          <cell r="O678">
            <v>0</v>
          </cell>
          <cell r="P678">
            <v>12006</v>
          </cell>
          <cell r="Q678">
            <v>-68262</v>
          </cell>
          <cell r="S678">
            <v>-56892</v>
          </cell>
          <cell r="T678">
            <v>636</v>
          </cell>
          <cell r="U678">
            <v>-58638</v>
          </cell>
          <cell r="V678">
            <v>0</v>
          </cell>
          <cell r="W678">
            <v>1746</v>
          </cell>
          <cell r="X678">
            <v>636</v>
          </cell>
          <cell r="Y678">
            <v>-56892</v>
          </cell>
          <cell r="Z678">
            <v>636</v>
          </cell>
          <cell r="AA678">
            <v>-56256</v>
          </cell>
          <cell r="AC678">
            <v>15442</v>
          </cell>
          <cell r="AD678">
            <v>0</v>
          </cell>
        </row>
        <row r="679">
          <cell r="S679">
            <v>0</v>
          </cell>
          <cell r="T679">
            <v>0</v>
          </cell>
          <cell r="U679">
            <v>0</v>
          </cell>
          <cell r="V679">
            <v>0</v>
          </cell>
          <cell r="W679">
            <v>0</v>
          </cell>
          <cell r="X679">
            <v>0</v>
          </cell>
          <cell r="Y679">
            <v>0</v>
          </cell>
          <cell r="Z679">
            <v>0</v>
          </cell>
          <cell r="AA679">
            <v>0</v>
          </cell>
          <cell r="AC679">
            <v>0</v>
          </cell>
          <cell r="AD679">
            <v>0</v>
          </cell>
        </row>
        <row r="680">
          <cell r="B680">
            <v>15443</v>
          </cell>
          <cell r="C680" t="str">
            <v>BANK LOAN ADJUSTABLE A/C</v>
          </cell>
          <cell r="D680">
            <v>4304717</v>
          </cell>
          <cell r="E680">
            <v>-2832359</v>
          </cell>
          <cell r="F680">
            <v>2127623</v>
          </cell>
          <cell r="G680">
            <v>-1237173</v>
          </cell>
          <cell r="H680">
            <v>0</v>
          </cell>
          <cell r="I680">
            <v>0</v>
          </cell>
          <cell r="J680">
            <v>0</v>
          </cell>
          <cell r="K680">
            <v>0</v>
          </cell>
          <cell r="L680">
            <v>100258</v>
          </cell>
          <cell r="M680">
            <v>-67966</v>
          </cell>
          <cell r="N680">
            <v>0</v>
          </cell>
          <cell r="O680">
            <v>0</v>
          </cell>
          <cell r="P680">
            <v>6432340</v>
          </cell>
          <cell r="Q680">
            <v>-4069532</v>
          </cell>
          <cell r="S680">
            <v>1504650</v>
          </cell>
          <cell r="T680">
            <v>890450</v>
          </cell>
          <cell r="U680">
            <v>-385575</v>
          </cell>
          <cell r="V680">
            <v>94750</v>
          </cell>
          <cell r="W680">
            <v>1890225</v>
          </cell>
          <cell r="X680">
            <v>795700</v>
          </cell>
          <cell r="Y680">
            <v>1504650</v>
          </cell>
          <cell r="Z680">
            <v>890450</v>
          </cell>
          <cell r="AA680">
            <v>2395100</v>
          </cell>
          <cell r="AC680">
            <v>15443</v>
          </cell>
          <cell r="AD680">
            <v>0</v>
          </cell>
        </row>
        <row r="681">
          <cell r="S681">
            <v>0</v>
          </cell>
          <cell r="T681">
            <v>0</v>
          </cell>
          <cell r="U681">
            <v>0</v>
          </cell>
          <cell r="V681">
            <v>0</v>
          </cell>
          <cell r="W681">
            <v>0</v>
          </cell>
          <cell r="X681">
            <v>0</v>
          </cell>
          <cell r="Y681">
            <v>0</v>
          </cell>
          <cell r="Z681">
            <v>0</v>
          </cell>
          <cell r="AA681">
            <v>0</v>
          </cell>
          <cell r="AC681">
            <v>0</v>
          </cell>
          <cell r="AD681">
            <v>0</v>
          </cell>
        </row>
        <row r="682">
          <cell r="B682">
            <v>15444</v>
          </cell>
          <cell r="C682" t="str">
            <v>L I C ADJUSTABLE</v>
          </cell>
          <cell r="D682">
            <v>2236170.38</v>
          </cell>
          <cell r="E682">
            <v>-1348754.2</v>
          </cell>
          <cell r="F682">
            <v>989254</v>
          </cell>
          <cell r="G682">
            <v>-631461</v>
          </cell>
          <cell r="H682">
            <v>0</v>
          </cell>
          <cell r="I682">
            <v>0</v>
          </cell>
          <cell r="J682">
            <v>0</v>
          </cell>
          <cell r="K682">
            <v>0</v>
          </cell>
          <cell r="L682">
            <v>1383</v>
          </cell>
          <cell r="M682">
            <v>-19152</v>
          </cell>
          <cell r="N682">
            <v>0</v>
          </cell>
          <cell r="O682">
            <v>0</v>
          </cell>
          <cell r="P682">
            <v>3225424.38</v>
          </cell>
          <cell r="Q682">
            <v>-1980215.2</v>
          </cell>
          <cell r="S682">
            <v>869647.17999999993</v>
          </cell>
          <cell r="T682">
            <v>357793</v>
          </cell>
          <cell r="U682">
            <v>-113295.02</v>
          </cell>
          <cell r="V682">
            <v>-36399</v>
          </cell>
          <cell r="W682">
            <v>982942.2</v>
          </cell>
          <cell r="X682">
            <v>394192</v>
          </cell>
          <cell r="Y682">
            <v>869647.17999999993</v>
          </cell>
          <cell r="Z682">
            <v>357793</v>
          </cell>
          <cell r="AA682">
            <v>1227440.18</v>
          </cell>
          <cell r="AC682">
            <v>15444</v>
          </cell>
          <cell r="AD682">
            <v>0</v>
          </cell>
        </row>
        <row r="683">
          <cell r="S683">
            <v>0</v>
          </cell>
          <cell r="T683">
            <v>0</v>
          </cell>
          <cell r="U683">
            <v>0</v>
          </cell>
          <cell r="V683">
            <v>0</v>
          </cell>
          <cell r="W683">
            <v>0</v>
          </cell>
          <cell r="X683">
            <v>0</v>
          </cell>
          <cell r="Y683">
            <v>0</v>
          </cell>
          <cell r="Z683">
            <v>0</v>
          </cell>
          <cell r="AA683">
            <v>0</v>
          </cell>
          <cell r="AC683">
            <v>0</v>
          </cell>
          <cell r="AD683">
            <v>0</v>
          </cell>
        </row>
        <row r="684">
          <cell r="B684">
            <v>15445</v>
          </cell>
          <cell r="C684" t="str">
            <v>MISC DEDUCTION SALARY ADJUSTABLE A/C</v>
          </cell>
          <cell r="D684">
            <v>2289614.6</v>
          </cell>
          <cell r="E684">
            <v>-1677831.66</v>
          </cell>
          <cell r="F684">
            <v>2185894</v>
          </cell>
          <cell r="G684">
            <v>-1966677.94</v>
          </cell>
          <cell r="H684">
            <v>0</v>
          </cell>
          <cell r="I684">
            <v>0</v>
          </cell>
          <cell r="J684">
            <v>0</v>
          </cell>
          <cell r="K684">
            <v>0</v>
          </cell>
          <cell r="L684">
            <v>1054517</v>
          </cell>
          <cell r="M684">
            <v>-1586526</v>
          </cell>
          <cell r="N684">
            <v>0</v>
          </cell>
          <cell r="O684">
            <v>0</v>
          </cell>
          <cell r="P684">
            <v>4475508.5999999996</v>
          </cell>
          <cell r="Q684">
            <v>-3644509.6</v>
          </cell>
          <cell r="S684">
            <v>79773.940000000177</v>
          </cell>
          <cell r="T684">
            <v>219216.06000000006</v>
          </cell>
          <cell r="U684">
            <v>-143464.06</v>
          </cell>
          <cell r="V684">
            <v>111793.06</v>
          </cell>
          <cell r="W684">
            <v>223238.00000000017</v>
          </cell>
          <cell r="X684">
            <v>107423.00000000006</v>
          </cell>
          <cell r="Y684">
            <v>79773.940000000177</v>
          </cell>
          <cell r="Z684">
            <v>219216.06000000006</v>
          </cell>
          <cell r="AA684">
            <v>298990.00000000023</v>
          </cell>
          <cell r="AC684">
            <v>15445</v>
          </cell>
          <cell r="AD684">
            <v>0</v>
          </cell>
        </row>
        <row r="685">
          <cell r="S685">
            <v>0</v>
          </cell>
          <cell r="T685">
            <v>0</v>
          </cell>
          <cell r="U685">
            <v>0</v>
          </cell>
          <cell r="V685">
            <v>0</v>
          </cell>
          <cell r="W685">
            <v>0</v>
          </cell>
          <cell r="X685">
            <v>0</v>
          </cell>
          <cell r="Y685">
            <v>0</v>
          </cell>
          <cell r="Z685">
            <v>0</v>
          </cell>
          <cell r="AA685">
            <v>0</v>
          </cell>
          <cell r="AC685">
            <v>0</v>
          </cell>
          <cell r="AD685">
            <v>0</v>
          </cell>
        </row>
        <row r="686">
          <cell r="B686">
            <v>15446</v>
          </cell>
          <cell r="C686" t="str">
            <v>EMPLOYEES CO-OP CREDIT SOCIETY</v>
          </cell>
          <cell r="D686">
            <v>4572064</v>
          </cell>
          <cell r="E686">
            <v>-2526421</v>
          </cell>
          <cell r="F686">
            <v>4885593</v>
          </cell>
          <cell r="G686">
            <v>-3123426</v>
          </cell>
          <cell r="H686">
            <v>0</v>
          </cell>
          <cell r="I686">
            <v>0</v>
          </cell>
          <cell r="J686">
            <v>0</v>
          </cell>
          <cell r="K686">
            <v>0</v>
          </cell>
          <cell r="L686">
            <v>233935</v>
          </cell>
          <cell r="M686">
            <v>-484657</v>
          </cell>
          <cell r="N686">
            <v>0</v>
          </cell>
          <cell r="O686">
            <v>0</v>
          </cell>
          <cell r="P686">
            <v>9457657</v>
          </cell>
          <cell r="Q686">
            <v>-5649847</v>
          </cell>
          <cell r="S686">
            <v>1794921</v>
          </cell>
          <cell r="T686">
            <v>1762167</v>
          </cell>
          <cell r="U686">
            <v>-224899</v>
          </cell>
          <cell r="V686">
            <v>-206626</v>
          </cell>
          <cell r="W686">
            <v>2019820</v>
          </cell>
          <cell r="X686">
            <v>1968793</v>
          </cell>
          <cell r="Y686">
            <v>1794921</v>
          </cell>
          <cell r="Z686">
            <v>1762167</v>
          </cell>
          <cell r="AA686">
            <v>3557088</v>
          </cell>
          <cell r="AC686">
            <v>15446</v>
          </cell>
          <cell r="AD686">
            <v>0</v>
          </cell>
        </row>
        <row r="687">
          <cell r="S687">
            <v>0</v>
          </cell>
          <cell r="T687">
            <v>0</v>
          </cell>
          <cell r="U687">
            <v>0</v>
          </cell>
          <cell r="V687">
            <v>0</v>
          </cell>
          <cell r="W687">
            <v>0</v>
          </cell>
          <cell r="X687">
            <v>0</v>
          </cell>
          <cell r="Y687">
            <v>0</v>
          </cell>
          <cell r="Z687">
            <v>0</v>
          </cell>
          <cell r="AA687">
            <v>0</v>
          </cell>
          <cell r="AC687">
            <v>0</v>
          </cell>
          <cell r="AD687">
            <v>0</v>
          </cell>
        </row>
        <row r="688">
          <cell r="B688">
            <v>15447</v>
          </cell>
          <cell r="C688" t="str">
            <v>HOUSING LOAN ADJUSTABLE A/C</v>
          </cell>
          <cell r="D688">
            <v>0</v>
          </cell>
          <cell r="E688">
            <v>0</v>
          </cell>
          <cell r="F688">
            <v>750487</v>
          </cell>
          <cell r="G688">
            <v>-481567</v>
          </cell>
          <cell r="H688">
            <v>0</v>
          </cell>
          <cell r="I688">
            <v>0</v>
          </cell>
          <cell r="J688">
            <v>0</v>
          </cell>
          <cell r="K688">
            <v>0</v>
          </cell>
          <cell r="L688">
            <v>0</v>
          </cell>
          <cell r="M688">
            <v>0</v>
          </cell>
          <cell r="N688">
            <v>0</v>
          </cell>
          <cell r="O688">
            <v>0</v>
          </cell>
          <cell r="P688">
            <v>750487</v>
          </cell>
          <cell r="Q688">
            <v>-481567</v>
          </cell>
          <cell r="S688">
            <v>0</v>
          </cell>
          <cell r="T688">
            <v>268920</v>
          </cell>
          <cell r="U688">
            <v>0</v>
          </cell>
          <cell r="V688">
            <v>-33615</v>
          </cell>
          <cell r="W688">
            <v>0</v>
          </cell>
          <cell r="X688">
            <v>302535</v>
          </cell>
          <cell r="Y688">
            <v>0</v>
          </cell>
          <cell r="Z688">
            <v>268920</v>
          </cell>
          <cell r="AA688">
            <v>268920</v>
          </cell>
          <cell r="AC688">
            <v>15447</v>
          </cell>
          <cell r="AD688">
            <v>0</v>
          </cell>
        </row>
        <row r="689">
          <cell r="S689">
            <v>0</v>
          </cell>
          <cell r="T689">
            <v>0</v>
          </cell>
          <cell r="U689">
            <v>0</v>
          </cell>
          <cell r="V689">
            <v>0</v>
          </cell>
          <cell r="W689">
            <v>0</v>
          </cell>
          <cell r="X689">
            <v>0</v>
          </cell>
          <cell r="Y689">
            <v>0</v>
          </cell>
          <cell r="Z689">
            <v>0</v>
          </cell>
          <cell r="AA689">
            <v>0</v>
          </cell>
          <cell r="AC689">
            <v>0</v>
          </cell>
          <cell r="AD689">
            <v>0</v>
          </cell>
        </row>
        <row r="690">
          <cell r="B690">
            <v>15448</v>
          </cell>
          <cell r="C690" t="str">
            <v>UNCLAIMED SALARY/WAGES</v>
          </cell>
          <cell r="D690">
            <v>0</v>
          </cell>
          <cell r="E690">
            <v>-22791</v>
          </cell>
          <cell r="F690">
            <v>0</v>
          </cell>
          <cell r="G690">
            <v>0</v>
          </cell>
          <cell r="H690">
            <v>0</v>
          </cell>
          <cell r="I690">
            <v>0</v>
          </cell>
          <cell r="J690">
            <v>0</v>
          </cell>
          <cell r="K690">
            <v>0</v>
          </cell>
          <cell r="L690">
            <v>0</v>
          </cell>
          <cell r="M690">
            <v>0</v>
          </cell>
          <cell r="N690">
            <v>0</v>
          </cell>
          <cell r="O690">
            <v>0</v>
          </cell>
          <cell r="P690">
            <v>0</v>
          </cell>
          <cell r="Q690">
            <v>-22791</v>
          </cell>
          <cell r="S690">
            <v>-22791</v>
          </cell>
          <cell r="T690">
            <v>0</v>
          </cell>
          <cell r="U690">
            <v>-22791</v>
          </cell>
          <cell r="V690">
            <v>0</v>
          </cell>
          <cell r="W690">
            <v>0</v>
          </cell>
          <cell r="X690">
            <v>0</v>
          </cell>
          <cell r="Y690">
            <v>-22791</v>
          </cell>
          <cell r="Z690">
            <v>0</v>
          </cell>
          <cell r="AA690">
            <v>-22791</v>
          </cell>
          <cell r="AC690">
            <v>15448</v>
          </cell>
          <cell r="AD690">
            <v>0</v>
          </cell>
        </row>
        <row r="691">
          <cell r="S691">
            <v>0</v>
          </cell>
          <cell r="T691">
            <v>0</v>
          </cell>
          <cell r="U691">
            <v>0</v>
          </cell>
          <cell r="V691">
            <v>0</v>
          </cell>
          <cell r="W691">
            <v>0</v>
          </cell>
          <cell r="X691">
            <v>0</v>
          </cell>
          <cell r="Y691">
            <v>0</v>
          </cell>
          <cell r="Z691">
            <v>0</v>
          </cell>
          <cell r="AA691">
            <v>0</v>
          </cell>
          <cell r="AC691">
            <v>0</v>
          </cell>
          <cell r="AD691">
            <v>0</v>
          </cell>
        </row>
        <row r="692">
          <cell r="B692">
            <v>15449</v>
          </cell>
          <cell r="C692" t="str">
            <v>UNCLAIMED BONUS</v>
          </cell>
          <cell r="D692">
            <v>0</v>
          </cell>
          <cell r="E692">
            <v>-11945.59</v>
          </cell>
          <cell r="F692">
            <v>0</v>
          </cell>
          <cell r="G692">
            <v>-3026</v>
          </cell>
          <cell r="H692">
            <v>0</v>
          </cell>
          <cell r="I692">
            <v>0</v>
          </cell>
          <cell r="J692">
            <v>0</v>
          </cell>
          <cell r="K692">
            <v>0</v>
          </cell>
          <cell r="L692">
            <v>0</v>
          </cell>
          <cell r="M692">
            <v>0</v>
          </cell>
          <cell r="N692">
            <v>0</v>
          </cell>
          <cell r="O692">
            <v>0</v>
          </cell>
          <cell r="P692">
            <v>0</v>
          </cell>
          <cell r="Q692">
            <v>-14971.59</v>
          </cell>
          <cell r="S692">
            <v>-11945.59</v>
          </cell>
          <cell r="T692">
            <v>-3026</v>
          </cell>
          <cell r="U692">
            <v>-11945.59</v>
          </cell>
          <cell r="V692">
            <v>-3026</v>
          </cell>
          <cell r="W692">
            <v>0</v>
          </cell>
          <cell r="X692">
            <v>0</v>
          </cell>
          <cell r="Y692">
            <v>-11945.59</v>
          </cell>
          <cell r="Z692">
            <v>-3026</v>
          </cell>
          <cell r="AA692">
            <v>-14971.59</v>
          </cell>
          <cell r="AC692">
            <v>15449</v>
          </cell>
          <cell r="AD692">
            <v>0</v>
          </cell>
        </row>
        <row r="693">
          <cell r="S693">
            <v>0</v>
          </cell>
          <cell r="T693">
            <v>0</v>
          </cell>
          <cell r="U693">
            <v>0</v>
          </cell>
          <cell r="V693">
            <v>0</v>
          </cell>
          <cell r="W693">
            <v>0</v>
          </cell>
          <cell r="X693">
            <v>0</v>
          </cell>
          <cell r="Y693">
            <v>0</v>
          </cell>
          <cell r="Z693">
            <v>0</v>
          </cell>
          <cell r="AA693">
            <v>0</v>
          </cell>
          <cell r="AC693">
            <v>0</v>
          </cell>
          <cell r="AD693">
            <v>0</v>
          </cell>
        </row>
        <row r="694">
          <cell r="B694">
            <v>15450</v>
          </cell>
          <cell r="C694" t="str">
            <v>COIN ADJ</v>
          </cell>
          <cell r="D694">
            <v>2000652.34</v>
          </cell>
          <cell r="E694">
            <v>-2000695.7</v>
          </cell>
          <cell r="F694">
            <v>2790578.91</v>
          </cell>
          <cell r="G694">
            <v>-2490850.5</v>
          </cell>
          <cell r="H694">
            <v>0</v>
          </cell>
          <cell r="I694">
            <v>0</v>
          </cell>
          <cell r="J694">
            <v>0</v>
          </cell>
          <cell r="K694">
            <v>0</v>
          </cell>
          <cell r="L694">
            <v>12.15</v>
          </cell>
          <cell r="M694">
            <v>-12.15</v>
          </cell>
          <cell r="N694">
            <v>0</v>
          </cell>
          <cell r="O694">
            <v>0</v>
          </cell>
          <cell r="P694">
            <v>4791231.25</v>
          </cell>
          <cell r="Q694">
            <v>-4491546.2</v>
          </cell>
          <cell r="S694">
            <v>-43.359999999869615</v>
          </cell>
          <cell r="T694">
            <v>299728.41000000015</v>
          </cell>
          <cell r="U694">
            <v>0</v>
          </cell>
          <cell r="V694">
            <v>22403.63</v>
          </cell>
          <cell r="W694">
            <v>-43.359999999869615</v>
          </cell>
          <cell r="X694">
            <v>277324.78000000014</v>
          </cell>
          <cell r="Y694">
            <v>-43.359999999869615</v>
          </cell>
          <cell r="Z694">
            <v>299728.41000000015</v>
          </cell>
          <cell r="AA694">
            <v>299685.05000000028</v>
          </cell>
          <cell r="AC694">
            <v>15450</v>
          </cell>
          <cell r="AD694">
            <v>0</v>
          </cell>
        </row>
        <row r="695">
          <cell r="S695">
            <v>0</v>
          </cell>
          <cell r="T695">
            <v>0</v>
          </cell>
          <cell r="U695">
            <v>0</v>
          </cell>
          <cell r="V695">
            <v>0</v>
          </cell>
          <cell r="W695">
            <v>0</v>
          </cell>
          <cell r="X695">
            <v>0</v>
          </cell>
          <cell r="Y695">
            <v>0</v>
          </cell>
          <cell r="Z695">
            <v>0</v>
          </cell>
          <cell r="AA695">
            <v>0</v>
          </cell>
          <cell r="AC695">
            <v>0</v>
          </cell>
          <cell r="AD695">
            <v>0</v>
          </cell>
        </row>
        <row r="696">
          <cell r="B696">
            <v>15452</v>
          </cell>
          <cell r="C696" t="str">
            <v>PROVISION FOR MANAGERIAL EXP.</v>
          </cell>
          <cell r="D696">
            <v>0</v>
          </cell>
          <cell r="E696">
            <v>0</v>
          </cell>
          <cell r="F696">
            <v>0</v>
          </cell>
          <cell r="G696">
            <v>0</v>
          </cell>
          <cell r="H696">
            <v>0</v>
          </cell>
          <cell r="I696">
            <v>0</v>
          </cell>
          <cell r="J696">
            <v>0</v>
          </cell>
          <cell r="K696">
            <v>0</v>
          </cell>
          <cell r="L696">
            <v>259878</v>
          </cell>
          <cell r="M696">
            <v>0</v>
          </cell>
          <cell r="N696">
            <v>0</v>
          </cell>
          <cell r="O696">
            <v>0</v>
          </cell>
          <cell r="P696">
            <v>0</v>
          </cell>
          <cell r="Q696">
            <v>0</v>
          </cell>
          <cell r="S696">
            <v>259878</v>
          </cell>
          <cell r="T696">
            <v>0</v>
          </cell>
          <cell r="U696">
            <v>0</v>
          </cell>
          <cell r="V696">
            <v>0</v>
          </cell>
          <cell r="W696">
            <v>259878</v>
          </cell>
          <cell r="X696">
            <v>0</v>
          </cell>
          <cell r="Y696">
            <v>259878</v>
          </cell>
          <cell r="Z696">
            <v>0</v>
          </cell>
          <cell r="AA696">
            <v>259878</v>
          </cell>
          <cell r="AC696">
            <v>15452</v>
          </cell>
          <cell r="AD696">
            <v>0</v>
          </cell>
        </row>
        <row r="697">
          <cell r="S697">
            <v>0</v>
          </cell>
          <cell r="T697">
            <v>0</v>
          </cell>
          <cell r="U697">
            <v>0</v>
          </cell>
          <cell r="V697">
            <v>0</v>
          </cell>
          <cell r="W697">
            <v>0</v>
          </cell>
          <cell r="X697">
            <v>0</v>
          </cell>
          <cell r="Y697">
            <v>0</v>
          </cell>
          <cell r="Z697">
            <v>0</v>
          </cell>
          <cell r="AA697">
            <v>0</v>
          </cell>
          <cell r="AC697">
            <v>0</v>
          </cell>
          <cell r="AD697">
            <v>0</v>
          </cell>
        </row>
        <row r="698">
          <cell r="B698">
            <v>15454</v>
          </cell>
          <cell r="C698" t="str">
            <v>PAYABLE TO EMPLOYEES</v>
          </cell>
          <cell r="D698">
            <v>0</v>
          </cell>
          <cell r="E698">
            <v>-123857.5</v>
          </cell>
          <cell r="F698">
            <v>0</v>
          </cell>
          <cell r="G698">
            <v>-15000</v>
          </cell>
          <cell r="H698">
            <v>0</v>
          </cell>
          <cell r="I698">
            <v>0</v>
          </cell>
          <cell r="J698">
            <v>0</v>
          </cell>
          <cell r="K698">
            <v>0</v>
          </cell>
          <cell r="L698">
            <v>0</v>
          </cell>
          <cell r="M698">
            <v>-25314</v>
          </cell>
          <cell r="N698">
            <v>0</v>
          </cell>
          <cell r="O698">
            <v>0</v>
          </cell>
          <cell r="P698">
            <v>0</v>
          </cell>
          <cell r="Q698">
            <v>-138857.5</v>
          </cell>
          <cell r="S698">
            <v>-149171.5</v>
          </cell>
          <cell r="T698">
            <v>-15000</v>
          </cell>
          <cell r="U698">
            <v>-149171.5</v>
          </cell>
          <cell r="V698">
            <v>-15000</v>
          </cell>
          <cell r="W698">
            <v>0</v>
          </cell>
          <cell r="X698">
            <v>0</v>
          </cell>
          <cell r="Y698">
            <v>-149171.5</v>
          </cell>
          <cell r="Z698">
            <v>-15000</v>
          </cell>
          <cell r="AA698">
            <v>-164171.5</v>
          </cell>
          <cell r="AC698">
            <v>15454</v>
          </cell>
          <cell r="AD698">
            <v>0</v>
          </cell>
        </row>
        <row r="699">
          <cell r="S699">
            <v>0</v>
          </cell>
          <cell r="T699">
            <v>0</v>
          </cell>
          <cell r="U699">
            <v>0</v>
          </cell>
          <cell r="V699">
            <v>0</v>
          </cell>
          <cell r="W699">
            <v>0</v>
          </cell>
          <cell r="X699">
            <v>0</v>
          </cell>
          <cell r="Y699">
            <v>0</v>
          </cell>
          <cell r="Z699">
            <v>0</v>
          </cell>
          <cell r="AA699">
            <v>0</v>
          </cell>
          <cell r="AC699">
            <v>0</v>
          </cell>
          <cell r="AD699">
            <v>0</v>
          </cell>
        </row>
        <row r="700">
          <cell r="B700">
            <v>15456</v>
          </cell>
          <cell r="C700" t="str">
            <v>ADVANCE HP (SALE OF PROPERTY)</v>
          </cell>
          <cell r="D700">
            <v>0</v>
          </cell>
          <cell r="E700">
            <v>0</v>
          </cell>
          <cell r="F700">
            <v>0</v>
          </cell>
          <cell r="G700">
            <v>0</v>
          </cell>
          <cell r="H700">
            <v>0</v>
          </cell>
          <cell r="I700">
            <v>0</v>
          </cell>
          <cell r="J700">
            <v>0</v>
          </cell>
          <cell r="K700">
            <v>0</v>
          </cell>
          <cell r="L700">
            <v>0</v>
          </cell>
          <cell r="M700">
            <v>0</v>
          </cell>
          <cell r="N700">
            <v>0</v>
          </cell>
          <cell r="O700">
            <v>-2225000</v>
          </cell>
          <cell r="P700">
            <v>0</v>
          </cell>
          <cell r="Q700">
            <v>-2225000</v>
          </cell>
          <cell r="S700">
            <v>-2225000</v>
          </cell>
          <cell r="T700">
            <v>0</v>
          </cell>
          <cell r="U700">
            <v>-2225000</v>
          </cell>
          <cell r="V700">
            <v>0</v>
          </cell>
          <cell r="W700">
            <v>0</v>
          </cell>
          <cell r="X700">
            <v>0</v>
          </cell>
          <cell r="Y700">
            <v>-2225000</v>
          </cell>
          <cell r="Z700">
            <v>0</v>
          </cell>
          <cell r="AA700">
            <v>-2225000</v>
          </cell>
          <cell r="AC700">
            <v>15456</v>
          </cell>
          <cell r="AD700">
            <v>0</v>
          </cell>
        </row>
        <row r="701">
          <cell r="S701">
            <v>0</v>
          </cell>
          <cell r="T701">
            <v>0</v>
          </cell>
          <cell r="U701">
            <v>0</v>
          </cell>
          <cell r="V701">
            <v>0</v>
          </cell>
          <cell r="W701">
            <v>0</v>
          </cell>
          <cell r="X701">
            <v>0</v>
          </cell>
          <cell r="Y701">
            <v>0</v>
          </cell>
          <cell r="Z701">
            <v>0</v>
          </cell>
          <cell r="AA701">
            <v>0</v>
          </cell>
          <cell r="AC701">
            <v>0</v>
          </cell>
          <cell r="AD701">
            <v>0</v>
          </cell>
        </row>
        <row r="702">
          <cell r="B702">
            <v>15457</v>
          </cell>
          <cell r="C702" t="str">
            <v>LIABILITY FOR MISC. CHG (FERA)</v>
          </cell>
          <cell r="D702">
            <v>42341.61</v>
          </cell>
          <cell r="E702">
            <v>-42341.61</v>
          </cell>
          <cell r="F702">
            <v>0</v>
          </cell>
          <cell r="G702">
            <v>0</v>
          </cell>
          <cell r="H702">
            <v>0</v>
          </cell>
          <cell r="I702">
            <v>0</v>
          </cell>
          <cell r="J702">
            <v>0</v>
          </cell>
          <cell r="K702">
            <v>0</v>
          </cell>
          <cell r="L702">
            <v>0</v>
          </cell>
          <cell r="M702">
            <v>0</v>
          </cell>
          <cell r="N702">
            <v>0</v>
          </cell>
          <cell r="O702">
            <v>0</v>
          </cell>
          <cell r="P702">
            <v>42341.61</v>
          </cell>
          <cell r="Q702">
            <v>-42341.61</v>
          </cell>
          <cell r="S702">
            <v>0</v>
          </cell>
          <cell r="T702">
            <v>0</v>
          </cell>
          <cell r="U702">
            <v>0</v>
          </cell>
          <cell r="V702">
            <v>0</v>
          </cell>
          <cell r="W702">
            <v>0</v>
          </cell>
          <cell r="X702">
            <v>0</v>
          </cell>
          <cell r="Y702">
            <v>0</v>
          </cell>
          <cell r="Z702">
            <v>0</v>
          </cell>
          <cell r="AA702">
            <v>0</v>
          </cell>
          <cell r="AC702">
            <v>15457</v>
          </cell>
          <cell r="AD702">
            <v>0</v>
          </cell>
        </row>
        <row r="703">
          <cell r="S703">
            <v>0</v>
          </cell>
          <cell r="T703">
            <v>0</v>
          </cell>
          <cell r="U703">
            <v>0</v>
          </cell>
          <cell r="V703">
            <v>0</v>
          </cell>
          <cell r="W703">
            <v>0</v>
          </cell>
          <cell r="X703">
            <v>0</v>
          </cell>
          <cell r="Y703">
            <v>0</v>
          </cell>
          <cell r="Z703">
            <v>0</v>
          </cell>
          <cell r="AA703">
            <v>0</v>
          </cell>
          <cell r="AC703">
            <v>0</v>
          </cell>
          <cell r="AD703">
            <v>0</v>
          </cell>
        </row>
        <row r="704">
          <cell r="B704">
            <v>15458</v>
          </cell>
          <cell r="C704" t="str">
            <v>LIABILITY FOR CLG FRD CHG (FERA)</v>
          </cell>
          <cell r="D704">
            <v>8626300.5399999991</v>
          </cell>
          <cell r="E704">
            <v>-10821691.24</v>
          </cell>
          <cell r="F704">
            <v>19632159233.240002</v>
          </cell>
          <cell r="G704">
            <v>-19640950504.5</v>
          </cell>
          <cell r="H704">
            <v>0</v>
          </cell>
          <cell r="I704">
            <v>0</v>
          </cell>
          <cell r="J704">
            <v>0</v>
          </cell>
          <cell r="K704">
            <v>0</v>
          </cell>
          <cell r="L704">
            <v>0</v>
          </cell>
          <cell r="M704">
            <v>0</v>
          </cell>
          <cell r="N704">
            <v>635850.38</v>
          </cell>
          <cell r="O704">
            <v>-635850.38</v>
          </cell>
          <cell r="P704">
            <v>19641421384.16</v>
          </cell>
          <cell r="Q704">
            <v>-19652408046.119999</v>
          </cell>
          <cell r="S704">
            <v>-2195390.7000000011</v>
          </cell>
          <cell r="T704">
            <v>-8791271.2599983215</v>
          </cell>
          <cell r="U704">
            <v>0</v>
          </cell>
          <cell r="V704">
            <v>0</v>
          </cell>
          <cell r="W704">
            <v>-2195390.7000000011</v>
          </cell>
          <cell r="X704">
            <v>-8791271.2599983215</v>
          </cell>
          <cell r="Y704">
            <v>-2195390.7000000011</v>
          </cell>
          <cell r="Z704">
            <v>-8791271.2599983215</v>
          </cell>
          <cell r="AA704">
            <v>-10986661.959998323</v>
          </cell>
          <cell r="AC704">
            <v>15458</v>
          </cell>
          <cell r="AD704">
            <v>0</v>
          </cell>
        </row>
        <row r="705">
          <cell r="S705">
            <v>0</v>
          </cell>
          <cell r="T705">
            <v>0</v>
          </cell>
          <cell r="U705">
            <v>0</v>
          </cell>
          <cell r="V705">
            <v>0</v>
          </cell>
          <cell r="W705">
            <v>0</v>
          </cell>
          <cell r="X705">
            <v>0</v>
          </cell>
          <cell r="Y705">
            <v>0</v>
          </cell>
          <cell r="Z705">
            <v>0</v>
          </cell>
          <cell r="AA705">
            <v>0</v>
          </cell>
          <cell r="AC705">
            <v>0</v>
          </cell>
          <cell r="AD705">
            <v>0</v>
          </cell>
        </row>
        <row r="706">
          <cell r="B706">
            <v>15459</v>
          </cell>
          <cell r="C706" t="str">
            <v>LIABILITY FOR EXPENSES (2011-12)</v>
          </cell>
          <cell r="D706">
            <v>21059729.890000001</v>
          </cell>
          <cell r="E706">
            <v>-18054756.379999999</v>
          </cell>
          <cell r="F706">
            <v>15701729.83</v>
          </cell>
          <cell r="G706">
            <v>-15888919.85</v>
          </cell>
          <cell r="H706">
            <v>0</v>
          </cell>
          <cell r="I706">
            <v>0</v>
          </cell>
          <cell r="J706">
            <v>12222</v>
          </cell>
          <cell r="K706">
            <v>-12222</v>
          </cell>
          <cell r="L706">
            <v>3760810.05</v>
          </cell>
          <cell r="M706">
            <v>-8614425.2599999998</v>
          </cell>
          <cell r="N706">
            <v>0</v>
          </cell>
          <cell r="O706">
            <v>0</v>
          </cell>
          <cell r="P706">
            <v>36773681.719999999</v>
          </cell>
          <cell r="Q706">
            <v>-33955898.229999997</v>
          </cell>
          <cell r="S706">
            <v>-1848641.6999999983</v>
          </cell>
          <cell r="T706">
            <v>-187190.01999999955</v>
          </cell>
          <cell r="U706">
            <v>-7113250.7000000002</v>
          </cell>
          <cell r="V706">
            <v>-187190.02</v>
          </cell>
          <cell r="W706">
            <v>5264609.0000000019</v>
          </cell>
          <cell r="X706">
            <v>4.3655745685100555E-10</v>
          </cell>
          <cell r="Y706">
            <v>-1848641.6999999983</v>
          </cell>
          <cell r="Z706">
            <v>-187190.01999999955</v>
          </cell>
          <cell r="AA706">
            <v>-2035831.7199999979</v>
          </cell>
          <cell r="AC706">
            <v>15459</v>
          </cell>
          <cell r="AD706">
            <v>0</v>
          </cell>
        </row>
        <row r="707">
          <cell r="S707">
            <v>0</v>
          </cell>
          <cell r="T707">
            <v>0</v>
          </cell>
          <cell r="U707">
            <v>0</v>
          </cell>
          <cell r="V707">
            <v>0</v>
          </cell>
          <cell r="W707">
            <v>0</v>
          </cell>
          <cell r="X707">
            <v>0</v>
          </cell>
          <cell r="Y707">
            <v>0</v>
          </cell>
          <cell r="Z707">
            <v>0</v>
          </cell>
          <cell r="AA707">
            <v>0</v>
          </cell>
          <cell r="AC707">
            <v>0</v>
          </cell>
          <cell r="AD707">
            <v>0</v>
          </cell>
        </row>
        <row r="708">
          <cell r="B708">
            <v>15461</v>
          </cell>
          <cell r="C708" t="str">
            <v>LIABILITY OF FREIGHT IN (FOB) EXPORT</v>
          </cell>
          <cell r="D708">
            <v>5674764.3200000003</v>
          </cell>
          <cell r="E708">
            <v>-6130924.3899999997</v>
          </cell>
          <cell r="F708">
            <v>207444.43</v>
          </cell>
          <cell r="G708">
            <v>-461721.73</v>
          </cell>
          <cell r="H708">
            <v>0</v>
          </cell>
          <cell r="I708">
            <v>0</v>
          </cell>
          <cell r="J708">
            <v>0</v>
          </cell>
          <cell r="K708">
            <v>0</v>
          </cell>
          <cell r="L708">
            <v>0</v>
          </cell>
          <cell r="M708">
            <v>0</v>
          </cell>
          <cell r="N708">
            <v>635850.38</v>
          </cell>
          <cell r="O708">
            <v>-635850.38</v>
          </cell>
          <cell r="P708">
            <v>6518059.1299999999</v>
          </cell>
          <cell r="Q708">
            <v>-7228496.5</v>
          </cell>
          <cell r="S708">
            <v>-456160.06999999937</v>
          </cell>
          <cell r="T708">
            <v>-254277.3</v>
          </cell>
          <cell r="U708">
            <v>0</v>
          </cell>
          <cell r="V708">
            <v>0</v>
          </cell>
          <cell r="W708">
            <v>-456160.06999999937</v>
          </cell>
          <cell r="X708">
            <v>-254277.3</v>
          </cell>
          <cell r="Y708">
            <v>-456160.06999999937</v>
          </cell>
          <cell r="Z708">
            <v>-254277.3</v>
          </cell>
          <cell r="AA708">
            <v>-710437.36999999941</v>
          </cell>
          <cell r="AC708">
            <v>15461</v>
          </cell>
          <cell r="AD708">
            <v>0</v>
          </cell>
        </row>
        <row r="709">
          <cell r="S709">
            <v>0</v>
          </cell>
          <cell r="T709">
            <v>0</v>
          </cell>
          <cell r="U709">
            <v>0</v>
          </cell>
          <cell r="V709">
            <v>0</v>
          </cell>
          <cell r="W709">
            <v>0</v>
          </cell>
          <cell r="X709">
            <v>0</v>
          </cell>
          <cell r="Y709">
            <v>0</v>
          </cell>
          <cell r="Z709">
            <v>0</v>
          </cell>
          <cell r="AA709">
            <v>0</v>
          </cell>
          <cell r="AC709">
            <v>0</v>
          </cell>
          <cell r="AD709">
            <v>0</v>
          </cell>
        </row>
        <row r="710">
          <cell r="B710">
            <v>15462</v>
          </cell>
          <cell r="C710" t="str">
            <v>LIABILITY FOR EXPENSES (2012-13)</v>
          </cell>
          <cell r="D710">
            <v>19401988.800000001</v>
          </cell>
          <cell r="E710">
            <v>-18266690</v>
          </cell>
          <cell r="F710">
            <v>12356760.439999999</v>
          </cell>
          <cell r="G710">
            <v>-17814412.440000001</v>
          </cell>
          <cell r="H710">
            <v>0</v>
          </cell>
          <cell r="I710">
            <v>0</v>
          </cell>
          <cell r="J710">
            <v>0</v>
          </cell>
          <cell r="K710">
            <v>0</v>
          </cell>
          <cell r="L710">
            <v>3871266.72</v>
          </cell>
          <cell r="M710">
            <v>-5665024.7199999997</v>
          </cell>
          <cell r="N710">
            <v>0</v>
          </cell>
          <cell r="O710">
            <v>0</v>
          </cell>
          <cell r="P710">
            <v>31758749.239999998</v>
          </cell>
          <cell r="Q710">
            <v>-36081102.439999998</v>
          </cell>
          <cell r="S710">
            <v>-658459.19999999832</v>
          </cell>
          <cell r="T710">
            <v>-5457652.0000000019</v>
          </cell>
          <cell r="U710">
            <v>-15327904.720000001</v>
          </cell>
          <cell r="V710">
            <v>-15710753.52</v>
          </cell>
          <cell r="W710">
            <v>14669445.520000003</v>
          </cell>
          <cell r="X710">
            <v>10253101.519999998</v>
          </cell>
          <cell r="Y710">
            <v>-658459.19999999739</v>
          </cell>
          <cell r="Z710">
            <v>-5457652.0000000019</v>
          </cell>
          <cell r="AA710">
            <v>-6116111.1999999993</v>
          </cell>
          <cell r="AC710">
            <v>15462</v>
          </cell>
          <cell r="AD710">
            <v>0</v>
          </cell>
        </row>
        <row r="711">
          <cell r="S711">
            <v>0</v>
          </cell>
          <cell r="T711">
            <v>0</v>
          </cell>
          <cell r="U711">
            <v>0</v>
          </cell>
          <cell r="V711">
            <v>0</v>
          </cell>
          <cell r="W711">
            <v>0</v>
          </cell>
          <cell r="X711">
            <v>0</v>
          </cell>
          <cell r="Y711">
            <v>0</v>
          </cell>
          <cell r="Z711">
            <v>0</v>
          </cell>
          <cell r="AA711">
            <v>0</v>
          </cell>
          <cell r="AC711">
            <v>0</v>
          </cell>
          <cell r="AD711">
            <v>0</v>
          </cell>
        </row>
        <row r="712">
          <cell r="B712">
            <v>15470</v>
          </cell>
          <cell r="C712" t="str">
            <v>LIABILITY FOR EXPENSES (OLD [UPTO 2010])</v>
          </cell>
          <cell r="D712">
            <v>4399690</v>
          </cell>
          <cell r="E712">
            <v>-5203204.26</v>
          </cell>
          <cell r="F712">
            <v>3378635.57</v>
          </cell>
          <cell r="G712">
            <v>-3638671.2</v>
          </cell>
          <cell r="H712">
            <v>0</v>
          </cell>
          <cell r="I712">
            <v>0</v>
          </cell>
          <cell r="J712">
            <v>0</v>
          </cell>
          <cell r="K712">
            <v>0</v>
          </cell>
          <cell r="L712">
            <v>0</v>
          </cell>
          <cell r="M712">
            <v>0</v>
          </cell>
          <cell r="N712">
            <v>0</v>
          </cell>
          <cell r="O712">
            <v>0</v>
          </cell>
          <cell r="P712">
            <v>7778325.5700000003</v>
          </cell>
          <cell r="Q712">
            <v>-8841875.4600000009</v>
          </cell>
          <cell r="S712">
            <v>-803514.25999999978</v>
          </cell>
          <cell r="T712">
            <v>-260035.63000000035</v>
          </cell>
          <cell r="U712">
            <v>-1204278.26</v>
          </cell>
          <cell r="V712">
            <v>-260035.63</v>
          </cell>
          <cell r="W712">
            <v>400764.00000000023</v>
          </cell>
          <cell r="X712">
            <v>-3.4924596548080444E-10</v>
          </cell>
          <cell r="Y712">
            <v>-803514.25999999978</v>
          </cell>
          <cell r="Z712">
            <v>-260035.63000000035</v>
          </cell>
          <cell r="AA712">
            <v>-1063549.8900000001</v>
          </cell>
          <cell r="AC712">
            <v>15470</v>
          </cell>
          <cell r="AD712">
            <v>0</v>
          </cell>
        </row>
        <row r="713">
          <cell r="S713">
            <v>0</v>
          </cell>
          <cell r="T713">
            <v>0</v>
          </cell>
          <cell r="U713">
            <v>0</v>
          </cell>
          <cell r="V713">
            <v>0</v>
          </cell>
          <cell r="W713">
            <v>0</v>
          </cell>
          <cell r="X713">
            <v>0</v>
          </cell>
          <cell r="Y713">
            <v>0</v>
          </cell>
          <cell r="Z713">
            <v>0</v>
          </cell>
          <cell r="AA713">
            <v>0</v>
          </cell>
          <cell r="AC713">
            <v>0</v>
          </cell>
          <cell r="AD713">
            <v>0</v>
          </cell>
        </row>
        <row r="714">
          <cell r="B714">
            <v>15474</v>
          </cell>
          <cell r="C714" t="str">
            <v>INT ACCRUED BUT NOT DUE ON LOAN</v>
          </cell>
          <cell r="D714">
            <v>197976.23</v>
          </cell>
          <cell r="E714">
            <v>-197976.23</v>
          </cell>
          <cell r="F714">
            <v>0</v>
          </cell>
          <cell r="G714">
            <v>0</v>
          </cell>
          <cell r="H714">
            <v>0</v>
          </cell>
          <cell r="I714">
            <v>0</v>
          </cell>
          <cell r="J714">
            <v>0</v>
          </cell>
          <cell r="K714">
            <v>0</v>
          </cell>
          <cell r="L714">
            <v>29664207.609999999</v>
          </cell>
          <cell r="M714">
            <v>-29664207.609999999</v>
          </cell>
          <cell r="N714">
            <v>0</v>
          </cell>
          <cell r="O714">
            <v>0</v>
          </cell>
          <cell r="P714">
            <v>197976.23</v>
          </cell>
          <cell r="Q714">
            <v>-197976.23</v>
          </cell>
          <cell r="S714">
            <v>0</v>
          </cell>
          <cell r="T714">
            <v>0</v>
          </cell>
          <cell r="U714">
            <v>-197976.23</v>
          </cell>
          <cell r="V714">
            <v>0</v>
          </cell>
          <cell r="W714">
            <v>197976.23</v>
          </cell>
          <cell r="X714">
            <v>0</v>
          </cell>
          <cell r="Y714">
            <v>0</v>
          </cell>
          <cell r="Z714">
            <v>0</v>
          </cell>
          <cell r="AA714">
            <v>0</v>
          </cell>
          <cell r="AC714">
            <v>15474</v>
          </cell>
          <cell r="AD714">
            <v>0</v>
          </cell>
        </row>
        <row r="715">
          <cell r="S715">
            <v>0</v>
          </cell>
          <cell r="T715">
            <v>0</v>
          </cell>
          <cell r="U715">
            <v>0</v>
          </cell>
          <cell r="V715">
            <v>0</v>
          </cell>
          <cell r="W715">
            <v>0</v>
          </cell>
          <cell r="X715">
            <v>0</v>
          </cell>
          <cell r="Y715">
            <v>0</v>
          </cell>
          <cell r="Z715">
            <v>0</v>
          </cell>
          <cell r="AA715">
            <v>0</v>
          </cell>
          <cell r="AC715">
            <v>0</v>
          </cell>
          <cell r="AD715">
            <v>0</v>
          </cell>
        </row>
        <row r="716">
          <cell r="B716">
            <v>15489</v>
          </cell>
          <cell r="C716" t="str">
            <v>DIVIDEND (LIAB) A/C (1734-1742)</v>
          </cell>
          <cell r="D716">
            <v>0</v>
          </cell>
          <cell r="E716">
            <v>0</v>
          </cell>
          <cell r="F716">
            <v>0</v>
          </cell>
          <cell r="G716">
            <v>0</v>
          </cell>
          <cell r="H716">
            <v>0</v>
          </cell>
          <cell r="I716">
            <v>0</v>
          </cell>
          <cell r="J716">
            <v>0</v>
          </cell>
          <cell r="K716">
            <v>0</v>
          </cell>
          <cell r="L716">
            <v>241367.82</v>
          </cell>
          <cell r="M716">
            <v>-48433160.329999998</v>
          </cell>
          <cell r="N716">
            <v>0</v>
          </cell>
          <cell r="O716">
            <v>0</v>
          </cell>
          <cell r="P716">
            <v>0</v>
          </cell>
          <cell r="Q716">
            <v>0</v>
          </cell>
          <cell r="S716">
            <v>-48191792.509999998</v>
          </cell>
          <cell r="T716">
            <v>0</v>
          </cell>
          <cell r="U716">
            <v>-935750.51</v>
          </cell>
          <cell r="V716">
            <v>0</v>
          </cell>
          <cell r="W716">
            <v>-47256042</v>
          </cell>
          <cell r="X716">
            <v>0</v>
          </cell>
          <cell r="Y716">
            <v>-48191792.509999998</v>
          </cell>
          <cell r="Z716">
            <v>0</v>
          </cell>
          <cell r="AA716">
            <v>-48191792.509999998</v>
          </cell>
          <cell r="AC716">
            <v>15489</v>
          </cell>
          <cell r="AD716">
            <v>0</v>
          </cell>
        </row>
        <row r="717">
          <cell r="S717">
            <v>0</v>
          </cell>
          <cell r="T717">
            <v>0</v>
          </cell>
          <cell r="U717">
            <v>0</v>
          </cell>
          <cell r="V717">
            <v>0</v>
          </cell>
          <cell r="W717">
            <v>0</v>
          </cell>
          <cell r="X717">
            <v>0</v>
          </cell>
          <cell r="Y717">
            <v>0</v>
          </cell>
          <cell r="Z717">
            <v>0</v>
          </cell>
          <cell r="AA717">
            <v>0</v>
          </cell>
          <cell r="AC717">
            <v>0</v>
          </cell>
          <cell r="AD717">
            <v>0</v>
          </cell>
        </row>
        <row r="718">
          <cell r="B718">
            <v>15497</v>
          </cell>
          <cell r="C718" t="str">
            <v>DEPOSIT RECEIVED</v>
          </cell>
          <cell r="D718">
            <v>1524102</v>
          </cell>
          <cell r="E718">
            <v>-2908384</v>
          </cell>
          <cell r="F718">
            <v>1891092</v>
          </cell>
          <cell r="G718">
            <v>-7326282.0300000003</v>
          </cell>
          <cell r="H718">
            <v>0</v>
          </cell>
          <cell r="I718">
            <v>0</v>
          </cell>
          <cell r="J718">
            <v>0</v>
          </cell>
          <cell r="K718">
            <v>0</v>
          </cell>
          <cell r="L718">
            <v>0</v>
          </cell>
          <cell r="M718">
            <v>0</v>
          </cell>
          <cell r="N718">
            <v>0</v>
          </cell>
          <cell r="O718">
            <v>0</v>
          </cell>
          <cell r="P718">
            <v>3415194</v>
          </cell>
          <cell r="Q718">
            <v>-10234666.029999999</v>
          </cell>
          <cell r="S718">
            <v>-1384282</v>
          </cell>
          <cell r="T718">
            <v>-5435190.0300000003</v>
          </cell>
          <cell r="U718">
            <v>-1732143</v>
          </cell>
          <cell r="V718">
            <v>-5165815.03</v>
          </cell>
          <cell r="W718">
            <v>347861</v>
          </cell>
          <cell r="X718">
            <v>-269375</v>
          </cell>
          <cell r="Y718">
            <v>-1384282</v>
          </cell>
          <cell r="Z718">
            <v>-5435190.0300000003</v>
          </cell>
          <cell r="AA718">
            <v>-6819472.0300000003</v>
          </cell>
          <cell r="AC718">
            <v>15497</v>
          </cell>
          <cell r="AD718">
            <v>0</v>
          </cell>
        </row>
        <row r="719">
          <cell r="S719">
            <v>0</v>
          </cell>
          <cell r="T719">
            <v>0</v>
          </cell>
          <cell r="U719">
            <v>0</v>
          </cell>
          <cell r="V719">
            <v>0</v>
          </cell>
          <cell r="W719">
            <v>0</v>
          </cell>
          <cell r="X719">
            <v>0</v>
          </cell>
          <cell r="Y719">
            <v>0</v>
          </cell>
          <cell r="Z719">
            <v>0</v>
          </cell>
          <cell r="AA719">
            <v>0</v>
          </cell>
          <cell r="AC719">
            <v>0</v>
          </cell>
          <cell r="AD719">
            <v>0</v>
          </cell>
        </row>
        <row r="720">
          <cell r="B720">
            <v>15498</v>
          </cell>
          <cell r="C720" t="str">
            <v>EMD RECEIVED</v>
          </cell>
          <cell r="D720">
            <v>979500</v>
          </cell>
          <cell r="E720">
            <v>-584500</v>
          </cell>
          <cell r="F720">
            <v>0</v>
          </cell>
          <cell r="G720">
            <v>0</v>
          </cell>
          <cell r="H720">
            <v>0</v>
          </cell>
          <cell r="I720">
            <v>0</v>
          </cell>
          <cell r="J720">
            <v>0</v>
          </cell>
          <cell r="K720">
            <v>0</v>
          </cell>
          <cell r="L720">
            <v>0</v>
          </cell>
          <cell r="M720">
            <v>0</v>
          </cell>
          <cell r="N720">
            <v>0</v>
          </cell>
          <cell r="O720">
            <v>0</v>
          </cell>
          <cell r="P720">
            <v>979500</v>
          </cell>
          <cell r="Q720">
            <v>-584500</v>
          </cell>
          <cell r="S720">
            <v>395000</v>
          </cell>
          <cell r="T720">
            <v>0</v>
          </cell>
          <cell r="U720">
            <v>395000</v>
          </cell>
          <cell r="V720">
            <v>0</v>
          </cell>
          <cell r="W720">
            <v>0</v>
          </cell>
          <cell r="X720">
            <v>0</v>
          </cell>
          <cell r="Y720">
            <v>395000</v>
          </cell>
          <cell r="Z720">
            <v>0</v>
          </cell>
          <cell r="AA720">
            <v>395000</v>
          </cell>
          <cell r="AC720">
            <v>15498</v>
          </cell>
          <cell r="AD720">
            <v>0</v>
          </cell>
        </row>
        <row r="721">
          <cell r="S721">
            <v>0</v>
          </cell>
          <cell r="T721">
            <v>0</v>
          </cell>
          <cell r="U721">
            <v>0</v>
          </cell>
          <cell r="V721">
            <v>0</v>
          </cell>
          <cell r="W721">
            <v>0</v>
          </cell>
          <cell r="X721">
            <v>0</v>
          </cell>
          <cell r="Y721">
            <v>0</v>
          </cell>
          <cell r="Z721">
            <v>0</v>
          </cell>
          <cell r="AA721">
            <v>0</v>
          </cell>
          <cell r="AC721">
            <v>0</v>
          </cell>
          <cell r="AD721">
            <v>0</v>
          </cell>
        </row>
        <row r="722">
          <cell r="B722">
            <v>15499</v>
          </cell>
          <cell r="C722" t="str">
            <v>ADVANCE RECEIVED FROM CUST</v>
          </cell>
          <cell r="D722">
            <v>5168815.7300000004</v>
          </cell>
          <cell r="E722">
            <v>-6959491.96</v>
          </cell>
          <cell r="F722">
            <v>0</v>
          </cell>
          <cell r="G722">
            <v>-278091</v>
          </cell>
          <cell r="H722">
            <v>0</v>
          </cell>
          <cell r="I722">
            <v>0</v>
          </cell>
          <cell r="J722">
            <v>0</v>
          </cell>
          <cell r="K722">
            <v>0</v>
          </cell>
          <cell r="L722">
            <v>0</v>
          </cell>
          <cell r="M722">
            <v>0</v>
          </cell>
          <cell r="N722">
            <v>0</v>
          </cell>
          <cell r="O722">
            <v>0</v>
          </cell>
          <cell r="P722">
            <v>5168815.7300000004</v>
          </cell>
          <cell r="Q722">
            <v>-7237582.96</v>
          </cell>
          <cell r="S722">
            <v>-1790676.2299999995</v>
          </cell>
          <cell r="T722">
            <v>-278091</v>
          </cell>
          <cell r="U722">
            <v>-1942505.96</v>
          </cell>
          <cell r="V722">
            <v>0</v>
          </cell>
          <cell r="W722">
            <v>151829.73000000045</v>
          </cell>
          <cell r="X722">
            <v>-278091</v>
          </cell>
          <cell r="Y722">
            <v>-1790676.2299999995</v>
          </cell>
          <cell r="Z722">
            <v>-278091</v>
          </cell>
          <cell r="AA722">
            <v>-2068767.2299999995</v>
          </cell>
          <cell r="AC722">
            <v>15499</v>
          </cell>
          <cell r="AD722">
            <v>0</v>
          </cell>
        </row>
        <row r="723">
          <cell r="S723">
            <v>0</v>
          </cell>
          <cell r="T723">
            <v>0</v>
          </cell>
          <cell r="U723">
            <v>0</v>
          </cell>
          <cell r="V723">
            <v>0</v>
          </cell>
          <cell r="W723">
            <v>0</v>
          </cell>
          <cell r="X723">
            <v>0</v>
          </cell>
          <cell r="Y723">
            <v>0</v>
          </cell>
          <cell r="Z723">
            <v>0</v>
          </cell>
          <cell r="AA723">
            <v>0</v>
          </cell>
          <cell r="AC723">
            <v>0</v>
          </cell>
          <cell r="AD723">
            <v>0</v>
          </cell>
        </row>
        <row r="724">
          <cell r="B724">
            <v>15500</v>
          </cell>
          <cell r="C724" t="str">
            <v>DEBTORS CREDIT BALANCES (2010-11)</v>
          </cell>
          <cell r="D724">
            <v>798126.82</v>
          </cell>
          <cell r="E724">
            <v>-1421966.64</v>
          </cell>
          <cell r="F724">
            <v>3541875.74</v>
          </cell>
          <cell r="G724">
            <v>-5462699.9199999999</v>
          </cell>
          <cell r="H724">
            <v>0</v>
          </cell>
          <cell r="I724">
            <v>0</v>
          </cell>
          <cell r="J724">
            <v>0</v>
          </cell>
          <cell r="K724">
            <v>0</v>
          </cell>
          <cell r="L724">
            <v>0</v>
          </cell>
          <cell r="M724">
            <v>0</v>
          </cell>
          <cell r="N724">
            <v>0</v>
          </cell>
          <cell r="O724">
            <v>0</v>
          </cell>
          <cell r="P724">
            <v>4340002.5599999996</v>
          </cell>
          <cell r="Q724">
            <v>-6884666.5599999996</v>
          </cell>
          <cell r="S724">
            <v>-623839.81999999995</v>
          </cell>
          <cell r="T724">
            <v>-1920824.1799999997</v>
          </cell>
          <cell r="U724">
            <v>-623839.81999999995</v>
          </cell>
          <cell r="V724">
            <v>-1920824.18</v>
          </cell>
          <cell r="W724">
            <v>0</v>
          </cell>
          <cell r="X724">
            <v>0</v>
          </cell>
          <cell r="Y724">
            <v>-623839.81999999995</v>
          </cell>
          <cell r="Z724">
            <v>-1920824.18</v>
          </cell>
          <cell r="AA724">
            <v>-2544664</v>
          </cell>
          <cell r="AC724">
            <v>15500</v>
          </cell>
          <cell r="AD724">
            <v>0</v>
          </cell>
        </row>
        <row r="725">
          <cell r="S725">
            <v>0</v>
          </cell>
          <cell r="T725">
            <v>0</v>
          </cell>
          <cell r="U725">
            <v>0</v>
          </cell>
          <cell r="V725">
            <v>0</v>
          </cell>
          <cell r="W725">
            <v>0</v>
          </cell>
          <cell r="X725">
            <v>0</v>
          </cell>
          <cell r="Y725">
            <v>0</v>
          </cell>
          <cell r="Z725">
            <v>0</v>
          </cell>
          <cell r="AA725">
            <v>0</v>
          </cell>
          <cell r="AC725">
            <v>0</v>
          </cell>
          <cell r="AD725">
            <v>0</v>
          </cell>
        </row>
        <row r="726">
          <cell r="B726">
            <v>15506</v>
          </cell>
          <cell r="C726" t="str">
            <v>VAT PAYABLE</v>
          </cell>
          <cell r="D726">
            <v>79193754.219999999</v>
          </cell>
          <cell r="E726">
            <v>-63405532.280000001</v>
          </cell>
          <cell r="F726">
            <v>45962756.32</v>
          </cell>
          <cell r="G726">
            <v>-83851096.909999996</v>
          </cell>
          <cell r="H726">
            <v>467723.84</v>
          </cell>
          <cell r="I726">
            <v>-459785</v>
          </cell>
          <cell r="J726">
            <v>47211</v>
          </cell>
          <cell r="K726">
            <v>-49037</v>
          </cell>
          <cell r="L726">
            <v>12138.39</v>
          </cell>
          <cell r="M726">
            <v>-63.5</v>
          </cell>
          <cell r="N726">
            <v>0</v>
          </cell>
          <cell r="O726">
            <v>0</v>
          </cell>
          <cell r="P726">
            <v>125671445.38</v>
          </cell>
          <cell r="Q726">
            <v>-147765451.19</v>
          </cell>
          <cell r="S726">
            <v>15800296.829999998</v>
          </cell>
          <cell r="T726">
            <v>-37882227.749999993</v>
          </cell>
          <cell r="U726">
            <v>-31970</v>
          </cell>
          <cell r="V726">
            <v>-195546.3</v>
          </cell>
          <cell r="W726">
            <v>15832266.829999998</v>
          </cell>
          <cell r="X726">
            <v>-37686681.449999996</v>
          </cell>
          <cell r="Y726">
            <v>15800296.829999998</v>
          </cell>
          <cell r="Z726">
            <v>-37882227.749999993</v>
          </cell>
          <cell r="AA726">
            <v>-22081930.919999994</v>
          </cell>
          <cell r="AC726">
            <v>15506</v>
          </cell>
          <cell r="AD726">
            <v>0</v>
          </cell>
        </row>
        <row r="727">
          <cell r="S727">
            <v>0</v>
          </cell>
          <cell r="T727">
            <v>0</v>
          </cell>
          <cell r="U727">
            <v>0</v>
          </cell>
          <cell r="V727">
            <v>0</v>
          </cell>
          <cell r="W727">
            <v>0</v>
          </cell>
          <cell r="X727">
            <v>0</v>
          </cell>
          <cell r="Y727">
            <v>0</v>
          </cell>
          <cell r="Z727">
            <v>0</v>
          </cell>
          <cell r="AA727">
            <v>0</v>
          </cell>
          <cell r="AC727">
            <v>0</v>
          </cell>
          <cell r="AD727">
            <v>0</v>
          </cell>
        </row>
        <row r="728">
          <cell r="B728">
            <v>15507</v>
          </cell>
          <cell r="C728" t="str">
            <v>VAT RECEIVABLE</v>
          </cell>
          <cell r="D728">
            <v>13597358.75</v>
          </cell>
          <cell r="E728">
            <v>-13114357.310000001</v>
          </cell>
          <cell r="F728">
            <v>3996168.28</v>
          </cell>
          <cell r="G728">
            <v>-3701499.41</v>
          </cell>
          <cell r="H728">
            <v>20735</v>
          </cell>
          <cell r="I728">
            <v>-20735</v>
          </cell>
          <cell r="J728">
            <v>13158</v>
          </cell>
          <cell r="K728">
            <v>-13158</v>
          </cell>
          <cell r="L728">
            <v>349432.54</v>
          </cell>
          <cell r="M728">
            <v>-261512.93</v>
          </cell>
          <cell r="N728">
            <v>0</v>
          </cell>
          <cell r="O728">
            <v>0</v>
          </cell>
          <cell r="P728">
            <v>17627420.030000001</v>
          </cell>
          <cell r="Q728">
            <v>-16849749.719999999</v>
          </cell>
          <cell r="S728">
            <v>570921.04999999958</v>
          </cell>
          <cell r="T728">
            <v>294668.86999999965</v>
          </cell>
          <cell r="U728">
            <v>50071</v>
          </cell>
          <cell r="V728">
            <v>0</v>
          </cell>
          <cell r="W728">
            <v>520850.04999999958</v>
          </cell>
          <cell r="X728">
            <v>294668.86999999965</v>
          </cell>
          <cell r="Y728">
            <v>570921.04999999958</v>
          </cell>
          <cell r="Z728">
            <v>294668.86999999965</v>
          </cell>
          <cell r="AA728">
            <v>865589.91999999923</v>
          </cell>
          <cell r="AC728">
            <v>15507</v>
          </cell>
          <cell r="AD728">
            <v>0</v>
          </cell>
        </row>
        <row r="729">
          <cell r="S729">
            <v>0</v>
          </cell>
          <cell r="T729">
            <v>0</v>
          </cell>
          <cell r="U729">
            <v>0</v>
          </cell>
          <cell r="V729">
            <v>0</v>
          </cell>
          <cell r="W729">
            <v>0</v>
          </cell>
          <cell r="X729">
            <v>0</v>
          </cell>
          <cell r="Y729">
            <v>0</v>
          </cell>
          <cell r="Z729">
            <v>0</v>
          </cell>
          <cell r="AA729">
            <v>0</v>
          </cell>
          <cell r="AC729">
            <v>0</v>
          </cell>
          <cell r="AD729">
            <v>0</v>
          </cell>
        </row>
        <row r="730">
          <cell r="B730">
            <v>15511</v>
          </cell>
          <cell r="C730" t="str">
            <v>CST PAYABLE</v>
          </cell>
          <cell r="D730">
            <v>3631710.08</v>
          </cell>
          <cell r="E730">
            <v>-6688290.4800000004</v>
          </cell>
          <cell r="F730">
            <v>6569149.25</v>
          </cell>
          <cell r="G730">
            <v>-12208651.35</v>
          </cell>
          <cell r="H730">
            <v>121673.4</v>
          </cell>
          <cell r="I730">
            <v>-119336.3</v>
          </cell>
          <cell r="J730">
            <v>4887.1000000000004</v>
          </cell>
          <cell r="K730">
            <v>-4887.1000000000004</v>
          </cell>
          <cell r="L730">
            <v>0</v>
          </cell>
          <cell r="M730">
            <v>0</v>
          </cell>
          <cell r="N730">
            <v>0</v>
          </cell>
          <cell r="O730">
            <v>0</v>
          </cell>
          <cell r="P730">
            <v>10327419.83</v>
          </cell>
          <cell r="Q730">
            <v>-19021165.23</v>
          </cell>
          <cell r="S730">
            <v>-3056580.4000000004</v>
          </cell>
          <cell r="T730">
            <v>-5637164.9999999991</v>
          </cell>
          <cell r="U730">
            <v>0</v>
          </cell>
          <cell r="V730">
            <v>0</v>
          </cell>
          <cell r="W730">
            <v>-3056580.4000000004</v>
          </cell>
          <cell r="X730">
            <v>-5637164.9999999991</v>
          </cell>
          <cell r="Y730">
            <v>-3056580.4000000004</v>
          </cell>
          <cell r="Z730">
            <v>-5637164.9999999991</v>
          </cell>
          <cell r="AA730">
            <v>-8693745.3999999985</v>
          </cell>
          <cell r="AC730">
            <v>15511</v>
          </cell>
          <cell r="AD730">
            <v>0</v>
          </cell>
        </row>
        <row r="731">
          <cell r="S731">
            <v>0</v>
          </cell>
          <cell r="T731">
            <v>0</v>
          </cell>
          <cell r="U731">
            <v>0</v>
          </cell>
          <cell r="V731">
            <v>0</v>
          </cell>
          <cell r="W731">
            <v>0</v>
          </cell>
          <cell r="X731">
            <v>0</v>
          </cell>
          <cell r="Y731">
            <v>0</v>
          </cell>
          <cell r="Z731">
            <v>0</v>
          </cell>
          <cell r="AA731">
            <v>0</v>
          </cell>
          <cell r="AC731">
            <v>0</v>
          </cell>
          <cell r="AD731">
            <v>0</v>
          </cell>
        </row>
        <row r="732">
          <cell r="B732">
            <v>15518</v>
          </cell>
          <cell r="C732" t="str">
            <v>COCHIN VAT PAYABLE</v>
          </cell>
          <cell r="D732">
            <v>0</v>
          </cell>
          <cell r="E732">
            <v>0</v>
          </cell>
          <cell r="F732">
            <v>143658</v>
          </cell>
          <cell r="G732">
            <v>-143658</v>
          </cell>
          <cell r="H732">
            <v>0</v>
          </cell>
          <cell r="I732">
            <v>0</v>
          </cell>
          <cell r="J732">
            <v>0</v>
          </cell>
          <cell r="K732">
            <v>0</v>
          </cell>
          <cell r="L732">
            <v>0</v>
          </cell>
          <cell r="M732">
            <v>0</v>
          </cell>
          <cell r="N732">
            <v>0</v>
          </cell>
          <cell r="O732">
            <v>0</v>
          </cell>
          <cell r="P732">
            <v>143658</v>
          </cell>
          <cell r="Q732">
            <v>-143658</v>
          </cell>
          <cell r="S732">
            <v>0</v>
          </cell>
          <cell r="T732">
            <v>0</v>
          </cell>
          <cell r="U732">
            <v>0</v>
          </cell>
          <cell r="V732">
            <v>0</v>
          </cell>
          <cell r="W732">
            <v>0</v>
          </cell>
          <cell r="X732">
            <v>0</v>
          </cell>
          <cell r="Y732">
            <v>0</v>
          </cell>
          <cell r="Z732">
            <v>0</v>
          </cell>
          <cell r="AA732">
            <v>0</v>
          </cell>
          <cell r="AC732">
            <v>15518</v>
          </cell>
          <cell r="AD732">
            <v>0</v>
          </cell>
        </row>
        <row r="733">
          <cell r="S733">
            <v>0</v>
          </cell>
          <cell r="T733">
            <v>0</v>
          </cell>
          <cell r="U733">
            <v>0</v>
          </cell>
          <cell r="V733">
            <v>0</v>
          </cell>
          <cell r="W733">
            <v>0</v>
          </cell>
          <cell r="X733">
            <v>0</v>
          </cell>
          <cell r="Y733">
            <v>0</v>
          </cell>
          <cell r="Z733">
            <v>0</v>
          </cell>
          <cell r="AA733">
            <v>0</v>
          </cell>
          <cell r="AC733">
            <v>0</v>
          </cell>
          <cell r="AD733">
            <v>0</v>
          </cell>
        </row>
        <row r="734">
          <cell r="B734">
            <v>15522</v>
          </cell>
          <cell r="C734" t="str">
            <v>CST PAYABLE (COCHIN)</v>
          </cell>
          <cell r="D734">
            <v>0</v>
          </cell>
          <cell r="E734">
            <v>0</v>
          </cell>
          <cell r="F734">
            <v>4083.7</v>
          </cell>
          <cell r="G734">
            <v>-13113</v>
          </cell>
          <cell r="H734">
            <v>0</v>
          </cell>
          <cell r="I734">
            <v>0</v>
          </cell>
          <cell r="J734">
            <v>0</v>
          </cell>
          <cell r="K734">
            <v>0</v>
          </cell>
          <cell r="L734">
            <v>0</v>
          </cell>
          <cell r="M734">
            <v>0</v>
          </cell>
          <cell r="N734">
            <v>0</v>
          </cell>
          <cell r="O734">
            <v>0</v>
          </cell>
          <cell r="P734">
            <v>4083.7</v>
          </cell>
          <cell r="Q734">
            <v>-13113</v>
          </cell>
          <cell r="S734">
            <v>0</v>
          </cell>
          <cell r="T734">
            <v>-9029.2999999999993</v>
          </cell>
          <cell r="U734">
            <v>0</v>
          </cell>
          <cell r="V734">
            <v>0</v>
          </cell>
          <cell r="W734">
            <v>0</v>
          </cell>
          <cell r="X734">
            <v>-9029.2999999999993</v>
          </cell>
          <cell r="Y734">
            <v>0</v>
          </cell>
          <cell r="Z734">
            <v>-9029.2999999999993</v>
          </cell>
          <cell r="AA734">
            <v>-9029.2999999999993</v>
          </cell>
          <cell r="AC734">
            <v>15522</v>
          </cell>
          <cell r="AD734">
            <v>0</v>
          </cell>
        </row>
        <row r="735">
          <cell r="S735">
            <v>0</v>
          </cell>
          <cell r="T735">
            <v>0</v>
          </cell>
          <cell r="U735">
            <v>0</v>
          </cell>
          <cell r="V735">
            <v>0</v>
          </cell>
          <cell r="W735">
            <v>0</v>
          </cell>
          <cell r="X735">
            <v>0</v>
          </cell>
          <cell r="Y735">
            <v>0</v>
          </cell>
          <cell r="Z735">
            <v>0</v>
          </cell>
          <cell r="AA735">
            <v>0</v>
          </cell>
          <cell r="AC735">
            <v>0</v>
          </cell>
          <cell r="AD735">
            <v>0</v>
          </cell>
        </row>
        <row r="736">
          <cell r="B736">
            <v>15526</v>
          </cell>
          <cell r="C736" t="str">
            <v>LIABILITES TOWARDS SALES TAX</v>
          </cell>
          <cell r="D736">
            <v>0</v>
          </cell>
          <cell r="E736">
            <v>-4897049</v>
          </cell>
          <cell r="F736">
            <v>0</v>
          </cell>
          <cell r="G736">
            <v>-6603701</v>
          </cell>
          <cell r="H736">
            <v>0</v>
          </cell>
          <cell r="I736">
            <v>0</v>
          </cell>
          <cell r="J736">
            <v>0</v>
          </cell>
          <cell r="K736">
            <v>0</v>
          </cell>
          <cell r="L736">
            <v>0</v>
          </cell>
          <cell r="M736">
            <v>0</v>
          </cell>
          <cell r="N736">
            <v>0</v>
          </cell>
          <cell r="O736">
            <v>0</v>
          </cell>
          <cell r="P736">
            <v>0</v>
          </cell>
          <cell r="Q736">
            <v>-11500750</v>
          </cell>
          <cell r="S736">
            <v>-4897049</v>
          </cell>
          <cell r="T736">
            <v>-6603701</v>
          </cell>
          <cell r="U736">
            <v>-4897049</v>
          </cell>
          <cell r="V736">
            <v>-6603701</v>
          </cell>
          <cell r="W736">
            <v>0</v>
          </cell>
          <cell r="X736">
            <v>0</v>
          </cell>
          <cell r="Y736">
            <v>-4897049</v>
          </cell>
          <cell r="Z736">
            <v>-6603701</v>
          </cell>
          <cell r="AA736">
            <v>-11500750</v>
          </cell>
          <cell r="AC736">
            <v>15526</v>
          </cell>
          <cell r="AD736">
            <v>0</v>
          </cell>
        </row>
        <row r="737">
          <cell r="S737">
            <v>0</v>
          </cell>
          <cell r="T737">
            <v>0</v>
          </cell>
          <cell r="U737">
            <v>0</v>
          </cell>
          <cell r="V737">
            <v>0</v>
          </cell>
          <cell r="W737">
            <v>0</v>
          </cell>
          <cell r="X737">
            <v>0</v>
          </cell>
          <cell r="Y737">
            <v>0</v>
          </cell>
          <cell r="Z737">
            <v>0</v>
          </cell>
          <cell r="AA737">
            <v>0</v>
          </cell>
          <cell r="AC737">
            <v>0</v>
          </cell>
          <cell r="AD737">
            <v>0</v>
          </cell>
        </row>
        <row r="738">
          <cell r="B738">
            <v>15531</v>
          </cell>
          <cell r="C738" t="str">
            <v>PURCHASE TAX PAYABLE (vat)</v>
          </cell>
          <cell r="D738">
            <v>419250.83</v>
          </cell>
          <cell r="E738">
            <v>-328502.63</v>
          </cell>
          <cell r="F738">
            <v>995521.17</v>
          </cell>
          <cell r="G738">
            <v>-978372.39</v>
          </cell>
          <cell r="H738">
            <v>0</v>
          </cell>
          <cell r="I738">
            <v>0</v>
          </cell>
          <cell r="J738">
            <v>0</v>
          </cell>
          <cell r="K738">
            <v>0</v>
          </cell>
          <cell r="L738">
            <v>0</v>
          </cell>
          <cell r="M738">
            <v>0</v>
          </cell>
          <cell r="N738">
            <v>0</v>
          </cell>
          <cell r="O738">
            <v>0</v>
          </cell>
          <cell r="P738">
            <v>1414772</v>
          </cell>
          <cell r="Q738">
            <v>-1306875.02</v>
          </cell>
          <cell r="S738">
            <v>90748.200000000012</v>
          </cell>
          <cell r="T738">
            <v>17148.780000000028</v>
          </cell>
          <cell r="U738">
            <v>-0.33</v>
          </cell>
          <cell r="V738">
            <v>0</v>
          </cell>
          <cell r="W738">
            <v>90748.530000000013</v>
          </cell>
          <cell r="X738">
            <v>17148.780000000028</v>
          </cell>
          <cell r="Y738">
            <v>90748.200000000012</v>
          </cell>
          <cell r="Z738">
            <v>17148.780000000028</v>
          </cell>
          <cell r="AA738">
            <v>107896.98000000004</v>
          </cell>
          <cell r="AC738">
            <v>15531</v>
          </cell>
          <cell r="AD738">
            <v>0</v>
          </cell>
        </row>
        <row r="739">
          <cell r="S739">
            <v>0</v>
          </cell>
          <cell r="T739">
            <v>0</v>
          </cell>
          <cell r="U739">
            <v>0</v>
          </cell>
          <cell r="V739">
            <v>0</v>
          </cell>
          <cell r="W739">
            <v>0</v>
          </cell>
          <cell r="X739">
            <v>0</v>
          </cell>
          <cell r="Y739">
            <v>0</v>
          </cell>
          <cell r="Z739">
            <v>0</v>
          </cell>
          <cell r="AA739">
            <v>0</v>
          </cell>
          <cell r="AC739">
            <v>0</v>
          </cell>
          <cell r="AD739">
            <v>0</v>
          </cell>
        </row>
        <row r="740">
          <cell r="B740">
            <v>15535</v>
          </cell>
          <cell r="C740" t="str">
            <v>TCS - SCRAP SALES</v>
          </cell>
          <cell r="D740">
            <v>699922</v>
          </cell>
          <cell r="E740">
            <v>-1600335.48</v>
          </cell>
          <cell r="F740">
            <v>23865</v>
          </cell>
          <cell r="G740">
            <v>-24713</v>
          </cell>
          <cell r="H740">
            <v>0</v>
          </cell>
          <cell r="I740">
            <v>0</v>
          </cell>
          <cell r="J740">
            <v>0</v>
          </cell>
          <cell r="K740">
            <v>0</v>
          </cell>
          <cell r="L740">
            <v>0</v>
          </cell>
          <cell r="M740">
            <v>0</v>
          </cell>
          <cell r="N740">
            <v>814272.48</v>
          </cell>
          <cell r="O740">
            <v>0</v>
          </cell>
          <cell r="P740">
            <v>1538059.48</v>
          </cell>
          <cell r="Q740">
            <v>-1625048.48</v>
          </cell>
          <cell r="S740">
            <v>-86141</v>
          </cell>
          <cell r="T740">
            <v>-848</v>
          </cell>
          <cell r="U740">
            <v>0</v>
          </cell>
          <cell r="V740">
            <v>0</v>
          </cell>
          <cell r="W740">
            <v>-86141</v>
          </cell>
          <cell r="X740">
            <v>-848</v>
          </cell>
          <cell r="Y740">
            <v>-86141</v>
          </cell>
          <cell r="Z740">
            <v>-848</v>
          </cell>
          <cell r="AA740">
            <v>-86989</v>
          </cell>
          <cell r="AC740">
            <v>15535</v>
          </cell>
          <cell r="AD740">
            <v>0</v>
          </cell>
        </row>
        <row r="741">
          <cell r="S741">
            <v>0</v>
          </cell>
          <cell r="T741">
            <v>0</v>
          </cell>
          <cell r="U741">
            <v>0</v>
          </cell>
          <cell r="V741">
            <v>0</v>
          </cell>
          <cell r="W741">
            <v>0</v>
          </cell>
          <cell r="X741">
            <v>0</v>
          </cell>
          <cell r="Y741">
            <v>0</v>
          </cell>
          <cell r="Z741">
            <v>0</v>
          </cell>
          <cell r="AA741">
            <v>0</v>
          </cell>
          <cell r="AC741">
            <v>0</v>
          </cell>
          <cell r="AD741">
            <v>0</v>
          </cell>
        </row>
        <row r="742">
          <cell r="E742" t="str">
            <v>SDCT</v>
          </cell>
          <cell r="F742" t="str">
            <v>PCDT</v>
          </cell>
          <cell r="G742" t="str">
            <v>PCDC</v>
          </cell>
          <cell r="I742" t="str">
            <v>PCDN</v>
          </cell>
          <cell r="K742" t="str">
            <v>CORP</v>
          </cell>
          <cell r="M742" t="str">
            <v>OTHER</v>
          </cell>
          <cell r="O742" t="str">
            <v>TOTAL</v>
          </cell>
          <cell r="U742">
            <v>0</v>
          </cell>
          <cell r="V742">
            <v>0</v>
          </cell>
          <cell r="W742">
            <v>0</v>
          </cell>
          <cell r="X742">
            <v>0</v>
          </cell>
          <cell r="Y742">
            <v>0</v>
          </cell>
          <cell r="Z742">
            <v>0</v>
          </cell>
          <cell r="AA742">
            <v>0</v>
          </cell>
          <cell r="AC742">
            <v>0</v>
          </cell>
          <cell r="AD742">
            <v>0</v>
          </cell>
        </row>
        <row r="743">
          <cell r="B743" t="str">
            <v>GL CODE</v>
          </cell>
          <cell r="C743" t="str">
            <v>ACCOUNT HEAD</v>
          </cell>
          <cell r="S743">
            <v>0</v>
          </cell>
          <cell r="T743">
            <v>0</v>
          </cell>
          <cell r="U743" t="str">
            <v>SDCT</v>
          </cell>
          <cell r="V743" t="str">
            <v>PCDT</v>
          </cell>
          <cell r="AA743">
            <v>0</v>
          </cell>
          <cell r="AC743">
            <v>0</v>
          </cell>
          <cell r="AD743" t="e">
            <v>#VALUE!</v>
          </cell>
        </row>
        <row r="744">
          <cell r="S744">
            <v>0</v>
          </cell>
          <cell r="T744">
            <v>0</v>
          </cell>
          <cell r="U744">
            <v>0</v>
          </cell>
          <cell r="V744">
            <v>0</v>
          </cell>
          <cell r="W744">
            <v>0</v>
          </cell>
          <cell r="X744">
            <v>0</v>
          </cell>
          <cell r="Y744">
            <v>0</v>
          </cell>
          <cell r="Z744">
            <v>0</v>
          </cell>
          <cell r="AA744">
            <v>0</v>
          </cell>
          <cell r="AC744">
            <v>0</v>
          </cell>
          <cell r="AD744">
            <v>0</v>
          </cell>
        </row>
        <row r="745">
          <cell r="D745" t="str">
            <v>DR.</v>
          </cell>
          <cell r="E745" t="str">
            <v>CR.</v>
          </cell>
          <cell r="F745" t="str">
            <v>DR.</v>
          </cell>
          <cell r="G745" t="str">
            <v>CR.</v>
          </cell>
          <cell r="H745" t="str">
            <v>DR.</v>
          </cell>
          <cell r="I745" t="str">
            <v>CR.</v>
          </cell>
          <cell r="J745" t="str">
            <v>DR.</v>
          </cell>
          <cell r="K745" t="str">
            <v>CR.</v>
          </cell>
          <cell r="L745" t="str">
            <v>DR.</v>
          </cell>
          <cell r="M745" t="str">
            <v>CR.</v>
          </cell>
          <cell r="N745" t="str">
            <v>DR.</v>
          </cell>
          <cell r="O745" t="str">
            <v>CR.</v>
          </cell>
          <cell r="P745" t="str">
            <v>DR.</v>
          </cell>
          <cell r="Q745" t="str">
            <v>CR.</v>
          </cell>
          <cell r="U745">
            <v>0</v>
          </cell>
          <cell r="V745">
            <v>0</v>
          </cell>
          <cell r="W745">
            <v>0</v>
          </cell>
          <cell r="X745">
            <v>0</v>
          </cell>
          <cell r="Y745">
            <v>0</v>
          </cell>
          <cell r="Z745">
            <v>0</v>
          </cell>
          <cell r="AA745">
            <v>0</v>
          </cell>
          <cell r="AC745">
            <v>0</v>
          </cell>
          <cell r="AD745">
            <v>0</v>
          </cell>
        </row>
        <row r="746">
          <cell r="S746">
            <v>0</v>
          </cell>
          <cell r="T746">
            <v>0</v>
          </cell>
          <cell r="U746">
            <v>0</v>
          </cell>
          <cell r="V746">
            <v>0</v>
          </cell>
          <cell r="W746">
            <v>0</v>
          </cell>
          <cell r="X746">
            <v>0</v>
          </cell>
          <cell r="Y746">
            <v>0</v>
          </cell>
          <cell r="Z746">
            <v>0</v>
          </cell>
          <cell r="AA746">
            <v>0</v>
          </cell>
          <cell r="AC746">
            <v>0</v>
          </cell>
          <cell r="AD746">
            <v>0</v>
          </cell>
        </row>
        <row r="747">
          <cell r="S747">
            <v>0</v>
          </cell>
          <cell r="T747">
            <v>0</v>
          </cell>
          <cell r="U747">
            <v>0</v>
          </cell>
          <cell r="V747">
            <v>0</v>
          </cell>
          <cell r="W747">
            <v>0</v>
          </cell>
          <cell r="X747">
            <v>0</v>
          </cell>
          <cell r="Y747">
            <v>0</v>
          </cell>
          <cell r="Z747">
            <v>0</v>
          </cell>
          <cell r="AA747">
            <v>0</v>
          </cell>
          <cell r="AC747">
            <v>0</v>
          </cell>
          <cell r="AD747">
            <v>0</v>
          </cell>
        </row>
        <row r="748">
          <cell r="B748">
            <v>15537</v>
          </cell>
          <cell r="C748" t="str">
            <v>TDS - EMPLOYEES (192)</v>
          </cell>
          <cell r="D748">
            <v>2009730</v>
          </cell>
          <cell r="E748">
            <v>-1708918</v>
          </cell>
          <cell r="F748">
            <v>2405284</v>
          </cell>
          <cell r="G748">
            <v>-1577151</v>
          </cell>
          <cell r="H748">
            <v>0</v>
          </cell>
          <cell r="I748">
            <v>0</v>
          </cell>
          <cell r="J748">
            <v>0</v>
          </cell>
          <cell r="K748">
            <v>0</v>
          </cell>
          <cell r="L748">
            <v>2961468</v>
          </cell>
          <cell r="M748">
            <v>-1935421</v>
          </cell>
          <cell r="N748">
            <v>0</v>
          </cell>
          <cell r="O748">
            <v>0</v>
          </cell>
          <cell r="P748">
            <v>4415014</v>
          </cell>
          <cell r="Q748">
            <v>-3286069</v>
          </cell>
          <cell r="S748">
            <v>1326859</v>
          </cell>
          <cell r="T748">
            <v>828133</v>
          </cell>
          <cell r="U748">
            <v>-554329</v>
          </cell>
          <cell r="V748">
            <v>-166181</v>
          </cell>
          <cell r="W748">
            <v>1881188</v>
          </cell>
          <cell r="X748">
            <v>994314</v>
          </cell>
          <cell r="Y748">
            <v>1326859</v>
          </cell>
          <cell r="Z748">
            <v>828133</v>
          </cell>
          <cell r="AA748">
            <v>2154992</v>
          </cell>
          <cell r="AC748">
            <v>15537</v>
          </cell>
          <cell r="AD748">
            <v>0</v>
          </cell>
        </row>
        <row r="749">
          <cell r="S749">
            <v>0</v>
          </cell>
          <cell r="T749">
            <v>0</v>
          </cell>
          <cell r="U749">
            <v>0</v>
          </cell>
          <cell r="V749">
            <v>0</v>
          </cell>
          <cell r="W749">
            <v>0</v>
          </cell>
          <cell r="X749">
            <v>0</v>
          </cell>
          <cell r="Y749">
            <v>0</v>
          </cell>
          <cell r="Z749">
            <v>0</v>
          </cell>
          <cell r="AA749">
            <v>0</v>
          </cell>
          <cell r="AC749">
            <v>0</v>
          </cell>
          <cell r="AD749">
            <v>0</v>
          </cell>
        </row>
        <row r="750">
          <cell r="B750">
            <v>15538</v>
          </cell>
          <cell r="C750" t="str">
            <v>TDS - INT OTHER THAN SECURITIES (193)</v>
          </cell>
          <cell r="D750">
            <v>117733</v>
          </cell>
          <cell r="E750">
            <v>-130308</v>
          </cell>
          <cell r="F750">
            <v>25198</v>
          </cell>
          <cell r="G750">
            <v>-25198</v>
          </cell>
          <cell r="H750">
            <v>0</v>
          </cell>
          <cell r="I750">
            <v>0</v>
          </cell>
          <cell r="J750">
            <v>0</v>
          </cell>
          <cell r="K750">
            <v>0</v>
          </cell>
          <cell r="L750">
            <v>0</v>
          </cell>
          <cell r="M750">
            <v>-58685</v>
          </cell>
          <cell r="N750">
            <v>71260</v>
          </cell>
          <cell r="O750">
            <v>0</v>
          </cell>
          <cell r="P750">
            <v>214191</v>
          </cell>
          <cell r="Q750">
            <v>-155506</v>
          </cell>
          <cell r="S750">
            <v>0</v>
          </cell>
          <cell r="T750">
            <v>0</v>
          </cell>
          <cell r="U750">
            <v>0</v>
          </cell>
          <cell r="V750">
            <v>-18426</v>
          </cell>
          <cell r="W750">
            <v>0</v>
          </cell>
          <cell r="X750">
            <v>18426</v>
          </cell>
          <cell r="Y750">
            <v>0</v>
          </cell>
          <cell r="Z750">
            <v>0</v>
          </cell>
          <cell r="AA750">
            <v>0</v>
          </cell>
          <cell r="AC750">
            <v>15538</v>
          </cell>
          <cell r="AD750">
            <v>0</v>
          </cell>
        </row>
        <row r="751">
          <cell r="S751">
            <v>0</v>
          </cell>
          <cell r="T751">
            <v>0</v>
          </cell>
          <cell r="U751">
            <v>0</v>
          </cell>
          <cell r="V751">
            <v>0</v>
          </cell>
          <cell r="W751">
            <v>0</v>
          </cell>
          <cell r="X751">
            <v>0</v>
          </cell>
          <cell r="Y751">
            <v>0</v>
          </cell>
          <cell r="Z751">
            <v>0</v>
          </cell>
          <cell r="AA751">
            <v>0</v>
          </cell>
          <cell r="AC751">
            <v>0</v>
          </cell>
          <cell r="AD751">
            <v>0</v>
          </cell>
        </row>
        <row r="752">
          <cell r="B752">
            <v>15539</v>
          </cell>
          <cell r="C752" t="str">
            <v>TDS - CONTRACTORS (194 C)</v>
          </cell>
          <cell r="D752">
            <v>855523</v>
          </cell>
          <cell r="E752">
            <v>-1503869</v>
          </cell>
          <cell r="F752">
            <v>976005</v>
          </cell>
          <cell r="G752">
            <v>-1931789</v>
          </cell>
          <cell r="H752">
            <v>20920</v>
          </cell>
          <cell r="I752">
            <v>-21078</v>
          </cell>
          <cell r="J752">
            <v>5209</v>
          </cell>
          <cell r="K752">
            <v>-5209</v>
          </cell>
          <cell r="L752">
            <v>73754</v>
          </cell>
          <cell r="M752">
            <v>-119757</v>
          </cell>
          <cell r="N752">
            <v>1555517</v>
          </cell>
          <cell r="O752">
            <v>0</v>
          </cell>
          <cell r="P752">
            <v>3413174</v>
          </cell>
          <cell r="Q752">
            <v>-3461945</v>
          </cell>
          <cell r="S752">
            <v>861168</v>
          </cell>
          <cell r="T752">
            <v>-955942</v>
          </cell>
          <cell r="U752">
            <v>869109</v>
          </cell>
          <cell r="V752">
            <v>-869109</v>
          </cell>
          <cell r="W752">
            <v>-7941</v>
          </cell>
          <cell r="X752">
            <v>-86833</v>
          </cell>
          <cell r="Y752">
            <v>861168</v>
          </cell>
          <cell r="Z752">
            <v>-955942</v>
          </cell>
          <cell r="AA752">
            <v>-94774</v>
          </cell>
          <cell r="AC752">
            <v>15539</v>
          </cell>
          <cell r="AD752">
            <v>0</v>
          </cell>
        </row>
        <row r="753">
          <cell r="S753">
            <v>0</v>
          </cell>
          <cell r="T753">
            <v>0</v>
          </cell>
          <cell r="U753">
            <v>0</v>
          </cell>
          <cell r="V753">
            <v>0</v>
          </cell>
          <cell r="W753">
            <v>0</v>
          </cell>
          <cell r="X753">
            <v>0</v>
          </cell>
          <cell r="Y753">
            <v>0</v>
          </cell>
          <cell r="Z753">
            <v>0</v>
          </cell>
          <cell r="AA753">
            <v>0</v>
          </cell>
          <cell r="AC753">
            <v>0</v>
          </cell>
          <cell r="AD753">
            <v>0</v>
          </cell>
        </row>
        <row r="754">
          <cell r="B754">
            <v>15540</v>
          </cell>
          <cell r="C754" t="str">
            <v>TDS - COMMISSION/ BROKERAGE (195 H)</v>
          </cell>
          <cell r="D754">
            <v>0</v>
          </cell>
          <cell r="E754">
            <v>-18113.72</v>
          </cell>
          <cell r="F754">
            <v>173453</v>
          </cell>
          <cell r="G754">
            <v>-687017</v>
          </cell>
          <cell r="H754">
            <v>0</v>
          </cell>
          <cell r="I754">
            <v>0</v>
          </cell>
          <cell r="J754">
            <v>0</v>
          </cell>
          <cell r="K754">
            <v>0</v>
          </cell>
          <cell r="L754">
            <v>0</v>
          </cell>
          <cell r="M754">
            <v>0</v>
          </cell>
          <cell r="N754">
            <v>531677.72</v>
          </cell>
          <cell r="O754">
            <v>0</v>
          </cell>
          <cell r="P754">
            <v>705130.72</v>
          </cell>
          <cell r="Q754">
            <v>-705130.72</v>
          </cell>
          <cell r="S754">
            <v>513564</v>
          </cell>
          <cell r="T754">
            <v>-513564</v>
          </cell>
          <cell r="U754">
            <v>513564</v>
          </cell>
          <cell r="V754">
            <v>-513564</v>
          </cell>
          <cell r="W754">
            <v>0</v>
          </cell>
          <cell r="X754">
            <v>0</v>
          </cell>
          <cell r="Y754">
            <v>513564</v>
          </cell>
          <cell r="Z754">
            <v>-513564</v>
          </cell>
          <cell r="AA754">
            <v>0</v>
          </cell>
          <cell r="AC754">
            <v>15540</v>
          </cell>
          <cell r="AD754">
            <v>0</v>
          </cell>
        </row>
        <row r="755">
          <cell r="S755">
            <v>0</v>
          </cell>
          <cell r="T755">
            <v>0</v>
          </cell>
          <cell r="U755">
            <v>0</v>
          </cell>
          <cell r="V755">
            <v>0</v>
          </cell>
          <cell r="W755">
            <v>0</v>
          </cell>
          <cell r="X755">
            <v>0</v>
          </cell>
          <cell r="Y755">
            <v>0</v>
          </cell>
          <cell r="Z755">
            <v>0</v>
          </cell>
          <cell r="AA755">
            <v>0</v>
          </cell>
          <cell r="AC755">
            <v>0</v>
          </cell>
          <cell r="AD755">
            <v>0</v>
          </cell>
        </row>
        <row r="756">
          <cell r="B756">
            <v>15541</v>
          </cell>
          <cell r="C756" t="str">
            <v>TDS - RENT (194 I)</v>
          </cell>
          <cell r="D756">
            <v>5951</v>
          </cell>
          <cell r="E756">
            <v>-23928</v>
          </cell>
          <cell r="F756">
            <v>79989</v>
          </cell>
          <cell r="G756">
            <v>-98412</v>
          </cell>
          <cell r="H756">
            <v>0</v>
          </cell>
          <cell r="I756">
            <v>0</v>
          </cell>
          <cell r="J756">
            <v>0</v>
          </cell>
          <cell r="K756">
            <v>0</v>
          </cell>
          <cell r="L756">
            <v>12591</v>
          </cell>
          <cell r="M756">
            <v>-27280</v>
          </cell>
          <cell r="N756">
            <v>34438</v>
          </cell>
          <cell r="O756">
            <v>0</v>
          </cell>
          <cell r="P756">
            <v>120378</v>
          </cell>
          <cell r="Q756">
            <v>-122340</v>
          </cell>
          <cell r="S756">
            <v>1772</v>
          </cell>
          <cell r="T756">
            <v>-18423</v>
          </cell>
          <cell r="U756">
            <v>13674</v>
          </cell>
          <cell r="V756">
            <v>-13674</v>
          </cell>
          <cell r="W756">
            <v>-11902</v>
          </cell>
          <cell r="X756">
            <v>-4749</v>
          </cell>
          <cell r="Y756">
            <v>1772</v>
          </cell>
          <cell r="Z756">
            <v>-18423</v>
          </cell>
          <cell r="AA756">
            <v>-16651</v>
          </cell>
          <cell r="AC756">
            <v>15541</v>
          </cell>
          <cell r="AD756">
            <v>0</v>
          </cell>
        </row>
        <row r="757">
          <cell r="S757">
            <v>0</v>
          </cell>
          <cell r="T757">
            <v>0</v>
          </cell>
          <cell r="U757">
            <v>0</v>
          </cell>
          <cell r="V757">
            <v>0</v>
          </cell>
          <cell r="W757">
            <v>0</v>
          </cell>
          <cell r="X757">
            <v>0</v>
          </cell>
          <cell r="Y757">
            <v>0</v>
          </cell>
          <cell r="Z757">
            <v>0</v>
          </cell>
          <cell r="AA757">
            <v>0</v>
          </cell>
          <cell r="AC757">
            <v>0</v>
          </cell>
          <cell r="AD757">
            <v>0</v>
          </cell>
        </row>
        <row r="758">
          <cell r="B758">
            <v>15542</v>
          </cell>
          <cell r="C758" t="str">
            <v>TDS - PROFESSIONALS/ TECHNICAL SERVICES</v>
          </cell>
          <cell r="D758">
            <v>177560</v>
          </cell>
          <cell r="E758">
            <v>-440340</v>
          </cell>
          <cell r="F758">
            <v>25736</v>
          </cell>
          <cell r="G758">
            <v>-96982</v>
          </cell>
          <cell r="H758">
            <v>0</v>
          </cell>
          <cell r="I758">
            <v>-2000</v>
          </cell>
          <cell r="J758">
            <v>0</v>
          </cell>
          <cell r="K758">
            <v>0</v>
          </cell>
          <cell r="L758">
            <v>229464</v>
          </cell>
          <cell r="M758">
            <v>-675411</v>
          </cell>
          <cell r="N758">
            <v>478006</v>
          </cell>
          <cell r="O758">
            <v>0</v>
          </cell>
          <cell r="P758">
            <v>681302</v>
          </cell>
          <cell r="Q758">
            <v>-539322</v>
          </cell>
          <cell r="S758">
            <v>-230721</v>
          </cell>
          <cell r="T758">
            <v>-73246</v>
          </cell>
          <cell r="U758">
            <v>47332</v>
          </cell>
          <cell r="V758">
            <v>-47332</v>
          </cell>
          <cell r="W758">
            <v>-278053</v>
          </cell>
          <cell r="X758">
            <v>-25914</v>
          </cell>
          <cell r="Y758">
            <v>-230721</v>
          </cell>
          <cell r="Z758">
            <v>-73246</v>
          </cell>
          <cell r="AA758">
            <v>-303967</v>
          </cell>
          <cell r="AC758">
            <v>15542</v>
          </cell>
          <cell r="AD758">
            <v>0</v>
          </cell>
        </row>
        <row r="759">
          <cell r="S759">
            <v>0</v>
          </cell>
          <cell r="T759">
            <v>0</v>
          </cell>
          <cell r="U759">
            <v>0</v>
          </cell>
          <cell r="V759">
            <v>0</v>
          </cell>
          <cell r="W759">
            <v>0</v>
          </cell>
          <cell r="X759">
            <v>0</v>
          </cell>
          <cell r="Y759">
            <v>0</v>
          </cell>
          <cell r="Z759">
            <v>0</v>
          </cell>
          <cell r="AA759">
            <v>0</v>
          </cell>
          <cell r="AC759">
            <v>0</v>
          </cell>
          <cell r="AD759">
            <v>0</v>
          </cell>
        </row>
        <row r="760">
          <cell r="B760">
            <v>15543</v>
          </cell>
          <cell r="C760" t="str">
            <v>TDS/ TCS - ADJUSTMENT (OPENING BALANCE)</v>
          </cell>
          <cell r="D760">
            <v>3096025</v>
          </cell>
          <cell r="E760">
            <v>-4069359</v>
          </cell>
          <cell r="F760">
            <v>399413</v>
          </cell>
          <cell r="G760">
            <v>-399414</v>
          </cell>
          <cell r="H760">
            <v>0</v>
          </cell>
          <cell r="I760">
            <v>0</v>
          </cell>
          <cell r="J760">
            <v>0</v>
          </cell>
          <cell r="K760">
            <v>0</v>
          </cell>
          <cell r="L760">
            <v>973335</v>
          </cell>
          <cell r="M760">
            <v>0</v>
          </cell>
          <cell r="N760">
            <v>0</v>
          </cell>
          <cell r="O760">
            <v>0</v>
          </cell>
          <cell r="P760">
            <v>3495438</v>
          </cell>
          <cell r="Q760">
            <v>-4468773</v>
          </cell>
          <cell r="S760">
            <v>1</v>
          </cell>
          <cell r="T760">
            <v>-1</v>
          </cell>
          <cell r="U760">
            <v>1</v>
          </cell>
          <cell r="V760">
            <v>-1</v>
          </cell>
          <cell r="W760">
            <v>0</v>
          </cell>
          <cell r="X760">
            <v>0</v>
          </cell>
          <cell r="Y760">
            <v>1</v>
          </cell>
          <cell r="Z760">
            <v>-1</v>
          </cell>
          <cell r="AA760">
            <v>0</v>
          </cell>
          <cell r="AC760">
            <v>15543</v>
          </cell>
          <cell r="AD760">
            <v>0</v>
          </cell>
        </row>
        <row r="761">
          <cell r="S761">
            <v>0</v>
          </cell>
          <cell r="T761">
            <v>0</v>
          </cell>
          <cell r="U761">
            <v>0</v>
          </cell>
          <cell r="V761">
            <v>0</v>
          </cell>
          <cell r="W761">
            <v>0</v>
          </cell>
          <cell r="X761">
            <v>0</v>
          </cell>
          <cell r="Y761">
            <v>0</v>
          </cell>
          <cell r="Z761">
            <v>0</v>
          </cell>
          <cell r="AA761">
            <v>0</v>
          </cell>
          <cell r="AC761">
            <v>0</v>
          </cell>
          <cell r="AD761">
            <v>0</v>
          </cell>
        </row>
        <row r="762">
          <cell r="B762">
            <v>15544</v>
          </cell>
          <cell r="C762" t="str">
            <v>TDS - ON VAT</v>
          </cell>
          <cell r="D762">
            <v>94761</v>
          </cell>
          <cell r="E762">
            <v>-94761</v>
          </cell>
          <cell r="F762">
            <v>38105</v>
          </cell>
          <cell r="G762">
            <v>-38105</v>
          </cell>
          <cell r="H762">
            <v>0</v>
          </cell>
          <cell r="I762">
            <v>0</v>
          </cell>
          <cell r="J762">
            <v>0</v>
          </cell>
          <cell r="K762">
            <v>0</v>
          </cell>
          <cell r="L762">
            <v>0</v>
          </cell>
          <cell r="M762">
            <v>0</v>
          </cell>
          <cell r="N762">
            <v>0</v>
          </cell>
          <cell r="O762">
            <v>0</v>
          </cell>
          <cell r="P762">
            <v>132866</v>
          </cell>
          <cell r="Q762">
            <v>-132866</v>
          </cell>
          <cell r="S762">
            <v>0</v>
          </cell>
          <cell r="T762">
            <v>0</v>
          </cell>
          <cell r="U762">
            <v>-76627</v>
          </cell>
          <cell r="V762">
            <v>-38105</v>
          </cell>
          <cell r="W762">
            <v>76627</v>
          </cell>
          <cell r="X762">
            <v>38105</v>
          </cell>
          <cell r="Y762">
            <v>0</v>
          </cell>
          <cell r="Z762">
            <v>0</v>
          </cell>
          <cell r="AA762">
            <v>0</v>
          </cell>
          <cell r="AC762">
            <v>15544</v>
          </cell>
          <cell r="AD762">
            <v>0</v>
          </cell>
        </row>
        <row r="763">
          <cell r="S763">
            <v>0</v>
          </cell>
          <cell r="T763">
            <v>0</v>
          </cell>
          <cell r="U763">
            <v>0</v>
          </cell>
          <cell r="V763">
            <v>0</v>
          </cell>
          <cell r="W763">
            <v>0</v>
          </cell>
          <cell r="X763">
            <v>0</v>
          </cell>
          <cell r="Y763">
            <v>0</v>
          </cell>
          <cell r="Z763">
            <v>0</v>
          </cell>
          <cell r="AA763">
            <v>0</v>
          </cell>
          <cell r="AC763">
            <v>0</v>
          </cell>
          <cell r="AD763">
            <v>0</v>
          </cell>
        </row>
        <row r="764">
          <cell r="B764">
            <v>15556</v>
          </cell>
          <cell r="C764" t="str">
            <v>EXCISE DUTY PAYABLE A/C (FG CL ST)</v>
          </cell>
          <cell r="D764">
            <v>4550086</v>
          </cell>
          <cell r="E764">
            <v>-6643689</v>
          </cell>
          <cell r="F764">
            <v>2082529</v>
          </cell>
          <cell r="G764">
            <v>-4117403</v>
          </cell>
          <cell r="H764">
            <v>0</v>
          </cell>
          <cell r="I764">
            <v>0</v>
          </cell>
          <cell r="J764">
            <v>0</v>
          </cell>
          <cell r="K764">
            <v>0</v>
          </cell>
          <cell r="L764">
            <v>2082529</v>
          </cell>
          <cell r="M764">
            <v>-2082529</v>
          </cell>
          <cell r="N764">
            <v>0</v>
          </cell>
          <cell r="O764">
            <v>0</v>
          </cell>
          <cell r="P764">
            <v>6632615</v>
          </cell>
          <cell r="Q764">
            <v>-10761092</v>
          </cell>
          <cell r="S764">
            <v>-2093603</v>
          </cell>
          <cell r="T764">
            <v>-2034874</v>
          </cell>
          <cell r="U764">
            <v>-2093603</v>
          </cell>
          <cell r="V764">
            <v>-2034874</v>
          </cell>
          <cell r="W764">
            <v>0</v>
          </cell>
          <cell r="X764">
            <v>0</v>
          </cell>
          <cell r="Y764">
            <v>-2093603</v>
          </cell>
          <cell r="Z764">
            <v>-2034874</v>
          </cell>
          <cell r="AA764">
            <v>-4128477</v>
          </cell>
          <cell r="AC764">
            <v>15556</v>
          </cell>
          <cell r="AD764">
            <v>0</v>
          </cell>
        </row>
        <row r="765">
          <cell r="S765">
            <v>0</v>
          </cell>
          <cell r="T765">
            <v>0</v>
          </cell>
          <cell r="U765">
            <v>0</v>
          </cell>
          <cell r="V765">
            <v>0</v>
          </cell>
          <cell r="W765">
            <v>0</v>
          </cell>
          <cell r="X765">
            <v>0</v>
          </cell>
          <cell r="Y765">
            <v>0</v>
          </cell>
          <cell r="Z765">
            <v>0</v>
          </cell>
          <cell r="AA765">
            <v>0</v>
          </cell>
          <cell r="AC765">
            <v>0</v>
          </cell>
          <cell r="AD765">
            <v>0</v>
          </cell>
        </row>
        <row r="766">
          <cell r="B766">
            <v>15557</v>
          </cell>
          <cell r="C766" t="str">
            <v>PROVIDENT FUND ADJUSTABLE - EMPLOYEES</v>
          </cell>
          <cell r="D766">
            <v>7599064</v>
          </cell>
          <cell r="E766">
            <v>-4693603</v>
          </cell>
          <cell r="F766">
            <v>4489148</v>
          </cell>
          <cell r="G766">
            <v>-2990852</v>
          </cell>
          <cell r="H766">
            <v>0</v>
          </cell>
          <cell r="I766">
            <v>0</v>
          </cell>
          <cell r="J766">
            <v>10776</v>
          </cell>
          <cell r="K766">
            <v>-10776</v>
          </cell>
          <cell r="L766">
            <v>2047815</v>
          </cell>
          <cell r="M766">
            <v>-1288620</v>
          </cell>
          <cell r="N766">
            <v>0</v>
          </cell>
          <cell r="O766">
            <v>0</v>
          </cell>
          <cell r="P766">
            <v>12098988</v>
          </cell>
          <cell r="Q766">
            <v>-7695231</v>
          </cell>
          <cell r="S766">
            <v>3664656</v>
          </cell>
          <cell r="T766">
            <v>1498296</v>
          </cell>
          <cell r="U766">
            <v>-284528</v>
          </cell>
          <cell r="V766">
            <v>-402807</v>
          </cell>
          <cell r="W766">
            <v>3949184</v>
          </cell>
          <cell r="X766">
            <v>1901103</v>
          </cell>
          <cell r="Y766">
            <v>3664656</v>
          </cell>
          <cell r="Z766">
            <v>1498296</v>
          </cell>
          <cell r="AA766">
            <v>5162952</v>
          </cell>
          <cell r="AC766">
            <v>15557</v>
          </cell>
          <cell r="AD766">
            <v>0</v>
          </cell>
        </row>
        <row r="767">
          <cell r="S767">
            <v>0</v>
          </cell>
          <cell r="T767">
            <v>0</v>
          </cell>
          <cell r="U767">
            <v>0</v>
          </cell>
          <cell r="V767">
            <v>0</v>
          </cell>
          <cell r="W767">
            <v>0</v>
          </cell>
          <cell r="X767">
            <v>0</v>
          </cell>
          <cell r="Y767">
            <v>0</v>
          </cell>
          <cell r="Z767">
            <v>0</v>
          </cell>
          <cell r="AA767">
            <v>0</v>
          </cell>
          <cell r="AC767">
            <v>0</v>
          </cell>
          <cell r="AD767">
            <v>0</v>
          </cell>
        </row>
        <row r="768">
          <cell r="B768">
            <v>15558</v>
          </cell>
          <cell r="C768" t="str">
            <v>PROVIDENT FUND ADJUSTABLE - CONTRACTORS &amp; OTHERS</v>
          </cell>
          <cell r="D768">
            <v>46465</v>
          </cell>
          <cell r="E768">
            <v>-48322</v>
          </cell>
          <cell r="F768">
            <v>302772</v>
          </cell>
          <cell r="G768">
            <v>-302305</v>
          </cell>
          <cell r="H768">
            <v>0</v>
          </cell>
          <cell r="I768">
            <v>0</v>
          </cell>
          <cell r="J768">
            <v>0</v>
          </cell>
          <cell r="K768">
            <v>0</v>
          </cell>
          <cell r="L768">
            <v>0</v>
          </cell>
          <cell r="M768">
            <v>0</v>
          </cell>
          <cell r="N768">
            <v>0</v>
          </cell>
          <cell r="O768">
            <v>0</v>
          </cell>
          <cell r="P768">
            <v>349237</v>
          </cell>
          <cell r="Q768">
            <v>-350627</v>
          </cell>
          <cell r="S768">
            <v>-1857</v>
          </cell>
          <cell r="T768">
            <v>467</v>
          </cell>
          <cell r="U768">
            <v>-2565</v>
          </cell>
          <cell r="V768">
            <v>-15997</v>
          </cell>
          <cell r="W768">
            <v>708</v>
          </cell>
          <cell r="X768">
            <v>16464</v>
          </cell>
          <cell r="Y768">
            <v>-1857</v>
          </cell>
          <cell r="Z768">
            <v>467</v>
          </cell>
          <cell r="AA768">
            <v>-1390</v>
          </cell>
          <cell r="AC768">
            <v>15558</v>
          </cell>
          <cell r="AD768">
            <v>0</v>
          </cell>
        </row>
        <row r="769">
          <cell r="S769">
            <v>0</v>
          </cell>
          <cell r="T769">
            <v>0</v>
          </cell>
          <cell r="U769">
            <v>0</v>
          </cell>
          <cell r="V769">
            <v>0</v>
          </cell>
          <cell r="W769">
            <v>0</v>
          </cell>
          <cell r="X769">
            <v>0</v>
          </cell>
          <cell r="Y769">
            <v>0</v>
          </cell>
          <cell r="Z769">
            <v>0</v>
          </cell>
          <cell r="AA769">
            <v>0</v>
          </cell>
          <cell r="AC769">
            <v>0</v>
          </cell>
          <cell r="AD769">
            <v>0</v>
          </cell>
        </row>
        <row r="770">
          <cell r="B770">
            <v>15559</v>
          </cell>
          <cell r="C770" t="str">
            <v>PROFESSIONAL TAX ADJUSTABLE - EMPLOYEES</v>
          </cell>
          <cell r="D770">
            <v>685350</v>
          </cell>
          <cell r="E770">
            <v>-443825</v>
          </cell>
          <cell r="F770">
            <v>370700</v>
          </cell>
          <cell r="G770">
            <v>-237750</v>
          </cell>
          <cell r="H770">
            <v>0</v>
          </cell>
          <cell r="I770">
            <v>0</v>
          </cell>
          <cell r="J770">
            <v>0</v>
          </cell>
          <cell r="K770">
            <v>0</v>
          </cell>
          <cell r="L770">
            <v>81900</v>
          </cell>
          <cell r="M770">
            <v>-61075</v>
          </cell>
          <cell r="N770">
            <v>0</v>
          </cell>
          <cell r="O770">
            <v>0</v>
          </cell>
          <cell r="P770">
            <v>1056050</v>
          </cell>
          <cell r="Q770">
            <v>-681575</v>
          </cell>
          <cell r="S770">
            <v>262350</v>
          </cell>
          <cell r="T770">
            <v>132950</v>
          </cell>
          <cell r="U770">
            <v>-37425</v>
          </cell>
          <cell r="V770">
            <v>-12225</v>
          </cell>
          <cell r="W770">
            <v>299775</v>
          </cell>
          <cell r="X770">
            <v>145175</v>
          </cell>
          <cell r="Y770">
            <v>262350</v>
          </cell>
          <cell r="Z770">
            <v>132950</v>
          </cell>
          <cell r="AA770">
            <v>395300</v>
          </cell>
          <cell r="AC770">
            <v>15559</v>
          </cell>
          <cell r="AD770">
            <v>0</v>
          </cell>
        </row>
        <row r="771">
          <cell r="S771">
            <v>0</v>
          </cell>
          <cell r="T771">
            <v>0</v>
          </cell>
          <cell r="U771">
            <v>0</v>
          </cell>
          <cell r="V771">
            <v>0</v>
          </cell>
          <cell r="W771">
            <v>0</v>
          </cell>
          <cell r="X771">
            <v>0</v>
          </cell>
          <cell r="Y771">
            <v>0</v>
          </cell>
          <cell r="Z771">
            <v>0</v>
          </cell>
          <cell r="AA771">
            <v>0</v>
          </cell>
          <cell r="AC771">
            <v>0</v>
          </cell>
          <cell r="AD771">
            <v>0</v>
          </cell>
        </row>
        <row r="772">
          <cell r="B772">
            <v>15560</v>
          </cell>
          <cell r="C772" t="str">
            <v>PROFESSIONAL TAX ADJUSTABLE - CONTRACTORS &amp; OTHERS</v>
          </cell>
          <cell r="D772">
            <v>4375</v>
          </cell>
          <cell r="E772">
            <v>-4725</v>
          </cell>
          <cell r="F772">
            <v>90600</v>
          </cell>
          <cell r="G772">
            <v>-104550</v>
          </cell>
          <cell r="H772">
            <v>0</v>
          </cell>
          <cell r="I772">
            <v>0</v>
          </cell>
          <cell r="J772">
            <v>0</v>
          </cell>
          <cell r="K772">
            <v>0</v>
          </cell>
          <cell r="L772">
            <v>0</v>
          </cell>
          <cell r="M772">
            <v>0</v>
          </cell>
          <cell r="N772">
            <v>0</v>
          </cell>
          <cell r="O772">
            <v>0</v>
          </cell>
          <cell r="P772">
            <v>94975</v>
          </cell>
          <cell r="Q772">
            <v>-109275</v>
          </cell>
          <cell r="S772">
            <v>-350</v>
          </cell>
          <cell r="T772">
            <v>-13950</v>
          </cell>
          <cell r="U772">
            <v>-525</v>
          </cell>
          <cell r="V772">
            <v>-9825</v>
          </cell>
          <cell r="W772">
            <v>175</v>
          </cell>
          <cell r="X772">
            <v>-4125</v>
          </cell>
          <cell r="Y772">
            <v>-350</v>
          </cell>
          <cell r="Z772">
            <v>-13950</v>
          </cell>
          <cell r="AA772">
            <v>-14300</v>
          </cell>
          <cell r="AC772">
            <v>15560</v>
          </cell>
          <cell r="AD772">
            <v>0</v>
          </cell>
        </row>
        <row r="773">
          <cell r="S773">
            <v>0</v>
          </cell>
          <cell r="T773">
            <v>0</v>
          </cell>
          <cell r="U773">
            <v>0</v>
          </cell>
          <cell r="V773">
            <v>0</v>
          </cell>
          <cell r="W773">
            <v>0</v>
          </cell>
          <cell r="X773">
            <v>0</v>
          </cell>
          <cell r="Y773">
            <v>0</v>
          </cell>
          <cell r="Z773">
            <v>0</v>
          </cell>
          <cell r="AA773">
            <v>0</v>
          </cell>
          <cell r="AC773">
            <v>0</v>
          </cell>
          <cell r="AD773">
            <v>0</v>
          </cell>
        </row>
        <row r="774">
          <cell r="B774">
            <v>15561</v>
          </cell>
          <cell r="C774" t="str">
            <v>ESIC ADJUSTABLE - EMPLOYEES</v>
          </cell>
          <cell r="D774">
            <v>61480</v>
          </cell>
          <cell r="E774">
            <v>-49993</v>
          </cell>
          <cell r="F774">
            <v>72104</v>
          </cell>
          <cell r="G774">
            <v>-40299</v>
          </cell>
          <cell r="H774">
            <v>0</v>
          </cell>
          <cell r="I774">
            <v>0</v>
          </cell>
          <cell r="J774">
            <v>0</v>
          </cell>
          <cell r="K774">
            <v>0</v>
          </cell>
          <cell r="L774">
            <v>28144</v>
          </cell>
          <cell r="M774">
            <v>-22630</v>
          </cell>
          <cell r="N774">
            <v>0</v>
          </cell>
          <cell r="O774">
            <v>0</v>
          </cell>
          <cell r="P774">
            <v>133584</v>
          </cell>
          <cell r="Q774">
            <v>-90292</v>
          </cell>
          <cell r="S774">
            <v>17001</v>
          </cell>
          <cell r="T774">
            <v>31805</v>
          </cell>
          <cell r="U774">
            <v>-2901</v>
          </cell>
          <cell r="V774">
            <v>-398</v>
          </cell>
          <cell r="W774">
            <v>19902</v>
          </cell>
          <cell r="X774">
            <v>32203</v>
          </cell>
          <cell r="Y774">
            <v>17001</v>
          </cell>
          <cell r="Z774">
            <v>31805</v>
          </cell>
          <cell r="AA774">
            <v>48806</v>
          </cell>
          <cell r="AC774">
            <v>15561</v>
          </cell>
          <cell r="AD774">
            <v>0</v>
          </cell>
        </row>
        <row r="775">
          <cell r="S775">
            <v>0</v>
          </cell>
          <cell r="T775">
            <v>0</v>
          </cell>
          <cell r="U775">
            <v>0</v>
          </cell>
          <cell r="V775">
            <v>0</v>
          </cell>
          <cell r="W775">
            <v>0</v>
          </cell>
          <cell r="X775">
            <v>0</v>
          </cell>
          <cell r="Y775">
            <v>0</v>
          </cell>
          <cell r="Z775">
            <v>0</v>
          </cell>
          <cell r="AA775">
            <v>0</v>
          </cell>
          <cell r="AC775">
            <v>0</v>
          </cell>
          <cell r="AD775">
            <v>0</v>
          </cell>
        </row>
        <row r="776">
          <cell r="B776">
            <v>15562</v>
          </cell>
          <cell r="C776" t="str">
            <v>ESIC ADJUSTABLE - CONTRACTORS &amp; OTHERS</v>
          </cell>
          <cell r="D776">
            <v>524830</v>
          </cell>
          <cell r="E776">
            <v>-531833</v>
          </cell>
          <cell r="F776">
            <v>659833</v>
          </cell>
          <cell r="G776">
            <v>-672333</v>
          </cell>
          <cell r="H776">
            <v>0</v>
          </cell>
          <cell r="I776">
            <v>0</v>
          </cell>
          <cell r="J776">
            <v>0</v>
          </cell>
          <cell r="K776">
            <v>0</v>
          </cell>
          <cell r="L776">
            <v>617</v>
          </cell>
          <cell r="M776">
            <v>-617</v>
          </cell>
          <cell r="N776">
            <v>0</v>
          </cell>
          <cell r="O776">
            <v>0</v>
          </cell>
          <cell r="P776">
            <v>1184663</v>
          </cell>
          <cell r="Q776">
            <v>-1204166</v>
          </cell>
          <cell r="S776">
            <v>-7003</v>
          </cell>
          <cell r="T776">
            <v>-12500</v>
          </cell>
          <cell r="U776">
            <v>-58907</v>
          </cell>
          <cell r="V776">
            <v>-78410</v>
          </cell>
          <cell r="W776">
            <v>51904</v>
          </cell>
          <cell r="X776">
            <v>65910</v>
          </cell>
          <cell r="Y776">
            <v>-7003</v>
          </cell>
          <cell r="Z776">
            <v>-12500</v>
          </cell>
          <cell r="AA776">
            <v>-19503</v>
          </cell>
          <cell r="AC776">
            <v>15562</v>
          </cell>
          <cell r="AD776">
            <v>0</v>
          </cell>
        </row>
        <row r="777">
          <cell r="S777">
            <v>0</v>
          </cell>
          <cell r="T777">
            <v>0</v>
          </cell>
          <cell r="U777">
            <v>0</v>
          </cell>
          <cell r="V777">
            <v>0</v>
          </cell>
          <cell r="W777">
            <v>0</v>
          </cell>
          <cell r="X777">
            <v>0</v>
          </cell>
          <cell r="Y777">
            <v>0</v>
          </cell>
          <cell r="Z777">
            <v>0</v>
          </cell>
          <cell r="AA777">
            <v>0</v>
          </cell>
          <cell r="AC777">
            <v>0</v>
          </cell>
          <cell r="AD777">
            <v>0</v>
          </cell>
        </row>
        <row r="778">
          <cell r="B778">
            <v>15564</v>
          </cell>
          <cell r="C778" t="str">
            <v>REIMB. OF EXP TO BE INCURRED ON DELISTING OF SHARES</v>
          </cell>
          <cell r="D778">
            <v>0</v>
          </cell>
          <cell r="E778">
            <v>-233633.22</v>
          </cell>
          <cell r="F778">
            <v>0</v>
          </cell>
          <cell r="G778">
            <v>0</v>
          </cell>
          <cell r="H778">
            <v>0</v>
          </cell>
          <cell r="I778">
            <v>0</v>
          </cell>
          <cell r="J778">
            <v>0</v>
          </cell>
          <cell r="K778">
            <v>0</v>
          </cell>
          <cell r="L778">
            <v>0</v>
          </cell>
          <cell r="M778">
            <v>0</v>
          </cell>
          <cell r="N778">
            <v>0</v>
          </cell>
          <cell r="O778">
            <v>0</v>
          </cell>
          <cell r="P778">
            <v>0</v>
          </cell>
          <cell r="Q778">
            <v>-233633.22</v>
          </cell>
          <cell r="S778">
            <v>-233633.22</v>
          </cell>
          <cell r="T778">
            <v>0</v>
          </cell>
          <cell r="U778">
            <v>-233633.22</v>
          </cell>
          <cell r="V778">
            <v>0</v>
          </cell>
          <cell r="W778">
            <v>0</v>
          </cell>
          <cell r="X778">
            <v>0</v>
          </cell>
          <cell r="Y778">
            <v>-233633.22</v>
          </cell>
          <cell r="Z778">
            <v>0</v>
          </cell>
          <cell r="AA778">
            <v>-233633.22</v>
          </cell>
          <cell r="AC778">
            <v>15564</v>
          </cell>
          <cell r="AD778">
            <v>0</v>
          </cell>
        </row>
        <row r="779">
          <cell r="S779">
            <v>0</v>
          </cell>
          <cell r="T779">
            <v>0</v>
          </cell>
          <cell r="U779">
            <v>0</v>
          </cell>
          <cell r="V779">
            <v>0</v>
          </cell>
          <cell r="W779">
            <v>0</v>
          </cell>
          <cell r="X779">
            <v>0</v>
          </cell>
          <cell r="Y779">
            <v>0</v>
          </cell>
          <cell r="Z779">
            <v>0</v>
          </cell>
          <cell r="AA779">
            <v>0</v>
          </cell>
          <cell r="AC779">
            <v>0</v>
          </cell>
          <cell r="AD779">
            <v>0</v>
          </cell>
        </row>
        <row r="780">
          <cell r="B780">
            <v>15565</v>
          </cell>
          <cell r="C780" t="str">
            <v>NMMC CESS LIABILITY</v>
          </cell>
          <cell r="D780">
            <v>11158221.050000001</v>
          </cell>
          <cell r="E780">
            <v>-9508081.75</v>
          </cell>
          <cell r="F780">
            <v>23976482.899999999</v>
          </cell>
          <cell r="G780">
            <v>-11415274.59</v>
          </cell>
          <cell r="H780">
            <v>0</v>
          </cell>
          <cell r="I780">
            <v>-1883.46</v>
          </cell>
          <cell r="J780">
            <v>0</v>
          </cell>
          <cell r="K780">
            <v>-1881</v>
          </cell>
          <cell r="L780">
            <v>18627.05</v>
          </cell>
          <cell r="M780">
            <v>-534.97</v>
          </cell>
          <cell r="N780">
            <v>1733407.75</v>
          </cell>
          <cell r="O780">
            <v>-1733407.75</v>
          </cell>
          <cell r="P780">
            <v>36868111.700000003</v>
          </cell>
          <cell r="Q780">
            <v>-22660528.550000001</v>
          </cell>
          <cell r="S780">
            <v>1668231.3800000008</v>
          </cell>
          <cell r="T780">
            <v>12557443.849999998</v>
          </cell>
          <cell r="U780">
            <v>-299642.96000000002</v>
          </cell>
          <cell r="V780">
            <v>-499056.42</v>
          </cell>
          <cell r="W780">
            <v>1967874.3400000008</v>
          </cell>
          <cell r="X780">
            <v>13056500.269999998</v>
          </cell>
          <cell r="Y780">
            <v>1668231.3800000008</v>
          </cell>
          <cell r="Z780">
            <v>12557443.849999998</v>
          </cell>
          <cell r="AA780">
            <v>14225675.229999999</v>
          </cell>
          <cell r="AC780">
            <v>15565</v>
          </cell>
          <cell r="AD780">
            <v>0</v>
          </cell>
        </row>
        <row r="781">
          <cell r="S781">
            <v>0</v>
          </cell>
          <cell r="T781">
            <v>0</v>
          </cell>
          <cell r="U781">
            <v>0</v>
          </cell>
          <cell r="V781">
            <v>0</v>
          </cell>
          <cell r="W781">
            <v>0</v>
          </cell>
          <cell r="X781">
            <v>0</v>
          </cell>
          <cell r="Y781">
            <v>0</v>
          </cell>
          <cell r="Z781">
            <v>0</v>
          </cell>
          <cell r="AA781">
            <v>0</v>
          </cell>
          <cell r="AC781">
            <v>0</v>
          </cell>
          <cell r="AD781">
            <v>0</v>
          </cell>
        </row>
        <row r="782">
          <cell r="B782">
            <v>15566</v>
          </cell>
          <cell r="C782" t="str">
            <v>LIABILITY FOR CAPEX</v>
          </cell>
          <cell r="D782">
            <v>0</v>
          </cell>
          <cell r="E782">
            <v>-61000</v>
          </cell>
          <cell r="F782">
            <v>75000</v>
          </cell>
          <cell r="G782">
            <v>-474400.71</v>
          </cell>
          <cell r="H782">
            <v>0</v>
          </cell>
          <cell r="I782">
            <v>0</v>
          </cell>
          <cell r="J782">
            <v>0</v>
          </cell>
          <cell r="K782">
            <v>0</v>
          </cell>
          <cell r="L782">
            <v>0</v>
          </cell>
          <cell r="M782">
            <v>0</v>
          </cell>
          <cell r="N782">
            <v>0</v>
          </cell>
          <cell r="O782">
            <v>0</v>
          </cell>
          <cell r="P782">
            <v>75000</v>
          </cell>
          <cell r="Q782">
            <v>-535400.71</v>
          </cell>
          <cell r="S782">
            <v>-61000</v>
          </cell>
          <cell r="T782">
            <v>-399400.71</v>
          </cell>
          <cell r="U782">
            <v>-61000</v>
          </cell>
          <cell r="V782">
            <v>-399400.71</v>
          </cell>
          <cell r="W782">
            <v>0</v>
          </cell>
          <cell r="X782">
            <v>0</v>
          </cell>
          <cell r="Y782">
            <v>-61000</v>
          </cell>
          <cell r="Z782">
            <v>-399400.71</v>
          </cell>
          <cell r="AA782">
            <v>-460400.71</v>
          </cell>
          <cell r="AC782">
            <v>15566</v>
          </cell>
          <cell r="AD782">
            <v>0</v>
          </cell>
        </row>
        <row r="783">
          <cell r="S783">
            <v>0</v>
          </cell>
          <cell r="T783">
            <v>0</v>
          </cell>
          <cell r="U783">
            <v>0</v>
          </cell>
          <cell r="V783">
            <v>0</v>
          </cell>
          <cell r="W783">
            <v>0</v>
          </cell>
          <cell r="X783">
            <v>0</v>
          </cell>
          <cell r="Y783">
            <v>0</v>
          </cell>
          <cell r="Z783">
            <v>0</v>
          </cell>
          <cell r="AA783">
            <v>0</v>
          </cell>
          <cell r="AC783">
            <v>0</v>
          </cell>
          <cell r="AD783">
            <v>0</v>
          </cell>
        </row>
        <row r="784">
          <cell r="B784">
            <v>15576</v>
          </cell>
          <cell r="C784" t="str">
            <v>PROVISION FOR GRATUITY</v>
          </cell>
          <cell r="D784">
            <v>1197383</v>
          </cell>
          <cell r="E784">
            <v>-3691689</v>
          </cell>
          <cell r="F784">
            <v>653431</v>
          </cell>
          <cell r="G784">
            <v>-1697432</v>
          </cell>
          <cell r="H784">
            <v>0</v>
          </cell>
          <cell r="I784">
            <v>0</v>
          </cell>
          <cell r="J784">
            <v>0</v>
          </cell>
          <cell r="K784">
            <v>0</v>
          </cell>
          <cell r="L784">
            <v>0</v>
          </cell>
          <cell r="M784">
            <v>0</v>
          </cell>
          <cell r="N784">
            <v>0</v>
          </cell>
          <cell r="O784">
            <v>0</v>
          </cell>
          <cell r="P784">
            <v>1850814</v>
          </cell>
          <cell r="Q784">
            <v>-5389121</v>
          </cell>
          <cell r="S784">
            <v>-2494306</v>
          </cell>
          <cell r="T784">
            <v>-1044001</v>
          </cell>
          <cell r="U784">
            <v>-2494306</v>
          </cell>
          <cell r="V784">
            <v>-1044001</v>
          </cell>
          <cell r="W784">
            <v>0</v>
          </cell>
          <cell r="X784">
            <v>0</v>
          </cell>
          <cell r="Y784">
            <v>-2494306</v>
          </cell>
          <cell r="Z784">
            <v>-1044001</v>
          </cell>
          <cell r="AA784">
            <v>-3538307</v>
          </cell>
          <cell r="AC784">
            <v>15576</v>
          </cell>
          <cell r="AD784">
            <v>0</v>
          </cell>
        </row>
        <row r="785">
          <cell r="S785">
            <v>0</v>
          </cell>
          <cell r="T785">
            <v>0</v>
          </cell>
          <cell r="U785">
            <v>0</v>
          </cell>
          <cell r="V785">
            <v>0</v>
          </cell>
          <cell r="W785">
            <v>0</v>
          </cell>
          <cell r="X785">
            <v>0</v>
          </cell>
          <cell r="Y785">
            <v>0</v>
          </cell>
          <cell r="Z785">
            <v>0</v>
          </cell>
          <cell r="AA785">
            <v>0</v>
          </cell>
          <cell r="AC785">
            <v>0</v>
          </cell>
          <cell r="AD785">
            <v>0</v>
          </cell>
        </row>
        <row r="786">
          <cell r="B786">
            <v>15577</v>
          </cell>
          <cell r="C786" t="str">
            <v>PROVISION FOR LEAVE ENCASHMENT</v>
          </cell>
          <cell r="D786">
            <v>50107.5</v>
          </cell>
          <cell r="E786">
            <v>-8312994.5</v>
          </cell>
          <cell r="F786">
            <v>0</v>
          </cell>
          <cell r="G786">
            <v>-5795172</v>
          </cell>
          <cell r="H786">
            <v>0</v>
          </cell>
          <cell r="I786">
            <v>0</v>
          </cell>
          <cell r="J786">
            <v>0</v>
          </cell>
          <cell r="K786">
            <v>0</v>
          </cell>
          <cell r="L786">
            <v>0</v>
          </cell>
          <cell r="M786">
            <v>0</v>
          </cell>
          <cell r="N786">
            <v>0</v>
          </cell>
          <cell r="O786">
            <v>0</v>
          </cell>
          <cell r="P786">
            <v>50107.5</v>
          </cell>
          <cell r="Q786">
            <v>-14108166.5</v>
          </cell>
          <cell r="S786">
            <v>-8262887</v>
          </cell>
          <cell r="T786">
            <v>-5795172</v>
          </cell>
          <cell r="U786">
            <v>-8262887</v>
          </cell>
          <cell r="V786">
            <v>-5795172</v>
          </cell>
          <cell r="W786">
            <v>0</v>
          </cell>
          <cell r="X786">
            <v>0</v>
          </cell>
          <cell r="Y786">
            <v>-8262887</v>
          </cell>
          <cell r="Z786">
            <v>-5795172</v>
          </cell>
          <cell r="AA786">
            <v>-14058059</v>
          </cell>
          <cell r="AC786">
            <v>15577</v>
          </cell>
          <cell r="AD786">
            <v>0</v>
          </cell>
        </row>
        <row r="787">
          <cell r="S787">
            <v>0</v>
          </cell>
          <cell r="T787">
            <v>0</v>
          </cell>
          <cell r="U787">
            <v>0</v>
          </cell>
          <cell r="V787">
            <v>0</v>
          </cell>
          <cell r="W787">
            <v>0</v>
          </cell>
          <cell r="X787">
            <v>0</v>
          </cell>
          <cell r="Y787">
            <v>0</v>
          </cell>
          <cell r="Z787">
            <v>0</v>
          </cell>
          <cell r="AA787">
            <v>0</v>
          </cell>
          <cell r="AC787">
            <v>0</v>
          </cell>
          <cell r="AD787">
            <v>0</v>
          </cell>
        </row>
        <row r="788">
          <cell r="B788">
            <v>15585</v>
          </cell>
          <cell r="C788" t="str">
            <v>PROVISION FOR TAXATION</v>
          </cell>
          <cell r="D788">
            <v>0</v>
          </cell>
          <cell r="E788">
            <v>0</v>
          </cell>
          <cell r="F788">
            <v>0</v>
          </cell>
          <cell r="G788">
            <v>0</v>
          </cell>
          <cell r="H788">
            <v>0</v>
          </cell>
          <cell r="I788">
            <v>0</v>
          </cell>
          <cell r="J788">
            <v>0</v>
          </cell>
          <cell r="K788">
            <v>0</v>
          </cell>
          <cell r="L788">
            <v>155168577</v>
          </cell>
          <cell r="M788">
            <v>-208462466</v>
          </cell>
          <cell r="N788">
            <v>0</v>
          </cell>
          <cell r="O788">
            <v>0</v>
          </cell>
          <cell r="P788">
            <v>0</v>
          </cell>
          <cell r="Q788">
            <v>0</v>
          </cell>
          <cell r="S788">
            <v>-53293889</v>
          </cell>
          <cell r="T788">
            <v>0</v>
          </cell>
          <cell r="U788">
            <v>-28093889</v>
          </cell>
          <cell r="V788">
            <v>0</v>
          </cell>
          <cell r="W788">
            <v>-25200000</v>
          </cell>
          <cell r="X788">
            <v>0</v>
          </cell>
          <cell r="Y788">
            <v>-53293889</v>
          </cell>
          <cell r="Z788">
            <v>0</v>
          </cell>
          <cell r="AA788">
            <v>-53293889</v>
          </cell>
          <cell r="AC788">
            <v>15585</v>
          </cell>
          <cell r="AD788">
            <v>0</v>
          </cell>
        </row>
        <row r="789">
          <cell r="S789">
            <v>0</v>
          </cell>
          <cell r="T789">
            <v>0</v>
          </cell>
          <cell r="U789">
            <v>0</v>
          </cell>
          <cell r="V789">
            <v>0</v>
          </cell>
          <cell r="W789">
            <v>0</v>
          </cell>
          <cell r="X789">
            <v>0</v>
          </cell>
          <cell r="Y789">
            <v>0</v>
          </cell>
          <cell r="Z789">
            <v>0</v>
          </cell>
          <cell r="AA789">
            <v>0</v>
          </cell>
          <cell r="AC789">
            <v>0</v>
          </cell>
          <cell r="AD789">
            <v>0</v>
          </cell>
        </row>
        <row r="790">
          <cell r="B790">
            <v>15586</v>
          </cell>
          <cell r="C790" t="str">
            <v>PROVISION FOR FBT</v>
          </cell>
          <cell r="D790">
            <v>0</v>
          </cell>
          <cell r="E790">
            <v>0</v>
          </cell>
          <cell r="F790">
            <v>0</v>
          </cell>
          <cell r="G790">
            <v>0</v>
          </cell>
          <cell r="H790">
            <v>0</v>
          </cell>
          <cell r="I790">
            <v>0</v>
          </cell>
          <cell r="J790">
            <v>0</v>
          </cell>
          <cell r="K790">
            <v>0</v>
          </cell>
          <cell r="L790">
            <v>0</v>
          </cell>
          <cell r="M790">
            <v>-6240000</v>
          </cell>
          <cell r="N790">
            <v>0</v>
          </cell>
          <cell r="O790">
            <v>0</v>
          </cell>
          <cell r="P790">
            <v>0</v>
          </cell>
          <cell r="Q790">
            <v>0</v>
          </cell>
          <cell r="S790">
            <v>-6240000</v>
          </cell>
          <cell r="T790">
            <v>0</v>
          </cell>
          <cell r="U790">
            <v>-6240000</v>
          </cell>
          <cell r="V790">
            <v>0</v>
          </cell>
          <cell r="W790">
            <v>0</v>
          </cell>
          <cell r="X790">
            <v>0</v>
          </cell>
          <cell r="Y790">
            <v>-6240000</v>
          </cell>
          <cell r="Z790">
            <v>0</v>
          </cell>
          <cell r="AA790">
            <v>-6240000</v>
          </cell>
          <cell r="AC790">
            <v>15586</v>
          </cell>
          <cell r="AD790">
            <v>0</v>
          </cell>
        </row>
        <row r="791">
          <cell r="S791">
            <v>0</v>
          </cell>
          <cell r="T791">
            <v>0</v>
          </cell>
          <cell r="U791">
            <v>0</v>
          </cell>
          <cell r="V791">
            <v>0</v>
          </cell>
          <cell r="W791">
            <v>0</v>
          </cell>
          <cell r="X791">
            <v>0</v>
          </cell>
          <cell r="Y791">
            <v>0</v>
          </cell>
          <cell r="Z791">
            <v>0</v>
          </cell>
          <cell r="AA791">
            <v>0</v>
          </cell>
          <cell r="AC791">
            <v>0</v>
          </cell>
          <cell r="AD791">
            <v>0</v>
          </cell>
        </row>
        <row r="792">
          <cell r="B792">
            <v>15587</v>
          </cell>
          <cell r="C792" t="str">
            <v>PROVISION FOR WEALTH TAX</v>
          </cell>
          <cell r="D792">
            <v>0</v>
          </cell>
          <cell r="E792">
            <v>0</v>
          </cell>
          <cell r="F792">
            <v>0</v>
          </cell>
          <cell r="G792">
            <v>0</v>
          </cell>
          <cell r="H792">
            <v>0</v>
          </cell>
          <cell r="I792">
            <v>0</v>
          </cell>
          <cell r="J792">
            <v>0</v>
          </cell>
          <cell r="K792">
            <v>0</v>
          </cell>
          <cell r="L792">
            <v>0</v>
          </cell>
          <cell r="M792">
            <v>-132055</v>
          </cell>
          <cell r="N792">
            <v>0</v>
          </cell>
          <cell r="O792">
            <v>0</v>
          </cell>
          <cell r="P792">
            <v>0</v>
          </cell>
          <cell r="Q792">
            <v>0</v>
          </cell>
          <cell r="S792">
            <v>-132055</v>
          </cell>
          <cell r="T792">
            <v>0</v>
          </cell>
          <cell r="U792">
            <v>-132055</v>
          </cell>
          <cell r="V792">
            <v>0</v>
          </cell>
          <cell r="W792">
            <v>0</v>
          </cell>
          <cell r="X792">
            <v>0</v>
          </cell>
          <cell r="Y792">
            <v>-132055</v>
          </cell>
          <cell r="Z792">
            <v>0</v>
          </cell>
          <cell r="AA792">
            <v>-132055</v>
          </cell>
          <cell r="AC792">
            <v>15587</v>
          </cell>
          <cell r="AD792">
            <v>0</v>
          </cell>
        </row>
        <row r="793">
          <cell r="S793">
            <v>0</v>
          </cell>
          <cell r="T793">
            <v>0</v>
          </cell>
          <cell r="U793">
            <v>0</v>
          </cell>
          <cell r="V793">
            <v>0</v>
          </cell>
          <cell r="W793">
            <v>0</v>
          </cell>
          <cell r="X793">
            <v>0</v>
          </cell>
          <cell r="Y793">
            <v>0</v>
          </cell>
          <cell r="Z793">
            <v>0</v>
          </cell>
          <cell r="AA793">
            <v>0</v>
          </cell>
          <cell r="AC793">
            <v>0</v>
          </cell>
          <cell r="AD793">
            <v>0</v>
          </cell>
        </row>
        <row r="794">
          <cell r="B794">
            <v>15595</v>
          </cell>
          <cell r="C794" t="str">
            <v>PROPOSED DIVIDEND</v>
          </cell>
          <cell r="D794">
            <v>0</v>
          </cell>
          <cell r="E794">
            <v>0</v>
          </cell>
          <cell r="F794">
            <v>0</v>
          </cell>
          <cell r="G794">
            <v>0</v>
          </cell>
          <cell r="H794">
            <v>0</v>
          </cell>
          <cell r="I794">
            <v>0</v>
          </cell>
          <cell r="J794">
            <v>0</v>
          </cell>
          <cell r="K794">
            <v>0</v>
          </cell>
          <cell r="L794">
            <v>69224904</v>
          </cell>
          <cell r="M794">
            <v>-69224904</v>
          </cell>
          <cell r="N794">
            <v>0</v>
          </cell>
          <cell r="O794">
            <v>0</v>
          </cell>
          <cell r="P794">
            <v>0</v>
          </cell>
          <cell r="Q794">
            <v>0</v>
          </cell>
          <cell r="S794">
            <v>0</v>
          </cell>
          <cell r="T794">
            <v>0</v>
          </cell>
          <cell r="U794">
            <v>0</v>
          </cell>
          <cell r="V794">
            <v>0</v>
          </cell>
          <cell r="W794">
            <v>0</v>
          </cell>
          <cell r="X794">
            <v>0</v>
          </cell>
          <cell r="Y794">
            <v>0</v>
          </cell>
          <cell r="Z794">
            <v>0</v>
          </cell>
          <cell r="AA794">
            <v>0</v>
          </cell>
          <cell r="AC794">
            <v>15595</v>
          </cell>
          <cell r="AD794">
            <v>0</v>
          </cell>
        </row>
        <row r="795">
          <cell r="S795">
            <v>0</v>
          </cell>
          <cell r="T795">
            <v>0</v>
          </cell>
          <cell r="U795">
            <v>0</v>
          </cell>
          <cell r="V795">
            <v>0</v>
          </cell>
          <cell r="W795">
            <v>0</v>
          </cell>
          <cell r="X795">
            <v>0</v>
          </cell>
          <cell r="Y795">
            <v>0</v>
          </cell>
          <cell r="Z795">
            <v>0</v>
          </cell>
          <cell r="AA795">
            <v>0</v>
          </cell>
          <cell r="AC795">
            <v>0</v>
          </cell>
          <cell r="AD795">
            <v>0</v>
          </cell>
        </row>
        <row r="796">
          <cell r="B796">
            <v>15596</v>
          </cell>
          <cell r="C796" t="str">
            <v>DISTRIBUTION TAX</v>
          </cell>
          <cell r="D796">
            <v>0</v>
          </cell>
          <cell r="E796">
            <v>0</v>
          </cell>
          <cell r="F796">
            <v>0</v>
          </cell>
          <cell r="G796">
            <v>0</v>
          </cell>
          <cell r="H796">
            <v>0</v>
          </cell>
          <cell r="I796">
            <v>0</v>
          </cell>
          <cell r="J796">
            <v>0</v>
          </cell>
          <cell r="K796">
            <v>0</v>
          </cell>
          <cell r="L796">
            <v>11295232</v>
          </cell>
          <cell r="M796">
            <v>-13313727</v>
          </cell>
          <cell r="N796">
            <v>0</v>
          </cell>
          <cell r="O796">
            <v>0</v>
          </cell>
          <cell r="P796">
            <v>0</v>
          </cell>
          <cell r="Q796">
            <v>0</v>
          </cell>
          <cell r="S796">
            <v>-2018495</v>
          </cell>
          <cell r="T796">
            <v>0</v>
          </cell>
          <cell r="U796">
            <v>0</v>
          </cell>
          <cell r="V796">
            <v>0</v>
          </cell>
          <cell r="W796">
            <v>-2018495</v>
          </cell>
          <cell r="X796">
            <v>0</v>
          </cell>
          <cell r="Y796">
            <v>-2018495</v>
          </cell>
          <cell r="Z796">
            <v>0</v>
          </cell>
          <cell r="AA796">
            <v>-2018495</v>
          </cell>
          <cell r="AC796">
            <v>15596</v>
          </cell>
          <cell r="AD796">
            <v>0</v>
          </cell>
        </row>
        <row r="797">
          <cell r="S797">
            <v>0</v>
          </cell>
          <cell r="T797">
            <v>0</v>
          </cell>
          <cell r="U797">
            <v>0</v>
          </cell>
          <cell r="V797">
            <v>0</v>
          </cell>
          <cell r="W797">
            <v>0</v>
          </cell>
          <cell r="X797">
            <v>0</v>
          </cell>
          <cell r="Y797">
            <v>0</v>
          </cell>
          <cell r="Z797">
            <v>0</v>
          </cell>
          <cell r="AA797">
            <v>0</v>
          </cell>
          <cell r="AC797">
            <v>0</v>
          </cell>
          <cell r="AD797">
            <v>0</v>
          </cell>
        </row>
        <row r="798">
          <cell r="B798">
            <v>15606</v>
          </cell>
          <cell r="C798" t="str">
            <v>IMPORT DUTY EXPENCE A/C</v>
          </cell>
          <cell r="D798">
            <v>47386.74</v>
          </cell>
          <cell r="E798">
            <v>-47386.74</v>
          </cell>
          <cell r="F798">
            <v>133825.70000000001</v>
          </cell>
          <cell r="G798">
            <v>-133825.70000000001</v>
          </cell>
          <cell r="H798">
            <v>0</v>
          </cell>
          <cell r="I798">
            <v>0</v>
          </cell>
          <cell r="J798">
            <v>0</v>
          </cell>
          <cell r="K798">
            <v>0</v>
          </cell>
          <cell r="L798">
            <v>0</v>
          </cell>
          <cell r="M798">
            <v>0</v>
          </cell>
          <cell r="N798">
            <v>0</v>
          </cell>
          <cell r="O798">
            <v>0</v>
          </cell>
          <cell r="P798">
            <v>181212.44</v>
          </cell>
          <cell r="Q798">
            <v>-181212.44</v>
          </cell>
          <cell r="S798">
            <v>0</v>
          </cell>
          <cell r="T798">
            <v>0</v>
          </cell>
          <cell r="U798">
            <v>0</v>
          </cell>
          <cell r="V798">
            <v>0</v>
          </cell>
          <cell r="W798">
            <v>0</v>
          </cell>
          <cell r="X798">
            <v>0</v>
          </cell>
          <cell r="Y798">
            <v>0</v>
          </cell>
          <cell r="Z798">
            <v>0</v>
          </cell>
          <cell r="AA798">
            <v>0</v>
          </cell>
          <cell r="AC798">
            <v>15606</v>
          </cell>
          <cell r="AD798">
            <v>0</v>
          </cell>
        </row>
        <row r="799">
          <cell r="S799">
            <v>0</v>
          </cell>
          <cell r="T799">
            <v>0</v>
          </cell>
          <cell r="U799">
            <v>0</v>
          </cell>
          <cell r="V799">
            <v>0</v>
          </cell>
          <cell r="W799">
            <v>0</v>
          </cell>
          <cell r="X799">
            <v>0</v>
          </cell>
          <cell r="Y799">
            <v>0</v>
          </cell>
          <cell r="Z799">
            <v>0</v>
          </cell>
          <cell r="AA799">
            <v>0</v>
          </cell>
          <cell r="AC799">
            <v>0</v>
          </cell>
          <cell r="AD799">
            <v>0</v>
          </cell>
        </row>
        <row r="800">
          <cell r="B800">
            <v>15607</v>
          </cell>
          <cell r="C800" t="str">
            <v>IMPORT DUTY PAYABLE A/C</v>
          </cell>
          <cell r="D800">
            <v>15164536.16</v>
          </cell>
          <cell r="E800">
            <v>-12814020.42</v>
          </cell>
          <cell r="F800">
            <v>278125901.97000003</v>
          </cell>
          <cell r="G800">
            <v>-306876897.83999997</v>
          </cell>
          <cell r="H800">
            <v>0</v>
          </cell>
          <cell r="I800">
            <v>0</v>
          </cell>
          <cell r="J800">
            <v>0</v>
          </cell>
          <cell r="K800">
            <v>0</v>
          </cell>
          <cell r="L800">
            <v>0</v>
          </cell>
          <cell r="M800">
            <v>0</v>
          </cell>
          <cell r="N800">
            <v>31315942.309999999</v>
          </cell>
          <cell r="O800">
            <v>-31315942.309999999</v>
          </cell>
          <cell r="P800">
            <v>324606380.44</v>
          </cell>
          <cell r="Q800">
            <v>-351006860.56999999</v>
          </cell>
          <cell r="S800">
            <v>2350515.7399999984</v>
          </cell>
          <cell r="T800">
            <v>-28750995.869999945</v>
          </cell>
          <cell r="U800">
            <v>-254.6</v>
          </cell>
          <cell r="V800">
            <v>0</v>
          </cell>
          <cell r="W800">
            <v>2350770.3399999985</v>
          </cell>
          <cell r="X800">
            <v>-28750995.869999945</v>
          </cell>
          <cell r="Y800">
            <v>2350515.7399999984</v>
          </cell>
          <cell r="Z800">
            <v>-28750995.869999945</v>
          </cell>
          <cell r="AA800">
            <v>-26400480.129999947</v>
          </cell>
          <cell r="AC800">
            <v>15607</v>
          </cell>
          <cell r="AD800">
            <v>0</v>
          </cell>
        </row>
        <row r="801">
          <cell r="S801">
            <v>0</v>
          </cell>
          <cell r="T801">
            <v>0</v>
          </cell>
          <cell r="U801">
            <v>0</v>
          </cell>
          <cell r="V801">
            <v>0</v>
          </cell>
          <cell r="W801">
            <v>0</v>
          </cell>
          <cell r="X801">
            <v>0</v>
          </cell>
          <cell r="Y801">
            <v>0</v>
          </cell>
          <cell r="Z801">
            <v>0</v>
          </cell>
          <cell r="AA801">
            <v>0</v>
          </cell>
          <cell r="AC801">
            <v>0</v>
          </cell>
          <cell r="AD801">
            <v>0</v>
          </cell>
        </row>
        <row r="802">
          <cell r="B802">
            <v>15609</v>
          </cell>
          <cell r="C802" t="str">
            <v>EXPORT DUTY PAYABLE A/C</v>
          </cell>
          <cell r="D802">
            <v>0</v>
          </cell>
          <cell r="E802">
            <v>0</v>
          </cell>
          <cell r="F802">
            <v>0</v>
          </cell>
          <cell r="G802">
            <v>0</v>
          </cell>
          <cell r="H802">
            <v>0</v>
          </cell>
          <cell r="I802">
            <v>0</v>
          </cell>
          <cell r="J802">
            <v>0</v>
          </cell>
          <cell r="K802">
            <v>0</v>
          </cell>
          <cell r="L802">
            <v>0</v>
          </cell>
          <cell r="M802">
            <v>0</v>
          </cell>
          <cell r="N802">
            <v>4258449.3</v>
          </cell>
          <cell r="O802">
            <v>-4258449.3</v>
          </cell>
          <cell r="P802">
            <v>4258449.3</v>
          </cell>
          <cell r="Q802">
            <v>-4258449.3</v>
          </cell>
          <cell r="S802">
            <v>0</v>
          </cell>
          <cell r="T802">
            <v>0</v>
          </cell>
          <cell r="U802">
            <v>0</v>
          </cell>
          <cell r="V802">
            <v>0</v>
          </cell>
          <cell r="W802">
            <v>0</v>
          </cell>
          <cell r="X802">
            <v>0</v>
          </cell>
          <cell r="Y802">
            <v>0</v>
          </cell>
          <cell r="Z802">
            <v>0</v>
          </cell>
          <cell r="AA802">
            <v>0</v>
          </cell>
          <cell r="AC802">
            <v>15609</v>
          </cell>
          <cell r="AD802">
            <v>0</v>
          </cell>
        </row>
        <row r="803">
          <cell r="S803">
            <v>0</v>
          </cell>
          <cell r="T803">
            <v>0</v>
          </cell>
          <cell r="U803">
            <v>0</v>
          </cell>
          <cell r="V803">
            <v>0</v>
          </cell>
          <cell r="W803">
            <v>0</v>
          </cell>
          <cell r="X803">
            <v>0</v>
          </cell>
          <cell r="Y803">
            <v>0</v>
          </cell>
          <cell r="Z803">
            <v>0</v>
          </cell>
          <cell r="AA803">
            <v>0</v>
          </cell>
          <cell r="AC803">
            <v>0</v>
          </cell>
          <cell r="AD803">
            <v>0</v>
          </cell>
        </row>
        <row r="804">
          <cell r="B804">
            <v>15612</v>
          </cell>
          <cell r="C804" t="str">
            <v>TAX ADJUSTMENT - SETTLEMENT (SYS)</v>
          </cell>
          <cell r="D804">
            <v>0</v>
          </cell>
          <cell r="E804">
            <v>0</v>
          </cell>
          <cell r="F804">
            <v>2679</v>
          </cell>
          <cell r="G804">
            <v>-2679</v>
          </cell>
          <cell r="H804">
            <v>0</v>
          </cell>
          <cell r="I804">
            <v>0</v>
          </cell>
          <cell r="J804">
            <v>0</v>
          </cell>
          <cell r="K804">
            <v>0</v>
          </cell>
          <cell r="L804">
            <v>8445</v>
          </cell>
          <cell r="M804">
            <v>-8445</v>
          </cell>
          <cell r="N804">
            <v>32500000</v>
          </cell>
          <cell r="O804">
            <v>-32500000</v>
          </cell>
          <cell r="P804">
            <v>32502679</v>
          </cell>
          <cell r="Q804">
            <v>-32502679</v>
          </cell>
          <cell r="S804">
            <v>0</v>
          </cell>
          <cell r="T804">
            <v>0</v>
          </cell>
          <cell r="U804">
            <v>0</v>
          </cell>
          <cell r="V804">
            <v>0</v>
          </cell>
          <cell r="W804">
            <v>0</v>
          </cell>
          <cell r="X804">
            <v>0</v>
          </cell>
          <cell r="Y804">
            <v>0</v>
          </cell>
          <cell r="Z804">
            <v>0</v>
          </cell>
          <cell r="AA804">
            <v>0</v>
          </cell>
          <cell r="AC804">
            <v>15612</v>
          </cell>
          <cell r="AD804">
            <v>0</v>
          </cell>
        </row>
        <row r="805">
          <cell r="S805">
            <v>0</v>
          </cell>
          <cell r="T805">
            <v>0</v>
          </cell>
          <cell r="U805">
            <v>0</v>
          </cell>
          <cell r="V805">
            <v>0</v>
          </cell>
          <cell r="W805">
            <v>0</v>
          </cell>
          <cell r="X805">
            <v>0</v>
          </cell>
          <cell r="Y805">
            <v>0</v>
          </cell>
          <cell r="Z805">
            <v>0</v>
          </cell>
          <cell r="AA805">
            <v>0</v>
          </cell>
          <cell r="AC805">
            <v>0</v>
          </cell>
          <cell r="AD805">
            <v>0</v>
          </cell>
        </row>
        <row r="806">
          <cell r="B806">
            <v>15613</v>
          </cell>
          <cell r="C806" t="str">
            <v>LIABILITY FOR TAX Group</v>
          </cell>
          <cell r="D806">
            <v>118534417.83</v>
          </cell>
          <cell r="E806">
            <v>-54197315.530000001</v>
          </cell>
          <cell r="F806">
            <v>341310966.66000003</v>
          </cell>
          <cell r="G806">
            <v>-284462336.80000001</v>
          </cell>
          <cell r="H806">
            <v>1635386</v>
          </cell>
          <cell r="I806">
            <v>-95570</v>
          </cell>
          <cell r="J806">
            <v>21031</v>
          </cell>
          <cell r="K806">
            <v>0</v>
          </cell>
          <cell r="L806">
            <v>6791217.6600000001</v>
          </cell>
          <cell r="M806">
            <v>-6328791</v>
          </cell>
          <cell r="N806">
            <v>37070251.490000002</v>
          </cell>
          <cell r="O806">
            <v>-85976584.25</v>
          </cell>
          <cell r="P806">
            <v>498572052.98000002</v>
          </cell>
          <cell r="Q806">
            <v>-424731806.57999998</v>
          </cell>
          <cell r="S806">
            <v>15893196.199999988</v>
          </cell>
          <cell r="T806">
            <v>58409476.860000014</v>
          </cell>
          <cell r="U806">
            <v>-13182246.1</v>
          </cell>
          <cell r="V806">
            <v>9187121.1600000001</v>
          </cell>
          <cell r="W806">
            <v>29075442.29999999</v>
          </cell>
          <cell r="X806">
            <v>49222355.700000018</v>
          </cell>
          <cell r="Y806">
            <v>15893196.19999999</v>
          </cell>
          <cell r="Z806">
            <v>58409476.860000014</v>
          </cell>
          <cell r="AA806">
            <v>74302673.060000002</v>
          </cell>
          <cell r="AC806">
            <v>15613</v>
          </cell>
          <cell r="AD806">
            <v>0</v>
          </cell>
        </row>
        <row r="807">
          <cell r="S807">
            <v>0</v>
          </cell>
          <cell r="T807">
            <v>0</v>
          </cell>
          <cell r="U807">
            <v>0</v>
          </cell>
          <cell r="V807">
            <v>0</v>
          </cell>
          <cell r="W807">
            <v>0</v>
          </cell>
          <cell r="X807">
            <v>0</v>
          </cell>
          <cell r="Y807">
            <v>0</v>
          </cell>
          <cell r="Z807">
            <v>0</v>
          </cell>
          <cell r="AA807">
            <v>0</v>
          </cell>
          <cell r="AC807">
            <v>0</v>
          </cell>
          <cell r="AD807">
            <v>0</v>
          </cell>
        </row>
        <row r="808">
          <cell r="B808">
            <v>15614</v>
          </cell>
          <cell r="C808" t="str">
            <v>ISSUE A/C - PACKING MATERIAL STOCK (BS)</v>
          </cell>
          <cell r="D808">
            <v>13153328.1</v>
          </cell>
          <cell r="E808">
            <v>-23278849.690000001</v>
          </cell>
          <cell r="F808">
            <v>1999484.8</v>
          </cell>
          <cell r="G808">
            <v>-4168575.85</v>
          </cell>
          <cell r="H808">
            <v>0</v>
          </cell>
          <cell r="I808">
            <v>0</v>
          </cell>
          <cell r="J808">
            <v>0</v>
          </cell>
          <cell r="K808">
            <v>0</v>
          </cell>
          <cell r="L808">
            <v>0</v>
          </cell>
          <cell r="M808">
            <v>0</v>
          </cell>
          <cell r="N808">
            <v>66.86</v>
          </cell>
          <cell r="O808">
            <v>-771.78</v>
          </cell>
          <cell r="P808">
            <v>15152879.76</v>
          </cell>
          <cell r="Q808">
            <v>-27448197.32</v>
          </cell>
          <cell r="S808">
            <v>-10126226.510000002</v>
          </cell>
          <cell r="T808">
            <v>-2169091.0499999998</v>
          </cell>
          <cell r="U808">
            <v>0</v>
          </cell>
          <cell r="V808">
            <v>0</v>
          </cell>
          <cell r="W808">
            <v>-10126226.510000002</v>
          </cell>
          <cell r="X808">
            <v>-2169091.0499999998</v>
          </cell>
          <cell r="Y808">
            <v>-10126226.510000002</v>
          </cell>
          <cell r="Z808">
            <v>-2169091.0499999998</v>
          </cell>
          <cell r="AA808">
            <v>-12295317.560000002</v>
          </cell>
          <cell r="AC808">
            <v>15614</v>
          </cell>
          <cell r="AD808">
            <v>0</v>
          </cell>
        </row>
        <row r="809">
          <cell r="S809">
            <v>0</v>
          </cell>
          <cell r="T809">
            <v>0</v>
          </cell>
          <cell r="U809">
            <v>0</v>
          </cell>
          <cell r="V809">
            <v>0</v>
          </cell>
          <cell r="W809">
            <v>0</v>
          </cell>
          <cell r="X809">
            <v>0</v>
          </cell>
          <cell r="Y809">
            <v>0</v>
          </cell>
          <cell r="Z809">
            <v>0</v>
          </cell>
          <cell r="AA809">
            <v>0</v>
          </cell>
          <cell r="AC809">
            <v>0</v>
          </cell>
          <cell r="AD809">
            <v>0</v>
          </cell>
        </row>
        <row r="810">
          <cell r="B810">
            <v>15615</v>
          </cell>
          <cell r="C810" t="str">
            <v>PACKING SLIP A/C OFF SET (MATL ASSIGN YET TO DES NET 15119)</v>
          </cell>
          <cell r="D810">
            <v>933498887.63</v>
          </cell>
          <cell r="E810">
            <v>-933500034.88999999</v>
          </cell>
          <cell r="F810">
            <v>1703064412.5799999</v>
          </cell>
          <cell r="G810">
            <v>-1703406305.3800001</v>
          </cell>
          <cell r="H810">
            <v>9682240.0800000001</v>
          </cell>
          <cell r="I810">
            <v>-9593817.5999999996</v>
          </cell>
          <cell r="J810">
            <v>1448045.2</v>
          </cell>
          <cell r="K810">
            <v>-1448045.2</v>
          </cell>
          <cell r="L810">
            <v>0</v>
          </cell>
          <cell r="M810">
            <v>0</v>
          </cell>
          <cell r="N810">
            <v>0</v>
          </cell>
          <cell r="O810">
            <v>0</v>
          </cell>
          <cell r="P810">
            <v>2647693585.4899998</v>
          </cell>
          <cell r="Q810">
            <v>-2647948203.0700002</v>
          </cell>
          <cell r="S810">
            <v>-1147.2599999904633</v>
          </cell>
          <cell r="T810">
            <v>-253470.32000019029</v>
          </cell>
          <cell r="U810">
            <v>0</v>
          </cell>
          <cell r="V810">
            <v>0</v>
          </cell>
          <cell r="W810">
            <v>-1147.2599999904633</v>
          </cell>
          <cell r="X810">
            <v>-253470.32000019029</v>
          </cell>
          <cell r="Y810">
            <v>-1147.2599999904633</v>
          </cell>
          <cell r="Z810">
            <v>-253470.32000019029</v>
          </cell>
          <cell r="AA810">
            <v>-254617.58000018075</v>
          </cell>
          <cell r="AC810">
            <v>15615</v>
          </cell>
          <cell r="AD810">
            <v>0</v>
          </cell>
        </row>
        <row r="811">
          <cell r="S811">
            <v>0</v>
          </cell>
          <cell r="T811">
            <v>0</v>
          </cell>
          <cell r="U811">
            <v>0</v>
          </cell>
          <cell r="V811">
            <v>0</v>
          </cell>
          <cell r="W811">
            <v>0</v>
          </cell>
          <cell r="X811">
            <v>0</v>
          </cell>
          <cell r="Y811">
            <v>0</v>
          </cell>
          <cell r="Z811">
            <v>0</v>
          </cell>
          <cell r="AA811">
            <v>0</v>
          </cell>
          <cell r="AC811">
            <v>0</v>
          </cell>
          <cell r="AD811">
            <v>0</v>
          </cell>
        </row>
        <row r="812">
          <cell r="B812">
            <v>15616</v>
          </cell>
          <cell r="C812" t="str">
            <v>PRODUCTION ISSUE OFFSET A/C SALES ORDER ISSUE (1)</v>
          </cell>
          <cell r="D812">
            <v>3490129562.4699998</v>
          </cell>
          <cell r="E812">
            <v>-3434341744.5900002</v>
          </cell>
          <cell r="F812">
            <v>14337655963.17</v>
          </cell>
          <cell r="G812">
            <v>-14327487063.610001</v>
          </cell>
          <cell r="H812">
            <v>45790.97</v>
          </cell>
          <cell r="I812">
            <v>-45790.97</v>
          </cell>
          <cell r="J812">
            <v>0</v>
          </cell>
          <cell r="K812">
            <v>0</v>
          </cell>
          <cell r="L812">
            <v>0</v>
          </cell>
          <cell r="M812">
            <v>0</v>
          </cell>
          <cell r="N812">
            <v>87384.48</v>
          </cell>
          <cell r="O812">
            <v>-67026.880000000005</v>
          </cell>
          <cell r="P812">
            <v>17827918701.09</v>
          </cell>
          <cell r="Q812">
            <v>-17761941626.049999</v>
          </cell>
          <cell r="S812">
            <v>55808175.479999632</v>
          </cell>
          <cell r="T812">
            <v>10168899.559999466</v>
          </cell>
          <cell r="U812">
            <v>0</v>
          </cell>
          <cell r="V812">
            <v>0</v>
          </cell>
          <cell r="W812">
            <v>55808175.479999632</v>
          </cell>
          <cell r="X812">
            <v>10168899.559999466</v>
          </cell>
          <cell r="Y812">
            <v>55808175.479999632</v>
          </cell>
          <cell r="Z812">
            <v>10168899.559999466</v>
          </cell>
          <cell r="AA812">
            <v>65977075.039999098</v>
          </cell>
          <cell r="AC812">
            <v>15616</v>
          </cell>
          <cell r="AD812">
            <v>0</v>
          </cell>
        </row>
        <row r="813">
          <cell r="S813">
            <v>0</v>
          </cell>
          <cell r="T813">
            <v>0</v>
          </cell>
          <cell r="U813">
            <v>0</v>
          </cell>
          <cell r="V813">
            <v>0</v>
          </cell>
          <cell r="W813">
            <v>0</v>
          </cell>
          <cell r="X813">
            <v>0</v>
          </cell>
          <cell r="Y813">
            <v>0</v>
          </cell>
          <cell r="Z813">
            <v>0</v>
          </cell>
          <cell r="AA813">
            <v>0</v>
          </cell>
          <cell r="AC813">
            <v>0</v>
          </cell>
          <cell r="AD813">
            <v>0</v>
          </cell>
        </row>
        <row r="814">
          <cell r="B814">
            <v>15617</v>
          </cell>
          <cell r="C814" t="str">
            <v>PRODUCTION PICKING SLIP A/C (1)</v>
          </cell>
          <cell r="D814">
            <v>1677125099.05</v>
          </cell>
          <cell r="E814">
            <v>-1678983157.6099999</v>
          </cell>
          <cell r="F814">
            <v>1743930159.22</v>
          </cell>
          <cell r="G814">
            <v>-1745129944.0599999</v>
          </cell>
          <cell r="H814">
            <v>0</v>
          </cell>
          <cell r="I814">
            <v>0</v>
          </cell>
          <cell r="J814">
            <v>0</v>
          </cell>
          <cell r="K814">
            <v>0</v>
          </cell>
          <cell r="L814">
            <v>0</v>
          </cell>
          <cell r="M814">
            <v>0</v>
          </cell>
          <cell r="N814">
            <v>0</v>
          </cell>
          <cell r="O814">
            <v>0</v>
          </cell>
          <cell r="P814">
            <v>3421055258.27</v>
          </cell>
          <cell r="Q814">
            <v>-3424113101.6700001</v>
          </cell>
          <cell r="S814">
            <v>-1858058.5599999428</v>
          </cell>
          <cell r="T814">
            <v>-1199784.8399999142</v>
          </cell>
          <cell r="U814">
            <v>0</v>
          </cell>
          <cell r="V814">
            <v>0</v>
          </cell>
          <cell r="W814">
            <v>-1858058.5599999428</v>
          </cell>
          <cell r="X814">
            <v>-1199784.8399999142</v>
          </cell>
          <cell r="Y814">
            <v>-1858058.5599999428</v>
          </cell>
          <cell r="Z814">
            <v>-1199784.8399999142</v>
          </cell>
          <cell r="AA814">
            <v>-3057843.3999998569</v>
          </cell>
          <cell r="AC814">
            <v>15617</v>
          </cell>
          <cell r="AD814">
            <v>0</v>
          </cell>
        </row>
        <row r="815">
          <cell r="S815">
            <v>0</v>
          </cell>
          <cell r="T815">
            <v>0</v>
          </cell>
          <cell r="U815">
            <v>0</v>
          </cell>
          <cell r="V815">
            <v>0</v>
          </cell>
          <cell r="W815">
            <v>0</v>
          </cell>
          <cell r="X815">
            <v>0</v>
          </cell>
          <cell r="Y815">
            <v>0</v>
          </cell>
          <cell r="Z815">
            <v>0</v>
          </cell>
          <cell r="AA815">
            <v>0</v>
          </cell>
          <cell r="AC815">
            <v>0</v>
          </cell>
          <cell r="AD815">
            <v>0</v>
          </cell>
        </row>
        <row r="816">
          <cell r="E816" t="str">
            <v>SDCT</v>
          </cell>
          <cell r="F816" t="str">
            <v>PCDT</v>
          </cell>
          <cell r="G816" t="str">
            <v>PCDC</v>
          </cell>
          <cell r="I816" t="str">
            <v>PCDN</v>
          </cell>
          <cell r="K816" t="str">
            <v>CORP</v>
          </cell>
          <cell r="M816" t="str">
            <v>OTHER</v>
          </cell>
          <cell r="O816" t="str">
            <v>TOTAL</v>
          </cell>
          <cell r="U816">
            <v>0</v>
          </cell>
          <cell r="V816">
            <v>0</v>
          </cell>
          <cell r="W816">
            <v>0</v>
          </cell>
          <cell r="X816">
            <v>0</v>
          </cell>
          <cell r="Y816">
            <v>0</v>
          </cell>
          <cell r="Z816">
            <v>0</v>
          </cell>
          <cell r="AA816">
            <v>0</v>
          </cell>
          <cell r="AC816">
            <v>0</v>
          </cell>
          <cell r="AD816">
            <v>0</v>
          </cell>
        </row>
        <row r="817">
          <cell r="B817" t="str">
            <v>GL CODE</v>
          </cell>
          <cell r="C817" t="str">
            <v>ACCOUNT HEAD</v>
          </cell>
          <cell r="S817">
            <v>0</v>
          </cell>
          <cell r="T817">
            <v>0</v>
          </cell>
          <cell r="U817" t="str">
            <v>SDCT</v>
          </cell>
          <cell r="V817" t="str">
            <v>PCDT</v>
          </cell>
          <cell r="AA817">
            <v>0</v>
          </cell>
          <cell r="AC817">
            <v>0</v>
          </cell>
          <cell r="AD817" t="e">
            <v>#VALUE!</v>
          </cell>
        </row>
        <row r="818">
          <cell r="S818">
            <v>0</v>
          </cell>
          <cell r="T818">
            <v>0</v>
          </cell>
          <cell r="U818">
            <v>0</v>
          </cell>
          <cell r="V818">
            <v>0</v>
          </cell>
          <cell r="W818">
            <v>0</v>
          </cell>
          <cell r="X818">
            <v>0</v>
          </cell>
          <cell r="Y818">
            <v>0</v>
          </cell>
          <cell r="Z818">
            <v>0</v>
          </cell>
          <cell r="AA818">
            <v>0</v>
          </cell>
          <cell r="AC818">
            <v>0</v>
          </cell>
          <cell r="AD818">
            <v>0</v>
          </cell>
        </row>
        <row r="819">
          <cell r="D819" t="str">
            <v>DR.</v>
          </cell>
          <cell r="E819" t="str">
            <v>CR.</v>
          </cell>
          <cell r="F819" t="str">
            <v>DR.</v>
          </cell>
          <cell r="G819" t="str">
            <v>CR.</v>
          </cell>
          <cell r="H819" t="str">
            <v>DR.</v>
          </cell>
          <cell r="I819" t="str">
            <v>CR.</v>
          </cell>
          <cell r="J819" t="str">
            <v>DR.</v>
          </cell>
          <cell r="K819" t="str">
            <v>CR.</v>
          </cell>
          <cell r="L819" t="str">
            <v>DR.</v>
          </cell>
          <cell r="M819" t="str">
            <v>CR.</v>
          </cell>
          <cell r="N819" t="str">
            <v>DR.</v>
          </cell>
          <cell r="O819" t="str">
            <v>CR.</v>
          </cell>
          <cell r="P819" t="str">
            <v>DR.</v>
          </cell>
          <cell r="Q819" t="str">
            <v>CR.</v>
          </cell>
          <cell r="U819">
            <v>0</v>
          </cell>
          <cell r="V819">
            <v>0</v>
          </cell>
          <cell r="W819">
            <v>0</v>
          </cell>
          <cell r="X819">
            <v>0</v>
          </cell>
          <cell r="Y819">
            <v>0</v>
          </cell>
          <cell r="Z819">
            <v>0</v>
          </cell>
          <cell r="AA819">
            <v>0</v>
          </cell>
          <cell r="AC819">
            <v>0</v>
          </cell>
          <cell r="AD819">
            <v>0</v>
          </cell>
        </row>
        <row r="820">
          <cell r="S820">
            <v>0</v>
          </cell>
          <cell r="T820">
            <v>0</v>
          </cell>
          <cell r="U820">
            <v>0</v>
          </cell>
          <cell r="V820">
            <v>0</v>
          </cell>
          <cell r="W820">
            <v>0</v>
          </cell>
          <cell r="X820">
            <v>0</v>
          </cell>
          <cell r="Y820">
            <v>0</v>
          </cell>
          <cell r="Z820">
            <v>0</v>
          </cell>
          <cell r="AA820">
            <v>0</v>
          </cell>
          <cell r="AC820">
            <v>0</v>
          </cell>
          <cell r="AD820">
            <v>0</v>
          </cell>
        </row>
        <row r="821">
          <cell r="S821">
            <v>0</v>
          </cell>
          <cell r="T821">
            <v>0</v>
          </cell>
          <cell r="U821">
            <v>0</v>
          </cell>
          <cell r="V821">
            <v>0</v>
          </cell>
          <cell r="W821">
            <v>0</v>
          </cell>
          <cell r="X821">
            <v>0</v>
          </cell>
          <cell r="Y821">
            <v>0</v>
          </cell>
          <cell r="Z821">
            <v>0</v>
          </cell>
          <cell r="AA821">
            <v>0</v>
          </cell>
          <cell r="AC821">
            <v>0</v>
          </cell>
          <cell r="AD821">
            <v>0</v>
          </cell>
        </row>
        <row r="822">
          <cell r="B822">
            <v>15618</v>
          </cell>
          <cell r="C822" t="str">
            <v>PRODUCTION PICKING SLIP OFFSET A/C (1)</v>
          </cell>
          <cell r="D822">
            <v>2609698017.5300002</v>
          </cell>
          <cell r="E822">
            <v>-2605223338.1900001</v>
          </cell>
          <cell r="F822">
            <v>4526534896</v>
          </cell>
          <cell r="G822">
            <v>-4522402117.8000002</v>
          </cell>
          <cell r="H822">
            <v>0</v>
          </cell>
          <cell r="I822">
            <v>0</v>
          </cell>
          <cell r="J822">
            <v>0</v>
          </cell>
          <cell r="K822">
            <v>0</v>
          </cell>
          <cell r="L822">
            <v>0</v>
          </cell>
          <cell r="M822">
            <v>0</v>
          </cell>
          <cell r="N822">
            <v>9516.41</v>
          </cell>
          <cell r="O822">
            <v>-9516.41</v>
          </cell>
          <cell r="P822">
            <v>7136242429.9399996</v>
          </cell>
          <cell r="Q822">
            <v>-7127634972.3999996</v>
          </cell>
          <cell r="S822">
            <v>4474679.3400001526</v>
          </cell>
          <cell r="T822">
            <v>4132778.1999998093</v>
          </cell>
          <cell r="U822">
            <v>0</v>
          </cell>
          <cell r="V822">
            <v>0</v>
          </cell>
          <cell r="W822">
            <v>4474679.3400001526</v>
          </cell>
          <cell r="X822">
            <v>4132778.1999998093</v>
          </cell>
          <cell r="Y822">
            <v>4474679.3400001526</v>
          </cell>
          <cell r="Z822">
            <v>4132778.1999998093</v>
          </cell>
          <cell r="AA822">
            <v>8607457.5399999619</v>
          </cell>
          <cell r="AC822">
            <v>15618</v>
          </cell>
          <cell r="AD822">
            <v>0</v>
          </cell>
        </row>
        <row r="823">
          <cell r="S823">
            <v>0</v>
          </cell>
          <cell r="T823">
            <v>0</v>
          </cell>
          <cell r="U823">
            <v>0</v>
          </cell>
          <cell r="V823">
            <v>0</v>
          </cell>
          <cell r="W823">
            <v>0</v>
          </cell>
          <cell r="X823">
            <v>0</v>
          </cell>
          <cell r="Y823">
            <v>0</v>
          </cell>
          <cell r="Z823">
            <v>0</v>
          </cell>
          <cell r="AA823">
            <v>0</v>
          </cell>
          <cell r="AC823">
            <v>0</v>
          </cell>
          <cell r="AD823">
            <v>0</v>
          </cell>
        </row>
        <row r="824">
          <cell r="B824">
            <v>15619</v>
          </cell>
          <cell r="C824" t="str">
            <v>PRODCUTION REPORTS AS FINISHED A/C (NET OFF 15620)</v>
          </cell>
          <cell r="D824">
            <v>5956532635.6499996</v>
          </cell>
          <cell r="E824">
            <v>-5955647862.6300001</v>
          </cell>
          <cell r="F824">
            <v>74509566866.919998</v>
          </cell>
          <cell r="G824">
            <v>-74509033438.820007</v>
          </cell>
          <cell r="H824">
            <v>0</v>
          </cell>
          <cell r="I824">
            <v>0</v>
          </cell>
          <cell r="J824">
            <v>0</v>
          </cell>
          <cell r="K824">
            <v>0</v>
          </cell>
          <cell r="L824">
            <v>0</v>
          </cell>
          <cell r="M824">
            <v>0</v>
          </cell>
          <cell r="N824">
            <v>22344</v>
          </cell>
          <cell r="O824">
            <v>-22344</v>
          </cell>
          <cell r="P824">
            <v>80466121846.570007</v>
          </cell>
          <cell r="Q824">
            <v>-80464703645.449997</v>
          </cell>
          <cell r="S824">
            <v>884773.01999950409</v>
          </cell>
          <cell r="T824">
            <v>533428.09999084473</v>
          </cell>
          <cell r="U824">
            <v>-2906482.38</v>
          </cell>
          <cell r="V824">
            <v>-2187997.63</v>
          </cell>
          <cell r="W824">
            <v>3791255.399999504</v>
          </cell>
          <cell r="X824">
            <v>2721425.7299908446</v>
          </cell>
          <cell r="Y824">
            <v>884773.01999950409</v>
          </cell>
          <cell r="Z824">
            <v>533428.09999084473</v>
          </cell>
          <cell r="AA824">
            <v>1418201.1199903488</v>
          </cell>
          <cell r="AC824">
            <v>15619</v>
          </cell>
          <cell r="AD824">
            <v>0</v>
          </cell>
        </row>
        <row r="825">
          <cell r="S825">
            <v>0</v>
          </cell>
          <cell r="T825">
            <v>0</v>
          </cell>
          <cell r="U825">
            <v>0</v>
          </cell>
          <cell r="V825">
            <v>0</v>
          </cell>
          <cell r="W825">
            <v>0</v>
          </cell>
          <cell r="X825">
            <v>0</v>
          </cell>
          <cell r="Y825">
            <v>0</v>
          </cell>
          <cell r="Z825">
            <v>0</v>
          </cell>
          <cell r="AA825">
            <v>0</v>
          </cell>
          <cell r="AC825">
            <v>0</v>
          </cell>
          <cell r="AD825">
            <v>0</v>
          </cell>
        </row>
        <row r="826">
          <cell r="B826">
            <v>15620</v>
          </cell>
          <cell r="C826" t="str">
            <v>PRODCUTION REPORTS AS FINISHED OFFSET A/C (NET OFF 15619</v>
          </cell>
          <cell r="D826">
            <v>5955647862.6300001</v>
          </cell>
          <cell r="E826">
            <v>-5956532635.6499996</v>
          </cell>
          <cell r="F826">
            <v>74509033438.820007</v>
          </cell>
          <cell r="G826">
            <v>-74509566866.919998</v>
          </cell>
          <cell r="H826">
            <v>0</v>
          </cell>
          <cell r="I826">
            <v>0</v>
          </cell>
          <cell r="J826">
            <v>0</v>
          </cell>
          <cell r="K826">
            <v>0</v>
          </cell>
          <cell r="L826">
            <v>0</v>
          </cell>
          <cell r="M826">
            <v>0</v>
          </cell>
          <cell r="N826">
            <v>22344</v>
          </cell>
          <cell r="O826">
            <v>-22344</v>
          </cell>
          <cell r="P826">
            <v>80464703645.449997</v>
          </cell>
          <cell r="Q826">
            <v>-80466121846.570007</v>
          </cell>
          <cell r="S826">
            <v>-884773.01999950409</v>
          </cell>
          <cell r="T826">
            <v>-533428.09999084473</v>
          </cell>
          <cell r="U826">
            <v>2906482.38</v>
          </cell>
          <cell r="V826">
            <v>2187997.63</v>
          </cell>
          <cell r="W826">
            <v>-3791255.399999504</v>
          </cell>
          <cell r="X826">
            <v>-2721425.7299908446</v>
          </cell>
          <cell r="Y826">
            <v>-884773.01999950409</v>
          </cell>
          <cell r="Z826">
            <v>-533428.09999084473</v>
          </cell>
          <cell r="AA826">
            <v>-1418201.1199903488</v>
          </cell>
          <cell r="AC826">
            <v>15620</v>
          </cell>
          <cell r="AD826">
            <v>0</v>
          </cell>
        </row>
        <row r="827">
          <cell r="S827">
            <v>0</v>
          </cell>
          <cell r="T827">
            <v>0</v>
          </cell>
          <cell r="U827">
            <v>0</v>
          </cell>
          <cell r="V827">
            <v>0</v>
          </cell>
          <cell r="W827">
            <v>0</v>
          </cell>
          <cell r="X827">
            <v>0</v>
          </cell>
          <cell r="Y827">
            <v>0</v>
          </cell>
          <cell r="Z827">
            <v>0</v>
          </cell>
          <cell r="AA827">
            <v>0</v>
          </cell>
          <cell r="AC827">
            <v>0</v>
          </cell>
          <cell r="AD827">
            <v>0</v>
          </cell>
        </row>
        <row r="828">
          <cell r="B828">
            <v>15622</v>
          </cell>
          <cell r="C828" t="str">
            <v>MULTIPLE ENTRY IN BANK PAYMENT ACCOUNT (SUSPENSE)</v>
          </cell>
          <cell r="D828">
            <v>290116788.08999997</v>
          </cell>
          <cell r="E828">
            <v>-272424635.18000001</v>
          </cell>
          <cell r="F828">
            <v>175012359.83000001</v>
          </cell>
          <cell r="G828">
            <v>-183440220.83000001</v>
          </cell>
          <cell r="H828">
            <v>400000</v>
          </cell>
          <cell r="I828">
            <v>-459281</v>
          </cell>
          <cell r="J828">
            <v>19830</v>
          </cell>
          <cell r="K828">
            <v>-19830</v>
          </cell>
          <cell r="L828">
            <v>9395490.4399999995</v>
          </cell>
          <cell r="M828">
            <v>-18600501.350000001</v>
          </cell>
          <cell r="N828">
            <v>0</v>
          </cell>
          <cell r="O828">
            <v>0</v>
          </cell>
          <cell r="P828">
            <v>465548977.92000002</v>
          </cell>
          <cell r="Q828">
            <v>-456343967.00999999</v>
          </cell>
          <cell r="S828">
            <v>8487141.9999999627</v>
          </cell>
          <cell r="T828">
            <v>-8487142</v>
          </cell>
          <cell r="U828">
            <v>3596062.5</v>
          </cell>
          <cell r="V828">
            <v>-3596062.5</v>
          </cell>
          <cell r="W828">
            <v>4891079.4999999627</v>
          </cell>
          <cell r="X828">
            <v>-4891079.5</v>
          </cell>
          <cell r="Y828">
            <v>8487141.9999999627</v>
          </cell>
          <cell r="Z828">
            <v>-8487142</v>
          </cell>
          <cell r="AA828">
            <v>-3.7252902984619141E-8</v>
          </cell>
          <cell r="AC828">
            <v>15622</v>
          </cell>
          <cell r="AD828">
            <v>0</v>
          </cell>
        </row>
        <row r="829">
          <cell r="S829">
            <v>0</v>
          </cell>
          <cell r="T829">
            <v>0</v>
          </cell>
          <cell r="U829">
            <v>0</v>
          </cell>
          <cell r="V829">
            <v>0</v>
          </cell>
          <cell r="W829">
            <v>0</v>
          </cell>
          <cell r="X829">
            <v>0</v>
          </cell>
          <cell r="Y829">
            <v>0</v>
          </cell>
          <cell r="Z829">
            <v>0</v>
          </cell>
          <cell r="AA829">
            <v>0</v>
          </cell>
          <cell r="AC829">
            <v>0</v>
          </cell>
          <cell r="AD829">
            <v>0</v>
          </cell>
        </row>
        <row r="830">
          <cell r="B830">
            <v>15623</v>
          </cell>
          <cell r="C830" t="str">
            <v>WIP Issue a/c - Work Center</v>
          </cell>
          <cell r="D830">
            <v>328370.23</v>
          </cell>
          <cell r="E830">
            <v>-9216</v>
          </cell>
          <cell r="F830">
            <v>0</v>
          </cell>
          <cell r="G830">
            <v>0</v>
          </cell>
          <cell r="H830">
            <v>0</v>
          </cell>
          <cell r="I830">
            <v>0</v>
          </cell>
          <cell r="J830">
            <v>0</v>
          </cell>
          <cell r="K830">
            <v>0</v>
          </cell>
          <cell r="L830">
            <v>0</v>
          </cell>
          <cell r="M830">
            <v>0</v>
          </cell>
          <cell r="N830">
            <v>0</v>
          </cell>
          <cell r="O830">
            <v>0</v>
          </cell>
          <cell r="P830">
            <v>328370.23</v>
          </cell>
          <cell r="Q830">
            <v>-9216</v>
          </cell>
          <cell r="S830">
            <v>319154.23</v>
          </cell>
          <cell r="T830">
            <v>0</v>
          </cell>
          <cell r="U830">
            <v>319154.23</v>
          </cell>
          <cell r="V830">
            <v>0</v>
          </cell>
          <cell r="W830">
            <v>0</v>
          </cell>
          <cell r="X830">
            <v>0</v>
          </cell>
          <cell r="Y830">
            <v>319154.23</v>
          </cell>
          <cell r="Z830">
            <v>0</v>
          </cell>
          <cell r="AA830">
            <v>319154.23</v>
          </cell>
          <cell r="AC830">
            <v>15623</v>
          </cell>
          <cell r="AD830">
            <v>0</v>
          </cell>
        </row>
        <row r="831">
          <cell r="S831">
            <v>0</v>
          </cell>
          <cell r="T831">
            <v>0</v>
          </cell>
          <cell r="U831">
            <v>0</v>
          </cell>
          <cell r="V831">
            <v>0</v>
          </cell>
          <cell r="W831">
            <v>0</v>
          </cell>
          <cell r="X831">
            <v>0</v>
          </cell>
          <cell r="Y831">
            <v>0</v>
          </cell>
          <cell r="Z831">
            <v>0</v>
          </cell>
          <cell r="AA831">
            <v>0</v>
          </cell>
          <cell r="AC831">
            <v>0</v>
          </cell>
          <cell r="AD831">
            <v>0</v>
          </cell>
        </row>
        <row r="832">
          <cell r="B832">
            <v>15624</v>
          </cell>
          <cell r="C832" t="str">
            <v>WIP a/c - Work Center (costing offset)</v>
          </cell>
          <cell r="D832">
            <v>9216</v>
          </cell>
          <cell r="E832">
            <v>-328370.23</v>
          </cell>
          <cell r="F832">
            <v>0</v>
          </cell>
          <cell r="G832">
            <v>0</v>
          </cell>
          <cell r="H832">
            <v>0</v>
          </cell>
          <cell r="I832">
            <v>0</v>
          </cell>
          <cell r="J832">
            <v>0</v>
          </cell>
          <cell r="K832">
            <v>0</v>
          </cell>
          <cell r="L832">
            <v>0</v>
          </cell>
          <cell r="M832">
            <v>0</v>
          </cell>
          <cell r="N832">
            <v>0</v>
          </cell>
          <cell r="O832">
            <v>0</v>
          </cell>
          <cell r="P832">
            <v>9216</v>
          </cell>
          <cell r="Q832">
            <v>-328370.23</v>
          </cell>
          <cell r="S832">
            <v>-319154.23</v>
          </cell>
          <cell r="T832">
            <v>0</v>
          </cell>
          <cell r="U832">
            <v>-319154.23</v>
          </cell>
          <cell r="V832">
            <v>0</v>
          </cell>
          <cell r="W832">
            <v>0</v>
          </cell>
          <cell r="X832">
            <v>0</v>
          </cell>
          <cell r="Y832">
            <v>-319154.23</v>
          </cell>
          <cell r="Z832">
            <v>0</v>
          </cell>
          <cell r="AA832">
            <v>-319154.23</v>
          </cell>
          <cell r="AC832">
            <v>15624</v>
          </cell>
          <cell r="AD832">
            <v>0</v>
          </cell>
        </row>
        <row r="833">
          <cell r="S833">
            <v>0</v>
          </cell>
          <cell r="T833">
            <v>0</v>
          </cell>
          <cell r="U833">
            <v>0</v>
          </cell>
          <cell r="V833">
            <v>0</v>
          </cell>
          <cell r="W833">
            <v>0</v>
          </cell>
          <cell r="X833">
            <v>0</v>
          </cell>
          <cell r="Y833">
            <v>0</v>
          </cell>
          <cell r="Z833">
            <v>0</v>
          </cell>
          <cell r="AA833">
            <v>0</v>
          </cell>
          <cell r="AC833">
            <v>0</v>
          </cell>
          <cell r="AD833">
            <v>0</v>
          </cell>
        </row>
        <row r="834">
          <cell r="B834">
            <v>15627</v>
          </cell>
          <cell r="C834" t="str">
            <v>OPENING BALANCE OFF SET A/C</v>
          </cell>
          <cell r="D834">
            <v>7091912944.2799997</v>
          </cell>
          <cell r="E834">
            <v>-7095120891.1599998</v>
          </cell>
          <cell r="F834">
            <v>4510876743.8699999</v>
          </cell>
          <cell r="G834">
            <v>-4505701113.8199997</v>
          </cell>
          <cell r="H834">
            <v>14493317.800000001</v>
          </cell>
          <cell r="I834">
            <v>-14493317.800000001</v>
          </cell>
          <cell r="J834">
            <v>19996312.300000001</v>
          </cell>
          <cell r="K834">
            <v>-19996312.300000001</v>
          </cell>
          <cell r="L834">
            <v>1709790059</v>
          </cell>
          <cell r="M834">
            <v>-1709790058.8</v>
          </cell>
          <cell r="N834">
            <v>88041383.260000005</v>
          </cell>
          <cell r="O834">
            <v>-88041383.260000005</v>
          </cell>
          <cell r="P834">
            <v>11725320701.51</v>
          </cell>
          <cell r="Q834">
            <v>-11723353018.34</v>
          </cell>
          <cell r="S834">
            <v>-3207946.6800000668</v>
          </cell>
          <cell r="T834">
            <v>5175630.0500001907</v>
          </cell>
          <cell r="U834">
            <v>0.2</v>
          </cell>
          <cell r="V834">
            <v>0</v>
          </cell>
          <cell r="W834">
            <v>-3207946.8800000669</v>
          </cell>
          <cell r="X834">
            <v>5175630.0500001907</v>
          </cell>
          <cell r="Y834">
            <v>-3207946.6800000668</v>
          </cell>
          <cell r="Z834">
            <v>5175630.0500001907</v>
          </cell>
          <cell r="AA834">
            <v>1967683.370000124</v>
          </cell>
          <cell r="AC834">
            <v>15627</v>
          </cell>
          <cell r="AD834">
            <v>0</v>
          </cell>
        </row>
        <row r="835">
          <cell r="S835">
            <v>0</v>
          </cell>
          <cell r="T835">
            <v>0</v>
          </cell>
          <cell r="U835">
            <v>0</v>
          </cell>
          <cell r="V835">
            <v>0</v>
          </cell>
          <cell r="W835">
            <v>0</v>
          </cell>
          <cell r="X835">
            <v>0</v>
          </cell>
          <cell r="Y835">
            <v>0</v>
          </cell>
          <cell r="Z835">
            <v>0</v>
          </cell>
          <cell r="AA835">
            <v>0</v>
          </cell>
          <cell r="AC835">
            <v>0</v>
          </cell>
          <cell r="AD835">
            <v>0</v>
          </cell>
        </row>
        <row r="836">
          <cell r="B836">
            <v>15631</v>
          </cell>
          <cell r="C836" t="str">
            <v>INVENTORY ISSUE A/C (INTERNAL) - RM</v>
          </cell>
          <cell r="D836">
            <v>3282168734.8299999</v>
          </cell>
          <cell r="E836">
            <v>-3311521714.0300002</v>
          </cell>
          <cell r="F836">
            <v>606875839.09000003</v>
          </cell>
          <cell r="G836">
            <v>-541883998.32000005</v>
          </cell>
          <cell r="H836">
            <v>5820113.5899999999</v>
          </cell>
          <cell r="I836">
            <v>-37329898.289999999</v>
          </cell>
          <cell r="J836">
            <v>366104.65</v>
          </cell>
          <cell r="K836">
            <v>-53151116.270000003</v>
          </cell>
          <cell r="L836">
            <v>0</v>
          </cell>
          <cell r="M836">
            <v>0</v>
          </cell>
          <cell r="N836">
            <v>90118928.75</v>
          </cell>
          <cell r="O836">
            <v>-148504833.88999999</v>
          </cell>
          <cell r="P836">
            <v>3985349720.9099998</v>
          </cell>
          <cell r="Q836">
            <v>-4092391560.8000002</v>
          </cell>
          <cell r="S836">
            <v>-87738884.340000272</v>
          </cell>
          <cell r="T836">
            <v>-19302955.550000019</v>
          </cell>
          <cell r="U836">
            <v>0</v>
          </cell>
          <cell r="V836">
            <v>0</v>
          </cell>
          <cell r="W836">
            <v>-87738884.340000272</v>
          </cell>
          <cell r="X836">
            <v>-19302955.550000019</v>
          </cell>
          <cell r="Y836">
            <v>-87738884.340000272</v>
          </cell>
          <cell r="Z836">
            <v>-19302955.550000019</v>
          </cell>
          <cell r="AA836">
            <v>-107041839.89000028</v>
          </cell>
          <cell r="AC836">
            <v>15631</v>
          </cell>
          <cell r="AD836">
            <v>0</v>
          </cell>
        </row>
        <row r="837">
          <cell r="S837">
            <v>0</v>
          </cell>
          <cell r="T837">
            <v>0</v>
          </cell>
          <cell r="U837">
            <v>0</v>
          </cell>
          <cell r="V837">
            <v>0</v>
          </cell>
          <cell r="W837">
            <v>0</v>
          </cell>
          <cell r="X837">
            <v>0</v>
          </cell>
          <cell r="Y837">
            <v>0</v>
          </cell>
          <cell r="Z837">
            <v>0</v>
          </cell>
          <cell r="AA837">
            <v>0</v>
          </cell>
          <cell r="AC837">
            <v>0</v>
          </cell>
          <cell r="AD837">
            <v>0</v>
          </cell>
        </row>
        <row r="838">
          <cell r="B838">
            <v>15632</v>
          </cell>
          <cell r="C838" t="str">
            <v>ISSUE A/C - RM</v>
          </cell>
          <cell r="D838">
            <v>2017.61</v>
          </cell>
          <cell r="E838">
            <v>-2017.61</v>
          </cell>
          <cell r="F838">
            <v>3717545.26</v>
          </cell>
          <cell r="G838">
            <v>-6421516.9699999997</v>
          </cell>
          <cell r="H838">
            <v>0</v>
          </cell>
          <cell r="I838">
            <v>0</v>
          </cell>
          <cell r="J838">
            <v>0</v>
          </cell>
          <cell r="K838">
            <v>0</v>
          </cell>
          <cell r="L838">
            <v>0</v>
          </cell>
          <cell r="M838">
            <v>0</v>
          </cell>
          <cell r="N838">
            <v>0</v>
          </cell>
          <cell r="O838">
            <v>0</v>
          </cell>
          <cell r="P838">
            <v>3719562.87</v>
          </cell>
          <cell r="Q838">
            <v>-6423534.5800000001</v>
          </cell>
          <cell r="S838">
            <v>0</v>
          </cell>
          <cell r="T838">
            <v>-2703971.71</v>
          </cell>
          <cell r="U838">
            <v>0</v>
          </cell>
          <cell r="V838">
            <v>0</v>
          </cell>
          <cell r="W838">
            <v>0</v>
          </cell>
          <cell r="X838">
            <v>-2703971.71</v>
          </cell>
          <cell r="Y838">
            <v>0</v>
          </cell>
          <cell r="Z838">
            <v>-2703971.71</v>
          </cell>
          <cell r="AA838">
            <v>-2703971.71</v>
          </cell>
          <cell r="AC838">
            <v>15632</v>
          </cell>
          <cell r="AD838">
            <v>0</v>
          </cell>
        </row>
        <row r="839">
          <cell r="S839">
            <v>0</v>
          </cell>
          <cell r="T839">
            <v>0</v>
          </cell>
          <cell r="U839">
            <v>0</v>
          </cell>
          <cell r="V839">
            <v>0</v>
          </cell>
          <cell r="W839">
            <v>0</v>
          </cell>
          <cell r="X839">
            <v>0</v>
          </cell>
          <cell r="Y839">
            <v>0</v>
          </cell>
          <cell r="Z839">
            <v>0</v>
          </cell>
          <cell r="AA839">
            <v>0</v>
          </cell>
          <cell r="AC839">
            <v>0</v>
          </cell>
          <cell r="AD839">
            <v>0</v>
          </cell>
        </row>
        <row r="840">
          <cell r="B840">
            <v>15633</v>
          </cell>
          <cell r="C840" t="str">
            <v>INVENTORY ISSUE A/C (INTERNAL) - RM (STEEL/HDPE)</v>
          </cell>
          <cell r="D840">
            <v>754690288.20000005</v>
          </cell>
          <cell r="E840">
            <v>-757396336.74000001</v>
          </cell>
          <cell r="F840">
            <v>1382131898.0899999</v>
          </cell>
          <cell r="G840">
            <v>-1384527125.2</v>
          </cell>
          <cell r="H840">
            <v>0</v>
          </cell>
          <cell r="I840">
            <v>0</v>
          </cell>
          <cell r="J840">
            <v>0</v>
          </cell>
          <cell r="K840">
            <v>0</v>
          </cell>
          <cell r="L840">
            <v>0</v>
          </cell>
          <cell r="M840">
            <v>0</v>
          </cell>
          <cell r="N840">
            <v>0</v>
          </cell>
          <cell r="O840">
            <v>0</v>
          </cell>
          <cell r="P840">
            <v>2136822186.29</v>
          </cell>
          <cell r="Q840">
            <v>-2141923461.9400001</v>
          </cell>
          <cell r="S840">
            <v>-2706048.5399999619</v>
          </cell>
          <cell r="T840">
            <v>-2395227.1100001335</v>
          </cell>
          <cell r="U840">
            <v>0</v>
          </cell>
          <cell r="V840">
            <v>0</v>
          </cell>
          <cell r="W840">
            <v>-2706048.5399999619</v>
          </cell>
          <cell r="X840">
            <v>-2395227.1100001335</v>
          </cell>
          <cell r="Y840">
            <v>-2706048.5399999619</v>
          </cell>
          <cell r="Z840">
            <v>-2395227.1100001335</v>
          </cell>
          <cell r="AA840">
            <v>-5101275.6500000954</v>
          </cell>
          <cell r="AC840">
            <v>15633</v>
          </cell>
          <cell r="AD840">
            <v>0</v>
          </cell>
        </row>
        <row r="841">
          <cell r="S841">
            <v>0</v>
          </cell>
          <cell r="T841">
            <v>0</v>
          </cell>
          <cell r="U841">
            <v>0</v>
          </cell>
          <cell r="V841">
            <v>0</v>
          </cell>
          <cell r="W841">
            <v>0</v>
          </cell>
          <cell r="X841">
            <v>0</v>
          </cell>
          <cell r="Y841">
            <v>0</v>
          </cell>
          <cell r="Z841">
            <v>0</v>
          </cell>
          <cell r="AA841">
            <v>0</v>
          </cell>
          <cell r="AC841">
            <v>0</v>
          </cell>
          <cell r="AD841">
            <v>0</v>
          </cell>
        </row>
        <row r="842">
          <cell r="B842">
            <v>15634</v>
          </cell>
          <cell r="C842" t="str">
            <v>ISSUE A/C - RM (STEEL / HDPE) - BS</v>
          </cell>
          <cell r="D842">
            <v>427403264.75</v>
          </cell>
          <cell r="E842">
            <v>-741364321.00999999</v>
          </cell>
          <cell r="F842">
            <v>856900426.39999998</v>
          </cell>
          <cell r="G842">
            <v>-1650586351.8499999</v>
          </cell>
          <cell r="H842">
            <v>0</v>
          </cell>
          <cell r="I842">
            <v>0</v>
          </cell>
          <cell r="J842">
            <v>0</v>
          </cell>
          <cell r="K842">
            <v>0</v>
          </cell>
          <cell r="L842">
            <v>0</v>
          </cell>
          <cell r="M842">
            <v>0</v>
          </cell>
          <cell r="N842">
            <v>0</v>
          </cell>
          <cell r="O842">
            <v>0</v>
          </cell>
          <cell r="P842">
            <v>1284303691.1500001</v>
          </cell>
          <cell r="Q842">
            <v>-2391950672.8600001</v>
          </cell>
          <cell r="S842">
            <v>-313961056.25999999</v>
          </cell>
          <cell r="T842">
            <v>-793685925.44999993</v>
          </cell>
          <cell r="U842">
            <v>0</v>
          </cell>
          <cell r="V842">
            <v>0</v>
          </cell>
          <cell r="W842">
            <v>-313961056.25999999</v>
          </cell>
          <cell r="X842">
            <v>-793685925.44999993</v>
          </cell>
          <cell r="Y842">
            <v>-313961056.25999999</v>
          </cell>
          <cell r="Z842">
            <v>-793685925.44999993</v>
          </cell>
          <cell r="AA842">
            <v>-1107646981.71</v>
          </cell>
          <cell r="AC842">
            <v>15634</v>
          </cell>
          <cell r="AD842">
            <v>0</v>
          </cell>
        </row>
        <row r="843">
          <cell r="S843">
            <v>0</v>
          </cell>
          <cell r="T843">
            <v>0</v>
          </cell>
          <cell r="U843">
            <v>0</v>
          </cell>
          <cell r="V843">
            <v>0</v>
          </cell>
          <cell r="W843">
            <v>0</v>
          </cell>
          <cell r="X843">
            <v>0</v>
          </cell>
          <cell r="Y843">
            <v>0</v>
          </cell>
          <cell r="Z843">
            <v>0</v>
          </cell>
          <cell r="AA843">
            <v>0</v>
          </cell>
          <cell r="AC843">
            <v>0</v>
          </cell>
          <cell r="AD843">
            <v>0</v>
          </cell>
        </row>
        <row r="844">
          <cell r="B844">
            <v>15635</v>
          </cell>
          <cell r="C844" t="str">
            <v>INVENTORY ISSUE A/C (INTERNAL) - RM (GASKET TUBE/ M B)</v>
          </cell>
          <cell r="D844">
            <v>75403.5</v>
          </cell>
          <cell r="E844">
            <v>-75403.5</v>
          </cell>
          <cell r="F844">
            <v>14545263.289999999</v>
          </cell>
          <cell r="G844">
            <v>-14564976.09</v>
          </cell>
          <cell r="H844">
            <v>0</v>
          </cell>
          <cell r="I844">
            <v>0</v>
          </cell>
          <cell r="J844">
            <v>0</v>
          </cell>
          <cell r="K844">
            <v>0</v>
          </cell>
          <cell r="L844">
            <v>0</v>
          </cell>
          <cell r="M844">
            <v>0</v>
          </cell>
          <cell r="N844">
            <v>0</v>
          </cell>
          <cell r="O844">
            <v>0</v>
          </cell>
          <cell r="P844">
            <v>14620666.789999999</v>
          </cell>
          <cell r="Q844">
            <v>-14640379.59</v>
          </cell>
          <cell r="S844">
            <v>0</v>
          </cell>
          <cell r="T844">
            <v>-19712.800000000745</v>
          </cell>
          <cell r="U844">
            <v>0</v>
          </cell>
          <cell r="V844">
            <v>0</v>
          </cell>
          <cell r="W844">
            <v>0</v>
          </cell>
          <cell r="X844">
            <v>-19712.800000000745</v>
          </cell>
          <cell r="Y844">
            <v>0</v>
          </cell>
          <cell r="Z844">
            <v>-19712.800000000745</v>
          </cell>
          <cell r="AA844">
            <v>-19712.800000000745</v>
          </cell>
          <cell r="AC844">
            <v>15635</v>
          </cell>
          <cell r="AD844">
            <v>0</v>
          </cell>
        </row>
        <row r="845">
          <cell r="S845">
            <v>0</v>
          </cell>
          <cell r="T845">
            <v>0</v>
          </cell>
          <cell r="U845">
            <v>0</v>
          </cell>
          <cell r="V845">
            <v>0</v>
          </cell>
          <cell r="W845">
            <v>0</v>
          </cell>
          <cell r="X845">
            <v>0</v>
          </cell>
          <cell r="Y845">
            <v>0</v>
          </cell>
          <cell r="Z845">
            <v>0</v>
          </cell>
          <cell r="AA845">
            <v>0</v>
          </cell>
          <cell r="AC845">
            <v>0</v>
          </cell>
          <cell r="AD845">
            <v>0</v>
          </cell>
        </row>
        <row r="846">
          <cell r="B846">
            <v>15636</v>
          </cell>
          <cell r="C846" t="str">
            <v>ISSUE A/C - RM (GASKET TUBE / MASTER BATCH) - BS</v>
          </cell>
          <cell r="D846">
            <v>75883.77</v>
          </cell>
          <cell r="E846">
            <v>-76090.36</v>
          </cell>
          <cell r="F846">
            <v>7982833.6399999997</v>
          </cell>
          <cell r="G846">
            <v>-14573038.279999999</v>
          </cell>
          <cell r="H846">
            <v>0</v>
          </cell>
          <cell r="I846">
            <v>0</v>
          </cell>
          <cell r="J846">
            <v>0</v>
          </cell>
          <cell r="K846">
            <v>0</v>
          </cell>
          <cell r="L846">
            <v>0</v>
          </cell>
          <cell r="M846">
            <v>0</v>
          </cell>
          <cell r="N846">
            <v>19.87</v>
          </cell>
          <cell r="O846">
            <v>-39.15</v>
          </cell>
          <cell r="P846">
            <v>8058737.2800000003</v>
          </cell>
          <cell r="Q846">
            <v>-14649167.789999999</v>
          </cell>
          <cell r="S846">
            <v>-225.86999999999651</v>
          </cell>
          <cell r="T846">
            <v>-6590204.6399999997</v>
          </cell>
          <cell r="U846">
            <v>0</v>
          </cell>
          <cell r="V846">
            <v>0</v>
          </cell>
          <cell r="W846">
            <v>-225.86999999999651</v>
          </cell>
          <cell r="X846">
            <v>-6590204.6399999997</v>
          </cell>
          <cell r="Y846">
            <v>-225.86999999999651</v>
          </cell>
          <cell r="Z846">
            <v>-6590204.6399999997</v>
          </cell>
          <cell r="AA846">
            <v>-6590430.5099999998</v>
          </cell>
          <cell r="AC846">
            <v>15636</v>
          </cell>
          <cell r="AD846">
            <v>0</v>
          </cell>
        </row>
        <row r="847">
          <cell r="S847">
            <v>0</v>
          </cell>
          <cell r="T847">
            <v>0</v>
          </cell>
          <cell r="U847">
            <v>0</v>
          </cell>
          <cell r="V847">
            <v>0</v>
          </cell>
          <cell r="W847">
            <v>0</v>
          </cell>
          <cell r="X847">
            <v>0</v>
          </cell>
          <cell r="Y847">
            <v>0</v>
          </cell>
          <cell r="Z847">
            <v>0</v>
          </cell>
          <cell r="AA847">
            <v>0</v>
          </cell>
          <cell r="AC847">
            <v>0</v>
          </cell>
          <cell r="AD847">
            <v>0</v>
          </cell>
        </row>
        <row r="848">
          <cell r="B848">
            <v>15637</v>
          </cell>
          <cell r="C848" t="str">
            <v>INVENTORY ISSUE A/C (INTERNAL) - RM (TINPLATE / CO-PP)</v>
          </cell>
          <cell r="D848">
            <v>37986167.030000001</v>
          </cell>
          <cell r="E848">
            <v>-37893377.350000001</v>
          </cell>
          <cell r="F848">
            <v>1029192658.63</v>
          </cell>
          <cell r="G848">
            <v>-1029568443.96</v>
          </cell>
          <cell r="H848">
            <v>0</v>
          </cell>
          <cell r="I848">
            <v>0</v>
          </cell>
          <cell r="J848">
            <v>0</v>
          </cell>
          <cell r="K848">
            <v>0</v>
          </cell>
          <cell r="L848">
            <v>0</v>
          </cell>
          <cell r="M848">
            <v>0</v>
          </cell>
          <cell r="N848">
            <v>0</v>
          </cell>
          <cell r="O848">
            <v>0</v>
          </cell>
          <cell r="P848">
            <v>1067178825.66</v>
          </cell>
          <cell r="Q848">
            <v>-1067461821.3099999</v>
          </cell>
          <cell r="S848">
            <v>92789.679999999702</v>
          </cell>
          <cell r="T848">
            <v>-375785.33000004292</v>
          </cell>
          <cell r="U848">
            <v>0</v>
          </cell>
          <cell r="V848">
            <v>0</v>
          </cell>
          <cell r="W848">
            <v>92789.679999999702</v>
          </cell>
          <cell r="X848">
            <v>-375785.33000004292</v>
          </cell>
          <cell r="Y848">
            <v>92789.679999999702</v>
          </cell>
          <cell r="Z848">
            <v>-375785.33000004292</v>
          </cell>
          <cell r="AA848">
            <v>-282995.65000004321</v>
          </cell>
          <cell r="AC848">
            <v>15637</v>
          </cell>
          <cell r="AD848">
            <v>0</v>
          </cell>
        </row>
        <row r="849">
          <cell r="S849">
            <v>0</v>
          </cell>
          <cell r="T849">
            <v>0</v>
          </cell>
          <cell r="U849">
            <v>0</v>
          </cell>
          <cell r="V849">
            <v>0</v>
          </cell>
          <cell r="W849">
            <v>0</v>
          </cell>
          <cell r="X849">
            <v>0</v>
          </cell>
          <cell r="Y849">
            <v>0</v>
          </cell>
          <cell r="Z849">
            <v>0</v>
          </cell>
          <cell r="AA849">
            <v>0</v>
          </cell>
          <cell r="AC849">
            <v>0</v>
          </cell>
          <cell r="AD849">
            <v>0</v>
          </cell>
        </row>
        <row r="850">
          <cell r="B850">
            <v>15638</v>
          </cell>
          <cell r="C850" t="str">
            <v>ISSUE A/C - RM (TIN PLATE / CO-PP) - BS</v>
          </cell>
          <cell r="D850">
            <v>23615219.530000001</v>
          </cell>
          <cell r="E850">
            <v>-37726353.560000002</v>
          </cell>
          <cell r="F850">
            <v>1732538340.78</v>
          </cell>
          <cell r="G850">
            <v>-1757471515.52</v>
          </cell>
          <cell r="H850">
            <v>0</v>
          </cell>
          <cell r="I850">
            <v>0</v>
          </cell>
          <cell r="J850">
            <v>0</v>
          </cell>
          <cell r="K850">
            <v>0</v>
          </cell>
          <cell r="L850">
            <v>0</v>
          </cell>
          <cell r="M850">
            <v>0</v>
          </cell>
          <cell r="N850">
            <v>44230.28</v>
          </cell>
          <cell r="O850">
            <v>-74428.320000000007</v>
          </cell>
          <cell r="P850">
            <v>1756197790.5899999</v>
          </cell>
          <cell r="Q850">
            <v>-1795272297.4000001</v>
          </cell>
          <cell r="S850">
            <v>-14141332.070000002</v>
          </cell>
          <cell r="T850">
            <v>-24933174.74000001</v>
          </cell>
          <cell r="U850">
            <v>0</v>
          </cell>
          <cell r="V850">
            <v>0</v>
          </cell>
          <cell r="W850">
            <v>-14141332.070000002</v>
          </cell>
          <cell r="X850">
            <v>-24933174.74000001</v>
          </cell>
          <cell r="Y850">
            <v>-14141332.070000002</v>
          </cell>
          <cell r="Z850">
            <v>-24933174.74000001</v>
          </cell>
          <cell r="AA850">
            <v>-39074506.81000001</v>
          </cell>
          <cell r="AC850">
            <v>15638</v>
          </cell>
          <cell r="AD850">
            <v>0</v>
          </cell>
        </row>
        <row r="851">
          <cell r="S851">
            <v>0</v>
          </cell>
          <cell r="T851">
            <v>0</v>
          </cell>
          <cell r="U851">
            <v>0</v>
          </cell>
          <cell r="V851">
            <v>0</v>
          </cell>
          <cell r="W851">
            <v>0</v>
          </cell>
          <cell r="X851">
            <v>0</v>
          </cell>
          <cell r="Y851">
            <v>0</v>
          </cell>
          <cell r="Z851">
            <v>0</v>
          </cell>
          <cell r="AA851">
            <v>0</v>
          </cell>
          <cell r="AC851">
            <v>0</v>
          </cell>
          <cell r="AD851">
            <v>0</v>
          </cell>
        </row>
        <row r="852">
          <cell r="B852">
            <v>15639</v>
          </cell>
          <cell r="C852" t="str">
            <v>INVENTORY ISSUE A/C (INTERNAL) - RM (INKS)</v>
          </cell>
          <cell r="D852">
            <v>2387439.2000000002</v>
          </cell>
          <cell r="E852">
            <v>-2387438.38</v>
          </cell>
          <cell r="F852">
            <v>3897736.01</v>
          </cell>
          <cell r="G852">
            <v>-3904942.63</v>
          </cell>
          <cell r="H852">
            <v>0</v>
          </cell>
          <cell r="I852">
            <v>0</v>
          </cell>
          <cell r="J852">
            <v>0</v>
          </cell>
          <cell r="K852">
            <v>0</v>
          </cell>
          <cell r="L852">
            <v>0</v>
          </cell>
          <cell r="M852">
            <v>0</v>
          </cell>
          <cell r="N852">
            <v>0</v>
          </cell>
          <cell r="O852">
            <v>0</v>
          </cell>
          <cell r="P852">
            <v>6285175.21</v>
          </cell>
          <cell r="Q852">
            <v>-6292381.0099999998</v>
          </cell>
          <cell r="S852">
            <v>0.82000000029802322</v>
          </cell>
          <cell r="T852">
            <v>-7206.6200000001118</v>
          </cell>
          <cell r="U852">
            <v>0</v>
          </cell>
          <cell r="V852">
            <v>0</v>
          </cell>
          <cell r="W852">
            <v>0.82000000029802322</v>
          </cell>
          <cell r="X852">
            <v>-7206.6200000001118</v>
          </cell>
          <cell r="Y852">
            <v>0.82000000029802322</v>
          </cell>
          <cell r="Z852">
            <v>-7206.6200000001118</v>
          </cell>
          <cell r="AA852">
            <v>-7205.7999999998137</v>
          </cell>
          <cell r="AC852">
            <v>15639</v>
          </cell>
          <cell r="AD852">
            <v>0</v>
          </cell>
        </row>
        <row r="853">
          <cell r="S853">
            <v>0</v>
          </cell>
          <cell r="T853">
            <v>0</v>
          </cell>
          <cell r="U853">
            <v>0</v>
          </cell>
          <cell r="V853">
            <v>0</v>
          </cell>
          <cell r="W853">
            <v>0</v>
          </cell>
          <cell r="X853">
            <v>0</v>
          </cell>
          <cell r="Y853">
            <v>0</v>
          </cell>
          <cell r="Z853">
            <v>0</v>
          </cell>
          <cell r="AA853">
            <v>0</v>
          </cell>
          <cell r="AC853">
            <v>0</v>
          </cell>
          <cell r="AD853">
            <v>0</v>
          </cell>
        </row>
        <row r="854">
          <cell r="B854">
            <v>15640</v>
          </cell>
          <cell r="C854" t="str">
            <v>ISSE A/C - RM (INKS) - BS</v>
          </cell>
          <cell r="D854">
            <v>1546317.89</v>
          </cell>
          <cell r="E854">
            <v>-2394695.2400000002</v>
          </cell>
          <cell r="F854">
            <v>2006307.43</v>
          </cell>
          <cell r="G854">
            <v>-3940830.91</v>
          </cell>
          <cell r="H854">
            <v>1885.16</v>
          </cell>
          <cell r="I854">
            <v>-2161.1999999999998</v>
          </cell>
          <cell r="J854">
            <v>0</v>
          </cell>
          <cell r="K854">
            <v>0</v>
          </cell>
          <cell r="L854">
            <v>0</v>
          </cell>
          <cell r="M854">
            <v>0</v>
          </cell>
          <cell r="N854">
            <v>0</v>
          </cell>
          <cell r="O854">
            <v>0</v>
          </cell>
          <cell r="P854">
            <v>3554510.48</v>
          </cell>
          <cell r="Q854">
            <v>-6337687.3499999996</v>
          </cell>
          <cell r="S854">
            <v>-848377.35000000033</v>
          </cell>
          <cell r="T854">
            <v>-1934799.5200000003</v>
          </cell>
          <cell r="U854">
            <v>0</v>
          </cell>
          <cell r="V854">
            <v>0</v>
          </cell>
          <cell r="W854">
            <v>-848377.35000000033</v>
          </cell>
          <cell r="X854">
            <v>-1934799.5200000003</v>
          </cell>
          <cell r="Y854">
            <v>-848377.35000000033</v>
          </cell>
          <cell r="Z854">
            <v>-1934799.5200000003</v>
          </cell>
          <cell r="AA854">
            <v>-2783176.8700000006</v>
          </cell>
          <cell r="AC854">
            <v>15640</v>
          </cell>
          <cell r="AD854">
            <v>0</v>
          </cell>
        </row>
        <row r="855">
          <cell r="S855">
            <v>0</v>
          </cell>
          <cell r="T855">
            <v>0</v>
          </cell>
          <cell r="U855">
            <v>0</v>
          </cell>
          <cell r="V855">
            <v>0</v>
          </cell>
          <cell r="W855">
            <v>0</v>
          </cell>
          <cell r="X855">
            <v>0</v>
          </cell>
          <cell r="Y855">
            <v>0</v>
          </cell>
          <cell r="Z855">
            <v>0</v>
          </cell>
          <cell r="AA855">
            <v>0</v>
          </cell>
          <cell r="AC855">
            <v>0</v>
          </cell>
          <cell r="AD855">
            <v>0</v>
          </cell>
        </row>
        <row r="856">
          <cell r="B856">
            <v>15641</v>
          </cell>
          <cell r="C856" t="str">
            <v>INVENTORY ISSUE A/C (INTERNAL) - RM (CHEMICALS/ACCESSORIES)</v>
          </cell>
          <cell r="D856">
            <v>17407085.059999999</v>
          </cell>
          <cell r="E856">
            <v>-17407085.059999999</v>
          </cell>
          <cell r="F856">
            <v>131387714.37</v>
          </cell>
          <cell r="G856">
            <v>-131440198.89</v>
          </cell>
          <cell r="H856">
            <v>0</v>
          </cell>
          <cell r="I856">
            <v>0</v>
          </cell>
          <cell r="J856">
            <v>0</v>
          </cell>
          <cell r="K856">
            <v>0</v>
          </cell>
          <cell r="L856">
            <v>0</v>
          </cell>
          <cell r="M856">
            <v>0</v>
          </cell>
          <cell r="N856">
            <v>0</v>
          </cell>
          <cell r="O856">
            <v>0</v>
          </cell>
          <cell r="P856">
            <v>148794799.43000001</v>
          </cell>
          <cell r="Q856">
            <v>-148847283.94999999</v>
          </cell>
          <cell r="S856">
            <v>0</v>
          </cell>
          <cell r="T856">
            <v>-52484.519999995828</v>
          </cell>
          <cell r="U856">
            <v>0</v>
          </cell>
          <cell r="V856">
            <v>0</v>
          </cell>
          <cell r="W856">
            <v>0</v>
          </cell>
          <cell r="X856">
            <v>-52484.519999995828</v>
          </cell>
          <cell r="Y856">
            <v>0</v>
          </cell>
          <cell r="Z856">
            <v>-52484.519999995828</v>
          </cell>
          <cell r="AA856">
            <v>-52484.519999995828</v>
          </cell>
          <cell r="AC856">
            <v>15641</v>
          </cell>
          <cell r="AD856">
            <v>0</v>
          </cell>
        </row>
        <row r="857">
          <cell r="S857">
            <v>0</v>
          </cell>
          <cell r="T857">
            <v>0</v>
          </cell>
          <cell r="U857">
            <v>0</v>
          </cell>
          <cell r="V857">
            <v>0</v>
          </cell>
          <cell r="W857">
            <v>0</v>
          </cell>
          <cell r="X857">
            <v>0</v>
          </cell>
          <cell r="Y857">
            <v>0</v>
          </cell>
          <cell r="Z857">
            <v>0</v>
          </cell>
          <cell r="AA857">
            <v>0</v>
          </cell>
          <cell r="AC857">
            <v>0</v>
          </cell>
          <cell r="AD857">
            <v>0</v>
          </cell>
        </row>
        <row r="858">
          <cell r="B858">
            <v>15642</v>
          </cell>
          <cell r="C858" t="str">
            <v>ISSUE A/C - RM (CHEMICALS / ACCESSORIES) - BS</v>
          </cell>
          <cell r="D858">
            <v>8987217.4299999997</v>
          </cell>
          <cell r="E858">
            <v>-17350444.850000001</v>
          </cell>
          <cell r="F858">
            <v>126715792.34999999</v>
          </cell>
          <cell r="G858">
            <v>-141232915.62</v>
          </cell>
          <cell r="H858">
            <v>108220.71</v>
          </cell>
          <cell r="I858">
            <v>-110052.26</v>
          </cell>
          <cell r="J858">
            <v>0</v>
          </cell>
          <cell r="K858">
            <v>0</v>
          </cell>
          <cell r="L858">
            <v>0</v>
          </cell>
          <cell r="M858">
            <v>0</v>
          </cell>
          <cell r="N858">
            <v>0</v>
          </cell>
          <cell r="O858">
            <v>0</v>
          </cell>
          <cell r="P858">
            <v>135811230.49000001</v>
          </cell>
          <cell r="Q858">
            <v>-158693412.72999999</v>
          </cell>
          <cell r="S858">
            <v>-8363227.4200000018</v>
          </cell>
          <cell r="T858">
            <v>-14518954.82000001</v>
          </cell>
          <cell r="U858">
            <v>0</v>
          </cell>
          <cell r="V858">
            <v>0</v>
          </cell>
          <cell r="W858">
            <v>-8363227.4200000018</v>
          </cell>
          <cell r="X858">
            <v>-14518954.82000001</v>
          </cell>
          <cell r="Y858">
            <v>-8363227.4200000018</v>
          </cell>
          <cell r="Z858">
            <v>-14518954.82000001</v>
          </cell>
          <cell r="AA858">
            <v>-22882182.24000001</v>
          </cell>
          <cell r="AC858">
            <v>15642</v>
          </cell>
          <cell r="AD858">
            <v>0</v>
          </cell>
        </row>
        <row r="859">
          <cell r="S859">
            <v>0</v>
          </cell>
          <cell r="T859">
            <v>0</v>
          </cell>
          <cell r="U859">
            <v>0</v>
          </cell>
          <cell r="V859">
            <v>0</v>
          </cell>
          <cell r="W859">
            <v>0</v>
          </cell>
          <cell r="X859">
            <v>0</v>
          </cell>
          <cell r="Y859">
            <v>0</v>
          </cell>
          <cell r="Z859">
            <v>0</v>
          </cell>
          <cell r="AA859">
            <v>0</v>
          </cell>
          <cell r="AC859">
            <v>0</v>
          </cell>
          <cell r="AD859">
            <v>0</v>
          </cell>
        </row>
        <row r="860">
          <cell r="B860">
            <v>15643</v>
          </cell>
          <cell r="C860" t="str">
            <v>INVENTORY ISSUE A/C (INTERNAL) - RM (OTHERS)</v>
          </cell>
          <cell r="D860">
            <v>2410544.08</v>
          </cell>
          <cell r="E860">
            <v>-2410544.08</v>
          </cell>
          <cell r="F860">
            <v>0</v>
          </cell>
          <cell r="G860">
            <v>0</v>
          </cell>
          <cell r="H860">
            <v>0</v>
          </cell>
          <cell r="I860">
            <v>0</v>
          </cell>
          <cell r="J860">
            <v>0</v>
          </cell>
          <cell r="K860">
            <v>0</v>
          </cell>
          <cell r="L860">
            <v>0</v>
          </cell>
          <cell r="M860">
            <v>0</v>
          </cell>
          <cell r="N860">
            <v>0</v>
          </cell>
          <cell r="O860">
            <v>0</v>
          </cell>
          <cell r="P860">
            <v>2410544.08</v>
          </cell>
          <cell r="Q860">
            <v>-2410544.08</v>
          </cell>
          <cell r="S860">
            <v>0</v>
          </cell>
          <cell r="T860">
            <v>0</v>
          </cell>
          <cell r="U860">
            <v>0</v>
          </cell>
          <cell r="V860">
            <v>0</v>
          </cell>
          <cell r="W860">
            <v>0</v>
          </cell>
          <cell r="X860">
            <v>0</v>
          </cell>
          <cell r="Y860">
            <v>0</v>
          </cell>
          <cell r="Z860">
            <v>0</v>
          </cell>
          <cell r="AA860">
            <v>0</v>
          </cell>
          <cell r="AC860">
            <v>15643</v>
          </cell>
          <cell r="AD860">
            <v>0</v>
          </cell>
        </row>
        <row r="861">
          <cell r="S861">
            <v>0</v>
          </cell>
          <cell r="T861">
            <v>0</v>
          </cell>
          <cell r="U861">
            <v>0</v>
          </cell>
          <cell r="V861">
            <v>0</v>
          </cell>
          <cell r="W861">
            <v>0</v>
          </cell>
          <cell r="X861">
            <v>0</v>
          </cell>
          <cell r="Y861">
            <v>0</v>
          </cell>
          <cell r="Z861">
            <v>0</v>
          </cell>
          <cell r="AA861">
            <v>0</v>
          </cell>
          <cell r="AC861">
            <v>0</v>
          </cell>
          <cell r="AD861">
            <v>0</v>
          </cell>
        </row>
        <row r="862">
          <cell r="B862">
            <v>15644</v>
          </cell>
          <cell r="C862" t="str">
            <v>ISSUE A/C - RM (OTHERS) - BS</v>
          </cell>
          <cell r="D862">
            <v>1043345.69</v>
          </cell>
          <cell r="E862">
            <v>-2241609.75</v>
          </cell>
          <cell r="F862">
            <v>0</v>
          </cell>
          <cell r="G862">
            <v>0</v>
          </cell>
          <cell r="H862">
            <v>0</v>
          </cell>
          <cell r="I862">
            <v>0</v>
          </cell>
          <cell r="J862">
            <v>0</v>
          </cell>
          <cell r="K862">
            <v>0</v>
          </cell>
          <cell r="L862">
            <v>0</v>
          </cell>
          <cell r="M862">
            <v>0</v>
          </cell>
          <cell r="N862">
            <v>0</v>
          </cell>
          <cell r="O862">
            <v>0</v>
          </cell>
          <cell r="P862">
            <v>1043345.69</v>
          </cell>
          <cell r="Q862">
            <v>-2241609.75</v>
          </cell>
          <cell r="S862">
            <v>-1198264.06</v>
          </cell>
          <cell r="T862">
            <v>0</v>
          </cell>
          <cell r="U862">
            <v>0</v>
          </cell>
          <cell r="V862">
            <v>0</v>
          </cell>
          <cell r="W862">
            <v>-1198264.06</v>
          </cell>
          <cell r="X862">
            <v>0</v>
          </cell>
          <cell r="Y862">
            <v>-1198264.06</v>
          </cell>
          <cell r="Z862">
            <v>0</v>
          </cell>
          <cell r="AA862">
            <v>-1198264.06</v>
          </cell>
          <cell r="AC862">
            <v>15644</v>
          </cell>
          <cell r="AD862">
            <v>0</v>
          </cell>
        </row>
        <row r="863">
          <cell r="S863">
            <v>0</v>
          </cell>
          <cell r="T863">
            <v>0</v>
          </cell>
          <cell r="U863">
            <v>0</v>
          </cell>
          <cell r="V863">
            <v>0</v>
          </cell>
          <cell r="W863">
            <v>0</v>
          </cell>
          <cell r="X863">
            <v>0</v>
          </cell>
          <cell r="Y863">
            <v>0</v>
          </cell>
          <cell r="Z863">
            <v>0</v>
          </cell>
          <cell r="AA863">
            <v>0</v>
          </cell>
          <cell r="AC863">
            <v>0</v>
          </cell>
          <cell r="AD863">
            <v>0</v>
          </cell>
        </row>
        <row r="864">
          <cell r="B864">
            <v>15645</v>
          </cell>
          <cell r="C864" t="str">
            <v>INVENTORY ISSUE A/C (INTERNAL) - RM (PURCHASE+PROCESS)</v>
          </cell>
          <cell r="D864">
            <v>107795013.36</v>
          </cell>
          <cell r="E864">
            <v>-107795019.09</v>
          </cell>
          <cell r="F864">
            <v>0</v>
          </cell>
          <cell r="G864">
            <v>0</v>
          </cell>
          <cell r="H864">
            <v>0</v>
          </cell>
          <cell r="I864">
            <v>0</v>
          </cell>
          <cell r="J864">
            <v>0</v>
          </cell>
          <cell r="K864">
            <v>0</v>
          </cell>
          <cell r="L864">
            <v>0</v>
          </cell>
          <cell r="M864">
            <v>0</v>
          </cell>
          <cell r="N864">
            <v>0</v>
          </cell>
          <cell r="O864">
            <v>0</v>
          </cell>
          <cell r="P864">
            <v>107795013.36</v>
          </cell>
          <cell r="Q864">
            <v>-107795019.09</v>
          </cell>
          <cell r="S864">
            <v>-5.7300000041723251</v>
          </cell>
          <cell r="T864">
            <v>0</v>
          </cell>
          <cell r="U864">
            <v>0</v>
          </cell>
          <cell r="V864">
            <v>0</v>
          </cell>
          <cell r="W864">
            <v>-5.7300000041723251</v>
          </cell>
          <cell r="X864">
            <v>0</v>
          </cell>
          <cell r="Y864">
            <v>-5.7300000041723251</v>
          </cell>
          <cell r="Z864">
            <v>0</v>
          </cell>
          <cell r="AA864">
            <v>-5.7300000041723251</v>
          </cell>
          <cell r="AC864">
            <v>15645</v>
          </cell>
          <cell r="AD864">
            <v>0</v>
          </cell>
        </row>
        <row r="865">
          <cell r="S865">
            <v>0</v>
          </cell>
          <cell r="T865">
            <v>0</v>
          </cell>
          <cell r="U865">
            <v>0</v>
          </cell>
          <cell r="V865">
            <v>0</v>
          </cell>
          <cell r="W865">
            <v>0</v>
          </cell>
          <cell r="X865">
            <v>0</v>
          </cell>
          <cell r="Y865">
            <v>0</v>
          </cell>
          <cell r="Z865">
            <v>0</v>
          </cell>
          <cell r="AA865">
            <v>0</v>
          </cell>
          <cell r="AC865">
            <v>0</v>
          </cell>
          <cell r="AD865">
            <v>0</v>
          </cell>
        </row>
        <row r="866">
          <cell r="B866">
            <v>15646</v>
          </cell>
          <cell r="C866" t="str">
            <v>ISSUE A/C - RM (PUCHASE+PROCESS) - BS</v>
          </cell>
          <cell r="D866">
            <v>52830135.469999999</v>
          </cell>
          <cell r="E866">
            <v>-104657204.14</v>
          </cell>
          <cell r="F866">
            <v>0</v>
          </cell>
          <cell r="G866">
            <v>0</v>
          </cell>
          <cell r="H866">
            <v>0</v>
          </cell>
          <cell r="I866">
            <v>0</v>
          </cell>
          <cell r="J866">
            <v>0</v>
          </cell>
          <cell r="K866">
            <v>0</v>
          </cell>
          <cell r="L866">
            <v>0</v>
          </cell>
          <cell r="M866">
            <v>0</v>
          </cell>
          <cell r="N866">
            <v>0</v>
          </cell>
          <cell r="O866">
            <v>0</v>
          </cell>
          <cell r="P866">
            <v>52830135.469999999</v>
          </cell>
          <cell r="Q866">
            <v>-104657204.14</v>
          </cell>
          <cell r="S866">
            <v>-51827068.670000002</v>
          </cell>
          <cell r="T866">
            <v>0</v>
          </cell>
          <cell r="U866">
            <v>0</v>
          </cell>
          <cell r="V866">
            <v>0</v>
          </cell>
          <cell r="W866">
            <v>-51827068.670000002</v>
          </cell>
          <cell r="X866">
            <v>0</v>
          </cell>
          <cell r="Y866">
            <v>-51827068.670000002</v>
          </cell>
          <cell r="Z866">
            <v>0</v>
          </cell>
          <cell r="AA866">
            <v>-51827068.670000002</v>
          </cell>
          <cell r="AC866">
            <v>15646</v>
          </cell>
          <cell r="AD866">
            <v>0</v>
          </cell>
        </row>
        <row r="867">
          <cell r="S867">
            <v>0</v>
          </cell>
          <cell r="T867">
            <v>0</v>
          </cell>
          <cell r="U867">
            <v>0</v>
          </cell>
          <cell r="V867">
            <v>0</v>
          </cell>
          <cell r="W867">
            <v>0</v>
          </cell>
          <cell r="X867">
            <v>0</v>
          </cell>
          <cell r="Y867">
            <v>0</v>
          </cell>
          <cell r="Z867">
            <v>0</v>
          </cell>
          <cell r="AA867">
            <v>0</v>
          </cell>
          <cell r="AC867">
            <v>0</v>
          </cell>
          <cell r="AD867">
            <v>0</v>
          </cell>
        </row>
        <row r="868">
          <cell r="B868">
            <v>15647</v>
          </cell>
          <cell r="C868" t="str">
            <v>INVENTORY ISSUE A/C (INTERNAL) - FG/WIP/SCRAP</v>
          </cell>
          <cell r="D868">
            <v>24420945.719999999</v>
          </cell>
          <cell r="E868">
            <v>-25803738.940000001</v>
          </cell>
          <cell r="F868">
            <v>7294335.5999999996</v>
          </cell>
          <cell r="G868">
            <v>-7339761.71</v>
          </cell>
          <cell r="H868">
            <v>0</v>
          </cell>
          <cell r="I868">
            <v>-3176.54</v>
          </cell>
          <cell r="J868">
            <v>0</v>
          </cell>
          <cell r="K868">
            <v>-6294.59</v>
          </cell>
          <cell r="L868">
            <v>0</v>
          </cell>
          <cell r="M868">
            <v>0</v>
          </cell>
          <cell r="N868">
            <v>12495.55</v>
          </cell>
          <cell r="O868">
            <v>-150679.98000000001</v>
          </cell>
          <cell r="P868">
            <v>31727776.870000001</v>
          </cell>
          <cell r="Q868">
            <v>-33303651.760000002</v>
          </cell>
          <cell r="S868">
            <v>-1520977.6500000025</v>
          </cell>
          <cell r="T868">
            <v>-54897.24000000034</v>
          </cell>
          <cell r="U868">
            <v>0</v>
          </cell>
          <cell r="V868">
            <v>0</v>
          </cell>
          <cell r="W868">
            <v>-1520977.6500000025</v>
          </cell>
          <cell r="X868">
            <v>-54897.24000000034</v>
          </cell>
          <cell r="Y868">
            <v>-1520977.6500000025</v>
          </cell>
          <cell r="Z868">
            <v>-54897.24000000034</v>
          </cell>
          <cell r="AA868">
            <v>-1575874.8900000029</v>
          </cell>
          <cell r="AC868">
            <v>15647</v>
          </cell>
          <cell r="AD868">
            <v>0</v>
          </cell>
        </row>
        <row r="869">
          <cell r="S869">
            <v>0</v>
          </cell>
          <cell r="T869">
            <v>0</v>
          </cell>
          <cell r="U869">
            <v>0</v>
          </cell>
          <cell r="V869">
            <v>0</v>
          </cell>
          <cell r="W869">
            <v>0</v>
          </cell>
          <cell r="X869">
            <v>0</v>
          </cell>
          <cell r="Y869">
            <v>0</v>
          </cell>
          <cell r="Z869">
            <v>0</v>
          </cell>
          <cell r="AA869">
            <v>0</v>
          </cell>
          <cell r="AC869">
            <v>0</v>
          </cell>
          <cell r="AD869">
            <v>0</v>
          </cell>
        </row>
        <row r="870">
          <cell r="B870">
            <v>15648</v>
          </cell>
          <cell r="C870" t="str">
            <v>SCRAP CONSUMED</v>
          </cell>
          <cell r="D870">
            <v>703541260.90999997</v>
          </cell>
          <cell r="E870">
            <v>-539008526.72000003</v>
          </cell>
          <cell r="F870">
            <v>0</v>
          </cell>
          <cell r="G870">
            <v>0</v>
          </cell>
          <cell r="H870">
            <v>0</v>
          </cell>
          <cell r="I870">
            <v>0</v>
          </cell>
          <cell r="J870">
            <v>0</v>
          </cell>
          <cell r="K870">
            <v>0</v>
          </cell>
          <cell r="L870">
            <v>0</v>
          </cell>
          <cell r="M870">
            <v>0</v>
          </cell>
          <cell r="N870">
            <v>0</v>
          </cell>
          <cell r="O870">
            <v>0</v>
          </cell>
          <cell r="P870">
            <v>703541260.90999997</v>
          </cell>
          <cell r="Q870">
            <v>-539008526.72000003</v>
          </cell>
          <cell r="S870">
            <v>164532734.18999994</v>
          </cell>
          <cell r="T870">
            <v>0</v>
          </cell>
          <cell r="U870">
            <v>107136562.04000001</v>
          </cell>
          <cell r="V870">
            <v>0</v>
          </cell>
          <cell r="W870">
            <v>57396172.149999931</v>
          </cell>
          <cell r="X870">
            <v>0</v>
          </cell>
          <cell r="Y870">
            <v>164532734.18999994</v>
          </cell>
          <cell r="Z870">
            <v>0</v>
          </cell>
          <cell r="AA870">
            <v>164532734.18999994</v>
          </cell>
          <cell r="AC870">
            <v>15648</v>
          </cell>
          <cell r="AD870">
            <v>0</v>
          </cell>
        </row>
        <row r="871">
          <cell r="S871">
            <v>0</v>
          </cell>
          <cell r="T871">
            <v>0</v>
          </cell>
          <cell r="U871">
            <v>0</v>
          </cell>
          <cell r="V871">
            <v>0</v>
          </cell>
          <cell r="W871">
            <v>0</v>
          </cell>
          <cell r="X871">
            <v>0</v>
          </cell>
          <cell r="Y871">
            <v>0</v>
          </cell>
          <cell r="Z871">
            <v>0</v>
          </cell>
          <cell r="AA871">
            <v>0</v>
          </cell>
          <cell r="AC871">
            <v>0</v>
          </cell>
          <cell r="AD871">
            <v>0</v>
          </cell>
        </row>
        <row r="872">
          <cell r="B872">
            <v>16000</v>
          </cell>
          <cell r="C872" t="str">
            <v>CLOSING STOCK OF PACKING MATERIALS</v>
          </cell>
          <cell r="D872">
            <v>768697</v>
          </cell>
          <cell r="E872">
            <v>0</v>
          </cell>
          <cell r="F872">
            <v>0</v>
          </cell>
          <cell r="G872">
            <v>0</v>
          </cell>
          <cell r="H872">
            <v>0</v>
          </cell>
          <cell r="I872">
            <v>0</v>
          </cell>
          <cell r="J872">
            <v>0</v>
          </cell>
          <cell r="K872">
            <v>0</v>
          </cell>
          <cell r="L872">
            <v>0</v>
          </cell>
          <cell r="M872">
            <v>0</v>
          </cell>
          <cell r="N872">
            <v>0</v>
          </cell>
          <cell r="O872">
            <v>0</v>
          </cell>
          <cell r="P872">
            <v>768697</v>
          </cell>
          <cell r="Q872">
            <v>0</v>
          </cell>
          <cell r="S872">
            <v>768697</v>
          </cell>
          <cell r="T872">
            <v>0</v>
          </cell>
          <cell r="U872">
            <v>768697</v>
          </cell>
          <cell r="V872">
            <v>0</v>
          </cell>
          <cell r="W872">
            <v>0</v>
          </cell>
          <cell r="X872">
            <v>0</v>
          </cell>
          <cell r="Y872">
            <v>768697</v>
          </cell>
          <cell r="Z872">
            <v>0</v>
          </cell>
          <cell r="AA872">
            <v>768697</v>
          </cell>
          <cell r="AC872">
            <v>16000</v>
          </cell>
          <cell r="AD872">
            <v>0</v>
          </cell>
        </row>
        <row r="873">
          <cell r="S873">
            <v>0</v>
          </cell>
          <cell r="T873">
            <v>0</v>
          </cell>
          <cell r="U873">
            <v>0</v>
          </cell>
          <cell r="V873">
            <v>0</v>
          </cell>
          <cell r="W873">
            <v>0</v>
          </cell>
          <cell r="X873">
            <v>0</v>
          </cell>
          <cell r="Y873">
            <v>0</v>
          </cell>
          <cell r="Z873">
            <v>0</v>
          </cell>
          <cell r="AA873">
            <v>0</v>
          </cell>
          <cell r="AC873">
            <v>0</v>
          </cell>
          <cell r="AD873">
            <v>0</v>
          </cell>
        </row>
        <row r="874">
          <cell r="B874">
            <v>999999</v>
          </cell>
          <cell r="C874" t="str">
            <v>Dummy Account</v>
          </cell>
          <cell r="D874">
            <v>0</v>
          </cell>
          <cell r="E874">
            <v>0</v>
          </cell>
          <cell r="F874">
            <v>0</v>
          </cell>
          <cell r="G874">
            <v>0</v>
          </cell>
          <cell r="H874">
            <v>0</v>
          </cell>
          <cell r="I874">
            <v>0</v>
          </cell>
          <cell r="J874">
            <v>0</v>
          </cell>
          <cell r="K874">
            <v>0</v>
          </cell>
          <cell r="L874">
            <v>358904672.56</v>
          </cell>
          <cell r="M874">
            <v>-358904672.56</v>
          </cell>
          <cell r="N874">
            <v>0</v>
          </cell>
          <cell r="O874">
            <v>0</v>
          </cell>
          <cell r="P874">
            <v>0</v>
          </cell>
          <cell r="Q874">
            <v>0</v>
          </cell>
          <cell r="S874">
            <v>0</v>
          </cell>
          <cell r="T874">
            <v>0</v>
          </cell>
          <cell r="U874">
            <v>0</v>
          </cell>
          <cell r="V874">
            <v>0</v>
          </cell>
          <cell r="W874">
            <v>0</v>
          </cell>
          <cell r="X874">
            <v>0</v>
          </cell>
          <cell r="Y874">
            <v>0</v>
          </cell>
          <cell r="Z874">
            <v>0</v>
          </cell>
          <cell r="AA874">
            <v>0</v>
          </cell>
          <cell r="AC874">
            <v>0</v>
          </cell>
          <cell r="AD874">
            <v>-999999</v>
          </cell>
        </row>
        <row r="875">
          <cell r="S875">
            <v>0</v>
          </cell>
          <cell r="T875">
            <v>0</v>
          </cell>
          <cell r="U875">
            <v>0</v>
          </cell>
          <cell r="V875">
            <v>0</v>
          </cell>
          <cell r="W875">
            <v>0</v>
          </cell>
          <cell r="X875">
            <v>0</v>
          </cell>
          <cell r="Y875">
            <v>0</v>
          </cell>
          <cell r="Z875">
            <v>0</v>
          </cell>
          <cell r="AA875">
            <v>0</v>
          </cell>
        </row>
        <row r="876">
          <cell r="B876" t="str">
            <v>LIAB FOR EXP 13-14</v>
          </cell>
          <cell r="C876" t="str">
            <v>LIABILITY FOR EXPENSES ??</v>
          </cell>
          <cell r="D876">
            <v>1266611.8</v>
          </cell>
          <cell r="E876">
            <v>-1266611.8</v>
          </cell>
          <cell r="F876">
            <v>0</v>
          </cell>
          <cell r="G876">
            <v>0</v>
          </cell>
          <cell r="H876">
            <v>0</v>
          </cell>
          <cell r="I876">
            <v>0</v>
          </cell>
          <cell r="J876">
            <v>0</v>
          </cell>
          <cell r="K876">
            <v>0</v>
          </cell>
          <cell r="L876">
            <v>0</v>
          </cell>
          <cell r="M876">
            <v>0</v>
          </cell>
          <cell r="N876">
            <v>0</v>
          </cell>
          <cell r="O876">
            <v>0</v>
          </cell>
          <cell r="P876">
            <v>1266611.8</v>
          </cell>
          <cell r="Q876">
            <v>-1266611.8</v>
          </cell>
          <cell r="S876">
            <v>0</v>
          </cell>
          <cell r="T876">
            <v>0</v>
          </cell>
          <cell r="U876">
            <v>0</v>
          </cell>
          <cell r="V876">
            <v>0</v>
          </cell>
          <cell r="W876">
            <v>0</v>
          </cell>
          <cell r="X876">
            <v>0</v>
          </cell>
          <cell r="Y876">
            <v>0</v>
          </cell>
          <cell r="Z876">
            <v>0</v>
          </cell>
          <cell r="AA876">
            <v>0</v>
          </cell>
        </row>
        <row r="877">
          <cell r="Y877">
            <v>0</v>
          </cell>
          <cell r="Z877">
            <v>0</v>
          </cell>
        </row>
        <row r="878">
          <cell r="D878">
            <v>1.432934768772E+16</v>
          </cell>
          <cell r="E878">
            <v>-1.43293439400914E+16</v>
          </cell>
          <cell r="F878">
            <v>368854404838.53003</v>
          </cell>
          <cell r="G878">
            <v>-371741012432.94</v>
          </cell>
          <cell r="H878">
            <v>829434048.42999995</v>
          </cell>
          <cell r="I878">
            <v>-853390662.19000006</v>
          </cell>
          <cell r="J878">
            <v>109271113.81</v>
          </cell>
          <cell r="K878">
            <v>-161763617.59999999</v>
          </cell>
          <cell r="L878">
            <v>3815555571.1399999</v>
          </cell>
          <cell r="M878">
            <v>-4473419483.6700001</v>
          </cell>
          <cell r="N878">
            <v>1594292672.5999999</v>
          </cell>
          <cell r="O878">
            <v>-1721000739.22</v>
          </cell>
          <cell r="P878">
            <v>1.43297228906783E+16</v>
          </cell>
          <cell r="Q878">
            <v>-1.43297228906783E+16</v>
          </cell>
          <cell r="S878">
            <v>2963056703.5499954</v>
          </cell>
          <cell r="T878">
            <v>-2963056711.9599977</v>
          </cell>
          <cell r="U878">
            <v>2515379262.9899988</v>
          </cell>
          <cell r="V878">
            <v>-2515379269.1100011</v>
          </cell>
          <cell r="W878">
            <v>447677440.55999953</v>
          </cell>
          <cell r="X878">
            <v>-447677442.84999877</v>
          </cell>
          <cell r="Y878">
            <v>2963243330.5199957</v>
          </cell>
          <cell r="Z878">
            <v>-2963056713.0499988</v>
          </cell>
        </row>
        <row r="879">
          <cell r="S879">
            <v>-8.4100022315979004</v>
          </cell>
          <cell r="U879">
            <v>-6.120002269744873</v>
          </cell>
          <cell r="W879">
            <v>-2.28999924659729</v>
          </cell>
          <cell r="Y879">
            <v>186617.46999692917</v>
          </cell>
        </row>
      </sheetData>
      <sheetData sheetId="1">
        <row r="5">
          <cell r="B5" t="str">
            <v>GL CODE</v>
          </cell>
        </row>
      </sheetData>
      <sheetData sheetId="2">
        <row r="1">
          <cell r="D1" t="str">
            <v xml:space="preserve">Balmer Lawrie - Van Leer Limited   </v>
          </cell>
          <cell r="E1">
            <v>0</v>
          </cell>
        </row>
        <row r="2">
          <cell r="E2">
            <v>0.25857019424438477</v>
          </cell>
        </row>
        <row r="3">
          <cell r="E3">
            <v>-2039969.9399997019</v>
          </cell>
        </row>
        <row r="4">
          <cell r="C4" t="str">
            <v>A/C CODE</v>
          </cell>
          <cell r="E4" t="str">
            <v>ACCOUNT HEAD</v>
          </cell>
        </row>
        <row r="5">
          <cell r="C5" t="str">
            <v>ERP</v>
          </cell>
          <cell r="D5" t="str">
            <v>FACT</v>
          </cell>
        </row>
        <row r="6">
          <cell r="D6" t="str">
            <v>1</v>
          </cell>
          <cell r="E6">
            <v>2</v>
          </cell>
        </row>
        <row r="7">
          <cell r="D7" t="str">
            <v>REVENUE FROM OPERATIONS</v>
          </cell>
        </row>
        <row r="8">
          <cell r="E8" t="str">
            <v>Sale of Products</v>
          </cell>
        </row>
        <row r="9">
          <cell r="D9" t="str">
            <v>2570</v>
          </cell>
          <cell r="E9" t="str">
            <v>Inter Departmental Adj. A/c - Valerex DIV</v>
          </cell>
        </row>
        <row r="10">
          <cell r="D10" t="str">
            <v>2571</v>
          </cell>
          <cell r="E10" t="str">
            <v>Inter Department Purchase</v>
          </cell>
        </row>
        <row r="11">
          <cell r="C11">
            <v>11030</v>
          </cell>
          <cell r="D11" t="str">
            <v>5000</v>
          </cell>
          <cell r="E11" t="str">
            <v>Sales Control A/c</v>
          </cell>
        </row>
        <row r="12">
          <cell r="D12" t="str">
            <v>5011</v>
          </cell>
          <cell r="E12" t="str">
            <v>Product Sales-Cochin</v>
          </cell>
        </row>
        <row r="13">
          <cell r="D13" t="str">
            <v>5015</v>
          </cell>
          <cell r="E13" t="str">
            <v>Product Sales-Cochin</v>
          </cell>
        </row>
        <row r="14">
          <cell r="C14">
            <v>11025</v>
          </cell>
          <cell r="D14" t="str">
            <v>5010</v>
          </cell>
          <cell r="E14" t="str">
            <v>Product Sales</v>
          </cell>
        </row>
        <row r="15">
          <cell r="D15" t="str">
            <v>5020</v>
          </cell>
          <cell r="E15" t="str">
            <v>Product Sales - Exports</v>
          </cell>
        </row>
        <row r="16">
          <cell r="D16" t="str">
            <v>5226</v>
          </cell>
          <cell r="E16" t="str">
            <v>Inter Unit Sales -DEPB</v>
          </cell>
        </row>
        <row r="17">
          <cell r="D17" t="str">
            <v>5500</v>
          </cell>
          <cell r="E17" t="str">
            <v>Sales Retrun</v>
          </cell>
        </row>
        <row r="18">
          <cell r="D18" t="str">
            <v>5505</v>
          </cell>
          <cell r="E18" t="str">
            <v>Sales Retrun- Cochin</v>
          </cell>
        </row>
        <row r="19">
          <cell r="C19">
            <v>12142</v>
          </cell>
          <cell r="E19" t="str">
            <v>Order Invoice Rounding (Sys)</v>
          </cell>
        </row>
        <row r="20">
          <cell r="D20" t="str">
            <v>113</v>
          </cell>
          <cell r="E20" t="str">
            <v>Processing Charges (Job Work)</v>
          </cell>
        </row>
        <row r="21">
          <cell r="E21" t="str">
            <v>Sub-total</v>
          </cell>
        </row>
        <row r="22">
          <cell r="E22" t="str">
            <v>Other Operating Revenue</v>
          </cell>
        </row>
        <row r="23">
          <cell r="C23">
            <v>11035</v>
          </cell>
          <cell r="D23" t="str">
            <v>5100</v>
          </cell>
          <cell r="E23" t="str">
            <v>Scrap Sales</v>
          </cell>
        </row>
        <row r="24">
          <cell r="E24" t="str">
            <v>Scrap Receipts</v>
          </cell>
        </row>
        <row r="25">
          <cell r="C25">
            <v>11040</v>
          </cell>
          <cell r="E25" t="str">
            <v>Scrap Sales-MISC (N)</v>
          </cell>
        </row>
        <row r="26">
          <cell r="E26" t="str">
            <v>Sub-total</v>
          </cell>
        </row>
        <row r="27">
          <cell r="E27" t="str">
            <v>Income from Duty Drawback and DEPB Licenses</v>
          </cell>
        </row>
        <row r="28">
          <cell r="D28" t="str">
            <v>5115</v>
          </cell>
          <cell r="E28" t="str">
            <v>DEPB SALE A/C</v>
          </cell>
        </row>
        <row r="29">
          <cell r="C29">
            <v>11205</v>
          </cell>
          <cell r="D29" t="str">
            <v>5225</v>
          </cell>
          <cell r="E29" t="str">
            <v>DEPB BENIFIT A/c (Income from DEPB Lic )</v>
          </cell>
        </row>
        <row r="30">
          <cell r="E30" t="str">
            <v>Sub-total</v>
          </cell>
        </row>
        <row r="31">
          <cell r="E31" t="str">
            <v>TOTAL</v>
          </cell>
        </row>
        <row r="33">
          <cell r="D33" t="str">
            <v>OTHER INCOME</v>
          </cell>
        </row>
        <row r="34">
          <cell r="E34" t="str">
            <v>Interest Income On</v>
          </cell>
        </row>
        <row r="35">
          <cell r="C35">
            <v>11215</v>
          </cell>
          <cell r="D35" t="str">
            <v>5150</v>
          </cell>
          <cell r="E35" t="str">
            <v>Interest Received</v>
          </cell>
        </row>
        <row r="37">
          <cell r="E37" t="str">
            <v>Sub-total</v>
          </cell>
        </row>
        <row r="38">
          <cell r="E38" t="str">
            <v>Dividend Income On</v>
          </cell>
        </row>
        <row r="39">
          <cell r="C39">
            <v>11245</v>
          </cell>
          <cell r="D39" t="str">
            <v>5240</v>
          </cell>
          <cell r="E39" t="str">
            <v>Dividend Income +Proseal</v>
          </cell>
        </row>
        <row r="40">
          <cell r="E40" t="str">
            <v>Investment In Mutual Funds</v>
          </cell>
        </row>
        <row r="41">
          <cell r="E41" t="str">
            <v>Sub-total</v>
          </cell>
        </row>
        <row r="42">
          <cell r="C42">
            <v>11210</v>
          </cell>
          <cell r="D42" t="str">
            <v>5210</v>
          </cell>
          <cell r="E42" t="str">
            <v>Management and Marketing Fees from Subsidiary</v>
          </cell>
        </row>
        <row r="44">
          <cell r="E44" t="str">
            <v>Sub-total</v>
          </cell>
        </row>
        <row r="45">
          <cell r="C45">
            <v>11240</v>
          </cell>
          <cell r="D45" t="str">
            <v>5170</v>
          </cell>
          <cell r="E45" t="str">
            <v>Profit On Sale Of Fixed Assets (Net)</v>
          </cell>
        </row>
        <row r="47">
          <cell r="E47" t="str">
            <v>Sub-total</v>
          </cell>
        </row>
        <row r="48">
          <cell r="E48" t="str">
            <v>Gain Foreign Exchange (Net)</v>
          </cell>
        </row>
        <row r="51">
          <cell r="E51" t="str">
            <v>Sub-total</v>
          </cell>
        </row>
        <row r="52">
          <cell r="E52" t="str">
            <v>Liabilities no Longer Required Written Back</v>
          </cell>
        </row>
        <row r="53">
          <cell r="C53">
            <v>11225</v>
          </cell>
          <cell r="D53" t="str">
            <v>5235</v>
          </cell>
          <cell r="E53" t="str">
            <v>Sundry Credit Balances written back</v>
          </cell>
        </row>
        <row r="54">
          <cell r="C54">
            <v>11220</v>
          </cell>
          <cell r="D54" t="str">
            <v>5180</v>
          </cell>
          <cell r="E54" t="str">
            <v>Provision No Longer Required W/Back</v>
          </cell>
        </row>
        <row r="55">
          <cell r="C55">
            <v>11230</v>
          </cell>
          <cell r="E55" t="str">
            <v>Liabilities no longer required written back</v>
          </cell>
        </row>
        <row r="56">
          <cell r="E56" t="str">
            <v>Provision for Bad Doubtful Debts written back</v>
          </cell>
        </row>
        <row r="57">
          <cell r="E57" t="str">
            <v>Sub-total</v>
          </cell>
        </row>
        <row r="58">
          <cell r="E58" t="str">
            <v>Miscellaneous Income</v>
          </cell>
        </row>
        <row r="59">
          <cell r="D59" t="str">
            <v>5160</v>
          </cell>
          <cell r="E59" t="str">
            <v>Jobbing/Other Income</v>
          </cell>
        </row>
        <row r="60">
          <cell r="D60" t="str">
            <v>5190</v>
          </cell>
          <cell r="E60" t="str">
            <v>Lease Rent ( Income )</v>
          </cell>
        </row>
        <row r="61">
          <cell r="E61" t="str">
            <v>Rounding off Diff A/C</v>
          </cell>
        </row>
        <row r="62">
          <cell r="E62" t="str">
            <v>Order Invoice Rounding (SYS)</v>
          </cell>
        </row>
        <row r="63">
          <cell r="D63" t="str">
            <v>5230</v>
          </cell>
          <cell r="E63" t="str">
            <v>Sundry Income</v>
          </cell>
        </row>
        <row r="64">
          <cell r="E64" t="str">
            <v>Sub-total</v>
          </cell>
        </row>
        <row r="65">
          <cell r="E65" t="str">
            <v>TOTAL</v>
          </cell>
        </row>
        <row r="67">
          <cell r="D67" t="str">
            <v>TOTAL REVENUE</v>
          </cell>
        </row>
        <row r="69">
          <cell r="D69" t="str">
            <v>EXPENSES</v>
          </cell>
        </row>
        <row r="70">
          <cell r="D70" t="str">
            <v>COST OF MATERIAL CONSUMED</v>
          </cell>
        </row>
        <row r="71">
          <cell r="D71" t="str">
            <v xml:space="preserve"> Raw Materials</v>
          </cell>
        </row>
        <row r="72">
          <cell r="E72" t="str">
            <v>Opening Inventory</v>
          </cell>
        </row>
        <row r="73">
          <cell r="C73">
            <v>12146</v>
          </cell>
          <cell r="D73" t="str">
            <v>8971</v>
          </cell>
          <cell r="E73" t="str">
            <v>OP. Sto Raw Matl - P &amp; L</v>
          </cell>
        </row>
        <row r="75">
          <cell r="E75" t="str">
            <v>Sub-total</v>
          </cell>
        </row>
        <row r="76">
          <cell r="E76" t="str">
            <v>Purchases</v>
          </cell>
        </row>
        <row r="77">
          <cell r="D77" t="str">
            <v>6105</v>
          </cell>
          <cell r="E77" t="str">
            <v>Octori A/c Purchases</v>
          </cell>
        </row>
        <row r="78">
          <cell r="C78">
            <v>15075</v>
          </cell>
          <cell r="D78" t="str">
            <v>6000</v>
          </cell>
        </row>
        <row r="79">
          <cell r="C79" t="str">
            <v>15075-1</v>
          </cell>
          <cell r="D79" t="str">
            <v>6010</v>
          </cell>
          <cell r="E79" t="str">
            <v>Purchase A/c -  RM - Steel / HMHDPE - Local</v>
          </cell>
        </row>
        <row r="80">
          <cell r="C80" t="str">
            <v>15075-7</v>
          </cell>
          <cell r="E80" t="str">
            <v>Purchase A/c -  RM - Steel / HMHDPE - Local</v>
          </cell>
        </row>
        <row r="81">
          <cell r="D81" t="str">
            <v>6011</v>
          </cell>
          <cell r="E81" t="str">
            <v>Purchase A/c -  Rm - Zinc+Local</v>
          </cell>
        </row>
        <row r="82">
          <cell r="C82" t="str">
            <v>15075-2</v>
          </cell>
          <cell r="D82" t="str">
            <v>6012</v>
          </cell>
          <cell r="E82" t="str">
            <v>Purchase A/c - RM  -Gaskets/        - Local</v>
          </cell>
        </row>
        <row r="83">
          <cell r="C83" t="str">
            <v>15075-3</v>
          </cell>
          <cell r="D83" t="str">
            <v>6013</v>
          </cell>
          <cell r="E83" t="str">
            <v>Purchase A/c - TFS/Tinplates  - Local</v>
          </cell>
        </row>
        <row r="84">
          <cell r="C84" t="str">
            <v>15075-4</v>
          </cell>
          <cell r="D84" t="str">
            <v>6014</v>
          </cell>
          <cell r="E84" t="str">
            <v>Purchase A/c - RM - PTFS/INKS</v>
          </cell>
        </row>
        <row r="85">
          <cell r="C85" t="str">
            <v>15075-5</v>
          </cell>
          <cell r="D85" t="str">
            <v>6015</v>
          </cell>
          <cell r="E85" t="str">
            <v>Purchase A/c - RM -STEEL / HMHDPE - IMPORTED</v>
          </cell>
        </row>
        <row r="86">
          <cell r="D86" t="str">
            <v>6016</v>
          </cell>
          <cell r="E86" t="str">
            <v>Purchase A/c - RM - COPP Imported</v>
          </cell>
        </row>
        <row r="87">
          <cell r="D87" t="str">
            <v>6017</v>
          </cell>
          <cell r="E87" t="str">
            <v>Purchase A/c - RM - Gaskets/ Others  -Imp</v>
          </cell>
        </row>
        <row r="88">
          <cell r="C88" t="str">
            <v>15075-6</v>
          </cell>
          <cell r="D88" t="str">
            <v>6020</v>
          </cell>
          <cell r="E88" t="str">
            <v>Purchase A/c -  RM - Others</v>
          </cell>
        </row>
        <row r="89">
          <cell r="C89">
            <v>12160</v>
          </cell>
          <cell r="D89" t="str">
            <v>6021</v>
          </cell>
          <cell r="E89" t="str">
            <v>NMMC Cess A/c Others</v>
          </cell>
        </row>
        <row r="90">
          <cell r="C90">
            <v>12175</v>
          </cell>
          <cell r="D90" t="str">
            <v>6031</v>
          </cell>
          <cell r="E90" t="str">
            <v>Purchase-Excise Dutyon FG Stock</v>
          </cell>
        </row>
        <row r="91">
          <cell r="D91" t="str">
            <v>6050</v>
          </cell>
          <cell r="E91" t="str">
            <v>Purchase A/c -  Plating Chemicals</v>
          </cell>
        </row>
        <row r="92">
          <cell r="D92" t="str">
            <v>6051</v>
          </cell>
          <cell r="E92" t="str">
            <v>Purchase A/c -  Outside Plating Cost</v>
          </cell>
        </row>
        <row r="93">
          <cell r="C93">
            <v>12165</v>
          </cell>
          <cell r="E93" t="str">
            <v>Purchase A/c - Octroi</v>
          </cell>
        </row>
        <row r="94">
          <cell r="D94" t="str">
            <v>6102</v>
          </cell>
          <cell r="E94" t="str">
            <v>Transport A/c Purchase</v>
          </cell>
        </row>
        <row r="95">
          <cell r="D95" t="str">
            <v>6103</v>
          </cell>
          <cell r="E95" t="str">
            <v>M.S.T A/c - Purchase</v>
          </cell>
        </row>
        <row r="96">
          <cell r="C96">
            <v>12170</v>
          </cell>
          <cell r="D96" t="str">
            <v>6104</v>
          </cell>
          <cell r="E96" t="str">
            <v>C.S.T A/c. - Purchase</v>
          </cell>
        </row>
        <row r="97">
          <cell r="D97" t="str">
            <v>6106</v>
          </cell>
          <cell r="E97" t="str">
            <v>Clearing Charges/ Jobbing Exp</v>
          </cell>
        </row>
        <row r="98">
          <cell r="D98" t="str">
            <v>6114</v>
          </cell>
          <cell r="E98" t="str">
            <v>VAT (CST) -Purchase/Expense</v>
          </cell>
        </row>
        <row r="99">
          <cell r="D99" t="str">
            <v>6200</v>
          </cell>
          <cell r="E99" t="str">
            <v>Purchase Retrun</v>
          </cell>
        </row>
        <row r="100">
          <cell r="C100">
            <v>0</v>
          </cell>
        </row>
        <row r="101">
          <cell r="C101">
            <v>12151</v>
          </cell>
          <cell r="E101" t="str">
            <v>Import Booking Diff If Misc Chg. (Charged Off)</v>
          </cell>
        </row>
        <row r="102">
          <cell r="C102">
            <v>12152</v>
          </cell>
          <cell r="E102" t="str">
            <v>Transport Account Purchase (6102)</v>
          </cell>
        </row>
        <row r="103">
          <cell r="E103" t="str">
            <v>Cash Discount</v>
          </cell>
        </row>
        <row r="104">
          <cell r="D104" t="str">
            <v>7180</v>
          </cell>
          <cell r="E104" t="str">
            <v>Cash Discount</v>
          </cell>
        </row>
        <row r="105">
          <cell r="D105" t="str">
            <v>5231</v>
          </cell>
          <cell r="E105" t="str">
            <v>Cash Disscount Received</v>
          </cell>
        </row>
        <row r="106">
          <cell r="D106" t="str">
            <v>5499</v>
          </cell>
          <cell r="E106" t="str">
            <v>Discount Allowed</v>
          </cell>
        </row>
        <row r="107">
          <cell r="C107">
            <v>12145</v>
          </cell>
          <cell r="E107" t="str">
            <v>Discount Received</v>
          </cell>
        </row>
        <row r="108">
          <cell r="C108">
            <v>13408</v>
          </cell>
          <cell r="E108" t="str">
            <v>Discount Allowed (7180)</v>
          </cell>
        </row>
        <row r="109">
          <cell r="E109" t="str">
            <v>GIT</v>
          </cell>
        </row>
        <row r="110">
          <cell r="E110" t="str">
            <v>Tube regrouping</v>
          </cell>
        </row>
        <row r="111">
          <cell r="E111" t="str">
            <v>sub-total</v>
          </cell>
        </row>
        <row r="112">
          <cell r="E112" t="str">
            <v>Closing Inventory</v>
          </cell>
        </row>
        <row r="113">
          <cell r="C113">
            <v>12209</v>
          </cell>
          <cell r="D113" t="str">
            <v>8981</v>
          </cell>
          <cell r="E113" t="str">
            <v>Cl.St. - Raw Matl.-P&amp;L</v>
          </cell>
        </row>
        <row r="114">
          <cell r="E114" t="str">
            <v>Goods in Transist</v>
          </cell>
        </row>
        <row r="116">
          <cell r="E116" t="str">
            <v>Sub-total</v>
          </cell>
        </row>
        <row r="117">
          <cell r="E117" t="str">
            <v>Cost of Raw Materials Consumed</v>
          </cell>
        </row>
        <row r="118">
          <cell r="D118" t="str">
            <v>Packing Materials</v>
          </cell>
        </row>
        <row r="119">
          <cell r="E119" t="str">
            <v>Opening Inventory</v>
          </cell>
        </row>
        <row r="120">
          <cell r="C120">
            <v>12221</v>
          </cell>
          <cell r="D120" t="str">
            <v>8972</v>
          </cell>
          <cell r="E120" t="str">
            <v>OP St. of Pack. Matl.</v>
          </cell>
        </row>
        <row r="122">
          <cell r="E122" t="str">
            <v>Sub-total</v>
          </cell>
        </row>
        <row r="123">
          <cell r="E123" t="str">
            <v>Purchases</v>
          </cell>
        </row>
        <row r="124">
          <cell r="D124" t="str">
            <v>6040</v>
          </cell>
          <cell r="E124" t="str">
            <v>Purchase A/c -  Packing Materials</v>
          </cell>
        </row>
        <row r="125">
          <cell r="C125">
            <v>15099</v>
          </cell>
          <cell r="E125" t="str">
            <v>Purchase A/C - Packing Materials Stock (Bs)</v>
          </cell>
        </row>
        <row r="127">
          <cell r="E127" t="str">
            <v>Sub-total</v>
          </cell>
        </row>
        <row r="128">
          <cell r="E128" t="str">
            <v>Closing Inventory</v>
          </cell>
        </row>
        <row r="129">
          <cell r="C129">
            <v>12264</v>
          </cell>
          <cell r="D129" t="str">
            <v>8982</v>
          </cell>
          <cell r="E129" t="str">
            <v>Cl. St. -Pack. Matl-P&amp;L</v>
          </cell>
        </row>
        <row r="131">
          <cell r="E131" t="str">
            <v>Sub-total</v>
          </cell>
        </row>
        <row r="132">
          <cell r="E132" t="str">
            <v>Cost of Packing Materials Consumed</v>
          </cell>
        </row>
        <row r="134">
          <cell r="E134" t="str">
            <v>TOTAL</v>
          </cell>
        </row>
        <row r="136">
          <cell r="D136" t="str">
            <v>CHANGES IN INVENTORIES OF FINISHED GOODS &amp;WORK-IN-PROGRESS</v>
          </cell>
        </row>
        <row r="137">
          <cell r="E137" t="str">
            <v>(Increase)/Decrease in stock of f.g/wip</v>
          </cell>
        </row>
        <row r="138">
          <cell r="E138" t="str">
            <v>Opening Stock - FG</v>
          </cell>
        </row>
        <row r="139">
          <cell r="C139">
            <v>13752</v>
          </cell>
          <cell r="D139" t="str">
            <v>8973</v>
          </cell>
          <cell r="E139" t="str">
            <v>OP.St. of FG - P &amp; L</v>
          </cell>
        </row>
        <row r="140">
          <cell r="E140" t="str">
            <v>Sub-total</v>
          </cell>
        </row>
        <row r="141">
          <cell r="E141" t="str">
            <v>Opening Stock - WIP</v>
          </cell>
        </row>
        <row r="142">
          <cell r="C142">
            <v>13753</v>
          </cell>
          <cell r="D142" t="str">
            <v>8974</v>
          </cell>
          <cell r="E142" t="str">
            <v>OP.St. of WIP - P &amp; L</v>
          </cell>
        </row>
        <row r="143">
          <cell r="E143" t="str">
            <v>Sub-total</v>
          </cell>
        </row>
        <row r="144">
          <cell r="E144" t="str">
            <v>Total Opening Stock</v>
          </cell>
        </row>
        <row r="145">
          <cell r="E145" t="str">
            <v>Closing Stock -fg</v>
          </cell>
        </row>
        <row r="146">
          <cell r="D146" t="str">
            <v>8383</v>
          </cell>
          <cell r="E146" t="str">
            <v>Cl-St. FG - P&amp;L</v>
          </cell>
        </row>
        <row r="147">
          <cell r="C147">
            <v>13756</v>
          </cell>
          <cell r="D147" t="str">
            <v>8983</v>
          </cell>
          <cell r="E147" t="str">
            <v>Cl-St. FG - P&amp;L</v>
          </cell>
        </row>
        <row r="148">
          <cell r="E148" t="str">
            <v>Sub-total</v>
          </cell>
        </row>
        <row r="149">
          <cell r="E149" t="str">
            <v>Closing Stock -WIP</v>
          </cell>
        </row>
        <row r="150">
          <cell r="C150">
            <v>13757</v>
          </cell>
          <cell r="D150" t="str">
            <v>8984</v>
          </cell>
          <cell r="E150" t="str">
            <v>Cl. St. + WIP + P&amp; L</v>
          </cell>
        </row>
        <row r="151">
          <cell r="E151" t="str">
            <v>Sub-total</v>
          </cell>
        </row>
        <row r="152">
          <cell r="E152" t="str">
            <v>Total Closing Stock</v>
          </cell>
        </row>
        <row r="153">
          <cell r="E153" t="str">
            <v>TOTAL</v>
          </cell>
        </row>
        <row r="155">
          <cell r="D155" t="str">
            <v>EMPLOYEE BENEFITS EXPENSES</v>
          </cell>
        </row>
        <row r="156">
          <cell r="E156" t="str">
            <v>Salaries , Wages, Bonus etc.</v>
          </cell>
        </row>
        <row r="157">
          <cell r="D157" t="str">
            <v>0066</v>
          </cell>
          <cell r="E157" t="str">
            <v>EST - LBR Re-Location  Allowance</v>
          </cell>
        </row>
        <row r="158">
          <cell r="C158">
            <v>13204</v>
          </cell>
          <cell r="D158" t="str">
            <v>6410</v>
          </cell>
          <cell r="E158" t="str">
            <v>Est Off-  Basic/Salary, Wages &amp; Other Benefits</v>
          </cell>
        </row>
        <row r="159">
          <cell r="D159" t="str">
            <v>6412</v>
          </cell>
          <cell r="E159" t="str">
            <v>COLA - Officers</v>
          </cell>
        </row>
        <row r="160">
          <cell r="D160" t="str">
            <v>6415</v>
          </cell>
          <cell r="E160" t="str">
            <v>Est Off - House rent allowance</v>
          </cell>
        </row>
        <row r="161">
          <cell r="D161" t="str">
            <v>6420</v>
          </cell>
          <cell r="E161" t="str">
            <v>Est Off - Education allowance</v>
          </cell>
        </row>
        <row r="162">
          <cell r="D162" t="str">
            <v>6421</v>
          </cell>
          <cell r="E162" t="str">
            <v>Est - Officers Conveyance</v>
          </cell>
        </row>
        <row r="163">
          <cell r="D163" t="str">
            <v>6422</v>
          </cell>
          <cell r="E163" t="str">
            <v>Est Off - Personnel Pay</v>
          </cell>
        </row>
        <row r="164">
          <cell r="D164" t="str">
            <v>6423</v>
          </cell>
          <cell r="E164" t="str">
            <v>Est - Officer Books &amp; Periodicals</v>
          </cell>
        </row>
        <row r="165">
          <cell r="D165" t="str">
            <v>6425</v>
          </cell>
          <cell r="E165" t="str">
            <v>Est Off - Shift allowance</v>
          </cell>
        </row>
        <row r="166">
          <cell r="D166" t="str">
            <v>6429</v>
          </cell>
          <cell r="E166" t="str">
            <v>Est OffShifting House Hold Allowance</v>
          </cell>
        </row>
        <row r="167">
          <cell r="C167">
            <v>13207</v>
          </cell>
          <cell r="D167" t="str">
            <v>6435</v>
          </cell>
          <cell r="E167" t="str">
            <v>Est Off - LTA - 64351</v>
          </cell>
        </row>
        <row r="168">
          <cell r="D168" t="str">
            <v>6440</v>
          </cell>
          <cell r="E168" t="str">
            <v>Est Off - Bonus</v>
          </cell>
        </row>
        <row r="169">
          <cell r="C169">
            <v>13208</v>
          </cell>
          <cell r="D169" t="str">
            <v>6445</v>
          </cell>
          <cell r="E169" t="str">
            <v>Est Off - Exgratia</v>
          </cell>
        </row>
        <row r="170">
          <cell r="D170" t="str">
            <v>6446</v>
          </cell>
          <cell r="E170" t="str">
            <v>Est Officer - Perormance Incentive</v>
          </cell>
        </row>
        <row r="171">
          <cell r="D171" t="str">
            <v>6492</v>
          </cell>
          <cell r="E171" t="str">
            <v>Est-Labour-Mediclaim Service Expenses</v>
          </cell>
        </row>
        <row r="172">
          <cell r="C172">
            <v>13210</v>
          </cell>
          <cell r="D172" t="str">
            <v>6504</v>
          </cell>
          <cell r="E172" t="str">
            <v>Est Off - STIPEND A/C</v>
          </cell>
        </row>
        <row r="173">
          <cell r="D173" t="str">
            <v>6506</v>
          </cell>
          <cell r="E173" t="str">
            <v>Est Off - Attendance Wages</v>
          </cell>
        </row>
        <row r="174">
          <cell r="C174">
            <v>13223</v>
          </cell>
          <cell r="D174" t="str">
            <v>6510</v>
          </cell>
          <cell r="E174" t="str">
            <v>Est Staff - Basic/Salary, Wages &amp; Other Benefits</v>
          </cell>
        </row>
        <row r="175">
          <cell r="D175" t="str">
            <v>6512</v>
          </cell>
          <cell r="E175" t="str">
            <v>COAL - Staff</v>
          </cell>
        </row>
        <row r="176">
          <cell r="D176" t="str">
            <v>6520</v>
          </cell>
          <cell r="E176" t="str">
            <v>Est Staff - House rent allowance</v>
          </cell>
        </row>
        <row r="177">
          <cell r="D177" t="str">
            <v>6530</v>
          </cell>
          <cell r="E177" t="str">
            <v>Est Staff - Transport allowance</v>
          </cell>
        </row>
        <row r="178">
          <cell r="D178" t="str">
            <v>6531</v>
          </cell>
          <cell r="E178" t="str">
            <v>EST STAFF -  PERSONAL PAY</v>
          </cell>
        </row>
        <row r="179">
          <cell r="D179" t="str">
            <v>6535</v>
          </cell>
          <cell r="E179" t="str">
            <v>Est Staff - Shift allowance</v>
          </cell>
        </row>
        <row r="180">
          <cell r="D180" t="str">
            <v>6545</v>
          </cell>
          <cell r="E180" t="str">
            <v>Est Staff - OVERTIME</v>
          </cell>
        </row>
        <row r="181">
          <cell r="C181">
            <v>13225</v>
          </cell>
          <cell r="D181" t="str">
            <v>6550</v>
          </cell>
          <cell r="E181" t="str">
            <v>Est Staff - LTA</v>
          </cell>
        </row>
        <row r="182">
          <cell r="D182" t="str">
            <v>6555</v>
          </cell>
          <cell r="E182" t="str">
            <v>Est Staff - Bonus</v>
          </cell>
        </row>
        <row r="183">
          <cell r="C183">
            <v>13226</v>
          </cell>
          <cell r="D183" t="str">
            <v>6560</v>
          </cell>
          <cell r="E183" t="str">
            <v>Est Staff - Exgratia</v>
          </cell>
        </row>
        <row r="184">
          <cell r="D184" t="str">
            <v>6561</v>
          </cell>
          <cell r="E184" t="str">
            <v>Est Staff  - Peformance Incentive</v>
          </cell>
        </row>
        <row r="185">
          <cell r="C185">
            <v>13231</v>
          </cell>
          <cell r="D185" t="str">
            <v>6610</v>
          </cell>
          <cell r="E185" t="str">
            <v>Est Lbr - Basic/Salary, Wages &amp; Others</v>
          </cell>
        </row>
        <row r="186">
          <cell r="D186" t="str">
            <v>6612</v>
          </cell>
          <cell r="E186" t="str">
            <v>Est - Lbr - Arrears / LTS</v>
          </cell>
        </row>
        <row r="187">
          <cell r="D187" t="str">
            <v>6615</v>
          </cell>
          <cell r="E187" t="str">
            <v>Est Lbr - DA</v>
          </cell>
        </row>
        <row r="188">
          <cell r="D188" t="str">
            <v>6620</v>
          </cell>
          <cell r="E188" t="str">
            <v>Est Lbr - House rent allowance</v>
          </cell>
        </row>
        <row r="189">
          <cell r="D189" t="str">
            <v>6625</v>
          </cell>
          <cell r="E189" t="str">
            <v>Est Lbr - Education Transport Canteen  allowance</v>
          </cell>
        </row>
        <row r="190">
          <cell r="D190" t="str">
            <v>6630</v>
          </cell>
          <cell r="E190" t="str">
            <v>Est Lbr - Special allowance</v>
          </cell>
        </row>
        <row r="191">
          <cell r="D191" t="str">
            <v>6631</v>
          </cell>
          <cell r="E191" t="str">
            <v>Est Lbr - PLATING &amp; NIGHT SHIFT ALLOWANCE</v>
          </cell>
        </row>
        <row r="192">
          <cell r="D192" t="str">
            <v>6635</v>
          </cell>
          <cell r="E192" t="str">
            <v>Est Lbr - Shift allowance</v>
          </cell>
        </row>
        <row r="193">
          <cell r="D193" t="str">
            <v>6636</v>
          </cell>
          <cell r="E193" t="str">
            <v>Est Lbr - MEDICAL allowance</v>
          </cell>
        </row>
        <row r="194">
          <cell r="D194" t="str">
            <v>6645</v>
          </cell>
          <cell r="E194" t="str">
            <v>Est Lbr - Overtime</v>
          </cell>
        </row>
        <row r="195">
          <cell r="C195">
            <v>13233</v>
          </cell>
          <cell r="D195" t="str">
            <v>6650</v>
          </cell>
          <cell r="E195" t="str">
            <v>Est Lbr - LTA</v>
          </cell>
        </row>
        <row r="196">
          <cell r="D196" t="str">
            <v>6651</v>
          </cell>
          <cell r="E196" t="str">
            <v>Est Lbr - Relocation Allow</v>
          </cell>
        </row>
        <row r="197">
          <cell r="D197" t="str">
            <v>6652</v>
          </cell>
          <cell r="E197" t="str">
            <v>Est Lbr - Prpduction Incentive</v>
          </cell>
        </row>
        <row r="198">
          <cell r="D198" t="str">
            <v>6653</v>
          </cell>
          <cell r="E198" t="str">
            <v>Est Lbr - Attendance Bonus</v>
          </cell>
        </row>
        <row r="199">
          <cell r="D199" t="str">
            <v>6654</v>
          </cell>
          <cell r="E199" t="str">
            <v>Est Lbr - Multi Machine maint allow</v>
          </cell>
        </row>
        <row r="200">
          <cell r="D200" t="str">
            <v>6655</v>
          </cell>
          <cell r="E200" t="str">
            <v>Est Lbr - Bonus</v>
          </cell>
        </row>
        <row r="201">
          <cell r="C201">
            <v>13235</v>
          </cell>
          <cell r="D201" t="str">
            <v>6660</v>
          </cell>
          <cell r="E201" t="str">
            <v>Est Lbr - Exgratia</v>
          </cell>
        </row>
        <row r="202">
          <cell r="C202">
            <v>13213</v>
          </cell>
          <cell r="D202" t="str">
            <v>6676</v>
          </cell>
          <cell r="E202" t="str">
            <v>Managerial Remuneration</v>
          </cell>
        </row>
        <row r="203">
          <cell r="D203" t="str">
            <v>6693</v>
          </cell>
          <cell r="E203" t="str">
            <v>EST LBR - MULTI MACHINE MANNING ALLOW. (WAGES)</v>
          </cell>
        </row>
        <row r="204">
          <cell r="D204" t="str">
            <v>6694</v>
          </cell>
          <cell r="E204" t="str">
            <v>EST LBR - MEDICAL ALLOW (WAGES)</v>
          </cell>
        </row>
        <row r="205">
          <cell r="D205" t="str">
            <v>6696</v>
          </cell>
          <cell r="E205" t="str">
            <v>EST LBR MEDICAL ALLOWANCE</v>
          </cell>
        </row>
        <row r="206">
          <cell r="D206" t="str">
            <v>6710</v>
          </cell>
          <cell r="E206" t="str">
            <v>Est Cas -  Basic</v>
          </cell>
        </row>
        <row r="207">
          <cell r="D207" t="str">
            <v>6720</v>
          </cell>
          <cell r="E207" t="str">
            <v>Est Cas - House rent allowance</v>
          </cell>
        </row>
        <row r="208">
          <cell r="D208" t="str">
            <v>6730</v>
          </cell>
          <cell r="E208" t="str">
            <v>Est Cas - Overtime</v>
          </cell>
        </row>
        <row r="209">
          <cell r="D209" t="str">
            <v>6740</v>
          </cell>
          <cell r="E209" t="str">
            <v>Est Cas - Bonus</v>
          </cell>
        </row>
        <row r="210">
          <cell r="C210">
            <v>13308</v>
          </cell>
          <cell r="D210" t="str">
            <v>6780</v>
          </cell>
          <cell r="E210" t="str">
            <v>Contract Labour Exp.a/c</v>
          </cell>
        </row>
        <row r="211">
          <cell r="D211" t="str">
            <v>7395</v>
          </cell>
          <cell r="E211" t="str">
            <v>Gas,Electricity Charges</v>
          </cell>
        </row>
        <row r="212">
          <cell r="C212">
            <v>13283</v>
          </cell>
          <cell r="D212" t="str">
            <v>6490</v>
          </cell>
          <cell r="E212" t="str">
            <v>Est Off - Medicare services</v>
          </cell>
        </row>
        <row r="213">
          <cell r="C213">
            <v>13292</v>
          </cell>
          <cell r="E213" t="str">
            <v>MEDICLAIM STAFF</v>
          </cell>
        </row>
        <row r="214">
          <cell r="C214">
            <v>13293</v>
          </cell>
          <cell r="D214" t="str">
            <v>6595</v>
          </cell>
          <cell r="E214" t="str">
            <v>Est Staff - Medical Expenses</v>
          </cell>
        </row>
        <row r="215">
          <cell r="C215">
            <v>13300</v>
          </cell>
          <cell r="D215" t="str">
            <v>6695</v>
          </cell>
          <cell r="E215" t="str">
            <v>Est Lbr - Medical Expenses</v>
          </cell>
        </row>
        <row r="216">
          <cell r="C216">
            <v>13301</v>
          </cell>
          <cell r="E216" t="str">
            <v>Mediclaim - (Workers)</v>
          </cell>
        </row>
        <row r="217">
          <cell r="C217">
            <v>13281</v>
          </cell>
          <cell r="D217" t="str">
            <v>6485</v>
          </cell>
          <cell r="E217" t="str">
            <v>Est Off - Medical Expenses</v>
          </cell>
        </row>
        <row r="218">
          <cell r="D218" t="str">
            <v>7396</v>
          </cell>
          <cell r="E218" t="str">
            <v>Attendant Wages at Resi.</v>
          </cell>
        </row>
        <row r="219">
          <cell r="D219" t="str">
            <v>7426</v>
          </cell>
          <cell r="E219" t="str">
            <v>Admn Charges on DLIF</v>
          </cell>
        </row>
        <row r="221">
          <cell r="E221" t="str">
            <v>Sub-total</v>
          </cell>
        </row>
        <row r="222">
          <cell r="E222" t="str">
            <v>Contribution to Provident &amp; Other Funds</v>
          </cell>
        </row>
        <row r="223">
          <cell r="C223">
            <v>13245</v>
          </cell>
          <cell r="D223" t="str">
            <v>6455</v>
          </cell>
          <cell r="E223" t="str">
            <v>Est Off - Providend Fund</v>
          </cell>
        </row>
        <row r="224">
          <cell r="D224" t="str">
            <v>6460</v>
          </cell>
          <cell r="E224" t="str">
            <v>Est Off - Family Pension Fund</v>
          </cell>
        </row>
        <row r="225">
          <cell r="C225">
            <v>13247</v>
          </cell>
          <cell r="D225" t="str">
            <v>6470</v>
          </cell>
          <cell r="E225" t="str">
            <v>Est off - Deposit Link Insurance Fund</v>
          </cell>
        </row>
        <row r="226">
          <cell r="C226">
            <v>13250</v>
          </cell>
          <cell r="D226" t="str">
            <v>6475</v>
          </cell>
          <cell r="E226" t="str">
            <v>Est Off - ESIC</v>
          </cell>
        </row>
        <row r="227">
          <cell r="C227">
            <v>13249</v>
          </cell>
          <cell r="D227" t="str">
            <v>6480</v>
          </cell>
          <cell r="E227" t="str">
            <v>Est Off - Superannuation</v>
          </cell>
        </row>
        <row r="228">
          <cell r="C228">
            <v>13257</v>
          </cell>
          <cell r="D228" t="str">
            <v>6570</v>
          </cell>
          <cell r="E228" t="str">
            <v>Est Staff - Providend Fund</v>
          </cell>
        </row>
        <row r="229">
          <cell r="D229" t="str">
            <v>6575</v>
          </cell>
          <cell r="E229" t="str">
            <v>Est Staff - Family Pension Fund</v>
          </cell>
        </row>
        <row r="230">
          <cell r="E230" t="str">
            <v>Deposit Link Insurance Fund (Staff)</v>
          </cell>
        </row>
        <row r="231">
          <cell r="C231">
            <v>13261</v>
          </cell>
          <cell r="D231" t="str">
            <v>6590</v>
          </cell>
          <cell r="E231" t="str">
            <v>Est Staff - ESIC</v>
          </cell>
        </row>
        <row r="232">
          <cell r="C232">
            <v>13269</v>
          </cell>
          <cell r="D232" t="str">
            <v>6670</v>
          </cell>
          <cell r="E232" t="str">
            <v>Est Lbr - Providend Fund</v>
          </cell>
        </row>
        <row r="233">
          <cell r="D233" t="str">
            <v>6675</v>
          </cell>
          <cell r="E233" t="str">
            <v>Est Lbr - Family Pension Fund</v>
          </cell>
        </row>
        <row r="234">
          <cell r="C234">
            <v>13298</v>
          </cell>
          <cell r="D234" t="str">
            <v>6680</v>
          </cell>
          <cell r="E234" t="str">
            <v>Est Lbr - Maharashatra Labour Welfare Fund</v>
          </cell>
        </row>
        <row r="235">
          <cell r="D235" t="str">
            <v>6685</v>
          </cell>
          <cell r="E235" t="str">
            <v>Est Lbr - Deposit link Insurance Fund</v>
          </cell>
        </row>
        <row r="236">
          <cell r="C236">
            <v>13273</v>
          </cell>
          <cell r="D236" t="str">
            <v>6690</v>
          </cell>
          <cell r="E236" t="str">
            <v>Est Lbr - ESIC</v>
          </cell>
        </row>
        <row r="237">
          <cell r="D237" t="str">
            <v>6750</v>
          </cell>
          <cell r="E237" t="str">
            <v>Est  Cas - Providend Fund</v>
          </cell>
        </row>
        <row r="238">
          <cell r="D238" t="str">
            <v>6765</v>
          </cell>
          <cell r="E238" t="str">
            <v>Est Cas MLWF</v>
          </cell>
        </row>
        <row r="239">
          <cell r="D239" t="str">
            <v>6775</v>
          </cell>
          <cell r="E239" t="str">
            <v>Est Cas - ESIC</v>
          </cell>
        </row>
        <row r="240">
          <cell r="E240" t="str">
            <v>adjustment done in 2011-12</v>
          </cell>
        </row>
        <row r="241">
          <cell r="D241" t="str">
            <v>7425'</v>
          </cell>
          <cell r="E241" t="str">
            <v>Admn Charges on PF</v>
          </cell>
        </row>
        <row r="242">
          <cell r="E242" t="str">
            <v>Sub-total</v>
          </cell>
        </row>
        <row r="243">
          <cell r="E243" t="str">
            <v>Gratuity</v>
          </cell>
        </row>
        <row r="244">
          <cell r="C244">
            <v>13267</v>
          </cell>
          <cell r="D244" t="str">
            <v>6665</v>
          </cell>
          <cell r="E244" t="str">
            <v>Est Lbr - Gratuity</v>
          </cell>
        </row>
        <row r="245">
          <cell r="C245">
            <v>13255</v>
          </cell>
          <cell r="D245" t="str">
            <v>6565</v>
          </cell>
          <cell r="E245" t="str">
            <v>Est Staff - Gratuity</v>
          </cell>
        </row>
        <row r="246">
          <cell r="C246">
            <v>13243</v>
          </cell>
          <cell r="D246" t="str">
            <v>6450</v>
          </cell>
          <cell r="E246" t="str">
            <v>Est Off - Gratuity</v>
          </cell>
        </row>
        <row r="247">
          <cell r="E247" t="str">
            <v>Sub-total</v>
          </cell>
        </row>
        <row r="248">
          <cell r="E248" t="str">
            <v>Compensated Absences</v>
          </cell>
        </row>
        <row r="249">
          <cell r="D249" t="str">
            <v>6430</v>
          </cell>
          <cell r="E249" t="str">
            <v>Est Off - Encashment of Leave</v>
          </cell>
        </row>
        <row r="250">
          <cell r="D250" t="str">
            <v>6640</v>
          </cell>
          <cell r="E250" t="str">
            <v>Est Lbr - Encashment of Leave</v>
          </cell>
        </row>
        <row r="251">
          <cell r="D251" t="str">
            <v>6540</v>
          </cell>
          <cell r="E251" t="str">
            <v>Est Staff - Encashment of Leave</v>
          </cell>
        </row>
        <row r="252">
          <cell r="D252">
            <v>0</v>
          </cell>
        </row>
        <row r="253">
          <cell r="E253" t="str">
            <v>Sub-total</v>
          </cell>
        </row>
        <row r="254">
          <cell r="E254" t="str">
            <v>Staff Welfare Expenses</v>
          </cell>
        </row>
        <row r="255">
          <cell r="C255">
            <v>13285</v>
          </cell>
          <cell r="D255" t="str">
            <v>6495</v>
          </cell>
          <cell r="E255" t="str">
            <v>Est Off - Office Dress</v>
          </cell>
        </row>
        <row r="256">
          <cell r="C256">
            <v>13287</v>
          </cell>
          <cell r="D256" t="str">
            <v>6496</v>
          </cell>
          <cell r="E256" t="str">
            <v>Est Off - Soft Furnisings</v>
          </cell>
        </row>
        <row r="257">
          <cell r="D257" t="str">
            <v>6500</v>
          </cell>
          <cell r="E257" t="str">
            <v>Est Off - Washing Allowance</v>
          </cell>
        </row>
        <row r="258">
          <cell r="D258" t="str">
            <v>6505</v>
          </cell>
          <cell r="E258" t="str">
            <v>Est Officers - Canteen</v>
          </cell>
        </row>
        <row r="259">
          <cell r="D259" t="str">
            <v>6600</v>
          </cell>
          <cell r="E259" t="str">
            <v>Est Staff - Canteen</v>
          </cell>
        </row>
        <row r="260">
          <cell r="D260" t="str">
            <v>6700</v>
          </cell>
          <cell r="E260" t="str">
            <v>Est Lbr - UNIFORM EXP.</v>
          </cell>
        </row>
        <row r="261">
          <cell r="C261">
            <v>13314</v>
          </cell>
          <cell r="D261" t="str">
            <v>7000</v>
          </cell>
          <cell r="E261" t="str">
            <v>Welfare -Canteen  - Lunch/Dinner</v>
          </cell>
        </row>
        <row r="262">
          <cell r="D262" t="str">
            <v>7005</v>
          </cell>
          <cell r="E262" t="str">
            <v>Welfare - Canteen Exp - Tea, Milk, Sugar</v>
          </cell>
        </row>
        <row r="263">
          <cell r="D263" t="str">
            <v>7010</v>
          </cell>
          <cell r="E263" t="str">
            <v>Welfare - Canteen Exp - Cooking Fuel</v>
          </cell>
        </row>
        <row r="264">
          <cell r="D264" t="str">
            <v>7015</v>
          </cell>
          <cell r="E264" t="str">
            <v>Welfare - Canteen Exp - Guest/Others</v>
          </cell>
        </row>
        <row r="265">
          <cell r="C265">
            <v>13316</v>
          </cell>
          <cell r="D265" t="str">
            <v>7020</v>
          </cell>
          <cell r="E265" t="str">
            <v>Welfare - First Aid</v>
          </cell>
        </row>
        <row r="266">
          <cell r="D266" t="str">
            <v>7030</v>
          </cell>
          <cell r="E266" t="str">
            <v>Welfare - Uniform Washing</v>
          </cell>
        </row>
        <row r="267">
          <cell r="C267">
            <v>13318</v>
          </cell>
          <cell r="D267" t="str">
            <v>7040</v>
          </cell>
          <cell r="E267" t="str">
            <v>Welfare Jeep Bus Car Hire Charges</v>
          </cell>
        </row>
        <row r="268">
          <cell r="D268" t="str">
            <v>7045</v>
          </cell>
          <cell r="E268" t="str">
            <v>Puja (Festival) Expenses</v>
          </cell>
        </row>
        <row r="269">
          <cell r="C269">
            <v>13320</v>
          </cell>
          <cell r="D269" t="str">
            <v>7050</v>
          </cell>
          <cell r="E269" t="str">
            <v>Welfare - Others</v>
          </cell>
        </row>
        <row r="270">
          <cell r="D270" t="str">
            <v>7661</v>
          </cell>
          <cell r="E270" t="str">
            <v>Welfare - Guest House exp</v>
          </cell>
        </row>
        <row r="272">
          <cell r="E272" t="str">
            <v>Sub-total</v>
          </cell>
        </row>
        <row r="273">
          <cell r="E273" t="str">
            <v>TOTAL</v>
          </cell>
        </row>
        <row r="275">
          <cell r="D275" t="str">
            <v>FINANCE COST</v>
          </cell>
        </row>
        <row r="276">
          <cell r="E276" t="str">
            <v>Interest on Borrowings</v>
          </cell>
        </row>
        <row r="277">
          <cell r="C277">
            <v>13853</v>
          </cell>
          <cell r="D277" t="str">
            <v>7610</v>
          </cell>
          <cell r="E277" t="str">
            <v>Interest on Cash Credit</v>
          </cell>
        </row>
        <row r="278">
          <cell r="D278" t="str">
            <v>7615</v>
          </cell>
          <cell r="E278" t="str">
            <v>Interest on Packing Credit</v>
          </cell>
        </row>
        <row r="279">
          <cell r="D279" t="str">
            <v>7620</v>
          </cell>
          <cell r="E279" t="str">
            <v>Int on BL/ Dimple Drums (2012-13) &amp;Interest On Post Shipment Packing Credit (2011-12)</v>
          </cell>
        </row>
        <row r="280">
          <cell r="D280" t="str">
            <v>7625</v>
          </cell>
          <cell r="E280" t="str">
            <v>Interest on Demand loan</v>
          </cell>
        </row>
        <row r="281">
          <cell r="C281">
            <v>13854</v>
          </cell>
          <cell r="D281" t="str">
            <v>7630</v>
          </cell>
          <cell r="E281" t="str">
            <v>Interest on Loan - FCL/Vysya Bank</v>
          </cell>
        </row>
        <row r="282">
          <cell r="C282">
            <v>13858</v>
          </cell>
          <cell r="D282" t="str">
            <v>7645</v>
          </cell>
          <cell r="E282" t="str">
            <v>Interest On Loan Taken From Companies</v>
          </cell>
        </row>
        <row r="283">
          <cell r="E283" t="str">
            <v>Sub-total</v>
          </cell>
        </row>
        <row r="284">
          <cell r="E284" t="str">
            <v>Other Interest</v>
          </cell>
        </row>
        <row r="285">
          <cell r="C285">
            <v>13855</v>
          </cell>
          <cell r="D285" t="str">
            <v>7640</v>
          </cell>
          <cell r="E285" t="str">
            <v>Other Interest</v>
          </cell>
        </row>
        <row r="287">
          <cell r="E287" t="str">
            <v>Sub-total</v>
          </cell>
        </row>
        <row r="288">
          <cell r="E288" t="str">
            <v>Interest on Others &amp; Bank Charges</v>
          </cell>
        </row>
        <row r="289">
          <cell r="C289">
            <v>13773</v>
          </cell>
          <cell r="D289" t="str">
            <v>7520</v>
          </cell>
          <cell r="E289" t="str">
            <v>Bank Charges L/c &amp; BG</v>
          </cell>
        </row>
        <row r="290">
          <cell r="D290" t="str">
            <v>7521</v>
          </cell>
          <cell r="E290" t="str">
            <v>Bank Charges Packing Credit</v>
          </cell>
        </row>
        <row r="291">
          <cell r="D291" t="str">
            <v>7522</v>
          </cell>
          <cell r="E291" t="str">
            <v>Other Bank Charges</v>
          </cell>
        </row>
        <row r="292">
          <cell r="E292" t="str">
            <v>Interest on Current  + Valerex</v>
          </cell>
        </row>
        <row r="293">
          <cell r="D293" t="str">
            <v>7646</v>
          </cell>
          <cell r="E293" t="str">
            <v>BILLS DISCOUNTING CHG.</v>
          </cell>
        </row>
        <row r="294">
          <cell r="E294" t="str">
            <v>Sub-total</v>
          </cell>
        </row>
        <row r="295">
          <cell r="E295" t="str">
            <v>TOTAL</v>
          </cell>
        </row>
        <row r="297">
          <cell r="D297" t="str">
            <v>DEPRECIATION AND AMORTISATION EXPENSES</v>
          </cell>
        </row>
        <row r="298">
          <cell r="D298" t="str">
            <v>7700</v>
          </cell>
          <cell r="E298" t="str">
            <v>Depreciation</v>
          </cell>
        </row>
        <row r="299">
          <cell r="E299" t="str">
            <v>Depreciation - Leasehold Land</v>
          </cell>
        </row>
        <row r="300">
          <cell r="E300" t="str">
            <v>Depreciation - Building</v>
          </cell>
        </row>
        <row r="301">
          <cell r="E301" t="str">
            <v>Depreciation - Ownership Flats</v>
          </cell>
        </row>
        <row r="302">
          <cell r="E302" t="str">
            <v>Depreciation - Plant &amp; Machinery</v>
          </cell>
        </row>
        <row r="303">
          <cell r="E303" t="str">
            <v>Depreciation - Computers</v>
          </cell>
        </row>
        <row r="304">
          <cell r="E304" t="str">
            <v>Depreciation - Furniture &amp; Fittings</v>
          </cell>
        </row>
        <row r="305">
          <cell r="E305" t="str">
            <v>Depreciation - Vehicles</v>
          </cell>
        </row>
        <row r="306">
          <cell r="C306">
            <v>13887</v>
          </cell>
          <cell r="E306" t="str">
            <v>Depreciation - Enabling Assets</v>
          </cell>
        </row>
        <row r="307">
          <cell r="E307" t="str">
            <v>TOTAL</v>
          </cell>
        </row>
        <row r="309">
          <cell r="D309" t="str">
            <v>OTHER EXPENSES</v>
          </cell>
        </row>
        <row r="310">
          <cell r="D310" t="str">
            <v>Consumption of stores,spares &amp; others</v>
          </cell>
        </row>
        <row r="311">
          <cell r="C311">
            <v>13110</v>
          </cell>
          <cell r="D311" t="str">
            <v>6055</v>
          </cell>
          <cell r="E311" t="str">
            <v>Op.Stock - Stores Spares &amp; Consum</v>
          </cell>
        </row>
        <row r="312">
          <cell r="C312">
            <v>15071</v>
          </cell>
          <cell r="D312" t="str">
            <v>6060</v>
          </cell>
          <cell r="E312" t="str">
            <v>Purchase A/c -  Spare Parts { Local }</v>
          </cell>
        </row>
        <row r="313">
          <cell r="D313" t="str">
            <v>6070</v>
          </cell>
          <cell r="E313" t="str">
            <v>Purchase A/c -  Spare Parts { Imported)</v>
          </cell>
        </row>
        <row r="314">
          <cell r="D314" t="str">
            <v>6075</v>
          </cell>
          <cell r="E314" t="str">
            <v>Op Stock consuables</v>
          </cell>
        </row>
        <row r="315">
          <cell r="D315" t="str">
            <v>6080</v>
          </cell>
          <cell r="E315" t="str">
            <v>Purchase A/c -  Consumables  { Imported }</v>
          </cell>
        </row>
        <row r="316">
          <cell r="D316" t="str">
            <v>6090</v>
          </cell>
          <cell r="E316" t="str">
            <v>Purchase A/c -  Consumables  { Local }</v>
          </cell>
        </row>
        <row r="317">
          <cell r="C317">
            <v>13115</v>
          </cell>
          <cell r="D317" t="str">
            <v>6250</v>
          </cell>
          <cell r="E317" t="str">
            <v>Other Manufacturing Exp/ Services</v>
          </cell>
        </row>
        <row r="318">
          <cell r="D318" t="str">
            <v>6060e</v>
          </cell>
          <cell r="E318" t="str">
            <v>Stores Spares Consumed</v>
          </cell>
        </row>
        <row r="319">
          <cell r="C319">
            <v>13117</v>
          </cell>
          <cell r="D319" t="str">
            <v>8985</v>
          </cell>
          <cell r="E319" t="str">
            <v>Cl. St. - Store Spares &amp; Consum - P&amp;L</v>
          </cell>
        </row>
        <row r="320">
          <cell r="E320" t="str">
            <v>Stores, Spare Parts, Consumables Consumed</v>
          </cell>
        </row>
        <row r="321">
          <cell r="E321" t="str">
            <v>Other Manufacturing Exp/ Services</v>
          </cell>
        </row>
        <row r="322">
          <cell r="E322" t="str">
            <v>Sub-total</v>
          </cell>
        </row>
        <row r="323">
          <cell r="D323" t="str">
            <v>Power &amp; Fuel</v>
          </cell>
        </row>
        <row r="324">
          <cell r="C324">
            <v>13121</v>
          </cell>
          <cell r="D324" t="str">
            <v>6210</v>
          </cell>
          <cell r="E324" t="str">
            <v>Power &amp; Fuel / Factory</v>
          </cell>
        </row>
        <row r="325">
          <cell r="C325">
            <v>13384</v>
          </cell>
          <cell r="D325" t="str">
            <v>6220</v>
          </cell>
          <cell r="E325" t="str">
            <v>Water</v>
          </cell>
        </row>
        <row r="326">
          <cell r="C326">
            <v>13124</v>
          </cell>
          <cell r="D326" t="str">
            <v>6211</v>
          </cell>
          <cell r="E326" t="str">
            <v>Power &amp; Fuel - Office</v>
          </cell>
        </row>
        <row r="327">
          <cell r="E327" t="str">
            <v>Sub-total</v>
          </cell>
        </row>
        <row r="328">
          <cell r="D328" t="str">
            <v>Screen Printing Charges</v>
          </cell>
        </row>
        <row r="329">
          <cell r="C329">
            <v>13704</v>
          </cell>
          <cell r="D329" t="str">
            <v>6230</v>
          </cell>
          <cell r="E329" t="str">
            <v>Screen Printing Charges</v>
          </cell>
        </row>
        <row r="331">
          <cell r="E331" t="str">
            <v>Sub-total</v>
          </cell>
        </row>
        <row r="332">
          <cell r="D332" t="str">
            <v>Repairs</v>
          </cell>
        </row>
        <row r="333">
          <cell r="E333" t="str">
            <v>Plant and Machinery</v>
          </cell>
        </row>
        <row r="334">
          <cell r="C334">
            <v>13132</v>
          </cell>
          <cell r="D334" t="str">
            <v>6310</v>
          </cell>
          <cell r="E334" t="str">
            <v>Repairs &amp; Maint + Plant &amp; Machinery</v>
          </cell>
        </row>
        <row r="336">
          <cell r="E336" t="str">
            <v>Sub-total</v>
          </cell>
        </row>
        <row r="337">
          <cell r="E337" t="str">
            <v>Building &amp; Flat</v>
          </cell>
        </row>
        <row r="338">
          <cell r="C338">
            <v>13137</v>
          </cell>
          <cell r="D338" t="str">
            <v>6320</v>
          </cell>
          <cell r="E338" t="str">
            <v>Repairs &amp; Maint + Building/Flat</v>
          </cell>
        </row>
        <row r="339">
          <cell r="C339">
            <v>13139</v>
          </cell>
          <cell r="D339" t="str">
            <v>7473</v>
          </cell>
          <cell r="E339" t="str">
            <v>Garden Maint.</v>
          </cell>
        </row>
        <row r="340">
          <cell r="E340" t="str">
            <v>Sub-total</v>
          </cell>
        </row>
        <row r="341">
          <cell r="E341" t="str">
            <v>Repairs Others</v>
          </cell>
        </row>
        <row r="342">
          <cell r="C342">
            <v>13141</v>
          </cell>
          <cell r="D342" t="str">
            <v>6315</v>
          </cell>
          <cell r="E342" t="str">
            <v>Repairs to Furniture /Equipment</v>
          </cell>
        </row>
        <row r="343">
          <cell r="C343">
            <v>13146</v>
          </cell>
          <cell r="D343" t="str">
            <v>6330</v>
          </cell>
          <cell r="E343" t="str">
            <v>Repairs &amp; Maint - Electricals</v>
          </cell>
        </row>
        <row r="344">
          <cell r="C344">
            <v>13148</v>
          </cell>
          <cell r="D344" t="str">
            <v>6340</v>
          </cell>
          <cell r="E344" t="str">
            <v>Repairs &amp; Maint - Others</v>
          </cell>
        </row>
        <row r="345">
          <cell r="E345" t="str">
            <v>Sub-total</v>
          </cell>
        </row>
        <row r="346">
          <cell r="D346" t="str">
            <v>Rent</v>
          </cell>
        </row>
        <row r="347">
          <cell r="C347">
            <v>13381</v>
          </cell>
          <cell r="D347" t="str">
            <v>7100</v>
          </cell>
          <cell r="E347" t="str">
            <v>Rent</v>
          </cell>
        </row>
        <row r="349">
          <cell r="E349" t="str">
            <v>Sub-total</v>
          </cell>
        </row>
        <row r="350">
          <cell r="D350" t="str">
            <v>Rates &amp; Taxes</v>
          </cell>
        </row>
        <row r="351">
          <cell r="C351">
            <v>13385</v>
          </cell>
          <cell r="D351" t="str">
            <v>7110</v>
          </cell>
          <cell r="E351" t="str">
            <v>Rates &amp; Taxes</v>
          </cell>
        </row>
        <row r="352">
          <cell r="C352">
            <v>13386</v>
          </cell>
          <cell r="D352" t="str">
            <v>7111</v>
          </cell>
          <cell r="E352" t="str">
            <v>Service Tax on Transport</v>
          </cell>
        </row>
        <row r="353">
          <cell r="E353" t="str">
            <v>Service Tax Expenses</v>
          </cell>
        </row>
        <row r="354">
          <cell r="C354">
            <v>13387</v>
          </cell>
          <cell r="D354" t="str">
            <v>7120</v>
          </cell>
          <cell r="E354" t="str">
            <v>Professional Tax</v>
          </cell>
        </row>
        <row r="355">
          <cell r="E355" t="str">
            <v>Sub-total</v>
          </cell>
        </row>
        <row r="356">
          <cell r="D356" t="str">
            <v>Insurance</v>
          </cell>
        </row>
        <row r="357">
          <cell r="C357">
            <v>13393</v>
          </cell>
          <cell r="D357" t="str">
            <v>7160</v>
          </cell>
          <cell r="E357" t="str">
            <v>Insurance</v>
          </cell>
        </row>
        <row r="359">
          <cell r="E359" t="str">
            <v>Sub-total</v>
          </cell>
        </row>
        <row r="360">
          <cell r="D360" t="str">
            <v>Communication Charges (Telephone , Telex &amp; Fax Expenses)</v>
          </cell>
        </row>
        <row r="361">
          <cell r="C361">
            <v>13563</v>
          </cell>
          <cell r="D361" t="str">
            <v>7500</v>
          </cell>
          <cell r="E361" t="str">
            <v>Telephone, Telex &amp; Fax Expenses</v>
          </cell>
        </row>
        <row r="363">
          <cell r="E363" t="str">
            <v>Sub-total</v>
          </cell>
        </row>
        <row r="364">
          <cell r="D364" t="str">
            <v>Printing &amp; Stationery Expenses</v>
          </cell>
        </row>
        <row r="365">
          <cell r="C365">
            <v>13558</v>
          </cell>
          <cell r="D365" t="str">
            <v>7460</v>
          </cell>
          <cell r="E365" t="str">
            <v>Printing &amp; Stationery</v>
          </cell>
        </row>
        <row r="366">
          <cell r="D366" t="str">
            <v>7461</v>
          </cell>
          <cell r="E366" t="str">
            <v>Computer Stationery</v>
          </cell>
        </row>
        <row r="367">
          <cell r="C367">
            <v>13559</v>
          </cell>
          <cell r="D367" t="str">
            <v>7495</v>
          </cell>
          <cell r="E367" t="str">
            <v>Photo Copying Expenses</v>
          </cell>
        </row>
        <row r="368">
          <cell r="E368" t="str">
            <v>Sub-total</v>
          </cell>
        </row>
        <row r="369">
          <cell r="D369" t="str">
            <v>System and Software Expenses</v>
          </cell>
        </row>
        <row r="370">
          <cell r="C370">
            <v>13606</v>
          </cell>
          <cell r="D370" t="str">
            <v>7445</v>
          </cell>
          <cell r="E370" t="str">
            <v>System Expenses</v>
          </cell>
        </row>
        <row r="372">
          <cell r="E372" t="str">
            <v>Sub-total</v>
          </cell>
        </row>
        <row r="373">
          <cell r="D373" t="str">
            <v>Travelling, Conveyance and Car Expenses</v>
          </cell>
        </row>
        <row r="374">
          <cell r="E374" t="str">
            <v>Travelling Expenses</v>
          </cell>
        </row>
        <row r="375">
          <cell r="C375">
            <v>13448</v>
          </cell>
          <cell r="D375" t="str">
            <v>7210</v>
          </cell>
          <cell r="E375" t="str">
            <v>Trav exp -Foreign/Local  (  )</v>
          </cell>
        </row>
        <row r="376">
          <cell r="C376">
            <v>13446</v>
          </cell>
          <cell r="E376" t="str">
            <v>Directors Travelling Exps.</v>
          </cell>
        </row>
        <row r="377">
          <cell r="C377">
            <v>13447</v>
          </cell>
          <cell r="E377" t="str">
            <v>Foreigner's Travelling Exps.</v>
          </cell>
        </row>
        <row r="378">
          <cell r="D378" t="str">
            <v>7211</v>
          </cell>
          <cell r="E378" t="str">
            <v>Foreign Travel Exp./-Other</v>
          </cell>
        </row>
        <row r="379">
          <cell r="D379" t="str">
            <v>7212</v>
          </cell>
          <cell r="E379" t="str">
            <v>Trav. Exp Employes Tour</v>
          </cell>
        </row>
        <row r="380">
          <cell r="D380" t="str">
            <v>7214</v>
          </cell>
          <cell r="E380" t="str">
            <v>Trav. Exp. Others</v>
          </cell>
        </row>
        <row r="381">
          <cell r="C381">
            <v>13449</v>
          </cell>
          <cell r="D381" t="str">
            <v>7220</v>
          </cell>
          <cell r="E381" t="str">
            <v>Trav. Exp. Off. - Ticket</v>
          </cell>
        </row>
        <row r="382">
          <cell r="D382" t="str">
            <v>7221</v>
          </cell>
          <cell r="E382" t="str">
            <v>Trav. Exp. Off. - Others</v>
          </cell>
        </row>
        <row r="383">
          <cell r="D383" t="str">
            <v>7230</v>
          </cell>
          <cell r="E383" t="str">
            <v>Trav. Exp. Others - Tkt</v>
          </cell>
        </row>
        <row r="384">
          <cell r="D384" t="str">
            <v>7231</v>
          </cell>
          <cell r="E384" t="str">
            <v>Trav. Exp. Others - Others</v>
          </cell>
        </row>
        <row r="385">
          <cell r="C385">
            <v>13450</v>
          </cell>
          <cell r="D385" t="str">
            <v>7240</v>
          </cell>
          <cell r="E385" t="str">
            <v>Trav. Exp. - Conveyance</v>
          </cell>
        </row>
        <row r="386">
          <cell r="D386">
            <v>0</v>
          </cell>
          <cell r="E386" t="str">
            <v>Trav. Exp. - Staff</v>
          </cell>
        </row>
        <row r="387">
          <cell r="D387" t="str">
            <v>7250</v>
          </cell>
          <cell r="E387" t="str">
            <v>Trav. Exp. - Car / Bus Hire Charges</v>
          </cell>
        </row>
        <row r="388">
          <cell r="E388" t="str">
            <v>Sub-total</v>
          </cell>
        </row>
        <row r="389">
          <cell r="E389" t="str">
            <v>Car Expenses</v>
          </cell>
        </row>
        <row r="390">
          <cell r="C390">
            <v>13573</v>
          </cell>
          <cell r="D390" t="str">
            <v>7650</v>
          </cell>
          <cell r="E390" t="str">
            <v>Car Expenses -  Petrol</v>
          </cell>
        </row>
        <row r="391">
          <cell r="D391" t="str">
            <v>7651</v>
          </cell>
          <cell r="E391" t="str">
            <v>Car Expenses -  Repairs</v>
          </cell>
        </row>
        <row r="392">
          <cell r="D392" t="str">
            <v>7652</v>
          </cell>
          <cell r="E392" t="str">
            <v>Car Expenses -  Driver's Salary</v>
          </cell>
        </row>
        <row r="393">
          <cell r="D393" t="str">
            <v>7653</v>
          </cell>
          <cell r="E393" t="str">
            <v>Car Expenses -  Others ( Tax/Insu/Pass/Parking)</v>
          </cell>
        </row>
        <row r="394">
          <cell r="E394" t="str">
            <v>Sub-total</v>
          </cell>
        </row>
        <row r="395">
          <cell r="D395" t="str">
            <v>Security , Safety &amp; Sanitation</v>
          </cell>
        </row>
        <row r="396">
          <cell r="C396">
            <v>13428</v>
          </cell>
          <cell r="D396" t="str">
            <v>7360</v>
          </cell>
          <cell r="E396" t="str">
            <v>Security</v>
          </cell>
        </row>
        <row r="397">
          <cell r="C397">
            <v>13429</v>
          </cell>
          <cell r="D397" t="str">
            <v>7370</v>
          </cell>
          <cell r="E397" t="str">
            <v>Safety &amp; Sanitation</v>
          </cell>
        </row>
        <row r="399">
          <cell r="E399" t="str">
            <v>Sub-total</v>
          </cell>
        </row>
        <row r="400">
          <cell r="D400" t="str">
            <v>Legal, Professional &amp; Secreterial Exp.</v>
          </cell>
        </row>
        <row r="401">
          <cell r="C401">
            <v>13539</v>
          </cell>
          <cell r="D401" t="str">
            <v>7260</v>
          </cell>
          <cell r="E401" t="str">
            <v>Legal Expenses</v>
          </cell>
        </row>
        <row r="402">
          <cell r="C402">
            <v>13540</v>
          </cell>
          <cell r="D402" t="str">
            <v>7265</v>
          </cell>
          <cell r="E402" t="str">
            <v>Professional Expenses</v>
          </cell>
        </row>
        <row r="403">
          <cell r="D403" t="str">
            <v>7270</v>
          </cell>
          <cell r="E403" t="str">
            <v>Secretarial Expenses - Registrar Fees</v>
          </cell>
        </row>
        <row r="404">
          <cell r="C404">
            <v>13542</v>
          </cell>
          <cell r="D404" t="str">
            <v>7271</v>
          </cell>
          <cell r="E404" t="str">
            <v>Secretarial Expenses - Postage</v>
          </cell>
        </row>
        <row r="405">
          <cell r="D405" t="str">
            <v>7272</v>
          </cell>
          <cell r="E405" t="str">
            <v>Secretarial Expenses - STATIONARY</v>
          </cell>
        </row>
        <row r="406">
          <cell r="D406" t="str">
            <v>7273</v>
          </cell>
          <cell r="E406" t="str">
            <v>Secretarial Expenses - Others</v>
          </cell>
        </row>
        <row r="407">
          <cell r="E407" t="str">
            <v>Sub-total</v>
          </cell>
        </row>
        <row r="408">
          <cell r="D408" t="str">
            <v>Freight &amp; transport expenses</v>
          </cell>
        </row>
        <row r="409">
          <cell r="C409">
            <v>13475</v>
          </cell>
          <cell r="D409" t="str">
            <v>7285</v>
          </cell>
          <cell r="E409" t="str">
            <v>Freight &amp; Transport - Local</v>
          </cell>
        </row>
        <row r="410">
          <cell r="C410">
            <v>13476</v>
          </cell>
          <cell r="D410" t="str">
            <v>7286</v>
          </cell>
          <cell r="E410" t="str">
            <v>Loading &amp; Unloading Exp</v>
          </cell>
        </row>
        <row r="411">
          <cell r="D411" t="str">
            <v>7287</v>
          </cell>
          <cell r="E411" t="str">
            <v>Freight Detention Chgs</v>
          </cell>
        </row>
        <row r="412">
          <cell r="C412">
            <v>13478</v>
          </cell>
          <cell r="D412" t="str">
            <v>7288</v>
          </cell>
          <cell r="E412" t="str">
            <v>Freight on Rejected Drums</v>
          </cell>
        </row>
        <row r="413">
          <cell r="C413">
            <v>13479</v>
          </cell>
          <cell r="D413" t="str">
            <v>7289</v>
          </cell>
          <cell r="E413" t="str">
            <v>Freight - Thanpi &amp; Toll Charges</v>
          </cell>
        </row>
        <row r="414">
          <cell r="C414">
            <v>13485</v>
          </cell>
          <cell r="D414" t="str">
            <v>7295</v>
          </cell>
          <cell r="E414" t="str">
            <v>Freight &amp; Transport  -  Exports</v>
          </cell>
        </row>
        <row r="415">
          <cell r="C415">
            <v>13483</v>
          </cell>
          <cell r="D415" t="str">
            <v>7290</v>
          </cell>
          <cell r="E415" t="str">
            <v>Freight &amp; Transport Recovered - Local</v>
          </cell>
        </row>
        <row r="416">
          <cell r="D416" t="str">
            <v>7297</v>
          </cell>
          <cell r="E416" t="str">
            <v>Freight/Charges on Rtn Goods</v>
          </cell>
        </row>
        <row r="417">
          <cell r="C417">
            <v>13486</v>
          </cell>
          <cell r="D417" t="str">
            <v>7300</v>
          </cell>
          <cell r="E417" t="str">
            <v>Freight &amp; Transport Recovered - Exports</v>
          </cell>
        </row>
        <row r="418">
          <cell r="C418">
            <v>13480</v>
          </cell>
          <cell r="D418" t="str">
            <v>7310</v>
          </cell>
          <cell r="E418" t="str">
            <v>Octroi -  Paid/Purchase</v>
          </cell>
        </row>
        <row r="419">
          <cell r="C419">
            <v>13484</v>
          </cell>
          <cell r="D419" t="str">
            <v>7315</v>
          </cell>
          <cell r="E419" t="str">
            <v>Octroi -  Recovered</v>
          </cell>
        </row>
        <row r="421">
          <cell r="E421" t="str">
            <v>Sub-total</v>
          </cell>
        </row>
        <row r="422">
          <cell r="D422" t="str">
            <v>Commission on Sales</v>
          </cell>
        </row>
        <row r="423">
          <cell r="C423">
            <v>13412</v>
          </cell>
          <cell r="D423" t="str">
            <v>7170</v>
          </cell>
          <cell r="E423" t="str">
            <v>Commission on Sale</v>
          </cell>
        </row>
        <row r="425">
          <cell r="E425" t="str">
            <v>Sub-total</v>
          </cell>
        </row>
        <row r="426">
          <cell r="D426" t="str">
            <v>Loss on Exchange</v>
          </cell>
        </row>
        <row r="427">
          <cell r="C427">
            <v>13738</v>
          </cell>
          <cell r="D427" t="str">
            <v>5195</v>
          </cell>
          <cell r="E427" t="str">
            <v>Realised  Gain/Loss  on Exchange</v>
          </cell>
        </row>
        <row r="428">
          <cell r="E428" t="str">
            <v>Loss/(Gain) on Exchange ()</v>
          </cell>
        </row>
        <row r="429">
          <cell r="C429">
            <v>13739</v>
          </cell>
          <cell r="D429" t="str">
            <v>5200</v>
          </cell>
          <cell r="E429" t="str">
            <v>Unrealised  Gain/Loss  on Exchange</v>
          </cell>
        </row>
        <row r="431">
          <cell r="E431" t="str">
            <v>Sub-total</v>
          </cell>
        </row>
        <row r="432">
          <cell r="D432" t="str">
            <v>Provision For Doubtful Debts</v>
          </cell>
        </row>
        <row r="433">
          <cell r="C433">
            <v>13526</v>
          </cell>
          <cell r="D433" t="str">
            <v>7355</v>
          </cell>
          <cell r="E433" t="str">
            <v>Provision &amp; Doubtful Debts/Advance</v>
          </cell>
        </row>
        <row r="434">
          <cell r="D434" t="str">
            <v>7351</v>
          </cell>
          <cell r="E434" t="str">
            <v>Adv. Wirtten off</v>
          </cell>
        </row>
        <row r="436">
          <cell r="E436" t="str">
            <v>Sub-total</v>
          </cell>
        </row>
        <row r="437">
          <cell r="D437" t="str">
            <v>Bad Debts</v>
          </cell>
        </row>
        <row r="438">
          <cell r="D438" t="str">
            <v>7350</v>
          </cell>
          <cell r="E438" t="str">
            <v>Bad Debts</v>
          </cell>
        </row>
        <row r="439">
          <cell r="C439">
            <v>13507</v>
          </cell>
          <cell r="E439" t="str">
            <v>ADV. WIRTTEN OFF</v>
          </cell>
        </row>
        <row r="440">
          <cell r="E440" t="str">
            <v>Sub-total</v>
          </cell>
        </row>
        <row r="441">
          <cell r="D441" t="str">
            <v>Miscellaneous Expenses</v>
          </cell>
        </row>
        <row r="442">
          <cell r="D442" t="str">
            <v>7380</v>
          </cell>
          <cell r="E442" t="str">
            <v>Business Development Exp</v>
          </cell>
        </row>
        <row r="443">
          <cell r="C443">
            <v>13596</v>
          </cell>
          <cell r="D443" t="str">
            <v>7390</v>
          </cell>
          <cell r="E443" t="str">
            <v>Books , News Papers and Periodicals</v>
          </cell>
        </row>
        <row r="444">
          <cell r="D444" t="str">
            <v>7395</v>
          </cell>
          <cell r="E444" t="str">
            <v>Gas,Electricity Charges</v>
          </cell>
        </row>
        <row r="445">
          <cell r="D445" t="str">
            <v>7396</v>
          </cell>
          <cell r="E445" t="str">
            <v>Attendant Wages at Resi.</v>
          </cell>
        </row>
        <row r="446">
          <cell r="C446">
            <v>13599</v>
          </cell>
          <cell r="D446" t="str">
            <v>7400</v>
          </cell>
          <cell r="E446" t="str">
            <v>Subscription - Club/ Inst</v>
          </cell>
        </row>
        <row r="447">
          <cell r="D447" t="str">
            <v>7405</v>
          </cell>
          <cell r="E447" t="str">
            <v>Subscription - Others</v>
          </cell>
        </row>
        <row r="448">
          <cell r="C448">
            <v>13600</v>
          </cell>
          <cell r="D448" t="str">
            <v>7410</v>
          </cell>
          <cell r="E448" t="str">
            <v>Postage/Telegram/Courier</v>
          </cell>
        </row>
        <row r="449">
          <cell r="C449">
            <v>13601</v>
          </cell>
          <cell r="D449" t="str">
            <v>7415</v>
          </cell>
          <cell r="E449" t="str">
            <v>Export Documentation Expenses</v>
          </cell>
        </row>
        <row r="450">
          <cell r="C450">
            <v>13602</v>
          </cell>
          <cell r="D450" t="str">
            <v>7420</v>
          </cell>
          <cell r="E450" t="str">
            <v>Selling Expenses (Samples)</v>
          </cell>
        </row>
        <row r="451">
          <cell r="D451" t="str">
            <v>7421</v>
          </cell>
          <cell r="E451" t="str">
            <v>Sales Incewntive ME</v>
          </cell>
        </row>
        <row r="452">
          <cell r="D452" t="str">
            <v>7422</v>
          </cell>
          <cell r="E452" t="str">
            <v>Collection Incentive</v>
          </cell>
        </row>
        <row r="453">
          <cell r="D453" t="str">
            <v>7425</v>
          </cell>
          <cell r="E453" t="str">
            <v>Admn Charges on PF</v>
          </cell>
        </row>
        <row r="454">
          <cell r="C454">
            <v>13603</v>
          </cell>
          <cell r="D454" t="str">
            <v>7430</v>
          </cell>
          <cell r="E454" t="str">
            <v>Advertisement</v>
          </cell>
        </row>
        <row r="455">
          <cell r="C455">
            <v>13604</v>
          </cell>
          <cell r="D455" t="str">
            <v>7435</v>
          </cell>
          <cell r="E455" t="str">
            <v>Meeting &amp; Conference Expenses</v>
          </cell>
        </row>
        <row r="456">
          <cell r="C456">
            <v>13605</v>
          </cell>
          <cell r="D456" t="str">
            <v>7440</v>
          </cell>
          <cell r="E456" t="str">
            <v>Entertainment Expenses</v>
          </cell>
        </row>
        <row r="457">
          <cell r="C457">
            <v>13607</v>
          </cell>
          <cell r="D457" t="str">
            <v>7455</v>
          </cell>
          <cell r="E457" t="str">
            <v>ISO Expenses</v>
          </cell>
        </row>
        <row r="458">
          <cell r="D458" t="str">
            <v>7469</v>
          </cell>
          <cell r="E458" t="str">
            <v>Discount  (Premium  F/Cover)</v>
          </cell>
        </row>
        <row r="459">
          <cell r="C459">
            <v>13608</v>
          </cell>
          <cell r="D459" t="str">
            <v>7470</v>
          </cell>
          <cell r="E459" t="str">
            <v>General Expenses - Office</v>
          </cell>
        </row>
        <row r="460">
          <cell r="D460" t="str">
            <v>7471</v>
          </cell>
          <cell r="E460" t="str">
            <v>General Expenses - Factory</v>
          </cell>
        </row>
        <row r="461">
          <cell r="C461">
            <v>13609</v>
          </cell>
          <cell r="D461" t="str">
            <v>7472</v>
          </cell>
          <cell r="E461" t="str">
            <v>Gift &amp; Presentation - Others</v>
          </cell>
        </row>
        <row r="462">
          <cell r="D462" t="str">
            <v>7474</v>
          </cell>
          <cell r="E462" t="str">
            <v>Gift  &amp; Presentation - Employees</v>
          </cell>
        </row>
        <row r="463">
          <cell r="C463">
            <v>13610</v>
          </cell>
          <cell r="D463" t="str">
            <v>7475</v>
          </cell>
          <cell r="E463" t="str">
            <v>Corporate Expenses (Central Services)</v>
          </cell>
        </row>
        <row r="464">
          <cell r="C464">
            <v>13611</v>
          </cell>
          <cell r="D464" t="str">
            <v>7480</v>
          </cell>
          <cell r="E464" t="str">
            <v>Staff Training (Other than Fees)</v>
          </cell>
        </row>
        <row r="465">
          <cell r="C465">
            <v>13612</v>
          </cell>
          <cell r="D465" t="str">
            <v>7485</v>
          </cell>
          <cell r="E465" t="str">
            <v>Recruitment Expenses</v>
          </cell>
        </row>
        <row r="466">
          <cell r="C466">
            <v>13613</v>
          </cell>
          <cell r="D466" t="str">
            <v>7490</v>
          </cell>
          <cell r="E466" t="str">
            <v>Courses and Conferences (Fees)</v>
          </cell>
        </row>
        <row r="467">
          <cell r="C467">
            <v>13639</v>
          </cell>
          <cell r="D467" t="str">
            <v>7505</v>
          </cell>
          <cell r="E467" t="str">
            <v>Donations</v>
          </cell>
        </row>
        <row r="469">
          <cell r="E469" t="str">
            <v>Sub-total</v>
          </cell>
        </row>
        <row r="470">
          <cell r="D470" t="str">
            <v>Director's Fees</v>
          </cell>
        </row>
        <row r="471">
          <cell r="D471" t="str">
            <v>7280</v>
          </cell>
          <cell r="E471" t="str">
            <v>Directors Fees</v>
          </cell>
        </row>
        <row r="472">
          <cell r="E472" t="str">
            <v>Sub-total</v>
          </cell>
        </row>
        <row r="473">
          <cell r="D473" t="str">
            <v>SDC+Shifting Expenses</v>
          </cell>
        </row>
        <row r="474">
          <cell r="D474" t="str">
            <v>7800</v>
          </cell>
          <cell r="E474" t="str">
            <v>Shifting Expenses</v>
          </cell>
        </row>
        <row r="475">
          <cell r="E475" t="str">
            <v>Sub-total</v>
          </cell>
        </row>
        <row r="476">
          <cell r="D476" t="str">
            <v>Loss on Sale of Fixed Assets</v>
          </cell>
        </row>
        <row r="477">
          <cell r="C477">
            <v>13672</v>
          </cell>
          <cell r="D477" t="str">
            <v>7450</v>
          </cell>
          <cell r="E477" t="str">
            <v>Loss on Sale Of Assets</v>
          </cell>
        </row>
        <row r="478">
          <cell r="E478" t="str">
            <v>Sub-total</v>
          </cell>
        </row>
        <row r="479">
          <cell r="D479" t="str">
            <v>Amortisation of Deferred Revenue Exp.</v>
          </cell>
        </row>
        <row r="480">
          <cell r="D480" t="str">
            <v>7530</v>
          </cell>
          <cell r="E480" t="str">
            <v>Misc Expenditure  ( W/off ) + Training Fees</v>
          </cell>
        </row>
        <row r="481">
          <cell r="E481" t="str">
            <v>Sub-total</v>
          </cell>
        </row>
        <row r="482">
          <cell r="D482" t="str">
            <v>ERP OTHER CODES</v>
          </cell>
        </row>
        <row r="483">
          <cell r="E483" t="str">
            <v>Edu Cess On Service Tax Expense</v>
          </cell>
        </row>
        <row r="484">
          <cell r="E484" t="str">
            <v>H Edu Cess On Service Tax Expense</v>
          </cell>
        </row>
        <row r="485">
          <cell r="E485" t="str">
            <v>Sub-total</v>
          </cell>
        </row>
        <row r="486">
          <cell r="D486" t="str">
            <v>Other Expenses</v>
          </cell>
        </row>
        <row r="488">
          <cell r="D488" t="str">
            <v>Total Expenditure</v>
          </cell>
        </row>
        <row r="490">
          <cell r="D490" t="str">
            <v>Net Profit Before Tax Expense</v>
          </cell>
        </row>
        <row r="491">
          <cell r="D491" t="str">
            <v>Tax Expense</v>
          </cell>
        </row>
        <row r="492">
          <cell r="C492">
            <v>13920</v>
          </cell>
          <cell r="D492" t="str">
            <v>8910</v>
          </cell>
          <cell r="E492" t="str">
            <v>Income Tax</v>
          </cell>
        </row>
        <row r="493">
          <cell r="D493" t="str">
            <v>8911</v>
          </cell>
          <cell r="E493" t="str">
            <v>Wealth Tax</v>
          </cell>
        </row>
        <row r="494">
          <cell r="C494">
            <v>13929</v>
          </cell>
          <cell r="D494" t="str">
            <v>8912</v>
          </cell>
          <cell r="E494" t="str">
            <v>Deffered Tax  (P&amp;L)</v>
          </cell>
        </row>
        <row r="495">
          <cell r="D495" t="str">
            <v>8913</v>
          </cell>
          <cell r="E495" t="str">
            <v>FBT</v>
          </cell>
        </row>
        <row r="497">
          <cell r="D497" t="str">
            <v>Net Profit After Tax Expense</v>
          </cell>
        </row>
        <row r="499">
          <cell r="D499" t="str">
            <v>Profit /(Loss) carried forward to B/s</v>
          </cell>
        </row>
        <row r="501">
          <cell r="D501" t="str">
            <v>BALANCE SHEET</v>
          </cell>
        </row>
        <row r="502">
          <cell r="D502" t="str">
            <v>Shareholder's Fund</v>
          </cell>
        </row>
        <row r="503">
          <cell r="E503" t="str">
            <v>(a) Share Capital</v>
          </cell>
        </row>
        <row r="504">
          <cell r="E504" t="str">
            <v>Subscribed and Paid up Capital</v>
          </cell>
        </row>
        <row r="505">
          <cell r="C505">
            <v>14005</v>
          </cell>
          <cell r="D505" t="str">
            <v>1000</v>
          </cell>
          <cell r="E505" t="str">
            <v>Share Capital</v>
          </cell>
        </row>
        <row r="507">
          <cell r="E507" t="str">
            <v>Sub-total</v>
          </cell>
        </row>
        <row r="508">
          <cell r="C508">
            <v>14006</v>
          </cell>
          <cell r="D508" t="str">
            <v>1004</v>
          </cell>
          <cell r="E508" t="str">
            <v>Forefited Shares</v>
          </cell>
        </row>
        <row r="509">
          <cell r="E509" t="str">
            <v>Sub-total</v>
          </cell>
        </row>
        <row r="510">
          <cell r="E510" t="str">
            <v>TOTAL</v>
          </cell>
        </row>
        <row r="511">
          <cell r="D511" t="str">
            <v>(b) Reserves and Surplus</v>
          </cell>
        </row>
        <row r="512">
          <cell r="E512" t="str">
            <v>Capital Reserve</v>
          </cell>
        </row>
        <row r="513">
          <cell r="C513">
            <v>14015</v>
          </cell>
          <cell r="D513" t="str">
            <v>1015</v>
          </cell>
          <cell r="E513" t="str">
            <v>Capital Reserve</v>
          </cell>
        </row>
        <row r="514">
          <cell r="E514" t="str">
            <v>Sub-total</v>
          </cell>
        </row>
        <row r="515">
          <cell r="E515" t="str">
            <v>Securities Premium</v>
          </cell>
        </row>
        <row r="516">
          <cell r="C516">
            <v>14018</v>
          </cell>
          <cell r="D516" t="str">
            <v>1030</v>
          </cell>
          <cell r="E516" t="str">
            <v>Share Premium</v>
          </cell>
        </row>
        <row r="517">
          <cell r="C517">
            <v>14019</v>
          </cell>
          <cell r="D517" t="str">
            <v>1032</v>
          </cell>
          <cell r="E517" t="str">
            <v>Forefited Share Premium Account</v>
          </cell>
        </row>
        <row r="518">
          <cell r="E518" t="str">
            <v>Sub-total</v>
          </cell>
        </row>
        <row r="519">
          <cell r="E519" t="str">
            <v>General Reserve</v>
          </cell>
        </row>
        <row r="520">
          <cell r="C520">
            <v>14026</v>
          </cell>
          <cell r="D520" t="str">
            <v>1010</v>
          </cell>
          <cell r="E520" t="str">
            <v>General Reserve</v>
          </cell>
        </row>
        <row r="521">
          <cell r="E521" t="str">
            <v>Fr. Surplus</v>
          </cell>
        </row>
        <row r="522">
          <cell r="E522" t="str">
            <v>Sub-total</v>
          </cell>
        </row>
        <row r="523">
          <cell r="E523" t="str">
            <v>Surplus in Statement of Profit and Loss</v>
          </cell>
        </row>
        <row r="524">
          <cell r="C524">
            <v>14033</v>
          </cell>
          <cell r="D524" t="str">
            <v>1050</v>
          </cell>
          <cell r="E524" t="str">
            <v>Profit &amp; Loss A/c</v>
          </cell>
        </row>
        <row r="525">
          <cell r="E525" t="str">
            <v>Profit for the year</v>
          </cell>
        </row>
        <row r="526">
          <cell r="E526" t="str">
            <v>Sub-total</v>
          </cell>
        </row>
        <row r="527">
          <cell r="E527" t="str">
            <v>Proposed Dividend</v>
          </cell>
        </row>
        <row r="528">
          <cell r="C528">
            <v>13962</v>
          </cell>
          <cell r="E528" t="str">
            <v>Proposed Dividend</v>
          </cell>
        </row>
        <row r="529">
          <cell r="C529">
            <v>13963</v>
          </cell>
          <cell r="E529" t="str">
            <v>Distribution Tax</v>
          </cell>
        </row>
        <row r="530">
          <cell r="E530" t="str">
            <v>To GR</v>
          </cell>
        </row>
        <row r="531">
          <cell r="E531" t="str">
            <v>Sub-total</v>
          </cell>
        </row>
        <row r="532">
          <cell r="E532" t="str">
            <v>TOTAL</v>
          </cell>
        </row>
        <row r="535">
          <cell r="D535" t="str">
            <v>LONG TERM BORROWINGS</v>
          </cell>
        </row>
        <row r="536">
          <cell r="D536" t="str">
            <v>Secured Loans</v>
          </cell>
        </row>
        <row r="537">
          <cell r="E537" t="str">
            <v>Term Loan from Banks:</v>
          </cell>
        </row>
        <row r="538">
          <cell r="C538">
            <v>14114</v>
          </cell>
          <cell r="D538" t="str">
            <v>0810</v>
          </cell>
          <cell r="E538" t="str">
            <v>Loan from Banks</v>
          </cell>
        </row>
        <row r="540">
          <cell r="E540" t="str">
            <v>Sub-total</v>
          </cell>
        </row>
        <row r="541">
          <cell r="E541" t="str">
            <v>Loan from a Banks</v>
          </cell>
        </row>
        <row r="542">
          <cell r="D542" t="str">
            <v>00811</v>
          </cell>
          <cell r="E542" t="str">
            <v>Loan from J &amp; K Bank</v>
          </cell>
        </row>
        <row r="543">
          <cell r="D543" t="str">
            <v>0815</v>
          </cell>
          <cell r="E543" t="str">
            <v>Loan from HSBC</v>
          </cell>
        </row>
        <row r="544">
          <cell r="D544" t="str">
            <v>0817</v>
          </cell>
          <cell r="E544" t="str">
            <v>Loan from SCB</v>
          </cell>
        </row>
        <row r="545">
          <cell r="D545" t="str">
            <v>0814</v>
          </cell>
          <cell r="E545" t="str">
            <v>Loan From ICICI Bank</v>
          </cell>
        </row>
        <row r="546">
          <cell r="D546" t="str">
            <v>0812</v>
          </cell>
          <cell r="E546" t="str">
            <v>Loan From Bank of India - Car Loan</v>
          </cell>
        </row>
        <row r="547">
          <cell r="C547">
            <v>14142</v>
          </cell>
          <cell r="D547" t="str">
            <v>0813</v>
          </cell>
          <cell r="E547" t="str">
            <v>Loan From Bank of India - Car Loan</v>
          </cell>
        </row>
        <row r="548">
          <cell r="D548" t="str">
            <v>1661'</v>
          </cell>
          <cell r="E548" t="str">
            <v>Accrude Int. Due On Loan</v>
          </cell>
        </row>
        <row r="549">
          <cell r="E549" t="str">
            <v>Sub-total</v>
          </cell>
        </row>
        <row r="550">
          <cell r="E550" t="str">
            <v>Loan for Investment in TSL from BL</v>
          </cell>
        </row>
        <row r="551">
          <cell r="C551">
            <v>14126</v>
          </cell>
          <cell r="D551" t="str">
            <v>1225</v>
          </cell>
          <cell r="E551" t="str">
            <v xml:space="preserve">Loan From - BL &amp; Co. </v>
          </cell>
        </row>
        <row r="552">
          <cell r="E552" t="str">
            <v>Sub-total</v>
          </cell>
        </row>
        <row r="553">
          <cell r="E553" t="str">
            <v>Total</v>
          </cell>
        </row>
        <row r="554">
          <cell r="D554" t="str">
            <v>Unsecured Loans</v>
          </cell>
        </row>
        <row r="555">
          <cell r="C555">
            <v>14233</v>
          </cell>
          <cell r="D555" t="str">
            <v>1220</v>
          </cell>
          <cell r="E555" t="str">
            <v>Loan From - VL Netherlands</v>
          </cell>
        </row>
        <row r="556">
          <cell r="C556">
            <v>14236</v>
          </cell>
          <cell r="E556" t="str">
            <v>LOAN FROM OTHERS (UNSECURED)</v>
          </cell>
        </row>
        <row r="557">
          <cell r="E557" t="str">
            <v>Sub-total</v>
          </cell>
        </row>
        <row r="558">
          <cell r="D558" t="str">
            <v>1230</v>
          </cell>
          <cell r="E558" t="str">
            <v>Def. Sales tax liability</v>
          </cell>
        </row>
        <row r="559">
          <cell r="E559" t="str">
            <v>Sub-total</v>
          </cell>
        </row>
        <row r="560">
          <cell r="E560" t="str">
            <v>Total</v>
          </cell>
        </row>
        <row r="561">
          <cell r="E561" t="str">
            <v>TOTAL</v>
          </cell>
        </row>
        <row r="563">
          <cell r="D563" t="str">
            <v>DEFERRED TAX LIABILITIES (NET)</v>
          </cell>
        </row>
        <row r="564">
          <cell r="C564">
            <v>14287</v>
          </cell>
          <cell r="D564" t="str">
            <v>2031</v>
          </cell>
          <cell r="E564" t="str">
            <v>Provision for Deffered Tax (Liab)</v>
          </cell>
        </row>
        <row r="565">
          <cell r="C565">
            <v>14288</v>
          </cell>
          <cell r="D565" t="str">
            <v>4900</v>
          </cell>
          <cell r="E565" t="str">
            <v>Deffered Tax Assets</v>
          </cell>
        </row>
        <row r="569">
          <cell r="D569" t="str">
            <v>LONG TERM PROVISION</v>
          </cell>
        </row>
        <row r="570">
          <cell r="E570" t="str">
            <v>Provision for Employee Benefits</v>
          </cell>
        </row>
        <row r="571">
          <cell r="C571">
            <v>15576</v>
          </cell>
          <cell r="D571" t="str">
            <v>2010</v>
          </cell>
          <cell r="E571" t="str">
            <v>Provision for Gratuity</v>
          </cell>
        </row>
        <row r="572">
          <cell r="E572" t="str">
            <v>Provision for Compensated Absances</v>
          </cell>
        </row>
        <row r="573">
          <cell r="E573" t="str">
            <v>Sub-total</v>
          </cell>
        </row>
        <row r="574">
          <cell r="D574" t="str">
            <v>Provision for Indirect Taxes</v>
          </cell>
        </row>
        <row r="575">
          <cell r="D575" t="str">
            <v>2162</v>
          </cell>
          <cell r="E575" t="str">
            <v>Liability Sales Tax 2005-06</v>
          </cell>
        </row>
        <row r="576">
          <cell r="D576" t="str">
            <v>2163</v>
          </cell>
          <cell r="E576" t="str">
            <v>Liability Sales Tax 2008-09</v>
          </cell>
        </row>
        <row r="577">
          <cell r="D577" t="str">
            <v>2164</v>
          </cell>
          <cell r="E577" t="str">
            <v>Liability Sales Tax 2009-10</v>
          </cell>
        </row>
        <row r="578">
          <cell r="C578">
            <v>15526</v>
          </cell>
          <cell r="E578" t="str">
            <v>Liabilities Towards Sales Tax</v>
          </cell>
        </row>
        <row r="580">
          <cell r="E580" t="str">
            <v>Sub-total</v>
          </cell>
        </row>
        <row r="583">
          <cell r="D583" t="str">
            <v>SHORT TERM BOROWINGS</v>
          </cell>
        </row>
        <row r="584">
          <cell r="E584" t="str">
            <v>Secured</v>
          </cell>
        </row>
        <row r="585">
          <cell r="E585" t="str">
            <v>Cash Credit from Bank</v>
          </cell>
        </row>
        <row r="586">
          <cell r="C586">
            <v>14070</v>
          </cell>
          <cell r="D586" t="str">
            <v>0510</v>
          </cell>
          <cell r="E586" t="str">
            <v>Cash Credit - Stock [BOI]</v>
          </cell>
        </row>
        <row r="587">
          <cell r="C587">
            <v>14072</v>
          </cell>
          <cell r="D587" t="str">
            <v>0520</v>
          </cell>
          <cell r="E587" t="str">
            <v>Packing Credit [BOI]</v>
          </cell>
        </row>
        <row r="588">
          <cell r="D588" t="str">
            <v>05201</v>
          </cell>
          <cell r="E588" t="str">
            <v>BOI - Pcking Credit</v>
          </cell>
        </row>
        <row r="589">
          <cell r="C589">
            <v>14079</v>
          </cell>
          <cell r="D589" t="str">
            <v>0600</v>
          </cell>
          <cell r="E589" t="str">
            <v>Current Account - HSBC (CBR)</v>
          </cell>
        </row>
        <row r="590">
          <cell r="D590" t="str">
            <v>0603</v>
          </cell>
          <cell r="E590" t="str">
            <v>HSBC - Bill Discounting</v>
          </cell>
        </row>
        <row r="591">
          <cell r="C591">
            <v>14080</v>
          </cell>
          <cell r="D591" t="str">
            <v>0608</v>
          </cell>
          <cell r="E591" t="str">
            <v>Current Account - HSBC (Vlx)</v>
          </cell>
        </row>
        <row r="592">
          <cell r="C592">
            <v>14083</v>
          </cell>
          <cell r="D592" t="str">
            <v>0610</v>
          </cell>
          <cell r="E592" t="str">
            <v>Packing Credit - HSBC</v>
          </cell>
        </row>
        <row r="593">
          <cell r="C593">
            <v>14082</v>
          </cell>
          <cell r="D593" t="str">
            <v>0630</v>
          </cell>
          <cell r="E593" t="str">
            <v>Demand Loan - HSBC</v>
          </cell>
        </row>
        <row r="594">
          <cell r="D594" t="str">
            <v>0631</v>
          </cell>
          <cell r="E594" t="str">
            <v>Demand Loan - BOI A/c</v>
          </cell>
        </row>
        <row r="595">
          <cell r="E595" t="str">
            <v>Sub-total</v>
          </cell>
        </row>
        <row r="596">
          <cell r="E596" t="str">
            <v>Unsecured</v>
          </cell>
        </row>
        <row r="597">
          <cell r="E597" t="str">
            <v>Overdraft with Bank</v>
          </cell>
        </row>
        <row r="598">
          <cell r="C598">
            <v>14235</v>
          </cell>
          <cell r="D598" t="str">
            <v>1226</v>
          </cell>
          <cell r="E598" t="str">
            <v>Loan From -RBS</v>
          </cell>
        </row>
        <row r="599">
          <cell r="C599">
            <v>15163</v>
          </cell>
          <cell r="D599" t="str">
            <v>0612</v>
          </cell>
          <cell r="E599" t="str">
            <v>RBS - Bank Account</v>
          </cell>
        </row>
        <row r="600">
          <cell r="E600" t="str">
            <v>Sub-total</v>
          </cell>
        </row>
        <row r="603">
          <cell r="D603" t="str">
            <v>TRADE PAYABLES</v>
          </cell>
        </row>
        <row r="604">
          <cell r="E604" t="str">
            <v>Sundry  Creditors</v>
          </cell>
        </row>
        <row r="605">
          <cell r="D605" t="str">
            <v>1510</v>
          </cell>
          <cell r="E605" t="str">
            <v>Sundry Creditors Control</v>
          </cell>
        </row>
        <row r="606">
          <cell r="D606" t="str">
            <v>1509</v>
          </cell>
          <cell r="E606" t="str">
            <v>Sundry Creditors Control (sdc)</v>
          </cell>
        </row>
        <row r="607">
          <cell r="C607">
            <v>15297</v>
          </cell>
          <cell r="D607" t="str">
            <v>1517</v>
          </cell>
          <cell r="E607" t="str">
            <v>Provision for Pending GRN</v>
          </cell>
        </row>
        <row r="608">
          <cell r="C608">
            <v>15429</v>
          </cell>
          <cell r="E608" t="str">
            <v>Provision For Pending Grn (Purc Pack Slip Offset Net W15078)</v>
          </cell>
        </row>
        <row r="609">
          <cell r="C609">
            <v>15078</v>
          </cell>
          <cell r="E609" t="str">
            <v>Purchase, Packing Slip (Pending Grn)(Net Off With 15429)</v>
          </cell>
        </row>
        <row r="610">
          <cell r="C610">
            <v>15427</v>
          </cell>
          <cell r="E610" t="str">
            <v>Sundry Creditors Domestic</v>
          </cell>
        </row>
        <row r="611">
          <cell r="C611">
            <v>15428</v>
          </cell>
          <cell r="E611" t="str">
            <v>Sundry Creditors Foreign</v>
          </cell>
        </row>
        <row r="612">
          <cell r="C612">
            <v>15434</v>
          </cell>
          <cell r="E612" t="str">
            <v>Creditors For Expenses (Service Providers)</v>
          </cell>
        </row>
        <row r="613">
          <cell r="E613" t="str">
            <v>Rent Control Account</v>
          </cell>
        </row>
        <row r="614">
          <cell r="C614">
            <v>15433</v>
          </cell>
          <cell r="D614" t="str">
            <v>0451</v>
          </cell>
          <cell r="E614" t="str">
            <v>Cheques  adj.a/c (Stale Cheque)</v>
          </cell>
        </row>
        <row r="615">
          <cell r="C615">
            <v>15435</v>
          </cell>
          <cell r="D615" t="str">
            <v>1511</v>
          </cell>
          <cell r="E615" t="str">
            <v>BL - Liability Travel</v>
          </cell>
        </row>
        <row r="616">
          <cell r="D616" t="str">
            <v>1512</v>
          </cell>
          <cell r="E616" t="str">
            <v>BL - Liability Travel (New Delhi)</v>
          </cell>
        </row>
        <row r="617">
          <cell r="C617">
            <v>15566</v>
          </cell>
          <cell r="D617" t="str">
            <v>1610</v>
          </cell>
          <cell r="E617" t="str">
            <v>Liab for Exp</v>
          </cell>
        </row>
        <row r="618">
          <cell r="E618" t="str">
            <v>Liability For Capex</v>
          </cell>
        </row>
        <row r="619">
          <cell r="D619" t="str">
            <v>1611</v>
          </cell>
          <cell r="E619" t="str">
            <v>Liab for Exp 2000-01</v>
          </cell>
        </row>
        <row r="620">
          <cell r="D620" t="str">
            <v>1612</v>
          </cell>
          <cell r="E620" t="str">
            <v>Liability for Exp 2001-02</v>
          </cell>
        </row>
        <row r="621">
          <cell r="D621" t="str">
            <v>1613</v>
          </cell>
          <cell r="E621" t="str">
            <v>Liability for Exp 2002-03</v>
          </cell>
        </row>
        <row r="622">
          <cell r="D622" t="str">
            <v>1614</v>
          </cell>
          <cell r="E622" t="str">
            <v>Liability for Expenses 03-04</v>
          </cell>
        </row>
        <row r="623">
          <cell r="D623" t="str">
            <v>1615</v>
          </cell>
          <cell r="E623" t="str">
            <v>Liability for Expense 04-05</v>
          </cell>
        </row>
        <row r="624">
          <cell r="D624" t="str">
            <v>1616</v>
          </cell>
          <cell r="E624" t="str">
            <v>Liability for Expens 05-06</v>
          </cell>
        </row>
        <row r="625">
          <cell r="D625" t="str">
            <v>1617</v>
          </cell>
          <cell r="E625" t="str">
            <v>Liabilities for Expenses -2006-07</v>
          </cell>
        </row>
        <row r="626">
          <cell r="D626" t="str">
            <v>1618</v>
          </cell>
          <cell r="E626" t="str">
            <v>Liabilities for Expenses -2007-08</v>
          </cell>
        </row>
        <row r="627">
          <cell r="D627" t="str">
            <v>1619</v>
          </cell>
          <cell r="E627" t="str">
            <v>Liabilities for Expenses -2008-09</v>
          </cell>
        </row>
        <row r="628">
          <cell r="D628" t="str">
            <v>1620</v>
          </cell>
          <cell r="E628" t="str">
            <v>Liability a/c retention money</v>
          </cell>
        </row>
        <row r="629">
          <cell r="C629">
            <v>15470</v>
          </cell>
          <cell r="D629" t="str">
            <v>1621</v>
          </cell>
          <cell r="E629" t="str">
            <v>Liabilities for Expenses -2009-10</v>
          </cell>
        </row>
        <row r="630">
          <cell r="C630">
            <v>15436</v>
          </cell>
          <cell r="D630" t="str">
            <v>1622</v>
          </cell>
          <cell r="E630" t="str">
            <v>Liabilities for Expenses -2010-11</v>
          </cell>
        </row>
        <row r="631">
          <cell r="C631">
            <v>15459</v>
          </cell>
          <cell r="D631" t="str">
            <v>1623</v>
          </cell>
          <cell r="E631" t="str">
            <v>LIABILITY FOR EXP. (11-12)</v>
          </cell>
        </row>
        <row r="632">
          <cell r="C632">
            <v>15462</v>
          </cell>
          <cell r="D632" t="str">
            <v>1624</v>
          </cell>
          <cell r="E632" t="str">
            <v>LIABILITY FOR EXPENSES [ 2012-13]</v>
          </cell>
        </row>
        <row r="633">
          <cell r="D633" t="str">
            <v>1650</v>
          </cell>
          <cell r="E633" t="str">
            <v>Liability for services - bl &amp; Co</v>
          </cell>
        </row>
        <row r="634">
          <cell r="C634">
            <v>15457</v>
          </cell>
          <cell r="E634" t="str">
            <v>Liability For Misc. Charges-(FERA)</v>
          </cell>
        </row>
        <row r="635">
          <cell r="C635">
            <v>15458</v>
          </cell>
          <cell r="E635" t="str">
            <v>Liability For Clg. Frd. Charges-(FERA)</v>
          </cell>
        </row>
        <row r="636">
          <cell r="E636" t="str">
            <v>Liability For TPT (Cases where auto TPT Posting is skipped)</v>
          </cell>
        </row>
        <row r="637">
          <cell r="C637">
            <v>15461</v>
          </cell>
          <cell r="E637" t="str">
            <v>Liability of Freight In (FOB) Export</v>
          </cell>
        </row>
        <row r="638">
          <cell r="C638">
            <v>15607</v>
          </cell>
          <cell r="E638" t="str">
            <v>Import Duty Payable A/c</v>
          </cell>
        </row>
        <row r="639">
          <cell r="E639" t="str">
            <v>NMMC CESS Liability</v>
          </cell>
        </row>
        <row r="640">
          <cell r="C640">
            <v>15564</v>
          </cell>
          <cell r="D640" t="str">
            <v>1675</v>
          </cell>
          <cell r="E640" t="str">
            <v>Reimb. Of expenses to be incurred on delisting of shares</v>
          </cell>
        </row>
        <row r="641">
          <cell r="C641">
            <v>15439</v>
          </cell>
          <cell r="D641" t="str">
            <v>1730</v>
          </cell>
          <cell r="E641" t="str">
            <v>Share Appln Money  BOI</v>
          </cell>
        </row>
        <row r="642">
          <cell r="D642" t="str">
            <v>200'</v>
          </cell>
          <cell r="E642" t="str">
            <v>Inter Unit Sale adj in CL of 2007-08</v>
          </cell>
        </row>
        <row r="643">
          <cell r="C643">
            <v>15443</v>
          </cell>
          <cell r="D643" t="str">
            <v>2681</v>
          </cell>
          <cell r="E643" t="str">
            <v>The Chembur Nagrik Sahakari Bank-Adjustable</v>
          </cell>
        </row>
        <row r="644">
          <cell r="C644">
            <v>15445</v>
          </cell>
          <cell r="D644" t="str">
            <v>2682</v>
          </cell>
          <cell r="E644" t="str">
            <v>misc deduction salary adjustable a/c</v>
          </cell>
        </row>
        <row r="645">
          <cell r="C645">
            <v>15444</v>
          </cell>
          <cell r="D645" t="str">
            <v>2690</v>
          </cell>
          <cell r="E645" t="str">
            <v>L I C Adjustable</v>
          </cell>
        </row>
        <row r="646">
          <cell r="C646">
            <v>15446</v>
          </cell>
          <cell r="D646" t="str">
            <v>2700</v>
          </cell>
          <cell r="E646" t="str">
            <v>Employees co-op Credit Society</v>
          </cell>
        </row>
        <row r="647">
          <cell r="C647">
            <v>15447</v>
          </cell>
          <cell r="D647" t="str">
            <v>2710</v>
          </cell>
          <cell r="E647" t="str">
            <v>Housing Loan Adjustable A/c</v>
          </cell>
        </row>
        <row r="648">
          <cell r="C648">
            <v>15450</v>
          </cell>
          <cell r="D648" t="str">
            <v>2760</v>
          </cell>
          <cell r="E648" t="str">
            <v>Coin adj</v>
          </cell>
        </row>
        <row r="649">
          <cell r="C649">
            <v>12140</v>
          </cell>
          <cell r="E649" t="str">
            <v>Rounding Of Diff A/C</v>
          </cell>
        </row>
        <row r="650">
          <cell r="C650">
            <v>13740</v>
          </cell>
          <cell r="E650" t="str">
            <v>Round Off Diff In F Currency (Sys)</v>
          </cell>
        </row>
        <row r="651">
          <cell r="D651" t="str">
            <v>2804</v>
          </cell>
          <cell r="E651" t="str">
            <v>Payable to Debtors ( S. Tax)</v>
          </cell>
        </row>
        <row r="652">
          <cell r="D652" t="str">
            <v>2807</v>
          </cell>
          <cell r="E652" t="str">
            <v>Payable to Contractors &amp; Others</v>
          </cell>
        </row>
        <row r="653">
          <cell r="C653">
            <v>15456</v>
          </cell>
          <cell r="D653" t="str">
            <v>3541</v>
          </cell>
          <cell r="E653" t="str">
            <v>Advance HP (Sale of Property)</v>
          </cell>
        </row>
        <row r="654">
          <cell r="C654">
            <v>0</v>
          </cell>
          <cell r="E654" t="str">
            <v>Liability For Tax Group</v>
          </cell>
        </row>
        <row r="655">
          <cell r="E655" t="str">
            <v>regrouping from trade paybles</v>
          </cell>
        </row>
        <row r="656">
          <cell r="E656" t="str">
            <v>git</v>
          </cell>
        </row>
        <row r="657">
          <cell r="C657">
            <v>15627</v>
          </cell>
        </row>
        <row r="660">
          <cell r="D660" t="str">
            <v>OTHER CURRENT LIABILITIES</v>
          </cell>
        </row>
        <row r="661">
          <cell r="E661" t="str">
            <v>Current Maturities of Long Term Boirrowings</v>
          </cell>
        </row>
        <row r="664">
          <cell r="E664" t="str">
            <v>Sub-total</v>
          </cell>
        </row>
        <row r="665">
          <cell r="E665" t="str">
            <v>Interest accrued but not due on borrowings</v>
          </cell>
        </row>
        <row r="666">
          <cell r="C666">
            <v>15474</v>
          </cell>
          <cell r="D666" t="str">
            <v>1660</v>
          </cell>
          <cell r="E666" t="str">
            <v>Int Accrued but not due on loan</v>
          </cell>
        </row>
        <row r="667">
          <cell r="C667">
            <v>14143</v>
          </cell>
          <cell r="D667" t="str">
            <v>1661</v>
          </cell>
          <cell r="E667" t="str">
            <v>Int Accrued &amp; due on loan</v>
          </cell>
        </row>
        <row r="668">
          <cell r="E668" t="str">
            <v>Sub-total</v>
          </cell>
        </row>
        <row r="669">
          <cell r="E669" t="str">
            <v>Unclaimed Dividend</v>
          </cell>
        </row>
        <row r="670">
          <cell r="C670">
            <v>15489</v>
          </cell>
          <cell r="D670" t="str">
            <v>1734</v>
          </cell>
          <cell r="E670" t="str">
            <v>Dividend A/C</v>
          </cell>
        </row>
        <row r="671">
          <cell r="D671" t="str">
            <v>1735</v>
          </cell>
          <cell r="E671" t="str">
            <v>Dividend  (Liab) 03-04 (Pd 27/09)</v>
          </cell>
        </row>
        <row r="672">
          <cell r="D672" t="str">
            <v>1736</v>
          </cell>
          <cell r="E672" t="str">
            <v>Dividend (Liab) A/c 2004-05 pd on 3/10</v>
          </cell>
        </row>
        <row r="673">
          <cell r="D673" t="str">
            <v>1737</v>
          </cell>
          <cell r="E673" t="str">
            <v>DIVIDEND -2005-06 (Liability a/c)</v>
          </cell>
        </row>
        <row r="674">
          <cell r="D674" t="str">
            <v>1738</v>
          </cell>
          <cell r="E674" t="str">
            <v>DIVIDEND -2006-07 (Liability a/c)</v>
          </cell>
        </row>
        <row r="675">
          <cell r="D675" t="str">
            <v>1739</v>
          </cell>
          <cell r="E675" t="str">
            <v>DIVIDEND -2007-08 (Liability a/c)</v>
          </cell>
        </row>
        <row r="676">
          <cell r="D676" t="str">
            <v>1742</v>
          </cell>
          <cell r="E676" t="str">
            <v>DIVIDEND -2009-10 (Liability a/c)</v>
          </cell>
        </row>
        <row r="679">
          <cell r="E679" t="str">
            <v>Sub-total</v>
          </cell>
        </row>
        <row r="680">
          <cell r="E680" t="str">
            <v>Advances/Deposits received</v>
          </cell>
        </row>
        <row r="681">
          <cell r="C681">
            <v>15497</v>
          </cell>
          <cell r="D681" t="str">
            <v>1810</v>
          </cell>
          <cell r="E681" t="str">
            <v>Deposit Received</v>
          </cell>
        </row>
        <row r="682">
          <cell r="D682" t="str">
            <v>1811</v>
          </cell>
          <cell r="E682" t="str">
            <v>Deposit Recd from Contractor</v>
          </cell>
        </row>
        <row r="683">
          <cell r="C683">
            <v>15498</v>
          </cell>
          <cell r="D683" t="str">
            <v>1820</v>
          </cell>
          <cell r="E683" t="str">
            <v>EMD Received</v>
          </cell>
        </row>
        <row r="684">
          <cell r="C684">
            <v>15499</v>
          </cell>
          <cell r="D684" t="str">
            <v>1840</v>
          </cell>
          <cell r="E684" t="str">
            <v>Advance Received From Cust</v>
          </cell>
        </row>
        <row r="685">
          <cell r="C685">
            <v>15500</v>
          </cell>
          <cell r="D685" t="str">
            <v>3301</v>
          </cell>
          <cell r="E685" t="str">
            <v>Debtors CR, BAL</v>
          </cell>
        </row>
        <row r="686">
          <cell r="D686" t="str">
            <v>3415</v>
          </cell>
          <cell r="E686" t="str">
            <v>Advances from Customer -BL</v>
          </cell>
        </row>
        <row r="688">
          <cell r="E688" t="str">
            <v>Sub-total</v>
          </cell>
        </row>
        <row r="689">
          <cell r="E689" t="str">
            <v>Employee Benefits Payable</v>
          </cell>
        </row>
        <row r="690">
          <cell r="D690" t="str">
            <v>1600</v>
          </cell>
          <cell r="E690" t="str">
            <v>Laib for exp Payroll related</v>
          </cell>
        </row>
        <row r="691">
          <cell r="C691">
            <v>15441</v>
          </cell>
          <cell r="D691" t="str">
            <v>2618</v>
          </cell>
          <cell r="E691" t="str">
            <v>Superannuation adjustable</v>
          </cell>
        </row>
        <row r="692">
          <cell r="C692">
            <v>15442</v>
          </cell>
          <cell r="D692" t="str">
            <v>2650</v>
          </cell>
          <cell r="E692" t="str">
            <v>Welfare Fund Adjustable</v>
          </cell>
        </row>
        <row r="693">
          <cell r="C693">
            <v>15448</v>
          </cell>
          <cell r="D693" t="str">
            <v>2720</v>
          </cell>
          <cell r="E693" t="str">
            <v>Unclaimed Salary\Wages</v>
          </cell>
        </row>
        <row r="694">
          <cell r="C694">
            <v>15449</v>
          </cell>
          <cell r="D694" t="str">
            <v>2730</v>
          </cell>
          <cell r="E694" t="str">
            <v>Unclaimed Bonus</v>
          </cell>
        </row>
        <row r="695">
          <cell r="C695">
            <v>15440</v>
          </cell>
          <cell r="D695" t="str">
            <v>2600</v>
          </cell>
          <cell r="E695" t="str">
            <v>Net Salary Adjustable</v>
          </cell>
        </row>
        <row r="696">
          <cell r="D696" t="str">
            <v>2601</v>
          </cell>
          <cell r="E696" t="str">
            <v>Net Salary Adjustable</v>
          </cell>
        </row>
        <row r="697">
          <cell r="C697">
            <v>15454</v>
          </cell>
          <cell r="D697" t="str">
            <v>2808</v>
          </cell>
          <cell r="E697" t="str">
            <v>Payable to employees</v>
          </cell>
        </row>
        <row r="698">
          <cell r="C698">
            <v>15452</v>
          </cell>
          <cell r="D698" t="str">
            <v>2161</v>
          </cell>
          <cell r="E698" t="str">
            <v>PRO. FOR MANAGERIAL EXP.</v>
          </cell>
        </row>
        <row r="699">
          <cell r="E699" t="str">
            <v>regrouping from trade paybles</v>
          </cell>
        </row>
        <row r="701">
          <cell r="E701" t="str">
            <v>Statutory Dues Payable</v>
          </cell>
        </row>
        <row r="702">
          <cell r="D702" t="str">
            <v>2510</v>
          </cell>
          <cell r="E702" t="str">
            <v>MST Adjustable</v>
          </cell>
        </row>
        <row r="703">
          <cell r="D703" t="str">
            <v>2512</v>
          </cell>
          <cell r="E703" t="str">
            <v>VAT (MST) -Sales</v>
          </cell>
        </row>
        <row r="704">
          <cell r="D704" t="str">
            <v>2513</v>
          </cell>
          <cell r="E704" t="str">
            <v>VAT MST - Purchase</v>
          </cell>
        </row>
        <row r="705">
          <cell r="C705">
            <v>15506</v>
          </cell>
          <cell r="D705" t="str">
            <v>2514</v>
          </cell>
          <cell r="E705" t="str">
            <v>VAT PAYABLE</v>
          </cell>
        </row>
        <row r="706">
          <cell r="C706">
            <v>15507</v>
          </cell>
          <cell r="E706" t="str">
            <v>Vat Receivable</v>
          </cell>
        </row>
        <row r="707">
          <cell r="C707">
            <v>15511</v>
          </cell>
          <cell r="D707" t="str">
            <v>2520</v>
          </cell>
          <cell r="E707" t="str">
            <v>CST Payable</v>
          </cell>
        </row>
        <row r="708">
          <cell r="D708" t="str">
            <v>2522</v>
          </cell>
          <cell r="E708" t="str">
            <v>VAT (CST) -Sales</v>
          </cell>
        </row>
        <row r="709">
          <cell r="D709" t="str">
            <v>2524</v>
          </cell>
          <cell r="E709" t="str">
            <v>CST Payable</v>
          </cell>
        </row>
        <row r="710">
          <cell r="D710" t="str">
            <v>2537</v>
          </cell>
          <cell r="E710" t="str">
            <v>Set-Off Due</v>
          </cell>
        </row>
        <row r="711">
          <cell r="D711" t="str">
            <v>2550</v>
          </cell>
          <cell r="E711" t="str">
            <v>sales tax control a/c</v>
          </cell>
        </row>
        <row r="712">
          <cell r="D712" t="str">
            <v>7112</v>
          </cell>
          <cell r="E712" t="str">
            <v>Turnover tax-sales/purchase</v>
          </cell>
        </row>
        <row r="713">
          <cell r="D713" t="str">
            <v>7113</v>
          </cell>
          <cell r="E713" t="str">
            <v>Surcharge on MST</v>
          </cell>
        </row>
        <row r="714">
          <cell r="D714" t="str">
            <v>7130</v>
          </cell>
          <cell r="E714" t="str">
            <v>Works Contract Tax</v>
          </cell>
        </row>
        <row r="715">
          <cell r="D715" t="str">
            <v>7140</v>
          </cell>
          <cell r="E715" t="str">
            <v>Purchase Tax</v>
          </cell>
        </row>
        <row r="716">
          <cell r="D716" t="str">
            <v>6113</v>
          </cell>
          <cell r="E716" t="str">
            <v>VAT (MST) - Purchase</v>
          </cell>
        </row>
        <row r="717">
          <cell r="C717">
            <v>15544</v>
          </cell>
          <cell r="E717" t="str">
            <v>TDS-On Vat</v>
          </cell>
        </row>
        <row r="718">
          <cell r="C718">
            <v>15522</v>
          </cell>
          <cell r="E718" t="str">
            <v>CST Payable (Cochin)</v>
          </cell>
        </row>
        <row r="719">
          <cell r="C719">
            <v>15518</v>
          </cell>
          <cell r="D719" t="str">
            <v>2515</v>
          </cell>
          <cell r="E719" t="str">
            <v>Cochin Vat Payable</v>
          </cell>
        </row>
        <row r="720">
          <cell r="D720" t="str">
            <v>2527</v>
          </cell>
          <cell r="E720" t="str">
            <v>TDS - Others</v>
          </cell>
        </row>
        <row r="721">
          <cell r="C721">
            <v>15535</v>
          </cell>
          <cell r="D721" t="str">
            <v>2528</v>
          </cell>
          <cell r="E721" t="str">
            <v>TCS - Sale of Scrap</v>
          </cell>
        </row>
        <row r="722">
          <cell r="C722">
            <v>15540</v>
          </cell>
          <cell r="D722" t="str">
            <v>2529</v>
          </cell>
          <cell r="E722" t="str">
            <v>TDS - Commission Agent</v>
          </cell>
        </row>
        <row r="723">
          <cell r="C723">
            <v>15537</v>
          </cell>
          <cell r="D723" t="str">
            <v>2660</v>
          </cell>
          <cell r="E723" t="str">
            <v>income tax adjustable - Employees</v>
          </cell>
        </row>
        <row r="724">
          <cell r="C724">
            <v>15539</v>
          </cell>
          <cell r="D724" t="str">
            <v>2530</v>
          </cell>
          <cell r="E724" t="str">
            <v>TDS - Contractors</v>
          </cell>
        </row>
        <row r="725">
          <cell r="C725">
            <v>15541</v>
          </cell>
          <cell r="D725" t="str">
            <v>2534</v>
          </cell>
          <cell r="E725" t="str">
            <v>TDS - Rent</v>
          </cell>
        </row>
        <row r="726">
          <cell r="C726">
            <v>15542</v>
          </cell>
          <cell r="D726" t="str">
            <v>2535</v>
          </cell>
          <cell r="E726" t="str">
            <v>TDS - Professionals</v>
          </cell>
        </row>
        <row r="727">
          <cell r="C727">
            <v>15538</v>
          </cell>
          <cell r="D727" t="str">
            <v>2536</v>
          </cell>
          <cell r="E727" t="str">
            <v>TDS - Int other than securities</v>
          </cell>
        </row>
        <row r="728">
          <cell r="C728">
            <v>15543</v>
          </cell>
          <cell r="E728" t="str">
            <v>TDS/ TCS-Adjustment (Op. Bal.)</v>
          </cell>
        </row>
        <row r="729">
          <cell r="D729" t="str">
            <v>25361</v>
          </cell>
          <cell r="E729" t="str">
            <v>adj a/c tds</v>
          </cell>
        </row>
        <row r="730">
          <cell r="D730" t="str">
            <v>2670</v>
          </cell>
          <cell r="E730" t="str">
            <v>Salary Saving Scheme Adjustable</v>
          </cell>
        </row>
        <row r="731">
          <cell r="D731" t="str">
            <v>2538</v>
          </cell>
          <cell r="E731" t="str">
            <v>adj a/c tds valerex (2536A/2538)</v>
          </cell>
        </row>
        <row r="732">
          <cell r="C732">
            <v>15556</v>
          </cell>
          <cell r="D732" t="str">
            <v>2541</v>
          </cell>
          <cell r="E732" t="str">
            <v>Excise duty payable a/c ( FG Cl St)</v>
          </cell>
        </row>
        <row r="733">
          <cell r="D733" t="str">
            <v>2545</v>
          </cell>
          <cell r="E733" t="str">
            <v>Education Cess on TDS deducted</v>
          </cell>
        </row>
        <row r="734">
          <cell r="C734">
            <v>15557</v>
          </cell>
          <cell r="D734" t="str">
            <v>2610</v>
          </cell>
          <cell r="E734" t="str">
            <v>Provident Fund Adjustable</v>
          </cell>
        </row>
        <row r="735">
          <cell r="C735">
            <v>15558</v>
          </cell>
          <cell r="D735" t="str">
            <v>2616</v>
          </cell>
          <cell r="E735" t="str">
            <v>PF &amp; FPF Adjustable-Contractors &amp; Others</v>
          </cell>
        </row>
        <row r="736">
          <cell r="C736">
            <v>15559</v>
          </cell>
          <cell r="D736" t="str">
            <v>2630</v>
          </cell>
          <cell r="E736" t="str">
            <v>Professional Tax Adjustable</v>
          </cell>
        </row>
        <row r="737">
          <cell r="C737">
            <v>15560</v>
          </cell>
          <cell r="D737" t="str">
            <v>2631</v>
          </cell>
          <cell r="E737" t="str">
            <v>Professional Tax Adjustable Contractors</v>
          </cell>
        </row>
        <row r="738">
          <cell r="C738">
            <v>15561</v>
          </cell>
          <cell r="D738" t="str">
            <v>2640</v>
          </cell>
          <cell r="E738" t="str">
            <v>ESIC Adjustable</v>
          </cell>
        </row>
        <row r="739">
          <cell r="C739">
            <v>15562</v>
          </cell>
          <cell r="D739" t="str">
            <v>2641</v>
          </cell>
          <cell r="E739" t="str">
            <v>ESIC Adjustable - Contractors &amp; Others</v>
          </cell>
        </row>
        <row r="740">
          <cell r="C740">
            <v>15565</v>
          </cell>
          <cell r="E740" t="str">
            <v>Nmmc Cess Liability</v>
          </cell>
        </row>
        <row r="741">
          <cell r="C741">
            <v>15613</v>
          </cell>
          <cell r="E741" t="str">
            <v>Liability For Tax Group</v>
          </cell>
        </row>
        <row r="742">
          <cell r="D742" t="str">
            <v>1741</v>
          </cell>
          <cell r="E742" t="str">
            <v>Share Refund  PCD</v>
          </cell>
        </row>
        <row r="743">
          <cell r="D743" t="str">
            <v>3541</v>
          </cell>
          <cell r="E743" t="str">
            <v>Advance HP (Sale of Property)</v>
          </cell>
        </row>
        <row r="744">
          <cell r="C744">
            <v>15531</v>
          </cell>
          <cell r="E744" t="str">
            <v>Purchase Tax Payable (Vat)</v>
          </cell>
        </row>
        <row r="745">
          <cell r="E745" t="str">
            <v>regrouping of stat dues provided in Liab for Exp</v>
          </cell>
        </row>
        <row r="746">
          <cell r="E746" t="str">
            <v>Sub-total</v>
          </cell>
        </row>
        <row r="747">
          <cell r="E747" t="str">
            <v>Payable for Fixed Assets</v>
          </cell>
        </row>
        <row r="750">
          <cell r="E750" t="str">
            <v>Sub-total</v>
          </cell>
        </row>
        <row r="751">
          <cell r="E751" t="str">
            <v>Others</v>
          </cell>
        </row>
        <row r="754">
          <cell r="E754" t="str">
            <v>Sub-total</v>
          </cell>
        </row>
        <row r="755">
          <cell r="E755" t="str">
            <v>TOTAL</v>
          </cell>
        </row>
        <row r="757">
          <cell r="D757" t="str">
            <v>SHORT TERM PROVISIONS</v>
          </cell>
        </row>
        <row r="758">
          <cell r="E758" t="str">
            <v>Provision for Employee Benefits</v>
          </cell>
        </row>
        <row r="759">
          <cell r="E759" t="str">
            <v>Provision for Gratuity</v>
          </cell>
        </row>
        <row r="760">
          <cell r="E760" t="str">
            <v>Provision for Compensated Absences</v>
          </cell>
        </row>
        <row r="761">
          <cell r="C761">
            <v>15577</v>
          </cell>
          <cell r="D761" t="str">
            <v>2015</v>
          </cell>
          <cell r="E761" t="str">
            <v>Provision for Leave Encashment</v>
          </cell>
        </row>
        <row r="762">
          <cell r="E762" t="str">
            <v>Sub-total</v>
          </cell>
        </row>
        <row r="763">
          <cell r="E763" t="str">
            <v>Provision for Income Tax</v>
          </cell>
        </row>
        <row r="764">
          <cell r="C764">
            <v>15585</v>
          </cell>
          <cell r="D764" t="str">
            <v>2030</v>
          </cell>
          <cell r="E764" t="str">
            <v>Provision for Taxation</v>
          </cell>
        </row>
        <row r="765">
          <cell r="C765">
            <v>15586</v>
          </cell>
          <cell r="D765" t="str">
            <v>2032</v>
          </cell>
          <cell r="E765" t="str">
            <v>Provision for FBT</v>
          </cell>
        </row>
        <row r="766">
          <cell r="C766">
            <v>15587</v>
          </cell>
          <cell r="D766" t="str">
            <v>2040</v>
          </cell>
          <cell r="E766" t="str">
            <v>Provision For Wealth tax</v>
          </cell>
        </row>
        <row r="767">
          <cell r="E767" t="str">
            <v>Advance Income Tax ( Net)</v>
          </cell>
        </row>
        <row r="768">
          <cell r="C768">
            <v>15398</v>
          </cell>
          <cell r="D768" t="str">
            <v>3850</v>
          </cell>
          <cell r="E768" t="str">
            <v>Advance Income Tax</v>
          </cell>
        </row>
        <row r="770">
          <cell r="E770" t="str">
            <v>Sub-total</v>
          </cell>
        </row>
        <row r="771">
          <cell r="E771" t="str">
            <v>Other Provisions-Proposed Dividend</v>
          </cell>
        </row>
        <row r="772">
          <cell r="C772">
            <v>15595</v>
          </cell>
          <cell r="D772" t="str">
            <v>2020</v>
          </cell>
          <cell r="E772" t="str">
            <v>Proposed Dividend</v>
          </cell>
        </row>
        <row r="773">
          <cell r="C773">
            <v>15596</v>
          </cell>
          <cell r="D773" t="str">
            <v>2021</v>
          </cell>
          <cell r="E773" t="str">
            <v>Distribution Tax</v>
          </cell>
        </row>
        <row r="774">
          <cell r="E774" t="str">
            <v>Sub-total</v>
          </cell>
        </row>
        <row r="775">
          <cell r="E775" t="str">
            <v>TOTAL</v>
          </cell>
        </row>
        <row r="777">
          <cell r="E777" t="str">
            <v>TOTAL</v>
          </cell>
        </row>
        <row r="778">
          <cell r="D778" t="str">
            <v>TOTAL</v>
          </cell>
        </row>
        <row r="780">
          <cell r="D780" t="str">
            <v>ASSETS</v>
          </cell>
        </row>
        <row r="781">
          <cell r="D781" t="str">
            <v>Fixed Assets</v>
          </cell>
        </row>
        <row r="782">
          <cell r="E782" t="str">
            <v>(a) Gross Block</v>
          </cell>
        </row>
        <row r="783">
          <cell r="C783">
            <v>15012</v>
          </cell>
          <cell r="D783" t="str">
            <v>3010</v>
          </cell>
          <cell r="E783" t="str">
            <v>Fixed Assets - Gross Block</v>
          </cell>
        </row>
        <row r="784">
          <cell r="C784">
            <v>15001</v>
          </cell>
          <cell r="E784" t="str">
            <v>Freehold Land (GB)</v>
          </cell>
        </row>
        <row r="785">
          <cell r="E785" t="str">
            <v>Leasehold Land (GB)</v>
          </cell>
        </row>
        <row r="786">
          <cell r="E786" t="str">
            <v>Building (GB)</v>
          </cell>
        </row>
        <row r="787">
          <cell r="E787" t="str">
            <v>Onership Flats (GB)</v>
          </cell>
        </row>
        <row r="788">
          <cell r="E788" t="str">
            <v>Plant and Machinery (GB)</v>
          </cell>
        </row>
        <row r="789">
          <cell r="C789">
            <v>15008</v>
          </cell>
          <cell r="E789" t="str">
            <v>Computers (GB)</v>
          </cell>
        </row>
        <row r="790">
          <cell r="E790" t="str">
            <v>Furniture and Fittings (GB)</v>
          </cell>
        </row>
        <row r="791">
          <cell r="E791" t="str">
            <v>Vehicles (GB)</v>
          </cell>
        </row>
        <row r="792">
          <cell r="E792" t="str">
            <v>Enabling Assets (GB)</v>
          </cell>
        </row>
        <row r="793">
          <cell r="E793" t="str">
            <v>(b) Less  : Depreciation</v>
          </cell>
        </row>
        <row r="794">
          <cell r="C794">
            <v>15031</v>
          </cell>
          <cell r="D794" t="str">
            <v>2100</v>
          </cell>
          <cell r="E794" t="str">
            <v>Provision for Depreciation</v>
          </cell>
        </row>
        <row r="795">
          <cell r="E795" t="str">
            <v>Accumlated Depreciation - Freehold Land</v>
          </cell>
        </row>
        <row r="796">
          <cell r="E796" t="str">
            <v>Accumlated Depreciation - Leasehold Land</v>
          </cell>
        </row>
        <row r="797">
          <cell r="E797" t="str">
            <v>Accumlated Depreciation - Building</v>
          </cell>
        </row>
        <row r="798">
          <cell r="E798" t="str">
            <v>Accumlated Depreciation - Ownership Flats</v>
          </cell>
        </row>
        <row r="799">
          <cell r="E799" t="str">
            <v>Accumlated Depreciation - Plant &amp; Machinery</v>
          </cell>
        </row>
        <row r="800">
          <cell r="E800" t="str">
            <v>Accumlated Depreciation - Computers</v>
          </cell>
        </row>
        <row r="801">
          <cell r="E801" t="str">
            <v>Accumlated Depreciation - Furniture &amp; Fittings</v>
          </cell>
        </row>
        <row r="802">
          <cell r="E802" t="str">
            <v>Accumlated Depreciation - Vehicles</v>
          </cell>
        </row>
        <row r="803">
          <cell r="E803" t="str">
            <v>Accumlated Depreciation - Enabling Assets</v>
          </cell>
        </row>
        <row r="805">
          <cell r="E805" t="str">
            <v>(c) Net Block</v>
          </cell>
        </row>
        <row r="806">
          <cell r="E806" t="str">
            <v>Add : Capital Work -in- Progress</v>
          </cell>
        </row>
        <row r="807">
          <cell r="C807">
            <v>15050</v>
          </cell>
          <cell r="D807" t="str">
            <v>3050</v>
          </cell>
          <cell r="E807" t="str">
            <v>Capital Work in Process</v>
          </cell>
        </row>
        <row r="808">
          <cell r="C808">
            <v>15044</v>
          </cell>
          <cell r="E808" t="str">
            <v>CWIP- Building</v>
          </cell>
        </row>
        <row r="809">
          <cell r="C809">
            <v>15045</v>
          </cell>
          <cell r="E809" t="str">
            <v>CWIP- Plant and Machinery</v>
          </cell>
        </row>
        <row r="810">
          <cell r="C810">
            <v>15046</v>
          </cell>
          <cell r="E810" t="str">
            <v>CWIP- Computers</v>
          </cell>
        </row>
        <row r="811">
          <cell r="E811" t="str">
            <v>CWIP- Furniture and Fittings</v>
          </cell>
        </row>
        <row r="812">
          <cell r="E812" t="str">
            <v>CWIP- Vehicles</v>
          </cell>
        </row>
        <row r="813">
          <cell r="C813">
            <v>15049</v>
          </cell>
          <cell r="D813" t="str">
            <v>3420</v>
          </cell>
          <cell r="E813" t="str">
            <v>Advance A/C - Capex</v>
          </cell>
        </row>
        <row r="814">
          <cell r="D814" t="str">
            <v>3054</v>
          </cell>
          <cell r="E814" t="str">
            <v>CWIP- Project Factory Shifting</v>
          </cell>
        </row>
        <row r="815">
          <cell r="D815" t="str">
            <v>3055</v>
          </cell>
          <cell r="E815" t="str">
            <v>CWIP- Chennai</v>
          </cell>
        </row>
        <row r="816">
          <cell r="D816" t="str">
            <v>3056</v>
          </cell>
          <cell r="E816" t="str">
            <v>CWIP- North</v>
          </cell>
        </row>
        <row r="818">
          <cell r="E818" t="str">
            <v>TOTAL</v>
          </cell>
        </row>
        <row r="820">
          <cell r="D820" t="str">
            <v>INVESTMENTS</v>
          </cell>
        </row>
        <row r="821">
          <cell r="C821">
            <v>15062</v>
          </cell>
          <cell r="D821" t="str">
            <v>3100</v>
          </cell>
          <cell r="E821" t="str">
            <v>Investment In Subsidiries (Proseal)</v>
          </cell>
        </row>
        <row r="822">
          <cell r="E822" t="str">
            <v>Investment In Transafe</v>
          </cell>
        </row>
        <row r="823">
          <cell r="D823" t="str">
            <v>3110</v>
          </cell>
          <cell r="E823" t="str">
            <v>Investment in Mutual Funds</v>
          </cell>
        </row>
        <row r="824">
          <cell r="E824" t="str">
            <v>TOTAL</v>
          </cell>
        </row>
        <row r="826">
          <cell r="D826" t="str">
            <v>LONG -TERM LOANS AND ADVANCES</v>
          </cell>
        </row>
        <row r="827">
          <cell r="E827" t="str">
            <v>Deposits</v>
          </cell>
        </row>
        <row r="828">
          <cell r="C828">
            <v>15197</v>
          </cell>
          <cell r="D828" t="str">
            <v>3700</v>
          </cell>
          <cell r="E828" t="str">
            <v>Deposits Paid</v>
          </cell>
        </row>
        <row r="829">
          <cell r="C829">
            <v>15198</v>
          </cell>
          <cell r="D829" t="str">
            <v>3705</v>
          </cell>
          <cell r="E829" t="str">
            <v>Rent Deposits</v>
          </cell>
        </row>
        <row r="831">
          <cell r="E831" t="str">
            <v>Sub-total</v>
          </cell>
        </row>
        <row r="832">
          <cell r="E832" t="str">
            <v>Considered Doubtful</v>
          </cell>
        </row>
        <row r="833">
          <cell r="C833">
            <v>15269</v>
          </cell>
          <cell r="D833" t="str">
            <v>2160</v>
          </cell>
          <cell r="E833" t="str">
            <v>Provision for  Loans &amp; Advances</v>
          </cell>
        </row>
        <row r="834">
          <cell r="E834" t="str">
            <v>Sub-total</v>
          </cell>
        </row>
        <row r="835">
          <cell r="E835" t="str">
            <v>Balance with Government Authorities</v>
          </cell>
        </row>
        <row r="836">
          <cell r="C836">
            <v>15381</v>
          </cell>
          <cell r="D836" t="str">
            <v>3604</v>
          </cell>
          <cell r="E836" t="str">
            <v>Recoverable From Sales Tax A/C</v>
          </cell>
        </row>
        <row r="838">
          <cell r="E838" t="str">
            <v>Sub-total</v>
          </cell>
        </row>
        <row r="839">
          <cell r="E839" t="str">
            <v>Prepaid Expenses</v>
          </cell>
        </row>
        <row r="840">
          <cell r="C840">
            <v>15221</v>
          </cell>
          <cell r="D840" t="str">
            <v>3750</v>
          </cell>
          <cell r="E840" t="str">
            <v>Prepaid Expenses</v>
          </cell>
        </row>
        <row r="841">
          <cell r="C841">
            <v>15222</v>
          </cell>
          <cell r="D841" t="str">
            <v>3755</v>
          </cell>
          <cell r="E841" t="str">
            <v>Prepaid Insurance</v>
          </cell>
        </row>
        <row r="842">
          <cell r="E842" t="str">
            <v>Sub-total</v>
          </cell>
        </row>
        <row r="843">
          <cell r="E843" t="str">
            <v>Advance to Related Parties</v>
          </cell>
        </row>
        <row r="844">
          <cell r="C844">
            <v>15225</v>
          </cell>
          <cell r="D844" t="str">
            <v>3780</v>
          </cell>
          <cell r="E844" t="str">
            <v>Recoverable From Balmer Lawrie</v>
          </cell>
        </row>
        <row r="845">
          <cell r="C845">
            <v>15224</v>
          </cell>
          <cell r="D845" t="str">
            <v>3782</v>
          </cell>
          <cell r="E845" t="str">
            <v>Recoverable from Proseal</v>
          </cell>
        </row>
        <row r="846">
          <cell r="C846">
            <v>15226</v>
          </cell>
          <cell r="D846" t="str">
            <v>3784</v>
          </cell>
          <cell r="E846" t="str">
            <v>Recoverable from Transafe</v>
          </cell>
        </row>
        <row r="847">
          <cell r="D847" t="str">
            <v>3787</v>
          </cell>
          <cell r="E847" t="str">
            <v>FOREING CURRENCY RECEIVABLE</v>
          </cell>
        </row>
        <row r="848">
          <cell r="C848">
            <v>15233</v>
          </cell>
          <cell r="D848" t="str">
            <v>3788</v>
          </cell>
          <cell r="E848" t="str">
            <v>Recoverable from Greif Australia</v>
          </cell>
        </row>
        <row r="849">
          <cell r="E849" t="str">
            <v>Sub-total</v>
          </cell>
        </row>
        <row r="850">
          <cell r="E850" t="str">
            <v>Balance with Excise authorities</v>
          </cell>
        </row>
        <row r="851">
          <cell r="E851" t="str">
            <v>PLA</v>
          </cell>
        </row>
        <row r="852">
          <cell r="D852" t="str">
            <v>6100</v>
          </cell>
          <cell r="E852" t="str">
            <v>Excise Duty - PLA A/c</v>
          </cell>
        </row>
        <row r="853">
          <cell r="C853">
            <v>15311</v>
          </cell>
          <cell r="E853" t="str">
            <v>Interim PLA Account</v>
          </cell>
        </row>
        <row r="854">
          <cell r="C854">
            <v>15314</v>
          </cell>
          <cell r="D854" t="str">
            <v>6097 P</v>
          </cell>
          <cell r="E854" t="str">
            <v>Education Cess on PLA A/c</v>
          </cell>
        </row>
        <row r="855">
          <cell r="C855">
            <v>15368</v>
          </cell>
          <cell r="E855" t="str">
            <v>Basic Excise Duty Payable</v>
          </cell>
        </row>
        <row r="856">
          <cell r="C856">
            <v>15369</v>
          </cell>
          <cell r="E856" t="str">
            <v>Education Cess Payable</v>
          </cell>
        </row>
        <row r="857">
          <cell r="C857">
            <v>15370</v>
          </cell>
          <cell r="E857" t="str">
            <v>Higher Education Cess Payable</v>
          </cell>
        </row>
        <row r="858">
          <cell r="C858">
            <v>15312</v>
          </cell>
          <cell r="E858" t="str">
            <v>Interim EduCess - PLA A/C</v>
          </cell>
        </row>
        <row r="859">
          <cell r="C859">
            <v>15315</v>
          </cell>
          <cell r="D859" t="str">
            <v>6097 PH</v>
          </cell>
          <cell r="E859" t="str">
            <v>Higher Education Cess  PLA A/c</v>
          </cell>
        </row>
        <row r="860">
          <cell r="C860">
            <v>15310</v>
          </cell>
          <cell r="E860" t="str">
            <v>Interim Hedu Cess - PLA A/C</v>
          </cell>
        </row>
        <row r="861">
          <cell r="D861">
            <v>0</v>
          </cell>
          <cell r="E861" t="str">
            <v>Cenvat</v>
          </cell>
        </row>
        <row r="862">
          <cell r="D862">
            <v>0</v>
          </cell>
          <cell r="E862" t="str">
            <v>Part-A</v>
          </cell>
        </row>
        <row r="863">
          <cell r="C863">
            <v>15323</v>
          </cell>
          <cell r="D863" t="str">
            <v>6099</v>
          </cell>
          <cell r="E863" t="str">
            <v>Excise RG 23 A (Input)</v>
          </cell>
        </row>
        <row r="864">
          <cell r="C864">
            <v>15324</v>
          </cell>
          <cell r="D864" t="str">
            <v>6097</v>
          </cell>
          <cell r="E864" t="str">
            <v>Cess on Excise Duty</v>
          </cell>
        </row>
        <row r="865">
          <cell r="D865" t="str">
            <v>6097'</v>
          </cell>
          <cell r="E865" t="str">
            <v>Education Cess RG 23 A</v>
          </cell>
        </row>
        <row r="866">
          <cell r="C866">
            <v>15325</v>
          </cell>
          <cell r="D866" t="str">
            <v>6097'H</v>
          </cell>
          <cell r="E866" t="str">
            <v>Higher Education Cess RG 23 A</v>
          </cell>
        </row>
        <row r="867">
          <cell r="D867">
            <v>2162</v>
          </cell>
        </row>
        <row r="868">
          <cell r="D868" t="str">
            <v>2540</v>
          </cell>
          <cell r="E868" t="str">
            <v>Excise Duty AdjustableA/c</v>
          </cell>
        </row>
        <row r="869">
          <cell r="D869" t="str">
            <v>25401</v>
          </cell>
          <cell r="E869" t="str">
            <v>Edu. Cess Adjustable A/c</v>
          </cell>
        </row>
        <row r="870">
          <cell r="D870" t="str">
            <v>25402</v>
          </cell>
          <cell r="E870" t="str">
            <v>H. Edu. Cess adjustable</v>
          </cell>
        </row>
        <row r="871">
          <cell r="D871">
            <v>0</v>
          </cell>
          <cell r="E871" t="str">
            <v>Part-C</v>
          </cell>
        </row>
        <row r="872">
          <cell r="C872">
            <v>15332</v>
          </cell>
          <cell r="D872" t="str">
            <v>6098</v>
          </cell>
          <cell r="E872" t="str">
            <v>Excise RG 23 C (Capital)</v>
          </cell>
        </row>
        <row r="873">
          <cell r="C873">
            <v>15333</v>
          </cell>
          <cell r="D873" t="str">
            <v>6097C</v>
          </cell>
          <cell r="E873" t="str">
            <v>Education Cess on RG 23 C</v>
          </cell>
        </row>
        <row r="874">
          <cell r="C874">
            <v>15334</v>
          </cell>
          <cell r="D874" t="str">
            <v>6097CH</v>
          </cell>
          <cell r="E874" t="str">
            <v>Higher Education Cess RG 23 C</v>
          </cell>
        </row>
        <row r="875">
          <cell r="D875" t="str">
            <v>6097PH</v>
          </cell>
          <cell r="E875" t="str">
            <v>Higher Education Cess PLA</v>
          </cell>
        </row>
        <row r="876">
          <cell r="E876" t="str">
            <v>Part-D</v>
          </cell>
        </row>
        <row r="877">
          <cell r="C877">
            <v>15339</v>
          </cell>
          <cell r="E877" t="str">
            <v>RG 23 D Cenvat Credit Transfer Account</v>
          </cell>
        </row>
        <row r="878">
          <cell r="C878">
            <v>15340</v>
          </cell>
          <cell r="E878" t="str">
            <v>RG 23 D Cenvat Credit Account</v>
          </cell>
        </row>
        <row r="879">
          <cell r="E879" t="str">
            <v>Deferred Excise Duty A/C (RG23)</v>
          </cell>
        </row>
        <row r="880">
          <cell r="E880" t="str">
            <v>Deferred Edu Cess A/C (RG23)</v>
          </cell>
        </row>
        <row r="881">
          <cell r="E881" t="str">
            <v>Deferred SHE Cess A/C (RG23 A)</v>
          </cell>
        </row>
        <row r="882">
          <cell r="D882">
            <v>0</v>
          </cell>
          <cell r="E882" t="str">
            <v>Service Tax</v>
          </cell>
        </row>
        <row r="883">
          <cell r="C883">
            <v>15344</v>
          </cell>
          <cell r="D883" t="str">
            <v>2543</v>
          </cell>
          <cell r="E883" t="str">
            <v>Service Tax</v>
          </cell>
        </row>
        <row r="884">
          <cell r="C884">
            <v>15345</v>
          </cell>
          <cell r="D884" t="str">
            <v>2544</v>
          </cell>
          <cell r="E884" t="str">
            <v>Edu. Cess on Service Tax</v>
          </cell>
        </row>
        <row r="885">
          <cell r="C885">
            <v>15346</v>
          </cell>
          <cell r="D885" t="str">
            <v>2548</v>
          </cell>
          <cell r="E885" t="str">
            <v>SH cess on Service Tax A</v>
          </cell>
        </row>
        <row r="886">
          <cell r="C886">
            <v>15351</v>
          </cell>
          <cell r="D886">
            <v>0</v>
          </cell>
          <cell r="E886" t="str">
            <v>Service Tax Interim Recoverable</v>
          </cell>
        </row>
        <row r="887">
          <cell r="C887">
            <v>15347</v>
          </cell>
          <cell r="D887" t="str">
            <v>2546</v>
          </cell>
          <cell r="E887" t="str">
            <v>Service Tax Payable</v>
          </cell>
        </row>
        <row r="888">
          <cell r="D888" t="str">
            <v>2547</v>
          </cell>
          <cell r="E888" t="str">
            <v>Education cess on Service tax - Trpt</v>
          </cell>
        </row>
        <row r="889">
          <cell r="C889">
            <v>15348</v>
          </cell>
          <cell r="D889" t="str">
            <v>2547'</v>
          </cell>
          <cell r="E889" t="str">
            <v>Cess on Service Tax Payable</v>
          </cell>
        </row>
        <row r="890">
          <cell r="C890">
            <v>15350</v>
          </cell>
          <cell r="E890" t="str">
            <v>Service Tax Interim Payable</v>
          </cell>
        </row>
        <row r="891">
          <cell r="C891">
            <v>15349</v>
          </cell>
          <cell r="D891" t="str">
            <v>2550</v>
          </cell>
          <cell r="E891" t="str">
            <v>SH cess on Service Tax Payable</v>
          </cell>
        </row>
        <row r="892">
          <cell r="E892" t="str">
            <v>Edu Cess Service Tax Interim Recoverable</v>
          </cell>
        </row>
        <row r="893">
          <cell r="D893">
            <v>0</v>
          </cell>
          <cell r="E893" t="str">
            <v>H Edu Cess Service Tax Interim Recoverable</v>
          </cell>
        </row>
        <row r="894">
          <cell r="D894">
            <v>0</v>
          </cell>
          <cell r="E894" t="str">
            <v>Others</v>
          </cell>
        </row>
        <row r="895">
          <cell r="C895">
            <v>15356</v>
          </cell>
          <cell r="D895" t="str">
            <v>3785</v>
          </cell>
          <cell r="E895" t="str">
            <v>Recoverable from Excise</v>
          </cell>
        </row>
        <row r="896">
          <cell r="C896">
            <v>15371</v>
          </cell>
          <cell r="E896" t="str">
            <v>Recoverable from Excise (Till The Time Matl Is With Processor)</v>
          </cell>
        </row>
        <row r="897">
          <cell r="D897" t="str">
            <v>3786</v>
          </cell>
          <cell r="E897" t="str">
            <v>Recoverable from Excise (Current</v>
          </cell>
        </row>
        <row r="898">
          <cell r="C898">
            <v>15357</v>
          </cell>
          <cell r="D898" t="str">
            <v>103</v>
          </cell>
          <cell r="E898" t="str">
            <v>Deferred Excise Duty (Capital Goods)</v>
          </cell>
        </row>
        <row r="899">
          <cell r="C899">
            <v>15358</v>
          </cell>
          <cell r="D899" t="str">
            <v>104</v>
          </cell>
          <cell r="E899" t="str">
            <v>Deferred Edu. Cess (Capital Goods)</v>
          </cell>
        </row>
        <row r="900">
          <cell r="C900">
            <v>15359</v>
          </cell>
          <cell r="D900" t="str">
            <v>105</v>
          </cell>
          <cell r="E900" t="str">
            <v>Deferred Higher Edu Cess (Capital Goods)</v>
          </cell>
        </row>
        <row r="901">
          <cell r="D901" t="str">
            <v>101</v>
          </cell>
        </row>
        <row r="902">
          <cell r="D902" t="str">
            <v>6108</v>
          </cell>
          <cell r="E902" t="str">
            <v>Excise Cochin</v>
          </cell>
        </row>
        <row r="903">
          <cell r="D903" t="str">
            <v>6096</v>
          </cell>
          <cell r="E903" t="str">
            <v>Excise Cochin</v>
          </cell>
        </row>
        <row r="904">
          <cell r="D904" t="str">
            <v>0102+SUS HEC</v>
          </cell>
          <cell r="E904" t="str">
            <v>Delete RG 23 A</v>
          </cell>
        </row>
        <row r="905">
          <cell r="E905" t="str">
            <v>Suspense a/c excise (GRN)</v>
          </cell>
        </row>
        <row r="906">
          <cell r="E906" t="str">
            <v>Sub-total</v>
          </cell>
        </row>
        <row r="907">
          <cell r="E907" t="str">
            <v>DEPB Licences on Hand</v>
          </cell>
        </row>
        <row r="908">
          <cell r="C908">
            <v>15218</v>
          </cell>
          <cell r="D908" t="str">
            <v>3715</v>
          </cell>
          <cell r="E908" t="str">
            <v>DEPB RECEIVABLE A/c</v>
          </cell>
        </row>
        <row r="910">
          <cell r="E910" t="str">
            <v>Sub-total</v>
          </cell>
        </row>
        <row r="911">
          <cell r="E911" t="str">
            <v>Interest accrude on Deposits</v>
          </cell>
        </row>
        <row r="912">
          <cell r="C912">
            <v>15216</v>
          </cell>
          <cell r="D912" t="str">
            <v>3710</v>
          </cell>
          <cell r="E912" t="str">
            <v>Interest Receivable</v>
          </cell>
        </row>
        <row r="914">
          <cell r="E914" t="str">
            <v>Sub-total</v>
          </cell>
        </row>
        <row r="916">
          <cell r="C916">
            <v>15256</v>
          </cell>
          <cell r="D916" t="str">
            <v>1514</v>
          </cell>
          <cell r="E916" t="str">
            <v>CREDITORS DR. BALANCE</v>
          </cell>
        </row>
        <row r="917">
          <cell r="D917" t="str">
            <v>3411</v>
          </cell>
          <cell r="E917" t="str">
            <v>Advance Others</v>
          </cell>
        </row>
        <row r="918">
          <cell r="C918">
            <v>15243</v>
          </cell>
          <cell r="D918" t="str">
            <v>3410</v>
          </cell>
          <cell r="E918" t="str">
            <v>Advance  Suppliers</v>
          </cell>
        </row>
        <row r="919">
          <cell r="D919" t="str">
            <v>3420*0</v>
          </cell>
          <cell r="E919" t="str">
            <v>Advance Capex</v>
          </cell>
        </row>
        <row r="920">
          <cell r="C920">
            <v>15239</v>
          </cell>
          <cell r="D920" t="str">
            <v>3510</v>
          </cell>
          <cell r="E920" t="str">
            <v>Advance against Expenses</v>
          </cell>
        </row>
        <row r="921">
          <cell r="D921" t="str">
            <v>3520</v>
          </cell>
          <cell r="E921" t="str">
            <v>Advance Travelling - (Currency)</v>
          </cell>
        </row>
        <row r="922">
          <cell r="D922" t="str">
            <v>3425</v>
          </cell>
          <cell r="E922" t="str">
            <v>Advance Grautity a/c</v>
          </cell>
        </row>
        <row r="923">
          <cell r="D923" t="str">
            <v>3511</v>
          </cell>
          <cell r="E923" t="str">
            <v>Imperest A/c.</v>
          </cell>
        </row>
        <row r="924">
          <cell r="C924">
            <v>15241</v>
          </cell>
          <cell r="D924" t="str">
            <v>3530</v>
          </cell>
          <cell r="E924" t="str">
            <v>Advance Against Salary/Wages</v>
          </cell>
        </row>
        <row r="925">
          <cell r="C925">
            <v>15242</v>
          </cell>
          <cell r="D925" t="str">
            <v>3540</v>
          </cell>
          <cell r="E925" t="str">
            <v>Advance against LTA</v>
          </cell>
        </row>
        <row r="926">
          <cell r="C926">
            <v>15244</v>
          </cell>
          <cell r="E926" t="str">
            <v>Advance Against Cheque</v>
          </cell>
        </row>
        <row r="927">
          <cell r="C927">
            <v>15249</v>
          </cell>
          <cell r="D927" t="str">
            <v>3550</v>
          </cell>
          <cell r="E927" t="str">
            <v>Festivals Loan</v>
          </cell>
        </row>
        <row r="928">
          <cell r="C928">
            <v>15250</v>
          </cell>
          <cell r="D928" t="str">
            <v>3560</v>
          </cell>
          <cell r="E928" t="str">
            <v>Car Loan</v>
          </cell>
        </row>
        <row r="929">
          <cell r="D929" t="str">
            <v>1741</v>
          </cell>
          <cell r="E929" t="str">
            <v>Share Refund  PCD</v>
          </cell>
        </row>
        <row r="930">
          <cell r="D930" t="str">
            <v>3570</v>
          </cell>
          <cell r="E930" t="str">
            <v>House Bldg Loan/Flood Relief Loan</v>
          </cell>
        </row>
        <row r="931">
          <cell r="C931">
            <v>15251</v>
          </cell>
          <cell r="D931" t="str">
            <v>3580</v>
          </cell>
          <cell r="E931" t="str">
            <v>Sundry Loan</v>
          </cell>
        </row>
        <row r="932">
          <cell r="C932">
            <v>15227</v>
          </cell>
          <cell r="D932" t="str">
            <v>3600</v>
          </cell>
          <cell r="E932" t="str">
            <v>Recoverable from Employees</v>
          </cell>
        </row>
        <row r="933">
          <cell r="D933" t="str">
            <v>2765</v>
          </cell>
          <cell r="E933" t="str">
            <v>Per exp recoverable</v>
          </cell>
        </row>
        <row r="934">
          <cell r="C934">
            <v>15228</v>
          </cell>
          <cell r="D934" t="str">
            <v>3601</v>
          </cell>
          <cell r="E934" t="str">
            <v>Recoverable from Others</v>
          </cell>
        </row>
        <row r="935">
          <cell r="C935">
            <v>15229</v>
          </cell>
          <cell r="D935" t="str">
            <v>3602</v>
          </cell>
          <cell r="E935" t="str">
            <v>Recoverable from Insurance Co.</v>
          </cell>
        </row>
        <row r="936">
          <cell r="C936">
            <v>15230</v>
          </cell>
          <cell r="D936" t="str">
            <v>3603</v>
          </cell>
          <cell r="E936" t="str">
            <v>Recoverable From Van Leer</v>
          </cell>
        </row>
        <row r="937">
          <cell r="C937">
            <v>15231</v>
          </cell>
          <cell r="D937" t="str">
            <v>3605</v>
          </cell>
          <cell r="E937" t="str">
            <v>Recoverable From L.I.C.- Gratuirty</v>
          </cell>
        </row>
        <row r="938">
          <cell r="D938" t="str">
            <v>3606</v>
          </cell>
          <cell r="E938" t="str">
            <v>Receivable From Income Tax Dept / Authority</v>
          </cell>
        </row>
        <row r="939">
          <cell r="C939">
            <v>15232</v>
          </cell>
          <cell r="E939" t="str">
            <v>Recoverable From ESIC</v>
          </cell>
        </row>
        <row r="940">
          <cell r="D940" t="str">
            <v>3607</v>
          </cell>
          <cell r="E940" t="str">
            <v>Recoverable from Customs</v>
          </cell>
        </row>
        <row r="941">
          <cell r="D941" t="str">
            <v>2770</v>
          </cell>
          <cell r="E941" t="str">
            <v>Misc. Deduction Salary</v>
          </cell>
        </row>
        <row r="942">
          <cell r="E942" t="str">
            <v>Sub-total</v>
          </cell>
        </row>
        <row r="943">
          <cell r="E943" t="str">
            <v>TOTAL</v>
          </cell>
        </row>
        <row r="945">
          <cell r="D945" t="str">
            <v>INVENTORIES</v>
          </cell>
        </row>
        <row r="946">
          <cell r="E946" t="str">
            <v>Stores &amp; Spares</v>
          </cell>
        </row>
        <row r="947">
          <cell r="C947" t="str">
            <v>15071-1</v>
          </cell>
          <cell r="D947" t="str">
            <v>3200</v>
          </cell>
          <cell r="E947" t="str">
            <v>Inventories</v>
          </cell>
        </row>
        <row r="948">
          <cell r="C948">
            <v>15072</v>
          </cell>
          <cell r="D948" t="str">
            <v>6095</v>
          </cell>
          <cell r="E948" t="str">
            <v>Stores Spares Not W/Off</v>
          </cell>
        </row>
        <row r="949">
          <cell r="E949" t="str">
            <v>Sub-total</v>
          </cell>
        </row>
        <row r="950">
          <cell r="E950" t="str">
            <v>Raw Material</v>
          </cell>
        </row>
        <row r="951">
          <cell r="C951">
            <v>15076</v>
          </cell>
          <cell r="D951" t="str">
            <v>9001</v>
          </cell>
          <cell r="E951" t="str">
            <v>Cl - St. of Raw Matl. -B/s</v>
          </cell>
        </row>
        <row r="952">
          <cell r="D952" t="str">
            <v>9000</v>
          </cell>
          <cell r="E952" t="str">
            <v>Cl.Stock [ GIT ] C / F</v>
          </cell>
        </row>
        <row r="953">
          <cell r="C953">
            <v>15090</v>
          </cell>
          <cell r="E953" t="str">
            <v>Goods-In-Transit (Rm)</v>
          </cell>
        </row>
        <row r="954">
          <cell r="E954" t="str">
            <v>Sub-total</v>
          </cell>
        </row>
        <row r="955">
          <cell r="E955" t="str">
            <v>Packing Material (Balance Sheet)</v>
          </cell>
        </row>
        <row r="956">
          <cell r="C956">
            <v>16000</v>
          </cell>
          <cell r="D956" t="str">
            <v>9002</v>
          </cell>
          <cell r="E956" t="str">
            <v>Cl-St. of Pack. Matl- B/s</v>
          </cell>
        </row>
        <row r="957">
          <cell r="D957" t="str">
            <v>6039</v>
          </cell>
          <cell r="E957" t="str">
            <v>Stock of Packing Materials B/s</v>
          </cell>
        </row>
        <row r="958">
          <cell r="E958" t="str">
            <v>Purchase A/c-Packing Mat. (B/s)</v>
          </cell>
        </row>
        <row r="959">
          <cell r="E959" t="str">
            <v>Issue A/c Packing Material Stock (BS)</v>
          </cell>
        </row>
        <row r="960">
          <cell r="E960" t="str">
            <v>Sub-total</v>
          </cell>
        </row>
        <row r="961">
          <cell r="E961" t="str">
            <v>Work in Progress</v>
          </cell>
        </row>
        <row r="962">
          <cell r="C962">
            <v>15130</v>
          </cell>
          <cell r="D962" t="str">
            <v>9004</v>
          </cell>
          <cell r="E962" t="str">
            <v>CL-St.of WIP- B/S</v>
          </cell>
        </row>
        <row r="963">
          <cell r="C963">
            <v>15648</v>
          </cell>
          <cell r="E963" t="str">
            <v>Scrap Consumed</v>
          </cell>
        </row>
        <row r="964">
          <cell r="C964" t="str">
            <v>15135-2</v>
          </cell>
          <cell r="E964" t="str">
            <v>Work In Process Scrap (Bs)</v>
          </cell>
        </row>
        <row r="965">
          <cell r="C965">
            <v>15623</v>
          </cell>
          <cell r="E965" t="str">
            <v>Wip Issue A/C - Work Center</v>
          </cell>
        </row>
        <row r="966">
          <cell r="C966">
            <v>15624</v>
          </cell>
          <cell r="E966" t="str">
            <v>Wip A/C - Work Center (Costing Offset)</v>
          </cell>
        </row>
        <row r="967">
          <cell r="C967">
            <v>15619</v>
          </cell>
        </row>
        <row r="968">
          <cell r="C968">
            <v>15620</v>
          </cell>
        </row>
        <row r="969">
          <cell r="E969" t="str">
            <v>Sub-total</v>
          </cell>
        </row>
        <row r="970">
          <cell r="E970" t="str">
            <v>Finished Goods</v>
          </cell>
        </row>
        <row r="971">
          <cell r="C971">
            <v>15116</v>
          </cell>
          <cell r="D971" t="str">
            <v>9003</v>
          </cell>
          <cell r="E971" t="str">
            <v>CL-St. of FG - B/s</v>
          </cell>
        </row>
        <row r="972">
          <cell r="C972">
            <v>15117</v>
          </cell>
          <cell r="E972" t="str">
            <v>FG STOCKS - EXCISE DUTY COMPONANT</v>
          </cell>
        </row>
        <row r="973">
          <cell r="E973" t="str">
            <v>Transfer Issue/Receipt A/C-(GIT) RM</v>
          </cell>
        </row>
        <row r="974">
          <cell r="E974" t="str">
            <v>Transfer Issue/Receipt A/C-(GIT) FG</v>
          </cell>
        </row>
        <row r="975">
          <cell r="E975" t="str">
            <v>Sub-total</v>
          </cell>
        </row>
        <row r="976">
          <cell r="E976" t="str">
            <v>TOTAL</v>
          </cell>
        </row>
        <row r="978">
          <cell r="D978" t="str">
            <v>TRADE RECEIVABLES</v>
          </cell>
        </row>
        <row r="979">
          <cell r="E979" t="str">
            <v>Considered Good</v>
          </cell>
        </row>
        <row r="980">
          <cell r="D980" t="str">
            <v>3300</v>
          </cell>
          <cell r="E980" t="str">
            <v>Sundry Debtors Control</v>
          </cell>
        </row>
        <row r="981">
          <cell r="C981">
            <v>15136</v>
          </cell>
          <cell r="E981" t="str">
            <v>Sundry Debtors - Domestic</v>
          </cell>
        </row>
        <row r="982">
          <cell r="C982">
            <v>15137</v>
          </cell>
          <cell r="E982" t="str">
            <v>Sundry Debtors - Foreign</v>
          </cell>
        </row>
        <row r="983">
          <cell r="C983">
            <v>15138</v>
          </cell>
          <cell r="D983" t="str">
            <v>2150</v>
          </cell>
          <cell r="E983" t="str">
            <v>Provision for doubtful debts</v>
          </cell>
        </row>
        <row r="984">
          <cell r="E984" t="str">
            <v>Branch Sales</v>
          </cell>
        </row>
        <row r="985">
          <cell r="E985" t="str">
            <v>Sundry Debtors Control Exports</v>
          </cell>
        </row>
        <row r="986">
          <cell r="E986" t="str">
            <v>Debtors CR, BAL</v>
          </cell>
        </row>
        <row r="987">
          <cell r="D987" t="str">
            <v>2575</v>
          </cell>
          <cell r="E987" t="str">
            <v>Sundry Debtors Cross Adj A/c</v>
          </cell>
        </row>
        <row r="988">
          <cell r="E988" t="str">
            <v>TOTAL</v>
          </cell>
        </row>
        <row r="990">
          <cell r="D990" t="str">
            <v>CASH &amp; BANK BALANCES</v>
          </cell>
        </row>
        <row r="992">
          <cell r="C992">
            <v>15151</v>
          </cell>
          <cell r="D992" t="str">
            <v>0400</v>
          </cell>
          <cell r="E992" t="str">
            <v>Cash in Hand</v>
          </cell>
        </row>
        <row r="994">
          <cell r="C994">
            <v>15152</v>
          </cell>
          <cell r="D994" t="str">
            <v>0450</v>
          </cell>
          <cell r="E994" t="str">
            <v>Cheques in Hand</v>
          </cell>
        </row>
        <row r="995">
          <cell r="C995">
            <v>15622</v>
          </cell>
          <cell r="E995" t="str">
            <v>MULTIPLE ENTRY IN BANK PAYMENT ACCOUNT (SUSPENSE)</v>
          </cell>
        </row>
        <row r="998">
          <cell r="C998">
            <v>15183</v>
          </cell>
          <cell r="D998" t="str">
            <v>0740</v>
          </cell>
          <cell r="E998" t="str">
            <v>Fixed Deposits</v>
          </cell>
        </row>
        <row r="1002">
          <cell r="C1002">
            <v>15155</v>
          </cell>
          <cell r="D1002" t="str">
            <v>0530</v>
          </cell>
          <cell r="E1002" t="str">
            <v>C/A BOI (Turbhe)</v>
          </cell>
        </row>
        <row r="1003">
          <cell r="C1003">
            <v>15159</v>
          </cell>
          <cell r="D1003" t="str">
            <v>0531</v>
          </cell>
          <cell r="E1003" t="str">
            <v>C/A S B T (TURBHE)</v>
          </cell>
        </row>
        <row r="1004">
          <cell r="C1004">
            <v>15170</v>
          </cell>
          <cell r="D1004" t="str">
            <v>0540</v>
          </cell>
          <cell r="E1004" t="str">
            <v>Trustee Group Gratuity (BOI)</v>
          </cell>
        </row>
        <row r="1005">
          <cell r="D1005" t="str">
            <v>0451*0</v>
          </cell>
          <cell r="E1005" t="str">
            <v>Cheque in Stale</v>
          </cell>
        </row>
        <row r="1006">
          <cell r="C1006">
            <v>15171</v>
          </cell>
          <cell r="D1006" t="str">
            <v>0542</v>
          </cell>
          <cell r="E1006" t="str">
            <v>Superannuation a/c BOI</v>
          </cell>
        </row>
        <row r="1007">
          <cell r="C1007">
            <v>15174</v>
          </cell>
          <cell r="D1007" t="str">
            <v>0546</v>
          </cell>
          <cell r="E1007" t="str">
            <v>Debenture Redemption A/c 98-99 (BOI)</v>
          </cell>
        </row>
        <row r="1008">
          <cell r="D1008" t="str">
            <v>0547</v>
          </cell>
          <cell r="E1008" t="str">
            <v>ABN AMRO BANK (Current A/C)</v>
          </cell>
        </row>
        <row r="1009">
          <cell r="E1009" t="str">
            <v>Current Account HSBC (003)</v>
          </cell>
        </row>
        <row r="1010">
          <cell r="C1010">
            <v>15157</v>
          </cell>
          <cell r="D1010" t="str">
            <v>0605</v>
          </cell>
          <cell r="E1010" t="str">
            <v>Current Account Corporation Bank</v>
          </cell>
        </row>
        <row r="1011">
          <cell r="E1011" t="str">
            <v>Corporation Bank</v>
          </cell>
        </row>
        <row r="1012">
          <cell r="E1012" t="str">
            <v>RBS Bank</v>
          </cell>
        </row>
        <row r="1013">
          <cell r="C1013">
            <v>15158</v>
          </cell>
          <cell r="D1013" t="str">
            <v>0606</v>
          </cell>
          <cell r="E1013" t="str">
            <v>ICICI BANK</v>
          </cell>
        </row>
        <row r="1014">
          <cell r="C1014">
            <v>15156</v>
          </cell>
          <cell r="D1014" t="str">
            <v>0607</v>
          </cell>
          <cell r="E1014" t="str">
            <v>HSBC - MG ROAD BRANCH</v>
          </cell>
        </row>
        <row r="1015">
          <cell r="C1015">
            <v>15160</v>
          </cell>
          <cell r="D1015" t="str">
            <v>0609</v>
          </cell>
          <cell r="E1015" t="str">
            <v>C/A - hdfc-dehradun</v>
          </cell>
        </row>
        <row r="1016">
          <cell r="D1016" t="str">
            <v>0611</v>
          </cell>
          <cell r="E1016" t="str">
            <v>C/A - Indus Ind Bank</v>
          </cell>
        </row>
        <row r="1017">
          <cell r="C1017">
            <v>15162</v>
          </cell>
          <cell r="D1017" t="str">
            <v>0754</v>
          </cell>
          <cell r="E1017" t="str">
            <v>Currrent Account - SCB</v>
          </cell>
        </row>
        <row r="1018">
          <cell r="C1018">
            <v>15185</v>
          </cell>
          <cell r="D1018" t="str">
            <v>0625</v>
          </cell>
          <cell r="E1018" t="str">
            <v>Current A/C - UCO BANK</v>
          </cell>
        </row>
        <row r="1019">
          <cell r="C1019">
            <v>15169</v>
          </cell>
          <cell r="D1019" t="str">
            <v>0751</v>
          </cell>
          <cell r="E1019" t="str">
            <v>Refund  PCD  - Federal Bank</v>
          </cell>
        </row>
        <row r="1020">
          <cell r="C1020">
            <v>15164</v>
          </cell>
          <cell r="D1020" t="str">
            <v>0545</v>
          </cell>
          <cell r="E1020" t="str">
            <v>EEFC</v>
          </cell>
        </row>
        <row r="1021">
          <cell r="C1021">
            <v>15165</v>
          </cell>
          <cell r="E1021" t="str">
            <v>EEFC-HSBC</v>
          </cell>
        </row>
        <row r="1022">
          <cell r="C1022">
            <v>15180</v>
          </cell>
          <cell r="D1022" t="str">
            <v>0740</v>
          </cell>
          <cell r="E1022" t="str">
            <v>Fixed Deposits</v>
          </cell>
        </row>
        <row r="1023">
          <cell r="E1023" t="str">
            <v>With Others</v>
          </cell>
        </row>
        <row r="1024">
          <cell r="C1024">
            <v>15186</v>
          </cell>
          <cell r="E1024" t="str">
            <v>ICICI Bank-Vashi</v>
          </cell>
        </row>
        <row r="1025">
          <cell r="C1025">
            <v>15182</v>
          </cell>
          <cell r="D1025" t="str">
            <v>0730</v>
          </cell>
          <cell r="E1025" t="str">
            <v>Muncipal Co op Bank</v>
          </cell>
        </row>
        <row r="1026">
          <cell r="D1026" t="str">
            <v>0601</v>
          </cell>
          <cell r="E1026" t="str">
            <v>Current Account - HSBC (003)</v>
          </cell>
        </row>
        <row r="1028">
          <cell r="D1028" t="str">
            <v>Unpaid Dividend</v>
          </cell>
        </row>
        <row r="1029">
          <cell r="C1029">
            <v>15175</v>
          </cell>
          <cell r="D1029" t="str">
            <v>0724</v>
          </cell>
          <cell r="E1029" t="str">
            <v>Dividend A/c 2004-05 ( Bank)</v>
          </cell>
        </row>
        <row r="1030">
          <cell r="D1030" t="str">
            <v>0725</v>
          </cell>
          <cell r="E1030" t="str">
            <v>Dividend A/c 2005-06 ( Bank)</v>
          </cell>
        </row>
        <row r="1031">
          <cell r="D1031" t="str">
            <v>0726</v>
          </cell>
          <cell r="E1031" t="str">
            <v>Dividend A/c 2006-07 ( Bank)</v>
          </cell>
        </row>
        <row r="1032">
          <cell r="D1032" t="str">
            <v>0727</v>
          </cell>
          <cell r="E1032" t="str">
            <v>Dividend A/c 2007-08 ( Bank)</v>
          </cell>
        </row>
        <row r="1033">
          <cell r="D1033" t="str">
            <v>0728</v>
          </cell>
          <cell r="E1033" t="str">
            <v>Dividend A/c 20097-10 ( Bank)</v>
          </cell>
        </row>
        <row r="1035">
          <cell r="E1035" t="str">
            <v>TOTAL</v>
          </cell>
        </row>
        <row r="1037">
          <cell r="D1037" t="str">
            <v>INTERUNIT ACCOUNT</v>
          </cell>
        </row>
        <row r="1038">
          <cell r="E1038" t="str">
            <v>Current A/c ( Inter Unit) - SDC &amp; PCD-T</v>
          </cell>
        </row>
        <row r="1039">
          <cell r="D1039" t="str">
            <v>0200</v>
          </cell>
          <cell r="E1039" t="str">
            <v xml:space="preserve">Current A/c HO </v>
          </cell>
        </row>
        <row r="1040">
          <cell r="D1040" t="str">
            <v>0201</v>
          </cell>
          <cell r="E1040" t="str">
            <v>Current Account- Valerex ((PCD-Turbhe)</v>
          </cell>
        </row>
        <row r="1041">
          <cell r="C1041">
            <v>14274</v>
          </cell>
          <cell r="E1041" t="str">
            <v>Inter Unit Account (0200, 206, 608</v>
          </cell>
        </row>
        <row r="1042">
          <cell r="C1042">
            <v>14275</v>
          </cell>
          <cell r="E1042" t="str">
            <v>Inter Unit Account Payable</v>
          </cell>
        </row>
        <row r="1043">
          <cell r="D1043" t="str">
            <v>0202</v>
          </cell>
          <cell r="E1043" t="str">
            <v>Corrent Account - HO Ledger</v>
          </cell>
        </row>
        <row r="1044">
          <cell r="D1044" t="str">
            <v>0204</v>
          </cell>
          <cell r="E1044" t="str">
            <v>HO - A/C - Plastic Contianer - Division - Chennai</v>
          </cell>
        </row>
        <row r="1045">
          <cell r="D1045" t="str">
            <v>0205</v>
          </cell>
          <cell r="E1045" t="str">
            <v>Bank  A/c Closure Division</v>
          </cell>
        </row>
        <row r="1046">
          <cell r="D1046" t="str">
            <v>0608</v>
          </cell>
          <cell r="E1046" t="str">
            <v>Current A/c - (CBR - VLX)</v>
          </cell>
        </row>
        <row r="1048">
          <cell r="D1048" t="str">
            <v>Current A/c ( Inter Unit) - SDC &amp; PCD-C</v>
          </cell>
        </row>
        <row r="1049">
          <cell r="D1049" t="str">
            <v>0200</v>
          </cell>
          <cell r="E1049" t="str">
            <v>Current A/c HO</v>
          </cell>
        </row>
        <row r="1050">
          <cell r="C1050">
            <v>14276</v>
          </cell>
          <cell r="D1050" t="str">
            <v>0203</v>
          </cell>
          <cell r="E1050" t="str">
            <v>HO - A/C - Plastic Contianer - Division- Chennai</v>
          </cell>
        </row>
        <row r="1051">
          <cell r="D1051" t="str">
            <v>0205</v>
          </cell>
          <cell r="E1051" t="str">
            <v>Bank  A/c Closure Division</v>
          </cell>
        </row>
        <row r="1052">
          <cell r="D1052" t="str">
            <v>0204</v>
          </cell>
          <cell r="E1052" t="str">
            <v>Bank A/c Plastic Container Division</v>
          </cell>
        </row>
        <row r="1055">
          <cell r="D1055" t="str">
            <v>Current A/c ( Inter Unit) - PCD - T &amp; PCD - C</v>
          </cell>
        </row>
        <row r="1056">
          <cell r="D1056" t="str">
            <v>0200</v>
          </cell>
          <cell r="E1056" t="str">
            <v>Current A/c HO</v>
          </cell>
        </row>
        <row r="1057">
          <cell r="D1057" t="str">
            <v>0201</v>
          </cell>
          <cell r="E1057" t="str">
            <v>Current Account+ Valerex</v>
          </cell>
        </row>
        <row r="1058">
          <cell r="D1058" t="str">
            <v>0203</v>
          </cell>
          <cell r="E1058" t="str">
            <v>HO + A/C + Plastic Contianer + Division+ Chennai</v>
          </cell>
        </row>
        <row r="1059">
          <cell r="D1059" t="str">
            <v>0204</v>
          </cell>
          <cell r="E1059" t="str">
            <v>Bank A/c Plastic Container Division</v>
          </cell>
        </row>
        <row r="1060">
          <cell r="D1060" t="str">
            <v>0608</v>
          </cell>
          <cell r="E1060" t="str">
            <v>Current A/c + (CBR+VLX)</v>
          </cell>
        </row>
        <row r="1062">
          <cell r="D1062" t="str">
            <v>Current A/c ( Inter Unit) - PCD-NORTH</v>
          </cell>
        </row>
        <row r="1063">
          <cell r="D1063" t="str">
            <v>0200</v>
          </cell>
          <cell r="E1063" t="str">
            <v>Current A/c HO</v>
          </cell>
        </row>
        <row r="1064">
          <cell r="D1064" t="str">
            <v>0201</v>
          </cell>
          <cell r="E1064" t="str">
            <v>Current Account - Valerex</v>
          </cell>
        </row>
        <row r="1065">
          <cell r="D1065" t="str">
            <v>0203</v>
          </cell>
          <cell r="E1065" t="str">
            <v>HO - A/C - Plastic Contianer - Division - Chennai</v>
          </cell>
        </row>
        <row r="1066">
          <cell r="D1066" t="str">
            <v>0204</v>
          </cell>
          <cell r="E1066" t="str">
            <v>Bank A/c Plastic Container Division</v>
          </cell>
        </row>
        <row r="1067">
          <cell r="C1067">
            <v>14277</v>
          </cell>
          <cell r="D1067" t="str">
            <v>0206</v>
          </cell>
          <cell r="E1067" t="str">
            <v>HO - A/C PCD - DEHARDUN (GL)</v>
          </cell>
        </row>
        <row r="1068">
          <cell r="E1068" t="str">
            <v>Unrealised Profit/Loss on Transfer</v>
          </cell>
        </row>
        <row r="1069">
          <cell r="D1069" t="str">
            <v>0207</v>
          </cell>
          <cell r="E1069" t="str">
            <v>HO -  A/C PCD - DEHARDUN (BANK)</v>
          </cell>
        </row>
        <row r="1070">
          <cell r="D1070" t="str">
            <v>0608</v>
          </cell>
          <cell r="E1070" t="str">
            <v>Current A/c - (CBR - VLX)</v>
          </cell>
        </row>
        <row r="1073">
          <cell r="E1073" t="str">
            <v>SYSTEM (ERP) ACCOUNTS</v>
          </cell>
        </row>
        <row r="1074">
          <cell r="C1074">
            <v>12150</v>
          </cell>
          <cell r="E1074" t="str">
            <v>Raw Material Consumed (Bom)</v>
          </cell>
        </row>
        <row r="1075">
          <cell r="C1075">
            <v>12153</v>
          </cell>
          <cell r="E1075" t="str">
            <v>Consumption Raw Materials (Other Than Bom)</v>
          </cell>
        </row>
        <row r="1076">
          <cell r="C1076">
            <v>12155</v>
          </cell>
          <cell r="E1076" t="str">
            <v>Plating Chemicals Consumed (Other Than Bom)</v>
          </cell>
        </row>
        <row r="1077">
          <cell r="C1077">
            <v>12225</v>
          </cell>
          <cell r="E1077" t="str">
            <v>Packing Material Consumed</v>
          </cell>
        </row>
        <row r="1078">
          <cell r="C1078">
            <v>13102</v>
          </cell>
          <cell r="E1078" t="str">
            <v>Stock Valuation Diff A/C (Wip)</v>
          </cell>
        </row>
        <row r="1079">
          <cell r="C1079">
            <v>13111</v>
          </cell>
          <cell r="E1079" t="str">
            <v>Stores, Spare Parts, Consumables Consumed</v>
          </cell>
        </row>
        <row r="1082">
          <cell r="C1082">
            <v>14034</v>
          </cell>
          <cell r="E1082">
            <v>0</v>
          </cell>
        </row>
        <row r="1085">
          <cell r="C1085">
            <v>15027</v>
          </cell>
          <cell r="E1085" t="str">
            <v>Accumlated Depreciation Computers</v>
          </cell>
        </row>
        <row r="1086">
          <cell r="C1086">
            <v>15028</v>
          </cell>
          <cell r="E1086" t="str">
            <v>Accumlated Depreciation Furniture &amp; Fittings</v>
          </cell>
        </row>
        <row r="1087">
          <cell r="C1087">
            <v>15089</v>
          </cell>
          <cell r="E1087" t="str">
            <v>Goods-In-Transit (Fg)</v>
          </cell>
        </row>
        <row r="1088">
          <cell r="E1088" t="str">
            <v>Goods-In-Transit (Rm)</v>
          </cell>
        </row>
        <row r="1089">
          <cell r="C1089">
            <v>15091</v>
          </cell>
          <cell r="E1089" t="str">
            <v>Transfer Issue/Receipt A/C (Git) Rm</v>
          </cell>
        </row>
        <row r="1090">
          <cell r="C1090">
            <v>15092</v>
          </cell>
          <cell r="E1090" t="str">
            <v>Unrealised Profit/Loss On Transfer</v>
          </cell>
        </row>
        <row r="1091">
          <cell r="C1091">
            <v>15095</v>
          </cell>
          <cell r="E1091" t="str">
            <v>Transfer Issue/Receipt A/C (Git) Fg</v>
          </cell>
        </row>
        <row r="1092">
          <cell r="C1092">
            <v>15119</v>
          </cell>
          <cell r="E1092" t="str">
            <v>Packing Slip A/C (Matl Assign Yet To Despatch [Net 15615])</v>
          </cell>
        </row>
        <row r="1093">
          <cell r="C1093">
            <v>15123</v>
          </cell>
          <cell r="E1093" t="str">
            <v>Scrap Receipt</v>
          </cell>
        </row>
        <row r="1094">
          <cell r="C1094">
            <v>15124</v>
          </cell>
          <cell r="E1094" t="str">
            <v>Purchase, Packing Slip Prov For Pending Grn Wip)</v>
          </cell>
        </row>
        <row r="1095">
          <cell r="E1095" t="str">
            <v>Work In Process Stock (Bs)</v>
          </cell>
        </row>
        <row r="1096">
          <cell r="C1096">
            <v>15139</v>
          </cell>
          <cell r="E1096" t="str">
            <v>Branch Sales</v>
          </cell>
        </row>
        <row r="1097">
          <cell r="E1097" t="e">
            <v>#N/A</v>
          </cell>
        </row>
        <row r="1098">
          <cell r="C1098">
            <v>15184</v>
          </cell>
          <cell r="E1098" t="str">
            <v>Margin Money Account</v>
          </cell>
        </row>
        <row r="1099">
          <cell r="C1099">
            <v>15219</v>
          </cell>
          <cell r="E1099" t="str">
            <v>Aa Receivable A/C</v>
          </cell>
        </row>
        <row r="1100">
          <cell r="E1100" t="str">
            <v>Recoverable From Employees</v>
          </cell>
        </row>
        <row r="1101">
          <cell r="C1101">
            <v>15606</v>
          </cell>
          <cell r="E1101" t="str">
            <v>Import Duty Expence A/C</v>
          </cell>
        </row>
        <row r="1102">
          <cell r="C1102">
            <v>15609</v>
          </cell>
          <cell r="E1102" t="str">
            <v>Export Duty Payable A/C</v>
          </cell>
        </row>
        <row r="1103">
          <cell r="C1103">
            <v>15612</v>
          </cell>
          <cell r="E1103" t="str">
            <v>Tax Adjustment - Settlement (Sys)</v>
          </cell>
        </row>
        <row r="1104">
          <cell r="C1104">
            <v>15614</v>
          </cell>
          <cell r="E1104" t="str">
            <v>Issue A/C - Packing Material Stock (Bs)</v>
          </cell>
        </row>
        <row r="1105">
          <cell r="C1105">
            <v>15615</v>
          </cell>
          <cell r="E1105" t="str">
            <v>Packing Slip A/C Off Set (Matl Assign Yet To Des Net 15119)</v>
          </cell>
        </row>
        <row r="1106">
          <cell r="C1106">
            <v>15616</v>
          </cell>
          <cell r="E1106" t="str">
            <v>Production Issue Offset A/C Sales Order Issue (1)</v>
          </cell>
        </row>
        <row r="1107">
          <cell r="C1107">
            <v>15617</v>
          </cell>
          <cell r="E1107" t="str">
            <v>Production Picking Slip A/C (1)</v>
          </cell>
        </row>
        <row r="1108">
          <cell r="C1108">
            <v>15618</v>
          </cell>
          <cell r="E1108" t="str">
            <v>Production Picking Slip Offset A/C (1)</v>
          </cell>
        </row>
        <row r="1109">
          <cell r="E1109" t="str">
            <v>Opening Balance Off Set A/C</v>
          </cell>
        </row>
        <row r="1110">
          <cell r="C1110">
            <v>15631</v>
          </cell>
          <cell r="E1110" t="str">
            <v>Inventory Issue A/C (Internal) - Rm</v>
          </cell>
        </row>
        <row r="1111">
          <cell r="C1111">
            <v>15632</v>
          </cell>
          <cell r="E1111" t="str">
            <v>Issue A/C - Rm</v>
          </cell>
        </row>
        <row r="1112">
          <cell r="C1112">
            <v>15633</v>
          </cell>
          <cell r="E1112" t="str">
            <v>Inventory Issue A/C (Internal) - Rm (Steel/Hdpe)</v>
          </cell>
        </row>
        <row r="1113">
          <cell r="C1113">
            <v>15634</v>
          </cell>
          <cell r="E1113" t="str">
            <v>Issue A/C - Rm (Steel / Hdpe) - Bs</v>
          </cell>
        </row>
        <row r="1114">
          <cell r="C1114">
            <v>15635</v>
          </cell>
          <cell r="E1114" t="str">
            <v>Inventory Issue A/C (Internal) - Rm (Gasket Tube/ M B)</v>
          </cell>
        </row>
        <row r="1115">
          <cell r="C1115">
            <v>15636</v>
          </cell>
          <cell r="E1115" t="str">
            <v>Issue A/C - Rm (Gasket Tube / Master Batch) - Bs</v>
          </cell>
        </row>
        <row r="1116">
          <cell r="C1116">
            <v>15637</v>
          </cell>
          <cell r="E1116" t="str">
            <v>Inventory Issue A/C (Internal) - Rm (Tinplate / Co-Pp)</v>
          </cell>
        </row>
        <row r="1117">
          <cell r="C1117">
            <v>15638</v>
          </cell>
          <cell r="E1117" t="str">
            <v>Issue A/C - Rm (Tin Plate / Co-Pp) - Bs</v>
          </cell>
        </row>
        <row r="1118">
          <cell r="C1118">
            <v>15639</v>
          </cell>
          <cell r="E1118" t="str">
            <v>Inventory Issue A/C (Internal) - Rm (Inks)</v>
          </cell>
        </row>
        <row r="1119">
          <cell r="C1119">
            <v>15640</v>
          </cell>
          <cell r="E1119" t="str">
            <v>Isse A/C - Rm (Inks) - Bs</v>
          </cell>
        </row>
        <row r="1120">
          <cell r="C1120">
            <v>15641</v>
          </cell>
          <cell r="E1120" t="str">
            <v>Inventory Issue A/C (Internal) - Rm (Chemicals/Accessories)</v>
          </cell>
        </row>
        <row r="1121">
          <cell r="C1121">
            <v>15642</v>
          </cell>
          <cell r="E1121" t="str">
            <v>Issue A/C - Rm (Chemicals / Accessories) - Bs</v>
          </cell>
        </row>
        <row r="1122">
          <cell r="C1122">
            <v>15643</v>
          </cell>
          <cell r="E1122" t="str">
            <v>Inventory Issue A/C (Internal) - Rm (Others)</v>
          </cell>
        </row>
        <row r="1123">
          <cell r="C1123">
            <v>15644</v>
          </cell>
          <cell r="E1123" t="str">
            <v>Issue A/C - Rm (Others) - Bs</v>
          </cell>
        </row>
        <row r="1124">
          <cell r="C1124">
            <v>15645</v>
          </cell>
          <cell r="E1124" t="str">
            <v>Inventory Issue A/C (Internal) - Rm (Purchase+Process)</v>
          </cell>
        </row>
        <row r="1125">
          <cell r="C1125">
            <v>15646</v>
          </cell>
          <cell r="E1125" t="str">
            <v>Issue A/C - Rm (Puchase-Process) - Bs</v>
          </cell>
        </row>
        <row r="1126">
          <cell r="C1126">
            <v>15647</v>
          </cell>
          <cell r="E1126" t="str">
            <v>Inventory Issue A/C (Internal) - Fg/Wip/Scrap</v>
          </cell>
        </row>
        <row r="1129">
          <cell r="D1129" t="str">
            <v>Total of Assets</v>
          </cell>
        </row>
      </sheetData>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Joe"/>
      <sheetName val="Cover Page"/>
      <sheetName val="Key Indicators"/>
      <sheetName val="AR Bal"/>
      <sheetName val="AR Graphs"/>
      <sheetName val="ESBU Prod'y"/>
      <sheetName val="ESBU Mo Fcst"/>
      <sheetName val="ESBU YTD Fcst"/>
      <sheetName val="GRF Prod'y"/>
      <sheetName val="GRF Mo Fcst"/>
      <sheetName val="GRF YTD Fcst"/>
      <sheetName val="PUB Prod'y"/>
      <sheetName val="PUB Mo Fcst"/>
      <sheetName val="PUB YTD Fcst"/>
      <sheetName val="YRK Prod'y"/>
      <sheetName val="YRK Mo Fcst"/>
      <sheetName val="YRK YTD Fcst"/>
      <sheetName val="DEL Prod'y"/>
      <sheetName val="DEL Mo Fcst"/>
      <sheetName val="DEL YTD Fcst"/>
      <sheetName val="ELIM Mo Fcst"/>
      <sheetName val="ELIM YTD Fcst"/>
      <sheetName val="ESBU Dtl 1"/>
      <sheetName val="ESBU Dtl 2"/>
      <sheetName val="GRF Dtl 1"/>
      <sheetName val="GRF Dtl 2"/>
      <sheetName val="PUB Dtl 1"/>
      <sheetName val="PUB Dtl 2"/>
      <sheetName val="YRK Dtl 1"/>
      <sheetName val="YRK Dtl 2"/>
      <sheetName val="DEL Dtl 1"/>
      <sheetName val="DEL Dtl 2"/>
      <sheetName val="ELIM Dtl 1"/>
      <sheetName val="ELIM Dtl 2"/>
      <sheetName val="DSO"/>
      <sheetName val="Glossary"/>
    </sheetNames>
    <sheetDataSet>
      <sheetData sheetId="0"/>
      <sheetData sheetId="1"/>
      <sheetData sheetId="2"/>
      <sheetData sheetId="3"/>
      <sheetData sheetId="4" refreshError="1">
        <row r="2">
          <cell r="A2" t="str">
            <v>Accounts Receivables - By Age</v>
          </cell>
        </row>
        <row r="3">
          <cell r="A3" t="str">
            <v>For the 54 Months Ended 12/31/02</v>
          </cell>
        </row>
        <row r="5">
          <cell r="A5" t="str">
            <v>Total A/R Balances</v>
          </cell>
        </row>
        <row r="33">
          <cell r="A33" t="str">
            <v>Percentage of A/R Balances in Each Aging Category</v>
          </cell>
        </row>
        <row r="65">
          <cell r="A65" t="str">
            <v>The GTS Companies</v>
          </cell>
        </row>
        <row r="66">
          <cell r="A66" t="str">
            <v>Accounts Receivables - By Age</v>
          </cell>
        </row>
        <row r="67">
          <cell r="A67" t="str">
            <v>For the 54 Months Ended 12/31/02</v>
          </cell>
        </row>
        <row r="69">
          <cell r="A69" t="str">
            <v>A/R Balances &gt; 90 Days</v>
          </cell>
        </row>
        <row r="97">
          <cell r="A97" t="str">
            <v>&gt; 90 Day Balance as a Percentage of Total A/R Balance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th end (Daily rate)"/>
      <sheetName val="Monthly rate"/>
    </sheetNames>
    <sheetDataSet>
      <sheetData sheetId="0"/>
      <sheetData sheetId="1">
        <row r="1">
          <cell r="A1" t="str">
            <v xml:space="preserve">F11 EXCHANGE RATES </v>
          </cell>
        </row>
        <row r="2">
          <cell r="A2" t="str">
            <v>Title</v>
          </cell>
          <cell r="B2" t="str">
            <v>A$1=USD</v>
          </cell>
          <cell r="C2" t="str">
            <v>Trade-weighted Index May 1970 = 100</v>
          </cell>
          <cell r="D2" t="str">
            <v>A$1=CNY</v>
          </cell>
          <cell r="E2" t="str">
            <v>A$1=JPY</v>
          </cell>
          <cell r="F2" t="str">
            <v>A$1=EUR</v>
          </cell>
          <cell r="G2" t="str">
            <v>A$1=KRW</v>
          </cell>
          <cell r="H2" t="str">
            <v>A$1=GBP</v>
          </cell>
          <cell r="I2" t="str">
            <v>A$1=SGD</v>
          </cell>
          <cell r="J2" t="str">
            <v>A$1=INR</v>
          </cell>
          <cell r="K2" t="str">
            <v>A$1=THB</v>
          </cell>
          <cell r="L2" t="str">
            <v>A$1=NZD</v>
          </cell>
          <cell r="M2" t="str">
            <v>A$1=TWD</v>
          </cell>
          <cell r="N2" t="str">
            <v>A$1=MYR</v>
          </cell>
          <cell r="O2" t="str">
            <v>A$1=IDR</v>
          </cell>
          <cell r="P2" t="str">
            <v>A$1=VND</v>
          </cell>
          <cell r="Q2" t="str">
            <v>A$1=AED</v>
          </cell>
          <cell r="R2" t="str">
            <v>A$1=PGK</v>
          </cell>
          <cell r="S2" t="str">
            <v>A$1=HKD</v>
          </cell>
          <cell r="T2" t="str">
            <v>A$1=CAD</v>
          </cell>
          <cell r="U2" t="str">
            <v>A$1=ZAR</v>
          </cell>
          <cell r="V2" t="str">
            <v>A$1=SAR</v>
          </cell>
          <cell r="W2" t="str">
            <v>A$1=CHF</v>
          </cell>
          <cell r="X2" t="str">
            <v>A$1=SEK</v>
          </cell>
          <cell r="Y2" t="str">
            <v>A$1=PHP</v>
          </cell>
          <cell r="Z2" t="str">
            <v>A$1=SDR</v>
          </cell>
        </row>
        <row r="3">
          <cell r="A3" t="str">
            <v>Description</v>
          </cell>
          <cell r="B3" t="str">
            <v>AUD/USD Exchange Rate; see notes for further detail.</v>
          </cell>
          <cell r="C3" t="str">
            <v>Australian Dollar Trade-weighted Index</v>
          </cell>
          <cell r="D3" t="str">
            <v>AUD/CNY Exchange Rate</v>
          </cell>
          <cell r="E3" t="str">
            <v>AUD/JPY Exchange Rate</v>
          </cell>
          <cell r="F3" t="str">
            <v>AUD/EUR Exchange Rate</v>
          </cell>
          <cell r="G3" t="str">
            <v>AUD/KRW Exchange Rate</v>
          </cell>
          <cell r="H3" t="str">
            <v>AUD/GBP Exchange Rate</v>
          </cell>
          <cell r="I3" t="str">
            <v>AUD/SGD Exchange Rate</v>
          </cell>
          <cell r="J3" t="str">
            <v>AUD/INR Exchange Rate</v>
          </cell>
          <cell r="K3" t="str">
            <v>AUD/THB Exchange Rate</v>
          </cell>
          <cell r="L3" t="str">
            <v>AUD/NZD Exchange Rate</v>
          </cell>
          <cell r="M3" t="str">
            <v>AUD/TWD Exchange Rate</v>
          </cell>
          <cell r="N3" t="str">
            <v>AUD/MYR Exchange Rate</v>
          </cell>
          <cell r="O3" t="str">
            <v>AUD/IDR Exchange Rate</v>
          </cell>
          <cell r="P3" t="str">
            <v>AUD/VND Exchange Rate</v>
          </cell>
          <cell r="Q3" t="str">
            <v>AUD/AED Exchange Rate</v>
          </cell>
          <cell r="R3" t="str">
            <v>AUD/PGK Exchange Rate</v>
          </cell>
          <cell r="S3" t="str">
            <v>AUD/HKD Exchange Rate</v>
          </cell>
          <cell r="T3" t="str">
            <v>AUD/CAD Exchange Rate</v>
          </cell>
          <cell r="U3" t="str">
            <v>AUD/ZAR Exchange Rate</v>
          </cell>
          <cell r="V3" t="str">
            <v>AUD/SAR Exchange Rate</v>
          </cell>
          <cell r="W3" t="str">
            <v>AUD/CHF Exchange Rate</v>
          </cell>
          <cell r="X3" t="str">
            <v>AUD/SEK Exchange Rate</v>
          </cell>
          <cell r="Y3" t="str">
            <v>AUD/PHP Exchange Rate</v>
          </cell>
          <cell r="Z3" t="str">
            <v>AUD/SDR Exchange Rate</v>
          </cell>
        </row>
        <row r="4">
          <cell r="A4" t="str">
            <v>Frequency</v>
          </cell>
          <cell r="B4" t="str">
            <v>Monthly</v>
          </cell>
          <cell r="C4" t="str">
            <v>Monthly</v>
          </cell>
          <cell r="D4" t="str">
            <v>Monthly</v>
          </cell>
          <cell r="E4" t="str">
            <v>Monthly</v>
          </cell>
          <cell r="F4" t="str">
            <v>Monthly</v>
          </cell>
          <cell r="G4" t="str">
            <v>Monthly</v>
          </cell>
          <cell r="H4" t="str">
            <v>Monthly</v>
          </cell>
          <cell r="I4" t="str">
            <v>Monthly</v>
          </cell>
          <cell r="J4" t="str">
            <v>Monthly</v>
          </cell>
          <cell r="K4" t="str">
            <v>Monthly</v>
          </cell>
          <cell r="L4" t="str">
            <v>Monthly</v>
          </cell>
          <cell r="M4" t="str">
            <v>Monthly</v>
          </cell>
          <cell r="N4" t="str">
            <v>Monthly</v>
          </cell>
          <cell r="O4" t="str">
            <v>Monthly</v>
          </cell>
          <cell r="P4" t="str">
            <v>Monthly</v>
          </cell>
          <cell r="Q4" t="str">
            <v>Monthly</v>
          </cell>
          <cell r="R4" t="str">
            <v>Monthly</v>
          </cell>
          <cell r="S4" t="str">
            <v>Monthly</v>
          </cell>
          <cell r="T4" t="str">
            <v>Monthly</v>
          </cell>
          <cell r="U4" t="str">
            <v>Monthly</v>
          </cell>
          <cell r="V4" t="str">
            <v>Monthly</v>
          </cell>
          <cell r="W4" t="str">
            <v>Monthly</v>
          </cell>
          <cell r="X4" t="str">
            <v>Monthly</v>
          </cell>
          <cell r="Y4" t="str">
            <v>Monthly</v>
          </cell>
          <cell r="Z4" t="str">
            <v>Monthly</v>
          </cell>
        </row>
        <row r="5">
          <cell r="A5" t="str">
            <v>Type</v>
          </cell>
          <cell r="B5" t="str">
            <v>Indicative</v>
          </cell>
          <cell r="C5" t="str">
            <v>Indicative</v>
          </cell>
          <cell r="D5" t="str">
            <v>Indicative</v>
          </cell>
          <cell r="E5" t="str">
            <v>Indicative</v>
          </cell>
          <cell r="F5" t="str">
            <v>Indicative</v>
          </cell>
          <cell r="G5" t="str">
            <v>Indicative</v>
          </cell>
          <cell r="H5" t="str">
            <v>Indicative</v>
          </cell>
          <cell r="I5" t="str">
            <v>Indicative</v>
          </cell>
          <cell r="J5" t="str">
            <v>Indicative</v>
          </cell>
          <cell r="K5" t="str">
            <v>Indicative</v>
          </cell>
          <cell r="L5" t="str">
            <v>Indicative</v>
          </cell>
          <cell r="M5" t="str">
            <v>Indicative</v>
          </cell>
          <cell r="N5" t="str">
            <v>Indicative</v>
          </cell>
          <cell r="O5" t="str">
            <v>Indicative</v>
          </cell>
          <cell r="P5" t="str">
            <v>Indicative</v>
          </cell>
          <cell r="Q5" t="str">
            <v>Indicative</v>
          </cell>
          <cell r="R5" t="str">
            <v>Indicative</v>
          </cell>
          <cell r="S5" t="str">
            <v>Indicative</v>
          </cell>
          <cell r="T5" t="str">
            <v>Indicative</v>
          </cell>
          <cell r="U5" t="str">
            <v>Indicative</v>
          </cell>
          <cell r="V5" t="str">
            <v>Indicative</v>
          </cell>
          <cell r="W5" t="str">
            <v>Indicative</v>
          </cell>
          <cell r="X5" t="str">
            <v>Indicative</v>
          </cell>
          <cell r="Y5" t="str">
            <v>Indicative</v>
          </cell>
          <cell r="Z5" t="str">
            <v>Indicative</v>
          </cell>
        </row>
        <row r="6">
          <cell r="A6" t="str">
            <v>Units</v>
          </cell>
          <cell r="B6" t="str">
            <v>USD</v>
          </cell>
          <cell r="C6" t="str">
            <v>Index</v>
          </cell>
          <cell r="D6" t="str">
            <v>CNY</v>
          </cell>
          <cell r="E6" t="str">
            <v>JPY</v>
          </cell>
          <cell r="F6" t="str">
            <v>EUR</v>
          </cell>
          <cell r="G6" t="str">
            <v>KRW</v>
          </cell>
          <cell r="H6" t="str">
            <v>GBP</v>
          </cell>
          <cell r="I6" t="str">
            <v>SGD</v>
          </cell>
          <cell r="J6" t="str">
            <v>INR</v>
          </cell>
          <cell r="K6" t="str">
            <v>THB</v>
          </cell>
          <cell r="L6" t="str">
            <v>NZD</v>
          </cell>
          <cell r="M6" t="str">
            <v>TWD</v>
          </cell>
          <cell r="N6" t="str">
            <v>MYR</v>
          </cell>
          <cell r="O6" t="str">
            <v>IDR</v>
          </cell>
          <cell r="P6" t="str">
            <v>VND</v>
          </cell>
          <cell r="Q6" t="str">
            <v>AED</v>
          </cell>
          <cell r="R6" t="str">
            <v>PGK</v>
          </cell>
          <cell r="S6" t="str">
            <v>HKD</v>
          </cell>
          <cell r="T6" t="str">
            <v>CAD</v>
          </cell>
          <cell r="U6" t="str">
            <v>ZAR</v>
          </cell>
          <cell r="V6" t="str">
            <v>SAR</v>
          </cell>
          <cell r="W6" t="str">
            <v>CHF</v>
          </cell>
          <cell r="X6" t="str">
            <v>SEK</v>
          </cell>
          <cell r="Y6" t="str">
            <v>PHP</v>
          </cell>
          <cell r="Z6" t="str">
            <v>SDR</v>
          </cell>
        </row>
        <row r="9">
          <cell r="A9" t="str">
            <v>Source</v>
          </cell>
          <cell r="B9" t="str">
            <v>WM/Reuters</v>
          </cell>
          <cell r="C9" t="str">
            <v>RBA</v>
          </cell>
          <cell r="D9" t="str">
            <v>RBA</v>
          </cell>
          <cell r="E9" t="str">
            <v>RBA</v>
          </cell>
          <cell r="F9" t="str">
            <v>RBA</v>
          </cell>
          <cell r="G9" t="str">
            <v>RBA</v>
          </cell>
          <cell r="H9" t="str">
            <v>RBA</v>
          </cell>
          <cell r="I9" t="str">
            <v>RBA</v>
          </cell>
          <cell r="J9" t="str">
            <v>RBA</v>
          </cell>
          <cell r="K9" t="str">
            <v>RBA</v>
          </cell>
          <cell r="L9" t="str">
            <v>RBA</v>
          </cell>
          <cell r="M9" t="str">
            <v>RBA</v>
          </cell>
          <cell r="N9" t="str">
            <v>RBA</v>
          </cell>
          <cell r="O9" t="str">
            <v>RBA</v>
          </cell>
          <cell r="P9" t="str">
            <v>RBA</v>
          </cell>
          <cell r="Q9" t="str">
            <v>RBA</v>
          </cell>
          <cell r="R9" t="str">
            <v>RBA</v>
          </cell>
          <cell r="S9" t="str">
            <v>RBA</v>
          </cell>
          <cell r="T9" t="str">
            <v>RBA</v>
          </cell>
          <cell r="U9" t="str">
            <v>RBA</v>
          </cell>
          <cell r="V9" t="str">
            <v>RBA</v>
          </cell>
          <cell r="W9" t="str">
            <v>RBA</v>
          </cell>
          <cell r="X9" t="str">
            <v>RBA</v>
          </cell>
          <cell r="Y9" t="str">
            <v>RBA</v>
          </cell>
          <cell r="Z9" t="str">
            <v>IMF</v>
          </cell>
        </row>
        <row r="10">
          <cell r="A10" t="str">
            <v>Publication date</v>
          </cell>
          <cell r="B10">
            <v>41789</v>
          </cell>
          <cell r="C10">
            <v>41789</v>
          </cell>
          <cell r="D10">
            <v>41789</v>
          </cell>
          <cell r="E10">
            <v>41789</v>
          </cell>
          <cell r="F10">
            <v>41789</v>
          </cell>
          <cell r="G10">
            <v>41789</v>
          </cell>
          <cell r="H10">
            <v>41789</v>
          </cell>
          <cell r="I10">
            <v>41789</v>
          </cell>
          <cell r="J10">
            <v>41789</v>
          </cell>
          <cell r="K10">
            <v>41789</v>
          </cell>
          <cell r="L10">
            <v>41789</v>
          </cell>
          <cell r="M10">
            <v>41789</v>
          </cell>
          <cell r="N10">
            <v>41789</v>
          </cell>
          <cell r="O10">
            <v>41789</v>
          </cell>
          <cell r="P10">
            <v>41789</v>
          </cell>
          <cell r="Q10">
            <v>41789</v>
          </cell>
          <cell r="R10">
            <v>41789</v>
          </cell>
          <cell r="S10">
            <v>41789</v>
          </cell>
          <cell r="T10">
            <v>41789</v>
          </cell>
          <cell r="U10">
            <v>41789</v>
          </cell>
          <cell r="V10">
            <v>41789</v>
          </cell>
          <cell r="W10">
            <v>41789</v>
          </cell>
          <cell r="X10">
            <v>41789</v>
          </cell>
          <cell r="Y10">
            <v>41789</v>
          </cell>
          <cell r="Z10">
            <v>41789</v>
          </cell>
        </row>
        <row r="11">
          <cell r="A11" t="str">
            <v>Series ID</v>
          </cell>
        </row>
        <row r="12">
          <cell r="A12">
            <v>40207</v>
          </cell>
        </row>
        <row r="13">
          <cell r="A13">
            <v>40235</v>
          </cell>
        </row>
        <row r="14">
          <cell r="A14">
            <v>40268</v>
          </cell>
        </row>
        <row r="15">
          <cell r="A15">
            <v>40298</v>
          </cell>
        </row>
        <row r="16">
          <cell r="A16">
            <v>40329</v>
          </cell>
        </row>
        <row r="17">
          <cell r="A17">
            <v>40359</v>
          </cell>
        </row>
        <row r="18">
          <cell r="A18">
            <v>40389</v>
          </cell>
        </row>
        <row r="19">
          <cell r="A19">
            <v>40421</v>
          </cell>
        </row>
        <row r="20">
          <cell r="A20">
            <v>40451</v>
          </cell>
        </row>
        <row r="21">
          <cell r="A21">
            <v>40480</v>
          </cell>
        </row>
        <row r="22">
          <cell r="A22">
            <v>40512</v>
          </cell>
        </row>
        <row r="23">
          <cell r="A23">
            <v>40543</v>
          </cell>
        </row>
        <row r="24">
          <cell r="A24">
            <v>40574</v>
          </cell>
        </row>
        <row r="25">
          <cell r="A25">
            <v>40602</v>
          </cell>
        </row>
        <row r="26">
          <cell r="A26">
            <v>40633</v>
          </cell>
        </row>
        <row r="27">
          <cell r="A27">
            <v>40662</v>
          </cell>
        </row>
        <row r="28">
          <cell r="A28">
            <v>40694</v>
          </cell>
        </row>
        <row r="29">
          <cell r="A29">
            <v>40724</v>
          </cell>
        </row>
        <row r="30">
          <cell r="A30">
            <v>40753</v>
          </cell>
        </row>
        <row r="31">
          <cell r="A31">
            <v>40786</v>
          </cell>
        </row>
        <row r="32">
          <cell r="A32">
            <v>40816</v>
          </cell>
        </row>
        <row r="33">
          <cell r="A33">
            <v>40847</v>
          </cell>
        </row>
        <row r="34">
          <cell r="A34">
            <v>40877</v>
          </cell>
        </row>
        <row r="35">
          <cell r="A35">
            <v>40907</v>
          </cell>
        </row>
        <row r="36">
          <cell r="A36">
            <v>40939</v>
          </cell>
        </row>
        <row r="37">
          <cell r="A37">
            <v>40968</v>
          </cell>
        </row>
        <row r="38">
          <cell r="A38">
            <v>40998</v>
          </cell>
        </row>
        <row r="39">
          <cell r="A39">
            <v>41029</v>
          </cell>
        </row>
        <row r="40">
          <cell r="A40">
            <v>41060</v>
          </cell>
        </row>
        <row r="41">
          <cell r="A41">
            <v>41089</v>
          </cell>
        </row>
        <row r="42">
          <cell r="A42">
            <v>41121</v>
          </cell>
        </row>
        <row r="43">
          <cell r="A43">
            <v>41152</v>
          </cell>
        </row>
        <row r="44">
          <cell r="A44">
            <v>41180</v>
          </cell>
        </row>
        <row r="45">
          <cell r="A45">
            <v>41213</v>
          </cell>
        </row>
        <row r="46">
          <cell r="A46">
            <v>41243</v>
          </cell>
        </row>
        <row r="47">
          <cell r="A47">
            <v>41274</v>
          </cell>
        </row>
        <row r="48">
          <cell r="A48">
            <v>41305</v>
          </cell>
        </row>
        <row r="49">
          <cell r="A49">
            <v>41333</v>
          </cell>
        </row>
        <row r="50">
          <cell r="A50">
            <v>41362</v>
          </cell>
        </row>
        <row r="51">
          <cell r="A51">
            <v>41394</v>
          </cell>
        </row>
        <row r="52">
          <cell r="A52">
            <v>41425</v>
          </cell>
        </row>
        <row r="53">
          <cell r="A53">
            <v>41453</v>
          </cell>
        </row>
        <row r="54">
          <cell r="A54">
            <v>41486</v>
          </cell>
        </row>
        <row r="55">
          <cell r="A55">
            <v>41516</v>
          </cell>
        </row>
        <row r="56">
          <cell r="A56">
            <v>41547</v>
          </cell>
        </row>
        <row r="57">
          <cell r="A57">
            <v>41578</v>
          </cell>
        </row>
        <row r="58">
          <cell r="A58">
            <v>41607</v>
          </cell>
        </row>
        <row r="59">
          <cell r="A59">
            <v>41639</v>
          </cell>
        </row>
        <row r="60">
          <cell r="A60">
            <v>41670</v>
          </cell>
        </row>
        <row r="61">
          <cell r="A61">
            <v>41698</v>
          </cell>
        </row>
        <row r="62">
          <cell r="A62">
            <v>41729</v>
          </cell>
        </row>
        <row r="63">
          <cell r="A63">
            <v>41759</v>
          </cell>
        </row>
        <row r="64">
          <cell r="A64">
            <v>41789</v>
          </cell>
        </row>
        <row r="65">
          <cell r="A65">
            <v>41820</v>
          </cell>
        </row>
        <row r="66">
          <cell r="A66">
            <v>41851</v>
          </cell>
        </row>
        <row r="67">
          <cell r="A67">
            <v>41880</v>
          </cell>
        </row>
        <row r="68">
          <cell r="A68">
            <v>41912</v>
          </cell>
        </row>
        <row r="69">
          <cell r="A69">
            <v>41943</v>
          </cell>
        </row>
        <row r="70">
          <cell r="A70">
            <v>41971</v>
          </cell>
        </row>
        <row r="71">
          <cell r="A71">
            <v>42004</v>
          </cell>
        </row>
        <row r="72">
          <cell r="A72">
            <v>42034</v>
          </cell>
        </row>
        <row r="73">
          <cell r="A73">
            <v>42062</v>
          </cell>
        </row>
        <row r="74">
          <cell r="A74">
            <v>42094</v>
          </cell>
        </row>
        <row r="75">
          <cell r="A75">
            <v>42124</v>
          </cell>
        </row>
        <row r="76">
          <cell r="A76">
            <v>42153</v>
          </cell>
        </row>
        <row r="77">
          <cell r="A77">
            <v>42185</v>
          </cell>
        </row>
      </sheetData>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 Liab."/>
      <sheetName val="Subcont. Liab."/>
      <sheetName val="Mat. Liab."/>
      <sheetName val="Cl.Stock"/>
      <sheetName val="Site Stock"/>
      <sheetName val="Cl.WIP"/>
      <sheetName val="Adv. Rnt."/>
      <sheetName val="Deposit"/>
      <sheetName val="Fuel Consumption"/>
      <sheetName val="BG"/>
      <sheetName val="BG (2)"/>
      <sheetName val="Telephone"/>
      <sheetName val="Wages"/>
      <sheetName val="CAR"/>
      <sheetName val="Prel.Mat."/>
      <sheetName val="OT"/>
      <sheetName val="Encl.12"/>
      <sheetName val="TB P1"/>
      <sheetName val="ENCL12-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OW"/>
      <sheetName val="OPS_asia"/>
      <sheetName val="Production"/>
      <sheetName val="PRICE"/>
      <sheetName val="Data"/>
      <sheetName val="OPS_SIMPLIFIE"/>
      <sheetName val="CESSION"/>
      <sheetName val="ORDER"/>
      <sheetName val="income"/>
      <sheetName val="AP RA99-06"/>
      <sheetName val="HV RA99-06"/>
      <sheetName val="IN RA99-06"/>
      <sheetName val="CH RA99-06"/>
      <sheetName val="TH RA99-06"/>
      <sheetName val="HZ RA99-06"/>
      <sheetName val="Params"/>
      <sheetName val="Masters"/>
      <sheetName val="Rates"/>
      <sheetName val="TB"/>
      <sheetName val="Total MG "/>
      <sheetName val="Schedule"/>
      <sheetName val="IOPlan"/>
      <sheetName val="Consol"/>
      <sheetName val="MAPPINGS"/>
      <sheetName val="Op Plan Sales"/>
      <sheetName val="Lists"/>
      <sheetName val="IT Only"/>
      <sheetName val="Sheet1"/>
      <sheetName val="AP_RA99-06"/>
      <sheetName val="HV_RA99-06"/>
      <sheetName val="IN_RA99-06"/>
      <sheetName val="CH_RA99-06"/>
      <sheetName val="TH_RA99-06"/>
      <sheetName val="HZ_RA99-06"/>
      <sheetName val="Op_Plan_Sales"/>
      <sheetName val="Rollup_Summary"/>
      <sheetName val="Trial Balance"/>
      <sheetName val="Other notes"/>
      <sheetName val="Sales &amp; Marketing Dashboard"/>
      <sheetName val="LIC"/>
      <sheetName val="PropertyList"/>
      <sheetName val="IT-accruals"/>
      <sheetName val="TPM Tot"/>
      <sheetName val="StdMarginRegQtr"/>
      <sheetName val="Sept '99"/>
      <sheetName val="AP_RA99-061"/>
      <sheetName val="HV_RA99-061"/>
      <sheetName val="IN_RA99-061"/>
      <sheetName val="CH_RA99-061"/>
      <sheetName val="TH_RA99-061"/>
      <sheetName val="HZ_RA99-061"/>
      <sheetName val="Total_MG_"/>
      <sheetName val="Op_Plan_Sales1"/>
      <sheetName val="IT_Only"/>
      <sheetName val="RES"/>
      <sheetName val="FBT Full"/>
      <sheetName val="M B-QtyRecn"/>
      <sheetName val="M_B-QtyRecn"/>
      <sheetName val="Push Diag on Premise"/>
      <sheetName val="CChannel Attract Input"/>
      <sheetName val="FStratPlan"/>
      <sheetName val="Rate_dec02"/>
      <sheetName val="Price Testing - Used - 1"/>
      <sheetName val="consolidated Budget"/>
      <sheetName val="Price_Testing_-_Used_-_11"/>
      <sheetName val="Price_Testing_-_Used_-_1"/>
      <sheetName val="COA-IPCL"/>
      <sheetName val="Chart of Accounts"/>
      <sheetName val="India"/>
      <sheetName val="Grouping TB"/>
      <sheetName val="working"/>
      <sheetName val="Comp"/>
      <sheetName val="Risco-Accts"/>
      <sheetName val="Control"/>
      <sheetName val="Payroll_Statement"/>
      <sheetName val="List"/>
      <sheetName val="Input schedule"/>
      <sheetName val="Trial_Balance"/>
      <sheetName val="Sales_&amp;_Marketing_Dashboard"/>
      <sheetName val="Input_schedule"/>
      <sheetName val="TPM_Tot"/>
      <sheetName val="Sept_'99"/>
      <sheetName val="2003"/>
      <sheetName val="BAL96-97"/>
      <sheetName val=""/>
      <sheetName val="Cover"/>
      <sheetName val="d"/>
      <sheetName val="5Y_v2.14"/>
      <sheetName val="Other"/>
      <sheetName val="Summary"/>
      <sheetName val="MAIN"/>
      <sheetName val="未着品BALANCE"/>
      <sheetName val="Annexure"/>
      <sheetName val="POFG"/>
      <sheetName val="Cash Flow.7"/>
      <sheetName val="Opening Balance"/>
      <sheetName val="Jodalli-P&amp;L"/>
      <sheetName val="Graphdata"/>
      <sheetName val="BS"/>
      <sheetName val="Assum"/>
      <sheetName val="VARFCST"/>
      <sheetName val="New form 3CD A"/>
      <sheetName val="CRITERIA1"/>
      <sheetName val="AP_RA99-062"/>
      <sheetName val="HV_RA99-062"/>
      <sheetName val="IN_RA99-062"/>
      <sheetName val="CH_RA99-062"/>
      <sheetName val="TH_RA99-062"/>
      <sheetName val="HZ_RA99-062"/>
      <sheetName val="Total_MG_1"/>
      <sheetName val="Op_Plan_Sales2"/>
      <sheetName val="IT_Only1"/>
      <sheetName val="Main-Material"/>
      <sheetName val="3 Yr Revenue Analysis(old)"/>
      <sheetName val="Macro1"/>
      <sheetName val="IS"/>
      <sheetName val="May 09"/>
      <sheetName val="Consolidated"/>
      <sheetName val="FINAL SHEET"/>
      <sheetName val="Other_notes"/>
      <sheetName val="M_B-QtyRecn1"/>
      <sheetName val="FBT_Full"/>
      <sheetName val="Chart_of_Accounts"/>
      <sheetName val="consolidated_Budget"/>
      <sheetName val="Other_notes1"/>
      <sheetName val="M_B-QtyRecn2"/>
      <sheetName val="Sales_&amp;_Marketing_Dashboard1"/>
      <sheetName val="Trial_Balance1"/>
      <sheetName val="Input_schedule1"/>
      <sheetName val="TPM_Tot1"/>
      <sheetName val="Sept_'991"/>
      <sheetName val="FBT_Full1"/>
      <sheetName val="Chart_of_Accounts1"/>
      <sheetName val="consolidated_Budget1"/>
      <sheetName val="AP_RA99-063"/>
      <sheetName val="HV_RA99-063"/>
      <sheetName val="IN_RA99-063"/>
      <sheetName val="CH_RA99-063"/>
      <sheetName val="TH_RA99-063"/>
      <sheetName val="HZ_RA99-063"/>
      <sheetName val="Op_Plan_Sales3"/>
      <sheetName val="Other_notes2"/>
      <sheetName val="M_B-QtyRecn3"/>
      <sheetName val="IT_Only2"/>
      <sheetName val="Sales_&amp;_Marketing_Dashboard2"/>
      <sheetName val="Total_MG_2"/>
      <sheetName val="Trial_Balance2"/>
      <sheetName val="Input_schedule2"/>
      <sheetName val="TPM_Tot2"/>
      <sheetName val="Sept_'992"/>
      <sheetName val="FBT_Full2"/>
      <sheetName val="Chart_of_Accounts2"/>
      <sheetName val="consolidated_Budget2"/>
      <sheetName val="AP_RA99-064"/>
      <sheetName val="HV_RA99-064"/>
      <sheetName val="IN_RA99-064"/>
      <sheetName val="CH_RA99-064"/>
      <sheetName val="TH_RA99-064"/>
      <sheetName val="HZ_RA99-064"/>
      <sheetName val="Op_Plan_Sales4"/>
      <sheetName val="Other_notes3"/>
      <sheetName val="M_B-QtyRecn4"/>
      <sheetName val="IT_Only3"/>
      <sheetName val="Sales_&amp;_Marketing_Dashboard3"/>
      <sheetName val="Total_MG_3"/>
      <sheetName val="Trial_Balance3"/>
      <sheetName val="Input_schedule3"/>
      <sheetName val="TPM_Tot3"/>
      <sheetName val="Sept_'993"/>
      <sheetName val="FBT_Full3"/>
      <sheetName val="Chart_of_Accounts3"/>
      <sheetName val="consolidated_Budget3"/>
      <sheetName val="5Y_v2_14"/>
      <sheetName val="Price_Testing_-_Used_-_12"/>
      <sheetName val="Push_Diag_on_Premise"/>
      <sheetName val="CChannel_Attract_Input"/>
      <sheetName val="Cash_Flow_7"/>
      <sheetName val="Opening_Balance"/>
      <sheetName val="AP_RA99-065"/>
      <sheetName val="HV_RA99-065"/>
      <sheetName val="IN_RA99-065"/>
      <sheetName val="CH_RA99-065"/>
      <sheetName val="TH_RA99-065"/>
      <sheetName val="HZ_RA99-065"/>
      <sheetName val="Op_Plan_Sales5"/>
      <sheetName val="Other_notes4"/>
      <sheetName val="M_B-QtyRecn5"/>
      <sheetName val="IT_Only4"/>
      <sheetName val="Sales_&amp;_Marketing_Dashboard4"/>
      <sheetName val="Total_MG_4"/>
      <sheetName val="Trial_Balance4"/>
      <sheetName val="Input_schedule4"/>
      <sheetName val="TPM_Tot4"/>
      <sheetName val="Sept_'994"/>
      <sheetName val="FBT_Full4"/>
      <sheetName val="Chart_of_Accounts4"/>
      <sheetName val="consolidated_Budget4"/>
      <sheetName val="5Y_v2_141"/>
      <sheetName val="Price_Testing_-_Used_-_13"/>
      <sheetName val="Push_Diag_on_Premise1"/>
      <sheetName val="CChannel_Attract_Input1"/>
      <sheetName val="Cash_Flow_71"/>
      <sheetName val="Opening_Balance1"/>
      <sheetName val="AP_RA99-067"/>
      <sheetName val="HV_RA99-067"/>
      <sheetName val="IN_RA99-067"/>
      <sheetName val="CH_RA99-067"/>
      <sheetName val="TH_RA99-067"/>
      <sheetName val="HZ_RA99-067"/>
      <sheetName val="Op_Plan_Sales7"/>
      <sheetName val="Other_notes6"/>
      <sheetName val="M_B-QtyRecn7"/>
      <sheetName val="IT_Only6"/>
      <sheetName val="Sales_&amp;_Marketing_Dashboard6"/>
      <sheetName val="Total_MG_6"/>
      <sheetName val="Trial_Balance6"/>
      <sheetName val="Input_schedule6"/>
      <sheetName val="TPM_Tot6"/>
      <sheetName val="Sept_'996"/>
      <sheetName val="FBT_Full6"/>
      <sheetName val="Chart_of_Accounts6"/>
      <sheetName val="consolidated_Budget6"/>
      <sheetName val="5Y_v2_143"/>
      <sheetName val="Price_Testing_-_Used_-_15"/>
      <sheetName val="Push_Diag_on_Premise3"/>
      <sheetName val="CChannel_Attract_Input3"/>
      <sheetName val="Cash_Flow_73"/>
      <sheetName val="Opening_Balance3"/>
      <sheetName val="AP_RA99-066"/>
      <sheetName val="HV_RA99-066"/>
      <sheetName val="IN_RA99-066"/>
      <sheetName val="CH_RA99-066"/>
      <sheetName val="TH_RA99-066"/>
      <sheetName val="HZ_RA99-066"/>
      <sheetName val="Op_Plan_Sales6"/>
      <sheetName val="Other_notes5"/>
      <sheetName val="M_B-QtyRecn6"/>
      <sheetName val="IT_Only5"/>
      <sheetName val="Sales_&amp;_Marketing_Dashboard5"/>
      <sheetName val="Total_MG_5"/>
      <sheetName val="Trial_Balance5"/>
      <sheetName val="Input_schedule5"/>
      <sheetName val="TPM_Tot5"/>
      <sheetName val="Sept_'995"/>
      <sheetName val="FBT_Full5"/>
      <sheetName val="Chart_of_Accounts5"/>
      <sheetName val="consolidated_Budget5"/>
      <sheetName val="5Y_v2_142"/>
      <sheetName val="Price_Testing_-_Used_-_14"/>
      <sheetName val="Push_Diag_on_Premise2"/>
      <sheetName val="CChannel_Attract_Input2"/>
      <sheetName val="Cash_Flow_72"/>
      <sheetName val="Opening_Balance2"/>
      <sheetName val="AP_RA99-068"/>
      <sheetName val="HV_RA99-068"/>
      <sheetName val="IN_RA99-068"/>
      <sheetName val="CH_RA99-068"/>
      <sheetName val="TH_RA99-068"/>
      <sheetName val="HZ_RA99-068"/>
      <sheetName val="Op_Plan_Sales8"/>
      <sheetName val="Other_notes7"/>
      <sheetName val="M_B-QtyRecn8"/>
      <sheetName val="IT_Only7"/>
      <sheetName val="Sales_&amp;_Marketing_Dashboard7"/>
      <sheetName val="Total_MG_7"/>
      <sheetName val="Trial_Balance7"/>
      <sheetName val="Input_schedule7"/>
      <sheetName val="TPM_Tot7"/>
      <sheetName val="Sept_'997"/>
      <sheetName val="FBT_Full7"/>
      <sheetName val="Chart_of_Accounts7"/>
      <sheetName val="consolidated_Budget7"/>
      <sheetName val="5Y_v2_144"/>
      <sheetName val="Price_Testing_-_Used_-_16"/>
      <sheetName val="Push_Diag_on_Premise4"/>
      <sheetName val="CChannel_Attract_Input4"/>
      <sheetName val="Cash_Flow_74"/>
      <sheetName val="Opening_Balance4"/>
      <sheetName val="AP_RA99-069"/>
      <sheetName val="HV_RA99-069"/>
      <sheetName val="IN_RA99-069"/>
      <sheetName val="CH_RA99-069"/>
      <sheetName val="TH_RA99-069"/>
      <sheetName val="HZ_RA99-069"/>
      <sheetName val="Op_Plan_Sales9"/>
      <sheetName val="Other_notes8"/>
      <sheetName val="M_B-QtyRecn9"/>
      <sheetName val="IT_Only8"/>
      <sheetName val="Sales_&amp;_Marketing_Dashboard8"/>
      <sheetName val="Total_MG_8"/>
      <sheetName val="Trial_Balance8"/>
      <sheetName val="Input_schedule8"/>
      <sheetName val="TPM_Tot8"/>
      <sheetName val="Sept_'998"/>
      <sheetName val="FBT_Full8"/>
      <sheetName val="Chart_of_Accounts8"/>
      <sheetName val="consolidated_Budget8"/>
      <sheetName val="5Y_v2_145"/>
      <sheetName val="Price_Testing_-_Used_-_17"/>
      <sheetName val="Push_Diag_on_Premise5"/>
      <sheetName val="CChannel_Attract_Input5"/>
      <sheetName val="Cash_Flow_75"/>
      <sheetName val="Opening_Balance5"/>
      <sheetName val="AP_RA99-0610"/>
      <sheetName val="HV_RA99-0610"/>
      <sheetName val="IN_RA99-0610"/>
      <sheetName val="CH_RA99-0610"/>
      <sheetName val="TH_RA99-0610"/>
      <sheetName val="HZ_RA99-0610"/>
      <sheetName val="Op_Plan_Sales10"/>
      <sheetName val="Other_notes9"/>
      <sheetName val="M_B-QtyRecn10"/>
      <sheetName val="IT_Only9"/>
      <sheetName val="Sales_&amp;_Marketing_Dashboard9"/>
      <sheetName val="Total_MG_9"/>
      <sheetName val="Trial_Balance9"/>
      <sheetName val="Input_schedule9"/>
      <sheetName val="TPM_Tot9"/>
      <sheetName val="Sept_'999"/>
      <sheetName val="FBT_Full9"/>
      <sheetName val="Chart_of_Accounts9"/>
      <sheetName val="consolidated_Budget9"/>
      <sheetName val="5Y_v2_146"/>
      <sheetName val="Price_Testing_-_Used_-_18"/>
      <sheetName val="Push_Diag_on_Premise6"/>
      <sheetName val="CChannel_Attract_Input6"/>
      <sheetName val="Cash_Flow_76"/>
      <sheetName val="Opening_Balance6"/>
      <sheetName val="データシート"/>
      <sheetName val="Categ"/>
      <sheetName val="Amortization Table"/>
      <sheetName val="Rev"/>
      <sheetName val="EXPENSES"/>
      <sheetName val="All Data"/>
      <sheetName val="riola don't know 9-26-99"/>
      <sheetName val="AP_RA99-0611"/>
      <sheetName val="HV_RA99-0611"/>
      <sheetName val="IN_RA99-0611"/>
      <sheetName val="CH_RA99-0611"/>
      <sheetName val="TH_RA99-0611"/>
      <sheetName val="HZ_RA99-0611"/>
      <sheetName val="Op_Plan_Sales11"/>
      <sheetName val="Other_notes10"/>
      <sheetName val="M_B-QtyRecn11"/>
      <sheetName val="IT_Only10"/>
      <sheetName val="Sales_&amp;_Marketing_Dashboard10"/>
      <sheetName val="Total_MG_10"/>
      <sheetName val="Trial_Balance10"/>
      <sheetName val="Input_schedule10"/>
      <sheetName val="TPM_Tot10"/>
      <sheetName val="Sept_'9910"/>
      <sheetName val="FBT_Full10"/>
      <sheetName val="Chart_of_Accounts10"/>
      <sheetName val="consolidated_Budget10"/>
      <sheetName val="5Y_v2_147"/>
      <sheetName val="Price_Testing_-_Used_-_19"/>
      <sheetName val="Push_Diag_on_Premise7"/>
      <sheetName val="CChannel_Attract_Input7"/>
      <sheetName val="Cash_Flow_77"/>
      <sheetName val="Opening_Balance7"/>
      <sheetName val="PAP"/>
      <sheetName val="Keyratios"/>
      <sheetName val="Facility"/>
      <sheetName val="P L"/>
      <sheetName val="MR08' Cost Manag"/>
      <sheetName val="List_ratios"/>
      <sheetName val="Page1"/>
      <sheetName val="Aseet1998"/>
      <sheetName val="RF2004_vs_OB2004"/>
      <sheetName val="Res_Area"/>
      <sheetName val="exp-m"/>
      <sheetName val="PARTY DETAILS"/>
      <sheetName val="Spiltrates-Latest"/>
      <sheetName val="Travel Expense Report(1week)"/>
      <sheetName val="Results"/>
      <sheetName val="Challan"/>
      <sheetName val="Inputs"/>
      <sheetName val="Notes"/>
      <sheetName val="Cash Flows"/>
      <sheetName val="Val &amp; Multp"/>
      <sheetName val="Options"/>
      <sheetName val="Heating Div"/>
      <sheetName val="All other Div's"/>
      <sheetName val="CoCapital"/>
      <sheetName val="EPS"/>
      <sheetName val="Mult"/>
      <sheetName val="Synergies"/>
      <sheetName val="Mkt Mult"/>
      <sheetName val="Trans Mult"/>
      <sheetName val="Module1"/>
      <sheetName val=".2 Reserve"/>
      <sheetName val="Maint Def Rev 03-04"/>
      <sheetName val="New-Growth Def Rev 03-04"/>
      <sheetName val="Perpetual Def Rev 03-04"/>
      <sheetName val="Renewal Def Rev 03-04"/>
      <sheetName val="Excess Calc"/>
      <sheetName val="BAL0301"/>
      <sheetName val="SCH-A"/>
      <sheetName val="MPCP9899"/>
      <sheetName val="B0_111350"/>
      <sheetName val="A"/>
      <sheetName val="Balance Sheet "/>
      <sheetName val="P&amp;L Summary Page"/>
      <sheetName val="Fx Rates"/>
      <sheetName val="Consolidate Trial Dec 06"/>
      <sheetName val="Transaction Inputs"/>
      <sheetName val="1 - A (Narrative)"/>
      <sheetName val="Project Resource Details"/>
      <sheetName val="Assets"/>
      <sheetName val="CLP_Value_Driver (14) Dec Old"/>
      <sheetName val="Wavg RM"/>
      <sheetName val="COV"/>
      <sheetName val="экспорт"/>
      <sheetName val="License Area"/>
      <sheetName val="IIL Payroll"/>
      <sheetName val="Nomenclature"/>
      <sheetName val="98ordbkg"/>
      <sheetName val="Addition Ist &amp; IInd Half"/>
      <sheetName val="SysNavigation"/>
      <sheetName val="Amb - Working"/>
      <sheetName val="Ipotesi"/>
      <sheetName val="Master"/>
      <sheetName val="BS face"/>
      <sheetName val="BS Notes"/>
      <sheetName val="PL face"/>
      <sheetName val="PL Notes"/>
      <sheetName val="CFS"/>
      <sheetName val="Grouping"/>
      <sheetName val="Fixed Assets"/>
      <sheetName val="Deferred tax"/>
      <sheetName val="MAT"/>
      <sheetName val="gp"/>
      <sheetName val="GP Ratio"/>
      <sheetName val="Listings 96-02"/>
      <sheetName val="Rec"/>
      <sheetName val="IT_FBT_DDTP"/>
      <sheetName val="NLD - Assum"/>
      <sheetName val="Input Screen"/>
      <sheetName val="Sheet"/>
      <sheetName val="PREFACE"/>
      <sheetName val="AR JAN'02"/>
      <sheetName val="12-19-00"/>
      <sheetName val="RECAPITULATION"/>
      <sheetName val="P&amp;L February"/>
      <sheetName val="P&amp;L Feb 2001 cumulative"/>
      <sheetName val="COLUMN"/>
      <sheetName val="Power"/>
      <sheetName val="mar rep rev"/>
      <sheetName val="CF SALE.W.OFF 01-02"/>
      <sheetName val="stock data"/>
      <sheetName val="Turnover"/>
      <sheetName val="Sheet2"/>
      <sheetName val="sept-plan"/>
      <sheetName val="Payslip"/>
      <sheetName val="Axis Bank Cheques"/>
      <sheetName val="Master Sheet"/>
      <sheetName val="RESULTS-BLR-BB"/>
      <sheetName val="TARGET"/>
      <sheetName val="12.04.09"/>
      <sheetName val="Debtors Ageing"/>
      <sheetName val="PLAN-BLR-BB"/>
      <sheetName val="RESULTS-REALTY"/>
      <sheetName val="SME"/>
      <sheetName val="mdd &amp; co Fdr jan.02 "/>
      <sheetName val="ENCL6"/>
      <sheetName val="_2_Reserve"/>
      <sheetName val="Maint_Def_Rev_03-04"/>
      <sheetName val="New-Growth_Def_Rev_03-04"/>
      <sheetName val="Perpetual_Def_Rev_03-04"/>
      <sheetName val="Renewal_Def_Rev_03-04"/>
      <sheetName val="New_form_3CD_A"/>
      <sheetName val="_2_Reserve1"/>
      <sheetName val="Maint_Def_Rev_03-041"/>
      <sheetName val="New-Growth_Def_Rev_03-041"/>
      <sheetName val="Perpetual_Def_Rev_03-041"/>
      <sheetName val="Renewal_Def_Rev_03-041"/>
      <sheetName val="New_form_3CD_A1"/>
      <sheetName val="Mktg"/>
      <sheetName val="FinMajestic"/>
      <sheetName val="PTRANGE"/>
      <sheetName val="SAP - Rightpak"/>
      <sheetName val="Region"/>
      <sheetName val="WO-List"/>
      <sheetName val="K-Summary"/>
      <sheetName val="BST"/>
      <sheetName val="AP_RA99-0612"/>
      <sheetName val="HV_RA99-0612"/>
      <sheetName val="IN_RA99-0612"/>
      <sheetName val="CH_RA99-0612"/>
      <sheetName val="TH_RA99-0612"/>
      <sheetName val="HZ_RA99-0612"/>
      <sheetName val="Total_MG_11"/>
      <sheetName val="Op_Plan_Sales12"/>
      <sheetName val="IT_Only11"/>
      <sheetName val="Sales_&amp;_Marketing_Dashboard11"/>
      <sheetName val="TPM_Tot11"/>
      <sheetName val="Sept_'9911"/>
      <sheetName val="Trial_Balance11"/>
      <sheetName val="Other_notes11"/>
      <sheetName val="May_09"/>
      <sheetName val="Price_Testing_-_Used_-_110"/>
      <sheetName val="Input_schedule11"/>
      <sheetName val="FBT_Full11"/>
      <sheetName val="M_B-QtyRecn12"/>
      <sheetName val="Push_Diag_on_Premise8"/>
      <sheetName val="CChannel_Attract_Input8"/>
      <sheetName val="5Y_v2_148"/>
      <sheetName val="Chart_of_Accounts11"/>
      <sheetName val="Cash_Flow_78"/>
      <sheetName val="Opening_Balance8"/>
      <sheetName val="consolidated_Budget11"/>
      <sheetName val="3_Yr_Revenue_Analysis(old)"/>
      <sheetName val="Amortization_Table"/>
      <sheetName val="riola_don't_know_9-26-99"/>
      <sheetName val="All_Data"/>
      <sheetName val="1_-_A_(Narrative)"/>
      <sheetName val="P_L"/>
      <sheetName val="MR08'_Cost_Manag"/>
      <sheetName val="Wavg_RM"/>
      <sheetName val="FINAL_SHEET"/>
      <sheetName val="12_04_09"/>
      <sheetName val="Travel_Expense_Report(1week)"/>
      <sheetName val="NLD_-_Assum"/>
      <sheetName val="PARTY_DETAILS"/>
      <sheetName val="mar_rep_rev"/>
      <sheetName val="CF_SALE_W_OFF_01-02"/>
      <sheetName val="stock_data"/>
      <sheetName val="P&amp;L_February"/>
      <sheetName val="P&amp;L_Feb_2001_cumulative"/>
      <sheetName val="LCGRAPH"/>
      <sheetName val="AS21SchE - 9M0708"/>
      <sheetName val="Links"/>
      <sheetName val="Occ, Other Rev, Exp, Dispo"/>
      <sheetName val="P1 RM"/>
      <sheetName val="5-F-PAR"/>
      <sheetName val="LEGAL GUJ"/>
      <sheetName val="Reference"/>
      <sheetName val="Balancesheet"/>
      <sheetName val="61750000 Consultancy Charges"/>
      <sheetName val="YTD"/>
      <sheetName val="Labour &amp; Plant"/>
      <sheetName val="Annexure B"/>
      <sheetName val="Base Info"/>
      <sheetName val="RCC,Ret. Wall"/>
      <sheetName val="ValuationInput"/>
      <sheetName val="DebtInput"/>
      <sheetName val="Storage"/>
      <sheetName val="Valuation"/>
      <sheetName val="Cash Flow-WSL Base Fcst"/>
      <sheetName val="TB Round"/>
      <sheetName val="Sales &amp;Sale Cost"/>
      <sheetName val="Reports List"/>
      <sheetName val="Financials"/>
      <sheetName val="PL"/>
      <sheetName val="Sch-PL"/>
      <sheetName val="Sch-FA"/>
      <sheetName val="RUPEE"/>
      <sheetName val="Inflation"/>
      <sheetName val="deb"/>
      <sheetName val="AnnexIII"/>
      <sheetName val="Power Cost sheet"/>
      <sheetName val="Steam Cost Sheet"/>
      <sheetName val="Intro"/>
      <sheetName val="Staff"/>
      <sheetName val="MORE-MAR'2002"/>
      <sheetName val="SCHE-MARCH'2002"/>
      <sheetName val="M00100"/>
    </sheetNames>
    <sheetDataSet>
      <sheetData sheetId="0" refreshError="1"/>
      <sheetData sheetId="1" refreshError="1"/>
      <sheetData sheetId="2" refreshError="1"/>
      <sheetData sheetId="3" refreshError="1"/>
      <sheetData sheetId="4" refreshError="1">
        <row r="10">
          <cell r="D10">
            <v>8.3000000000000007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row r="10">
          <cell r="D10">
            <v>0</v>
          </cell>
        </row>
      </sheetData>
      <sheetData sheetId="424">
        <row r="10">
          <cell r="D10">
            <v>0</v>
          </cell>
        </row>
      </sheetData>
      <sheetData sheetId="425">
        <row r="10">
          <cell r="D10">
            <v>0</v>
          </cell>
        </row>
      </sheetData>
      <sheetData sheetId="426">
        <row r="10">
          <cell r="D10">
            <v>0</v>
          </cell>
        </row>
      </sheetData>
      <sheetData sheetId="427"/>
      <sheetData sheetId="428"/>
      <sheetData sheetId="429"/>
      <sheetData sheetId="430"/>
      <sheetData sheetId="431"/>
      <sheetData sheetId="432"/>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sheetData sheetId="466"/>
      <sheetData sheetId="467"/>
      <sheetData sheetId="468"/>
      <sheetData sheetId="469"/>
      <sheetData sheetId="470"/>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grp"/>
      <sheetName val="fa add"/>
      <sheetName val="WDV-SLM"/>
      <sheetName val="fa 1"/>
      <sheetName val="qty"/>
      <sheetName val="3cd (2)"/>
      <sheetName val="3cd"/>
      <sheetName val="sta"/>
      <sheetName val="sti"/>
    </sheetNames>
    <sheetDataSet>
      <sheetData sheetId="0"/>
      <sheetData sheetId="1"/>
      <sheetData sheetId="2"/>
      <sheetData sheetId="3"/>
      <sheetData sheetId="4"/>
      <sheetData sheetId="5"/>
      <sheetData sheetId="6"/>
      <sheetData sheetId="7"/>
      <sheetData sheetId="8"/>
      <sheetData sheetId="9" refreshError="1">
        <row r="40">
          <cell r="B40" t="str">
            <v xml:space="preserve">NOTE: 1) </v>
          </cell>
        </row>
        <row r="543">
          <cell r="B543" t="str">
            <v xml:space="preserve"> Fire Fighting Equipments</v>
          </cell>
          <cell r="G543">
            <v>38030</v>
          </cell>
        </row>
        <row r="544">
          <cell r="B544" t="str">
            <v xml:space="preserve"> Fire Fighting Equipments</v>
          </cell>
          <cell r="G544">
            <v>38030</v>
          </cell>
        </row>
        <row r="545">
          <cell r="B545" t="str">
            <v xml:space="preserve"> Refrigerator</v>
          </cell>
          <cell r="G545">
            <v>17050</v>
          </cell>
        </row>
        <row r="546">
          <cell r="B546" t="str">
            <v xml:space="preserve"> Drill Machine</v>
          </cell>
          <cell r="G546">
            <v>7655</v>
          </cell>
        </row>
        <row r="547">
          <cell r="B547" t="str">
            <v xml:space="preserve"> Sealing Machine</v>
          </cell>
          <cell r="G547">
            <v>65500</v>
          </cell>
        </row>
        <row r="548">
          <cell r="B548" t="str">
            <v xml:space="preserve"> Piping and Valves &amp; Pumps</v>
          </cell>
          <cell r="G548">
            <v>16250</v>
          </cell>
        </row>
        <row r="549">
          <cell r="B549" t="str">
            <v xml:space="preserve"> Sealing Machine</v>
          </cell>
          <cell r="G549">
            <v>12500</v>
          </cell>
        </row>
        <row r="550">
          <cell r="B550" t="str">
            <v xml:space="preserve"> Laboratory Equipments</v>
          </cell>
          <cell r="G550">
            <v>11704</v>
          </cell>
        </row>
        <row r="551">
          <cell r="B551" t="str">
            <v xml:space="preserve"> Fax Machine</v>
          </cell>
          <cell r="G551">
            <v>17600</v>
          </cell>
        </row>
        <row r="552">
          <cell r="B552" t="str">
            <v xml:space="preserve"> Electric Installation</v>
          </cell>
          <cell r="G552">
            <v>58309</v>
          </cell>
        </row>
        <row r="553">
          <cell r="B553" t="str">
            <v xml:space="preserve"> Scooter (GJ-12R-4355)</v>
          </cell>
          <cell r="G553">
            <v>28318</v>
          </cell>
        </row>
        <row r="554">
          <cell r="B554" t="str">
            <v xml:space="preserve"> Sealing Machine</v>
          </cell>
          <cell r="G554">
            <v>12501</v>
          </cell>
        </row>
        <row r="555">
          <cell r="B555" t="str">
            <v xml:space="preserve"> Cycle</v>
          </cell>
          <cell r="G555">
            <v>1520</v>
          </cell>
        </row>
        <row r="556">
          <cell r="B556" t="str">
            <v xml:space="preserve"> EPABX System</v>
          </cell>
          <cell r="G556">
            <v>57100</v>
          </cell>
        </row>
        <row r="557">
          <cell r="B557" t="str">
            <v xml:space="preserve"> Volumetric Filler</v>
          </cell>
          <cell r="G557">
            <v>106300</v>
          </cell>
        </row>
        <row r="558">
          <cell r="B558" t="str">
            <v xml:space="preserve"> OHP Projector</v>
          </cell>
          <cell r="G558">
            <v>8250</v>
          </cell>
        </row>
        <row r="559">
          <cell r="B559" t="str">
            <v xml:space="preserve"> Fire Fighting Equipments</v>
          </cell>
          <cell r="G559">
            <v>29343</v>
          </cell>
        </row>
        <row r="560">
          <cell r="B560" t="str">
            <v xml:space="preserve"> Vibrating Seives</v>
          </cell>
          <cell r="G560">
            <v>192721</v>
          </cell>
        </row>
        <row r="561">
          <cell r="B561" t="str">
            <v xml:space="preserve"> Transformer</v>
          </cell>
          <cell r="H561">
            <v>227582</v>
          </cell>
        </row>
        <row r="562">
          <cell r="B562" t="str">
            <v xml:space="preserve"> Transformer</v>
          </cell>
          <cell r="H562">
            <v>227582</v>
          </cell>
        </row>
        <row r="563">
          <cell r="B563" t="str">
            <v xml:space="preserve"> Laboratory Equipments</v>
          </cell>
          <cell r="H563">
            <v>48370</v>
          </cell>
        </row>
        <row r="564">
          <cell r="B564" t="str">
            <v xml:space="preserve"> Payloader Tractor (GJ12J-8872)</v>
          </cell>
          <cell r="H564">
            <v>568721</v>
          </cell>
        </row>
        <row r="565">
          <cell r="B565" t="str">
            <v xml:space="preserve"> Electric Installation</v>
          </cell>
          <cell r="H565">
            <v>546725</v>
          </cell>
        </row>
        <row r="566">
          <cell r="B566" t="str">
            <v xml:space="preserve"> Stitching Machine</v>
          </cell>
          <cell r="H566">
            <v>9550</v>
          </cell>
        </row>
        <row r="567">
          <cell r="B567" t="str">
            <v xml:space="preserve"> Chilling Plant</v>
          </cell>
          <cell r="H567">
            <v>200880</v>
          </cell>
        </row>
        <row r="568">
          <cell r="B568" t="str">
            <v xml:space="preserve"> Electronics Weigh Scale</v>
          </cell>
          <cell r="H568">
            <v>27012</v>
          </cell>
        </row>
        <row r="569">
          <cell r="B569" t="str">
            <v xml:space="preserve"> Electri Motor</v>
          </cell>
          <cell r="H569">
            <v>22243</v>
          </cell>
        </row>
        <row r="570">
          <cell r="B570" t="str">
            <v xml:space="preserve"> Packing Screw Conveyor</v>
          </cell>
          <cell r="H570">
            <v>113992</v>
          </cell>
        </row>
      </sheetData>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BI-Mar"/>
      <sheetName val="GLED"/>
    </sheetNames>
    <sheetDataSet>
      <sheetData sheetId="0" refreshError="1"/>
      <sheetData sheetId="1">
        <row r="1">
          <cell r="A1" t="str">
            <v>FOLIO</v>
          </cell>
          <cell r="B1" t="str">
            <v>VNO</v>
          </cell>
          <cell r="C1" t="str">
            <v>CHQNO</v>
          </cell>
          <cell r="D1" t="str">
            <v>DESCR</v>
          </cell>
          <cell r="E1" t="str">
            <v>DATE</v>
          </cell>
          <cell r="F1" t="str">
            <v>DEBIT</v>
          </cell>
          <cell r="G1" t="str">
            <v>CREDIT</v>
          </cell>
          <cell r="H1" t="str">
            <v>TYPE</v>
          </cell>
          <cell r="I1" t="str">
            <v>BOOKCODE</v>
          </cell>
          <cell r="J1" t="str">
            <v>RENAMT</v>
          </cell>
          <cell r="K1" t="str">
            <v>AMOUNT</v>
          </cell>
        </row>
        <row r="2">
          <cell r="D2" t="str">
            <v>OPENING BALANCE</v>
          </cell>
          <cell r="F2">
            <v>1377079.26</v>
          </cell>
        </row>
        <row r="3">
          <cell r="A3" t="str">
            <v>00100041</v>
          </cell>
          <cell r="B3" t="str">
            <v>1625</v>
          </cell>
          <cell r="D3" t="str">
            <v>SBIDN REMM TO B2801/2805/2808</v>
          </cell>
          <cell r="E3">
            <v>38819</v>
          </cell>
          <cell r="G3">
            <v>24826030</v>
          </cell>
          <cell r="I3" t="str">
            <v>BP</v>
          </cell>
        </row>
        <row r="4">
          <cell r="A4" t="str">
            <v>00100041</v>
          </cell>
          <cell r="B4" t="str">
            <v>1626</v>
          </cell>
          <cell r="C4" t="str">
            <v>111205</v>
          </cell>
          <cell r="D4" t="str">
            <v>SBIDN REMM TO B2818</v>
          </cell>
          <cell r="E4">
            <v>38819</v>
          </cell>
          <cell r="G4">
            <v>200000</v>
          </cell>
          <cell r="I4" t="str">
            <v>BP</v>
          </cell>
        </row>
        <row r="5">
          <cell r="A5" t="str">
            <v>00100041</v>
          </cell>
          <cell r="B5" t="str">
            <v>1628</v>
          </cell>
          <cell r="C5" t="str">
            <v>504824</v>
          </cell>
          <cell r="D5" t="str">
            <v>BOBCC: TRF TO SBI DN ROAD</v>
          </cell>
          <cell r="E5">
            <v>38819</v>
          </cell>
          <cell r="F5">
            <v>4000000</v>
          </cell>
          <cell r="I5" t="str">
            <v>BP</v>
          </cell>
        </row>
        <row r="6">
          <cell r="A6" t="str">
            <v>00100041</v>
          </cell>
          <cell r="B6" t="str">
            <v>1629</v>
          </cell>
          <cell r="C6" t="str">
            <v>110927</v>
          </cell>
          <cell r="D6" t="str">
            <v>SBIDN: TRF TO ABCC</v>
          </cell>
          <cell r="E6">
            <v>38819</v>
          </cell>
          <cell r="G6">
            <v>2400000</v>
          </cell>
          <cell r="I6" t="str">
            <v>BP</v>
          </cell>
        </row>
        <row r="7">
          <cell r="A7" t="str">
            <v>00100041</v>
          </cell>
          <cell r="B7" t="str">
            <v>1631</v>
          </cell>
          <cell r="C7" t="str">
            <v>LETTER</v>
          </cell>
          <cell r="D7" t="str">
            <v>SBIDN REMM TO B2801/2825/2826</v>
          </cell>
          <cell r="E7">
            <v>38820</v>
          </cell>
          <cell r="G7">
            <v>4315380</v>
          </cell>
          <cell r="I7" t="str">
            <v>BP</v>
          </cell>
        </row>
        <row r="8">
          <cell r="A8" t="str">
            <v>00100041</v>
          </cell>
          <cell r="B8" t="str">
            <v>1632</v>
          </cell>
          <cell r="C8" t="str">
            <v>LETTER</v>
          </cell>
          <cell r="D8" t="str">
            <v>SBIDN REMM TO B2777/BC</v>
          </cell>
          <cell r="E8">
            <v>38820</v>
          </cell>
          <cell r="G8">
            <v>1806410</v>
          </cell>
          <cell r="I8" t="str">
            <v>BP</v>
          </cell>
        </row>
        <row r="9">
          <cell r="A9" t="str">
            <v>00100041</v>
          </cell>
          <cell r="B9" t="str">
            <v>1634</v>
          </cell>
          <cell r="C9" t="str">
            <v>LETTER</v>
          </cell>
          <cell r="D9" t="str">
            <v>SBIDN: REMM TO B2830/B2829/BC</v>
          </cell>
          <cell r="E9">
            <v>38820</v>
          </cell>
          <cell r="G9">
            <v>7721950</v>
          </cell>
          <cell r="I9" t="str">
            <v>BP</v>
          </cell>
        </row>
        <row r="10">
          <cell r="A10" t="str">
            <v>00100041</v>
          </cell>
          <cell r="B10" t="str">
            <v>1635</v>
          </cell>
          <cell r="C10" t="str">
            <v>LETTER</v>
          </cell>
          <cell r="D10" t="str">
            <v>SBIDN: TRF TO SBH</v>
          </cell>
          <cell r="E10">
            <v>38820</v>
          </cell>
          <cell r="G10">
            <v>5000000</v>
          </cell>
          <cell r="I10" t="str">
            <v>BP</v>
          </cell>
        </row>
        <row r="11">
          <cell r="A11" t="str">
            <v>00100041</v>
          </cell>
          <cell r="B11" t="str">
            <v>1642</v>
          </cell>
          <cell r="C11" t="str">
            <v>LETTER</v>
          </cell>
          <cell r="D11" t="str">
            <v>ICICI TRF TO SBI</v>
          </cell>
          <cell r="E11">
            <v>38820</v>
          </cell>
          <cell r="F11">
            <v>1800000</v>
          </cell>
          <cell r="I11" t="str">
            <v>BP</v>
          </cell>
        </row>
        <row r="12">
          <cell r="A12" t="str">
            <v>00100041</v>
          </cell>
          <cell r="B12" t="str">
            <v>1643</v>
          </cell>
          <cell r="C12" t="str">
            <v>798116</v>
          </cell>
          <cell r="D12" t="str">
            <v>ICICI TRF TO SBI</v>
          </cell>
          <cell r="E12">
            <v>38824</v>
          </cell>
          <cell r="F12">
            <v>25000000</v>
          </cell>
          <cell r="I12" t="str">
            <v>BP</v>
          </cell>
        </row>
        <row r="13">
          <cell r="A13" t="str">
            <v>00100041</v>
          </cell>
          <cell r="B13" t="str">
            <v>1652</v>
          </cell>
          <cell r="C13" t="str">
            <v>798124</v>
          </cell>
          <cell r="D13" t="str">
            <v>ICICI:TRF TO SBI</v>
          </cell>
          <cell r="E13">
            <v>38829</v>
          </cell>
          <cell r="F13">
            <v>4500000</v>
          </cell>
          <cell r="I13" t="str">
            <v>BP</v>
          </cell>
        </row>
        <row r="14">
          <cell r="A14" t="str">
            <v>00100041</v>
          </cell>
          <cell r="B14" t="str">
            <v>1653</v>
          </cell>
          <cell r="D14" t="str">
            <v>SBIDN:REMM TO AA029/BC</v>
          </cell>
          <cell r="E14">
            <v>38824</v>
          </cell>
          <cell r="G14">
            <v>200810</v>
          </cell>
          <cell r="I14" t="str">
            <v>BP</v>
          </cell>
        </row>
        <row r="15">
          <cell r="A15" t="str">
            <v>00100041</v>
          </cell>
          <cell r="B15" t="str">
            <v>1655</v>
          </cell>
          <cell r="C15" t="str">
            <v>110928</v>
          </cell>
          <cell r="D15" t="str">
            <v>SBI:TRF TO ABCA</v>
          </cell>
          <cell r="E15">
            <v>38825</v>
          </cell>
          <cell r="G15">
            <v>2500000</v>
          </cell>
          <cell r="I15" t="str">
            <v>BP</v>
          </cell>
        </row>
        <row r="16">
          <cell r="A16" t="str">
            <v>00100041</v>
          </cell>
          <cell r="B16" t="str">
            <v>1656</v>
          </cell>
          <cell r="D16" t="str">
            <v>SBI:REMM TO B2805/BC</v>
          </cell>
          <cell r="E16">
            <v>38826</v>
          </cell>
          <cell r="G16">
            <v>7512610</v>
          </cell>
          <cell r="I16" t="str">
            <v>BP</v>
          </cell>
        </row>
        <row r="17">
          <cell r="A17" t="str">
            <v>00100041</v>
          </cell>
          <cell r="B17" t="str">
            <v>1676</v>
          </cell>
          <cell r="C17" t="str">
            <v>TT</v>
          </cell>
          <cell r="D17" t="str">
            <v>SBIDN: REMM TO AA026/BC</v>
          </cell>
          <cell r="E17">
            <v>38828</v>
          </cell>
          <cell r="G17">
            <v>3512360</v>
          </cell>
          <cell r="I17" t="str">
            <v>BP</v>
          </cell>
        </row>
        <row r="18">
          <cell r="A18" t="str">
            <v>00100041</v>
          </cell>
          <cell r="B18" t="str">
            <v>1683</v>
          </cell>
          <cell r="C18" t="str">
            <v>TT</v>
          </cell>
          <cell r="D18" t="str">
            <v>SBIDN: REMM TO AA026/BC</v>
          </cell>
          <cell r="E18">
            <v>38829</v>
          </cell>
          <cell r="G18">
            <v>4515970</v>
          </cell>
          <cell r="I18" t="str">
            <v>BP</v>
          </cell>
        </row>
        <row r="19">
          <cell r="A19" t="str">
            <v>00100041</v>
          </cell>
          <cell r="B19" t="str">
            <v>1977</v>
          </cell>
          <cell r="C19" t="str">
            <v>TT</v>
          </cell>
          <cell r="D19" t="str">
            <v>SBIDN: REMM TO B2777/BC</v>
          </cell>
          <cell r="E19">
            <v>38832</v>
          </cell>
          <cell r="G19">
            <v>501860</v>
          </cell>
          <cell r="I19" t="str">
            <v>BP</v>
          </cell>
        </row>
        <row r="20">
          <cell r="A20" t="str">
            <v>00100041</v>
          </cell>
          <cell r="B20" t="str">
            <v>1998</v>
          </cell>
          <cell r="C20" t="str">
            <v>111008</v>
          </cell>
          <cell r="D20" t="str">
            <v>SBIDN:PF/EDLI/ADM CH/MAR06</v>
          </cell>
          <cell r="E20">
            <v>38819</v>
          </cell>
          <cell r="G20">
            <v>9553</v>
          </cell>
          <cell r="I20" t="str">
            <v>BP</v>
          </cell>
        </row>
        <row r="21">
          <cell r="A21" t="str">
            <v>00100041</v>
          </cell>
          <cell r="B21" t="str">
            <v>2009</v>
          </cell>
          <cell r="D21" t="str">
            <v>SBIDN BANK CH/B2829</v>
          </cell>
          <cell r="E21">
            <v>38820</v>
          </cell>
          <cell r="G21">
            <v>12500</v>
          </cell>
          <cell r="I21" t="str">
            <v>BP</v>
          </cell>
        </row>
        <row r="22">
          <cell r="A22" t="str">
            <v>00100041</v>
          </cell>
          <cell r="B22" t="str">
            <v>2011</v>
          </cell>
          <cell r="D22" t="str">
            <v>SBIDN: BANK CH/B2777</v>
          </cell>
          <cell r="E22">
            <v>38820</v>
          </cell>
          <cell r="G22">
            <v>6410</v>
          </cell>
          <cell r="I22" t="str">
            <v>BP</v>
          </cell>
        </row>
        <row r="23">
          <cell r="A23" t="str">
            <v>00100041</v>
          </cell>
          <cell r="B23" t="str">
            <v>2008</v>
          </cell>
          <cell r="D23" t="str">
            <v>SBIDN BANK CH/B2830</v>
          </cell>
          <cell r="E23">
            <v>38820</v>
          </cell>
          <cell r="G23">
            <v>9450</v>
          </cell>
          <cell r="I23" t="str">
            <v>BP</v>
          </cell>
        </row>
        <row r="24">
          <cell r="A24" t="str">
            <v>00100041</v>
          </cell>
          <cell r="B24" t="str">
            <v>2012</v>
          </cell>
          <cell r="D24" t="str">
            <v>SBIDN: BANK CH/2801</v>
          </cell>
          <cell r="E24">
            <v>38820</v>
          </cell>
          <cell r="G24">
            <v>2910</v>
          </cell>
          <cell r="I24" t="str">
            <v>BP</v>
          </cell>
        </row>
        <row r="25">
          <cell r="A25" t="str">
            <v>00100041</v>
          </cell>
          <cell r="B25" t="str">
            <v>2013</v>
          </cell>
          <cell r="D25" t="str">
            <v>SBIDN: BANK CH/2825</v>
          </cell>
          <cell r="E25">
            <v>38820</v>
          </cell>
          <cell r="G25">
            <v>5360</v>
          </cell>
          <cell r="I25" t="str">
            <v>BP</v>
          </cell>
        </row>
        <row r="26">
          <cell r="A26" t="str">
            <v>00100041</v>
          </cell>
          <cell r="B26" t="str">
            <v>2014</v>
          </cell>
          <cell r="D26" t="str">
            <v>SBIDN: BANK CH/2826</v>
          </cell>
          <cell r="E26">
            <v>38820</v>
          </cell>
          <cell r="G26">
            <v>7110</v>
          </cell>
          <cell r="I26" t="str">
            <v>BP</v>
          </cell>
        </row>
        <row r="27">
          <cell r="A27" t="str">
            <v>00100041</v>
          </cell>
          <cell r="B27" t="str">
            <v>2019</v>
          </cell>
          <cell r="C27" t="str">
            <v>DD</v>
          </cell>
          <cell r="D27" t="str">
            <v>SBIDN: SALARY/SR/AS PER LIST</v>
          </cell>
          <cell r="E27">
            <v>38821</v>
          </cell>
          <cell r="G27">
            <v>258670</v>
          </cell>
          <cell r="I27" t="str">
            <v>BP</v>
          </cell>
        </row>
        <row r="28">
          <cell r="A28" t="str">
            <v>00100041</v>
          </cell>
          <cell r="B28" t="str">
            <v>2038</v>
          </cell>
          <cell r="D28" t="str">
            <v>SBIDN:TRAVEL</v>
          </cell>
          <cell r="E28">
            <v>38824</v>
          </cell>
          <cell r="G28">
            <v>32852</v>
          </cell>
          <cell r="I28" t="str">
            <v>BP</v>
          </cell>
        </row>
        <row r="29">
          <cell r="A29" t="str">
            <v>00100041</v>
          </cell>
          <cell r="B29" t="str">
            <v>1896</v>
          </cell>
          <cell r="C29" t="str">
            <v>advice</v>
          </cell>
          <cell r="D29" t="str">
            <v>SBI:  BANK CHGS ON TT TO SOMPE</v>
          </cell>
          <cell r="E29">
            <v>38819</v>
          </cell>
          <cell r="G29">
            <v>12610</v>
          </cell>
          <cell r="I29" t="str">
            <v>BP</v>
          </cell>
        </row>
        <row r="30">
          <cell r="A30" t="str">
            <v>00100041</v>
          </cell>
          <cell r="B30" t="str">
            <v>1897</v>
          </cell>
          <cell r="C30" t="str">
            <v>advice</v>
          </cell>
          <cell r="D30" t="str">
            <v>SBI:  BANK CHGS ON TT TO SATAT</v>
          </cell>
          <cell r="E30">
            <v>38819</v>
          </cell>
          <cell r="G30">
            <v>810</v>
          </cell>
          <cell r="I30" t="str">
            <v>BP</v>
          </cell>
        </row>
        <row r="31">
          <cell r="A31" t="str">
            <v>00100041</v>
          </cell>
          <cell r="B31" t="str">
            <v>1898</v>
          </cell>
          <cell r="C31" t="str">
            <v>advice</v>
          </cell>
          <cell r="D31" t="str">
            <v>SBI:  BANK CHGS ON TT TO UDHAM</v>
          </cell>
          <cell r="E31">
            <v>38819</v>
          </cell>
          <cell r="G31">
            <v>12610</v>
          </cell>
          <cell r="I31" t="str">
            <v>BP</v>
          </cell>
        </row>
        <row r="32">
          <cell r="A32" t="str">
            <v>00100041</v>
          </cell>
          <cell r="B32" t="str">
            <v>363</v>
          </cell>
          <cell r="D32" t="str">
            <v>SBI/B2826 THOTAPALLY</v>
          </cell>
          <cell r="E32">
            <v>38811</v>
          </cell>
          <cell r="F32">
            <v>19756575</v>
          </cell>
          <cell r="I32" t="str">
            <v>BR</v>
          </cell>
        </row>
        <row r="33">
          <cell r="A33" t="str">
            <v>00100041</v>
          </cell>
          <cell r="B33" t="str">
            <v>364</v>
          </cell>
          <cell r="D33" t="str">
            <v>SBI/B2825 CHENNAI BOX</v>
          </cell>
          <cell r="E33">
            <v>38811</v>
          </cell>
          <cell r="F33">
            <v>14034789</v>
          </cell>
          <cell r="I33" t="str">
            <v>BR</v>
          </cell>
        </row>
        <row r="34">
          <cell r="A34" t="str">
            <v>00100041</v>
          </cell>
          <cell r="B34" t="str">
            <v>367</v>
          </cell>
          <cell r="D34" t="str">
            <v>SBI/B2829 LESHKA</v>
          </cell>
          <cell r="E34">
            <v>38831</v>
          </cell>
          <cell r="F34">
            <v>891244</v>
          </cell>
          <cell r="I34" t="str">
            <v>BR</v>
          </cell>
        </row>
        <row r="35">
          <cell r="A35" t="str">
            <v>00100041</v>
          </cell>
          <cell r="B35" t="str">
            <v>516</v>
          </cell>
          <cell r="D35" t="str">
            <v>SBI/B2824 SEW CONSTRUCTION</v>
          </cell>
          <cell r="E35">
            <v>38822</v>
          </cell>
          <cell r="F35">
            <v>1494000</v>
          </cell>
          <cell r="I35" t="str">
            <v>BR</v>
          </cell>
        </row>
      </sheetData>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AdditionalPrintCode"/>
      <sheetName val="MainPrintCode"/>
      <sheetName val="DCF_inputs"/>
      <sheetName val="DCF"/>
    </sheetNames>
    <sheetDataSet>
      <sheetData sheetId="0">
        <row r="3">
          <cell r="F3" t="str">
            <v>Valuation</v>
          </cell>
        </row>
      </sheetData>
      <sheetData sheetId="1" refreshError="1"/>
      <sheetData sheetId="2" refreshError="1"/>
      <sheetData sheetId="3"/>
      <sheetData sheetId="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mples (2)"/>
      <sheetName val="SUM-TAXES"/>
      <sheetName val="DATA"/>
      <sheetName val="Sheet3"/>
      <sheetName val="UNIT CONVERT"/>
      <sheetName val="custmast"/>
      <sheetName val="pRESENTATION1"/>
      <sheetName val="PCD-T"/>
      <sheetName val="P&amp;L -PCD-T"/>
      <sheetName val="P&amp;L V-20"/>
      <sheetName val="P&amp;L V-200"/>
      <sheetName val="P&amp;L -BM"/>
      <sheetName val="P&amp;L -PAIL"/>
      <sheetName val="Assumptions "/>
      <sheetName val="Budget 15-16"/>
      <sheetName val="Segments"/>
      <sheetName val="Assumptions"/>
      <sheetName val="Accessories"/>
      <sheetName val="FREIGHT"/>
    </sheetNames>
    <sheetDataSet>
      <sheetData sheetId="0"/>
      <sheetData sheetId="1"/>
      <sheetData sheetId="2"/>
      <sheetData sheetId="3"/>
      <sheetData sheetId="4"/>
      <sheetData sheetId="5">
        <row r="3">
          <cell r="E3" t="str">
            <v>FG VC10027</v>
          </cell>
          <cell r="F3" t="str">
            <v>APCOTEX INDUSTRIES LTD.</v>
          </cell>
        </row>
        <row r="4">
          <cell r="E4" t="str">
            <v>FG VC10039</v>
          </cell>
          <cell r="F4" t="str">
            <v>BALMER LAWRIE - VAN LEER LIMITED - SAMPLE</v>
          </cell>
        </row>
        <row r="5">
          <cell r="E5" t="str">
            <v>FG VC10052</v>
          </cell>
          <cell r="F5" t="str">
            <v>BEHRAN OIL CO.</v>
          </cell>
        </row>
        <row r="6">
          <cell r="E6" t="str">
            <v>FG VC10088</v>
          </cell>
          <cell r="F6" t="str">
            <v>ELANTAS BECK INDIA LIMITED - PIMPRI</v>
          </cell>
        </row>
        <row r="7">
          <cell r="E7" t="str">
            <v>FG VC10113</v>
          </cell>
          <cell r="F7" t="str">
            <v>HINDUSTAN PETROLEUM CORPN. - SEWREE</v>
          </cell>
        </row>
        <row r="8">
          <cell r="E8" t="str">
            <v>FG VC10123</v>
          </cell>
          <cell r="F8" t="str">
            <v>INDIAN OIL CORPORATION  LTD. (PIRPAU)</v>
          </cell>
        </row>
        <row r="9">
          <cell r="E9" t="str">
            <v>FG VC10124</v>
          </cell>
          <cell r="F9" t="str">
            <v>INDIAN OIL CORPORATION LTD - SILVASSA</v>
          </cell>
        </row>
        <row r="10">
          <cell r="E10" t="str">
            <v>FG WC10026</v>
          </cell>
          <cell r="F10" t="str">
            <v>APAR INDUSTRIES LTD. - SILVASSA</v>
          </cell>
        </row>
        <row r="11">
          <cell r="E11" t="str">
            <v>FG WC10039</v>
          </cell>
          <cell r="F11" t="str">
            <v>BALMER LAWRIE - VAN LEER LIMITED - SAMPLE</v>
          </cell>
        </row>
        <row r="12">
          <cell r="E12" t="str">
            <v>FG WC10071</v>
          </cell>
          <cell r="F12" t="str">
            <v>CASTROL INDIA LIMITED - PATALGANGA</v>
          </cell>
        </row>
        <row r="13">
          <cell r="E13" t="str">
            <v>FG WC10219</v>
          </cell>
          <cell r="F13" t="str">
            <v>SAH PETROLEUMS LIMITED.</v>
          </cell>
        </row>
        <row r="14">
          <cell r="E14" t="str">
            <v>FG WC10304</v>
          </cell>
          <cell r="F14" t="str">
            <v>A.R. SULPHONATES PVT. LTD..</v>
          </cell>
        </row>
        <row r="15">
          <cell r="E15" t="str">
            <v>FG WC10326</v>
          </cell>
          <cell r="F15" t="str">
            <v>AKAY FLAVOURS &amp; AROMATICS PVT LTD</v>
          </cell>
        </row>
        <row r="16">
          <cell r="E16" t="str">
            <v>FG BC10007</v>
          </cell>
          <cell r="F16" t="str">
            <v>AGARWAL PACKAGINGS PVT. LTD.</v>
          </cell>
        </row>
        <row r="17">
          <cell r="E17" t="str">
            <v>FG BC10027</v>
          </cell>
          <cell r="F17" t="str">
            <v>APCOTEX INDUSTRIES LTD.</v>
          </cell>
        </row>
        <row r="18">
          <cell r="E18" t="str">
            <v>FG BC10039</v>
          </cell>
          <cell r="F18" t="str">
            <v>BALMER LAWRIE - VAN LEER LIMITED - SAMPLE</v>
          </cell>
        </row>
        <row r="19">
          <cell r="E19" t="str">
            <v>FG BC10253</v>
          </cell>
          <cell r="F19" t="str">
            <v>SINGH &amp; COMPANIES</v>
          </cell>
        </row>
        <row r="20">
          <cell r="E20" t="str">
            <v>FG BC10266</v>
          </cell>
          <cell r="F20" t="str">
            <v>SURYA CONTAINERS PVT. LTD.</v>
          </cell>
        </row>
        <row r="21">
          <cell r="E21" t="str">
            <v>FG BC10293</v>
          </cell>
          <cell r="F21" t="str">
            <v>VIMAL BARRELS PVT. LTD.</v>
          </cell>
        </row>
        <row r="22">
          <cell r="E22" t="str">
            <v>FG BC10353</v>
          </cell>
          <cell r="F22" t="str">
            <v>AMINES &amp; PLASTICIZERS LIMITED</v>
          </cell>
        </row>
        <row r="23">
          <cell r="E23" t="str">
            <v>FG PC10017</v>
          </cell>
          <cell r="F23" t="str">
            <v>ALKYL AMINES CHEMICALS LIMITED - PATALGANGA</v>
          </cell>
        </row>
        <row r="24">
          <cell r="E24" t="str">
            <v>FG PC10039</v>
          </cell>
          <cell r="F24" t="str">
            <v>BALMER LAWRIE - VAN LEER LIMITED - SAMPLE</v>
          </cell>
        </row>
        <row r="25">
          <cell r="E25" t="str">
            <v>FG PC10398</v>
          </cell>
          <cell r="F25" t="str">
            <v>AROMATIC INGREDIENTS PRIVATE LIMITED</v>
          </cell>
        </row>
        <row r="26">
          <cell r="E26" t="str">
            <v>FG PC10405</v>
          </cell>
          <cell r="F26" t="str">
            <v>ARZO PLASTICS PVT. LTD.</v>
          </cell>
        </row>
        <row r="27">
          <cell r="E27" t="str">
            <v>FG PC10443</v>
          </cell>
          <cell r="F27" t="str">
            <v>BASF INDIA LIMITED (TURBHE)</v>
          </cell>
        </row>
        <row r="28">
          <cell r="E28" t="str">
            <v>FG PC10545</v>
          </cell>
          <cell r="F28" t="str">
            <v>CLEAN COATES PVT. LIMITED</v>
          </cell>
        </row>
        <row r="29">
          <cell r="E29" t="str">
            <v>FG PC10595</v>
          </cell>
          <cell r="F29" t="str">
            <v>DEEPA CHEMICALS</v>
          </cell>
        </row>
        <row r="30">
          <cell r="E30" t="str">
            <v>FG PC10604</v>
          </cell>
          <cell r="F30" t="str">
            <v>DESAI BROTHERS LIMITED (FOOD DIVISION)</v>
          </cell>
        </row>
      </sheetData>
      <sheetData sheetId="6"/>
      <sheetData sheetId="7"/>
      <sheetData sheetId="8"/>
      <sheetData sheetId="9">
        <row r="6">
          <cell r="E6">
            <v>1903918</v>
          </cell>
        </row>
      </sheetData>
      <sheetData sheetId="10">
        <row r="6">
          <cell r="E6">
            <v>940187</v>
          </cell>
        </row>
      </sheetData>
      <sheetData sheetId="11">
        <row r="6">
          <cell r="E6">
            <v>454781</v>
          </cell>
        </row>
      </sheetData>
      <sheetData sheetId="12">
        <row r="6">
          <cell r="E6">
            <v>206093</v>
          </cell>
        </row>
      </sheetData>
      <sheetData sheetId="13"/>
      <sheetData sheetId="14"/>
      <sheetData sheetId="15"/>
      <sheetData sheetId="16"/>
      <sheetData sheetId="17"/>
      <sheetData sheetId="18"/>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 Mo"/>
      <sheetName val="YTD IS"/>
      <sheetName val="Spending"/>
      <sheetName val="HBL Graphs"/>
      <sheetName val="Sum_IS"/>
      <sheetName val="Old IS"/>
      <sheetName val="BS"/>
      <sheetName val="IS_Bus_Unit"/>
      <sheetName val="IS_Rev_Type"/>
      <sheetName val="Drafting"/>
      <sheetName val="AEC"/>
      <sheetName val="NASD"/>
      <sheetName val="Newco"/>
      <sheetName val="PSD"/>
      <sheetName val="AMD"/>
      <sheetName val="Lat_Am"/>
      <sheetName val="D.U."/>
      <sheetName val="G&amp;A"/>
      <sheetName val="IT"/>
      <sheetName val="Mktg"/>
      <sheetName val="Fcst_Summ"/>
      <sheetName val="Forecast"/>
    </sheetNames>
    <sheetDataSet>
      <sheetData sheetId="0"/>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l-EXCL"/>
      <sheetName val="pL-iNCL"/>
      <sheetName val="Sheet3"/>
      <sheetName val="P&amp;L"/>
      <sheetName val="BS"/>
      <sheetName val="VARIANCE ANALYSIS "/>
      <sheetName val="cash flow"/>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GROUPINGS"/>
      <sheetName val="SIF P&amp;L BS"/>
      <sheetName val="SIF P&amp;L"/>
      <sheetName val="SIF Workings"/>
      <sheetName val="SIF Results Back up"/>
      <sheetName val="PROVISIONS"/>
      <sheetName val="P &amp; L Approach(OB)"/>
      <sheetName val="P &amp; L Approach(CB) "/>
      <sheetName val="AS-22"/>
      <sheetName val="Nagar provisions"/>
      <sheetName val="CL PROVISION"/>
      <sheetName val="SIF R20&amp;R30 "/>
      <sheetName val="SIF-Sent to France"/>
      <sheetName val="sch-IV"/>
      <sheetName val="TBM ANALYSIS"/>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CCincSKR"/>
      <sheetName val="Summary"/>
    </sheetNames>
    <sheetDataSet>
      <sheetData sheetId="0" refreshError="1"/>
      <sheetData sheetId="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中ｖｓ基本予算委託研・経費（業務管理BL）"/>
      <sheetName val="Code表"/>
      <sheetName val="☆81連結☆"/>
      <sheetName val="☆82連結☆"/>
      <sheetName val="HM_81ki"/>
      <sheetName val="HM_82ki"/>
      <sheetName val="ASH_82ki"/>
      <sheetName val="TH_82ki"/>
      <sheetName val="ASH_81ki"/>
      <sheetName val="TH_81ki"/>
      <sheetName val="タイ単独元ネタ"/>
      <sheetName val="HVN 04 BrD"/>
      <sheetName val="HVN_2005"/>
      <sheetName val="HVN_2006"/>
      <sheetName val="HVN_2007"/>
      <sheetName val="9MT_ASH_model"/>
      <sheetName val="9MT_ash_PL"/>
      <sheetName val="81Asean配賦"/>
      <sheetName val="81HMまとめ"/>
      <sheetName val="81HM"/>
      <sheetName val="4. TOP 25 QTY &amp; VALUE WISE "/>
      <sheetName val="INDIVIDUAL GRAPH DATA"/>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t reco"/>
      <sheetName val="BS"/>
      <sheetName val="PL"/>
      <sheetName val="Cash flow"/>
      <sheetName val="Notes"/>
      <sheetName val="SOCE"/>
      <sheetName val="FA"/>
      <sheetName val="cash loss"/>
      <sheetName val="BS Grouping"/>
      <sheetName val="PL Grouping"/>
      <sheetName val="Entry for Security deposits"/>
      <sheetName val="TB CY"/>
      <sheetName val="TB sep Mum"/>
      <sheetName val="TB PY"/>
      <sheetName val="TB Other"/>
      <sheetName val="Accounting Policies(2)"/>
      <sheetName val="FA ly"/>
      <sheetName val="Employee benefits Note 35"/>
      <sheetName val="Note 36"/>
      <sheetName val="Note 37 ratios"/>
      <sheetName val="Note 38 FVM_1"/>
      <sheetName val="Note 38 FRM1_credit &amp; liquidity"/>
      <sheetName val="Note 38 FRM2_Currency &amp; price"/>
      <sheetName val="Notes 39 to 41"/>
      <sheetName val="Notes 42 to 43"/>
      <sheetName val="AE 21_22"/>
      <sheetName val="AE 22_23"/>
      <sheetName val="Sales return"/>
      <sheetName val="SDS JBA"/>
      <sheetName val="ROU"/>
      <sheetName val="Deferred tax 22-23"/>
      <sheetName val="Deferred tax 21-22"/>
      <sheetName val="Deferred tax 20-21"/>
      <sheetName val="Deferred tax 19-20"/>
      <sheetName val="Deferred tax 18-19"/>
      <sheetName val="Dep as per IT"/>
    </sheetNames>
    <sheetDataSet>
      <sheetData sheetId="0"/>
      <sheetData sheetId="1">
        <row r="1">
          <cell r="A1" t="str">
            <v>1908 E-Ventures Private Limited</v>
          </cell>
        </row>
        <row r="3">
          <cell r="A3" t="str">
            <v>[Currency: Indian Rupees(Rs.'000)]</v>
          </cell>
        </row>
      </sheetData>
      <sheetData sheetId="2"/>
      <sheetData sheetId="3"/>
      <sheetData sheetId="4"/>
      <sheetData sheetId="5"/>
      <sheetData sheetId="6"/>
      <sheetData sheetId="7"/>
      <sheetData sheetId="8"/>
      <sheetData sheetId="9">
        <row r="342">
          <cell r="K342">
            <v>26645</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Cash flow"/>
      <sheetName val="FA sep"/>
      <sheetName val="Notes"/>
      <sheetName val="SOCE"/>
      <sheetName val="cash loss"/>
      <sheetName val="BS Grouping"/>
      <sheetName val="PL Grouping"/>
      <sheetName val="TB CY"/>
      <sheetName val="TB sep Mum"/>
      <sheetName val="TB PY"/>
      <sheetName val="TB Other"/>
      <sheetName val="Profit reco"/>
      <sheetName val="Accounting Policies(2)"/>
      <sheetName val="FA"/>
      <sheetName val="Employee benefits Note 35"/>
      <sheetName val="Note 36"/>
      <sheetName val="Note 37 ratios"/>
      <sheetName val="Note 38 FVM_1"/>
      <sheetName val="Note 38 FRM1_credit &amp; liquidity"/>
      <sheetName val="Note 38 FRM2_Currency &amp; price"/>
      <sheetName val="Notes 39 to 41"/>
      <sheetName val="Notes 42 to 43"/>
      <sheetName val="AE 21_22"/>
      <sheetName val="AE 22_23"/>
      <sheetName val="Sales return"/>
      <sheetName val="SDS JBA"/>
      <sheetName val="ROU"/>
      <sheetName val="Deferred tax 22-23"/>
      <sheetName val="Deferred tax 21-22"/>
      <sheetName val="Deferred tax 20-21"/>
      <sheetName val="Deferred tax 19-20"/>
      <sheetName val="Deferred tax 18-19"/>
      <sheetName val="Dep as per I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70">
          <cell r="K170">
            <v>34636</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t reco"/>
      <sheetName val="BS"/>
      <sheetName val="PL"/>
      <sheetName val="Cash flow"/>
      <sheetName val="Notes"/>
      <sheetName val="SOCE"/>
      <sheetName val="cash loss"/>
      <sheetName val="Accounting Policies(2)"/>
      <sheetName val="FA"/>
      <sheetName val="Employee benefits Note 35"/>
      <sheetName val="Note 36"/>
      <sheetName val="RPT in thousand"/>
      <sheetName val="Note 37 ratios"/>
      <sheetName val="Note 38 FVM_1"/>
      <sheetName val="Note 38 FRM1_credit &amp; liquidity"/>
      <sheetName val="Note 38 FRM2_Currency &amp; price"/>
      <sheetName val="Notes 39 to 41"/>
      <sheetName val="Notes 42 to 43"/>
      <sheetName val="BS Grouping"/>
      <sheetName val="TB Other"/>
      <sheetName val="PL Grouping"/>
      <sheetName val="TB CY"/>
      <sheetName val="TB PY"/>
      <sheetName val="Sheet2"/>
      <sheetName val="AE 21_22"/>
      <sheetName val="AE 22_23"/>
      <sheetName val="Sales return"/>
      <sheetName val="SDS JBA"/>
      <sheetName val="ROU"/>
      <sheetName val="Deferred tax 22-23"/>
      <sheetName val="Deferred tax 21-22"/>
      <sheetName val="Deferred tax 20-21"/>
      <sheetName val="Deferred tax 19-20"/>
      <sheetName val="Deferred tax 18-19"/>
      <sheetName val="Dep as per IT"/>
    </sheetNames>
    <sheetDataSet>
      <sheetData sheetId="0"/>
      <sheetData sheetId="1">
        <row r="3">
          <cell r="A3" t="str">
            <v>[Currency: Indian Rupees(Rs.'000)]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45" dT="2024-05-09T11:52:05.06" personId="{00000000-0000-0000-0000-000000000000}" id="{70B4B84C-3AB8-42E0-BCFC-C19917C5B31A}">
    <text>25600 difference with filed depreciation schedule as per ITR</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hyperlink" Target="mailto:Purchase@0%25" TargetMode="External"/><Relationship Id="rId7" Type="http://schemas.openxmlformats.org/officeDocument/2006/relationships/printerSettings" Target="../printerSettings/printerSettings19.bin"/><Relationship Id="rId2" Type="http://schemas.openxmlformats.org/officeDocument/2006/relationships/hyperlink" Target="mailto:Purchase@0%25" TargetMode="External"/><Relationship Id="rId1" Type="http://schemas.openxmlformats.org/officeDocument/2006/relationships/hyperlink" Target="mailto:Local@0%25" TargetMode="External"/><Relationship Id="rId6" Type="http://schemas.openxmlformats.org/officeDocument/2006/relationships/hyperlink" Target="mailto:Purchase@0%25" TargetMode="External"/><Relationship Id="rId5" Type="http://schemas.openxmlformats.org/officeDocument/2006/relationships/hyperlink" Target="mailto:Purchase@0%25" TargetMode="External"/><Relationship Id="rId4" Type="http://schemas.openxmlformats.org/officeDocument/2006/relationships/hyperlink" Target="mailto:Purchase@0%25"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6.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0070C0"/>
    <pageSetUpPr fitToPage="1"/>
  </sheetPr>
  <dimension ref="A1:N58"/>
  <sheetViews>
    <sheetView showGridLines="0" view="pageBreakPreview" topLeftCell="A16" zoomScaleSheetLayoutView="100" workbookViewId="0">
      <selection activeCell="N28" sqref="N28"/>
    </sheetView>
  </sheetViews>
  <sheetFormatPr defaultColWidth="9.21875" defaultRowHeight="14.4"/>
  <cols>
    <col min="1" max="1" width="4" style="862" customWidth="1"/>
    <col min="2" max="2" width="55" style="862" customWidth="1"/>
    <col min="3" max="3" width="6.21875" style="889" customWidth="1"/>
    <col min="4" max="4" width="16.77734375" style="862" bestFit="1" customWidth="1"/>
    <col min="5" max="5" width="17.5546875" style="862" hidden="1" customWidth="1"/>
    <col min="6" max="6" width="20.33203125" style="862" bestFit="1" customWidth="1"/>
    <col min="7" max="7" width="24.77734375" style="862" hidden="1" customWidth="1"/>
    <col min="8" max="8" width="16.77734375" style="862" hidden="1" customWidth="1"/>
    <col min="9" max="9" width="15" style="862" hidden="1" customWidth="1"/>
    <col min="10" max="10" width="12.77734375" style="862" hidden="1" customWidth="1"/>
    <col min="11" max="11" width="9.21875" style="862"/>
    <col min="12" max="12" width="12.21875" style="862" bestFit="1" customWidth="1"/>
    <col min="13" max="13" width="11.44140625" style="862" bestFit="1" customWidth="1"/>
    <col min="14" max="14" width="13.6640625" style="862" bestFit="1" customWidth="1"/>
    <col min="15" max="16384" width="9.21875" style="862"/>
  </cols>
  <sheetData>
    <row r="1" spans="1:14">
      <c r="A1" s="719" t="str">
        <f>BS!A1</f>
        <v>1908 E-Ventures Private Limited</v>
      </c>
      <c r="C1" s="863"/>
      <c r="D1" s="720"/>
      <c r="E1" s="720"/>
      <c r="F1" s="720"/>
      <c r="G1" s="720"/>
    </row>
    <row r="2" spans="1:14">
      <c r="A2" s="719" t="s">
        <v>53</v>
      </c>
      <c r="C2" s="863"/>
      <c r="D2" s="720"/>
      <c r="E2" s="720"/>
      <c r="F2" s="720"/>
      <c r="G2" s="720"/>
    </row>
    <row r="3" spans="1:14">
      <c r="A3" s="719" t="s">
        <v>1559</v>
      </c>
      <c r="C3" s="863"/>
      <c r="D3" s="720"/>
      <c r="E3" s="720"/>
      <c r="F3" s="720"/>
      <c r="G3" s="720"/>
    </row>
    <row r="4" spans="1:14">
      <c r="A4" s="696" t="str">
        <f>BS!A3</f>
        <v>[Currency: Indian Rupees(Rs.'000)]</v>
      </c>
      <c r="C4" s="863"/>
      <c r="D4" s="720"/>
      <c r="E4" s="720"/>
      <c r="F4" s="720"/>
      <c r="G4" s="720"/>
    </row>
    <row r="5" spans="1:14" ht="10.5" customHeight="1">
      <c r="B5" s="720"/>
      <c r="C5" s="863"/>
      <c r="D5" s="720"/>
      <c r="E5" s="720"/>
      <c r="F5" s="720"/>
      <c r="G5" s="720"/>
    </row>
    <row r="6" spans="1:14" ht="28.8">
      <c r="B6" s="699" t="s">
        <v>0</v>
      </c>
      <c r="C6" s="699" t="s">
        <v>1</v>
      </c>
      <c r="D6" s="699" t="s">
        <v>556</v>
      </c>
      <c r="E6" s="699" t="s">
        <v>1503</v>
      </c>
      <c r="F6" s="699" t="s">
        <v>549</v>
      </c>
      <c r="G6" s="699" t="s">
        <v>1112</v>
      </c>
    </row>
    <row r="7" spans="1:14">
      <c r="B7" s="864"/>
      <c r="C7" s="865"/>
      <c r="D7" s="866"/>
      <c r="E7" s="866"/>
      <c r="F7" s="866"/>
      <c r="G7" s="866"/>
    </row>
    <row r="8" spans="1:14">
      <c r="B8" s="748" t="s">
        <v>28</v>
      </c>
      <c r="C8" s="867">
        <f>Notes!A419</f>
        <v>25</v>
      </c>
      <c r="D8" s="868">
        <f>ROUND(Notes!C424,0)</f>
        <v>15762039</v>
      </c>
      <c r="E8" s="868">
        <f>ROUND(Notes!D424,0)</f>
        <v>11010719</v>
      </c>
      <c r="F8" s="868">
        <f>ROUND(Notes!E424,0)</f>
        <v>64296378</v>
      </c>
      <c r="G8" s="868">
        <f>ROUND(Notes!F424,0)</f>
        <v>64459893</v>
      </c>
      <c r="I8" s="869"/>
    </row>
    <row r="9" spans="1:14">
      <c r="B9" s="748" t="s">
        <v>29</v>
      </c>
      <c r="C9" s="867">
        <f>Notes!A426</f>
        <v>26</v>
      </c>
      <c r="D9" s="868">
        <f>ROUND(Notes!C438,0)</f>
        <v>14523522</v>
      </c>
      <c r="E9" s="868">
        <f>ROUND(Notes!D438,0)</f>
        <v>8794319</v>
      </c>
      <c r="F9" s="868">
        <f>ROUND(Notes!E438,0)</f>
        <v>2795332</v>
      </c>
      <c r="G9" s="868">
        <f>ROUND(Notes!F438,0)</f>
        <v>1777548</v>
      </c>
      <c r="L9" s="862">
        <v>53423522</v>
      </c>
      <c r="N9" s="1072">
        <f>D9-L9</f>
        <v>-38900000</v>
      </c>
    </row>
    <row r="10" spans="1:14">
      <c r="B10" s="864" t="s">
        <v>30</v>
      </c>
      <c r="C10" s="867"/>
      <c r="D10" s="870">
        <f>SUM(D8:D9)</f>
        <v>30285561</v>
      </c>
      <c r="E10" s="870">
        <f>SUM(E8:E9)</f>
        <v>19805038</v>
      </c>
      <c r="F10" s="870">
        <f>SUM(F8:F9)</f>
        <v>67091710</v>
      </c>
      <c r="G10" s="870">
        <f>SUM(G8:G9)</f>
        <v>66237441</v>
      </c>
      <c r="N10" s="862">
        <v>38900000</v>
      </c>
    </row>
    <row r="11" spans="1:14">
      <c r="B11" s="748"/>
      <c r="C11" s="867"/>
      <c r="D11" s="871"/>
      <c r="E11" s="871"/>
      <c r="F11" s="871"/>
      <c r="G11" s="868"/>
      <c r="N11" s="1072">
        <f>SUM(N9:N10)</f>
        <v>0</v>
      </c>
    </row>
    <row r="12" spans="1:14">
      <c r="B12" s="864" t="s">
        <v>31</v>
      </c>
      <c r="C12" s="867"/>
      <c r="D12" s="871"/>
      <c r="E12" s="871"/>
      <c r="F12" s="871"/>
      <c r="G12" s="868"/>
    </row>
    <row r="13" spans="1:14">
      <c r="B13" s="748" t="s">
        <v>245</v>
      </c>
      <c r="C13" s="867">
        <f>Notes!A440</f>
        <v>27</v>
      </c>
      <c r="D13" s="868">
        <f>ROUND(Notes!C444,0)</f>
        <v>-217287</v>
      </c>
      <c r="E13" s="868">
        <f>ROUND(Notes!D444,0)</f>
        <v>-1757563</v>
      </c>
      <c r="F13" s="868">
        <f>ROUND(Notes!E444,0)</f>
        <v>49863845</v>
      </c>
      <c r="G13" s="868">
        <f>ROUND(Notes!F444,0)</f>
        <v>56229180</v>
      </c>
      <c r="I13" s="869"/>
    </row>
    <row r="14" spans="1:14">
      <c r="B14" s="748" t="s">
        <v>32</v>
      </c>
      <c r="C14" s="867">
        <f>Notes!A446</f>
        <v>28</v>
      </c>
      <c r="D14" s="868">
        <f>ROUND(Notes!C455,0)</f>
        <v>28060951</v>
      </c>
      <c r="E14" s="868">
        <f>ROUND(Notes!D455,0)</f>
        <v>15398308</v>
      </c>
      <c r="F14" s="868">
        <f>ROUND(Notes!E455,0)</f>
        <v>-1787249</v>
      </c>
      <c r="G14" s="868">
        <f>ROUND(Notes!F455,0)</f>
        <v>-9464613</v>
      </c>
    </row>
    <row r="15" spans="1:14">
      <c r="B15" s="748" t="s">
        <v>33</v>
      </c>
      <c r="C15" s="867">
        <f>+Notes!A457</f>
        <v>29</v>
      </c>
      <c r="D15" s="868">
        <f>ROUND(Notes!C466,0)</f>
        <v>6196997</v>
      </c>
      <c r="E15" s="868">
        <f>ROUND(Notes!D466,0)</f>
        <v>6014031</v>
      </c>
      <c r="F15" s="868">
        <f>ROUND(Notes!E466,0)</f>
        <v>21592535</v>
      </c>
      <c r="G15" s="868">
        <f>ROUND(Notes!F466,0)</f>
        <v>17938915</v>
      </c>
    </row>
    <row r="16" spans="1:14">
      <c r="B16" s="748" t="s">
        <v>34</v>
      </c>
      <c r="C16" s="867">
        <f>+Notes!A468</f>
        <v>30</v>
      </c>
      <c r="D16" s="868">
        <f>ROUND(Notes!C475,0)</f>
        <v>1594982</v>
      </c>
      <c r="E16" s="868">
        <f>ROUND(Notes!D475,0)</f>
        <v>457988</v>
      </c>
      <c r="F16" s="868">
        <f>ROUND(Notes!E475,0)</f>
        <v>395272</v>
      </c>
      <c r="G16" s="868">
        <f>ROUND(Notes!F475,0)</f>
        <v>4585229</v>
      </c>
      <c r="I16" s="869"/>
    </row>
    <row r="17" spans="2:13">
      <c r="B17" s="748" t="s">
        <v>35</v>
      </c>
      <c r="C17" s="867">
        <f>Notes!A477</f>
        <v>31</v>
      </c>
      <c r="D17" s="829">
        <f>ROUND(Notes!C483,)+('FA sch'!I23+'FA sch'!I58)*0</f>
        <v>2370544</v>
      </c>
      <c r="E17" s="829">
        <f>'PL Grouping'!AC358</f>
        <v>1554693.5</v>
      </c>
      <c r="F17" s="829">
        <f>ROUND(Notes!E483,0)</f>
        <v>3854623</v>
      </c>
      <c r="G17" s="829">
        <f>ROUND(Notes!F483,0)</f>
        <v>1350262</v>
      </c>
      <c r="I17" s="869">
        <v>303131</v>
      </c>
      <c r="J17" s="869">
        <f>F17-I17</f>
        <v>3551492</v>
      </c>
    </row>
    <row r="18" spans="2:13">
      <c r="B18" s="748" t="s">
        <v>36</v>
      </c>
      <c r="C18" s="867">
        <f>Notes!A485</f>
        <v>32</v>
      </c>
      <c r="D18" s="829">
        <f>ROUND(Notes!C517,0)</f>
        <v>11406995</v>
      </c>
      <c r="E18" s="829">
        <f>ROUND(Notes!D517,0)</f>
        <v>7644456</v>
      </c>
      <c r="F18" s="829">
        <f>ROUND(Notes!E517,0)</f>
        <v>62532317</v>
      </c>
      <c r="G18" s="829">
        <f>ROUND(Notes!F517,0)</f>
        <v>55713860</v>
      </c>
      <c r="I18" s="869"/>
    </row>
    <row r="19" spans="2:13">
      <c r="B19" s="864" t="s">
        <v>37</v>
      </c>
      <c r="C19" s="867"/>
      <c r="D19" s="890">
        <f>SUM(D13:D18)</f>
        <v>49413182</v>
      </c>
      <c r="E19" s="890">
        <f>SUM(E13:E18)+2</f>
        <v>29311915.5</v>
      </c>
      <c r="F19" s="890">
        <f>SUM(F13:F18)+2</f>
        <v>136451345</v>
      </c>
      <c r="G19" s="890">
        <f>SUM(G13:G18)+6</f>
        <v>126352839</v>
      </c>
    </row>
    <row r="20" spans="2:13">
      <c r="B20" s="864"/>
      <c r="C20" s="867"/>
      <c r="D20" s="872"/>
      <c r="E20" s="872"/>
      <c r="F20" s="872"/>
      <c r="G20" s="872"/>
    </row>
    <row r="21" spans="2:13">
      <c r="B21" s="864" t="s">
        <v>38</v>
      </c>
      <c r="C21" s="867"/>
      <c r="D21" s="872">
        <f>D10-D19</f>
        <v>-19127621</v>
      </c>
      <c r="E21" s="872">
        <f>E10-E19</f>
        <v>-9506877.5</v>
      </c>
      <c r="F21" s="872">
        <f>F10-F19</f>
        <v>-69359635</v>
      </c>
      <c r="G21" s="872">
        <f>G10-G19-1</f>
        <v>-60115399</v>
      </c>
      <c r="I21" s="869"/>
      <c r="J21" s="869"/>
      <c r="L21" s="869"/>
    </row>
    <row r="22" spans="2:13">
      <c r="B22" s="748" t="s">
        <v>39</v>
      </c>
      <c r="C22" s="867">
        <f>'Notes 43 to 48'!A22</f>
        <v>45</v>
      </c>
      <c r="D22" s="829">
        <f>-'Notes 43 to 48'!F26*-1</f>
        <v>38286826</v>
      </c>
      <c r="E22" s="829">
        <v>0</v>
      </c>
      <c r="F22" s="829">
        <v>0</v>
      </c>
      <c r="G22" s="829">
        <v>0</v>
      </c>
      <c r="I22" s="869"/>
    </row>
    <row r="23" spans="2:13">
      <c r="B23" s="873" t="s">
        <v>40</v>
      </c>
      <c r="C23" s="865"/>
      <c r="D23" s="872">
        <f>SUM(D21:D22)</f>
        <v>19159205</v>
      </c>
      <c r="E23" s="872">
        <f>SUM(E21:E22)</f>
        <v>-9506877.5</v>
      </c>
      <c r="F23" s="872">
        <f>SUM(F21:F22)</f>
        <v>-69359635</v>
      </c>
      <c r="G23" s="872">
        <f>SUM(G21:G22)</f>
        <v>-60115399</v>
      </c>
    </row>
    <row r="24" spans="2:13">
      <c r="B24" s="874" t="s">
        <v>41</v>
      </c>
      <c r="C24" s="867"/>
      <c r="D24" s="875"/>
      <c r="E24" s="875"/>
      <c r="F24" s="875"/>
      <c r="G24" s="772"/>
    </row>
    <row r="25" spans="2:13">
      <c r="B25" s="876" t="s">
        <v>42</v>
      </c>
      <c r="C25" s="867"/>
      <c r="D25" s="829">
        <v>0</v>
      </c>
      <c r="E25" s="829">
        <v>0</v>
      </c>
      <c r="F25" s="829">
        <v>0</v>
      </c>
      <c r="G25" s="829">
        <v>0</v>
      </c>
    </row>
    <row r="26" spans="2:13">
      <c r="B26" s="876" t="s">
        <v>960</v>
      </c>
      <c r="C26" s="867"/>
      <c r="D26" s="829">
        <f>-Notes!C23</f>
        <v>-7416129</v>
      </c>
      <c r="E26" s="829">
        <v>-7416129</v>
      </c>
      <c r="F26" s="829">
        <f>ROUND('Deferred tax 22-23'!G14,)-4</f>
        <v>-749317</v>
      </c>
      <c r="G26" s="829">
        <v>0</v>
      </c>
      <c r="I26" s="862" t="s">
        <v>1397</v>
      </c>
    </row>
    <row r="27" spans="2:13" ht="15" thickBot="1">
      <c r="B27" s="877" t="s">
        <v>55</v>
      </c>
      <c r="C27" s="867"/>
      <c r="D27" s="878">
        <f>D23+D25+D26</f>
        <v>11743076</v>
      </c>
      <c r="E27" s="878">
        <f>E23+E25+E26-4</f>
        <v>-16923010.5</v>
      </c>
      <c r="F27" s="878">
        <f>F23+F25+F26-4</f>
        <v>-70108956</v>
      </c>
      <c r="G27" s="878">
        <f>G23-G25+G26</f>
        <v>-60115399</v>
      </c>
      <c r="H27" s="879">
        <f>'PL Grouping'!AC385-7416133</f>
        <v>-15346694</v>
      </c>
      <c r="I27" s="880">
        <v>-60115259</v>
      </c>
      <c r="J27" s="869"/>
      <c r="L27" s="869"/>
      <c r="M27" s="882"/>
    </row>
    <row r="28" spans="2:13" ht="15" thickTop="1">
      <c r="B28" s="864"/>
      <c r="C28" s="867"/>
      <c r="D28" s="872"/>
      <c r="E28" s="872"/>
      <c r="F28" s="872"/>
      <c r="G28" s="829"/>
      <c r="H28" s="879">
        <f>E27-H27</f>
        <v>-1576316.5</v>
      </c>
      <c r="I28" s="879">
        <f>G27-I27</f>
        <v>-140</v>
      </c>
      <c r="J28" s="869"/>
    </row>
    <row r="29" spans="2:13">
      <c r="B29" s="864" t="s">
        <v>43</v>
      </c>
      <c r="C29" s="867"/>
      <c r="D29" s="875"/>
      <c r="E29" s="875"/>
      <c r="F29" s="875"/>
      <c r="G29" s="772"/>
    </row>
    <row r="30" spans="2:13">
      <c r="B30" s="864" t="s">
        <v>44</v>
      </c>
      <c r="C30" s="867"/>
      <c r="D30" s="875"/>
      <c r="E30" s="875"/>
      <c r="F30" s="875"/>
      <c r="G30" s="772"/>
      <c r="H30" s="879">
        <f>SUM(H28:H29)</f>
        <v>-1576316.5</v>
      </c>
    </row>
    <row r="31" spans="2:13">
      <c r="B31" s="876" t="s">
        <v>45</v>
      </c>
      <c r="C31" s="867"/>
      <c r="D31" s="829">
        <f>-'PL Grouping'!AJ363</f>
        <v>0</v>
      </c>
      <c r="E31" s="829">
        <f>-'PL Grouping'!AK363</f>
        <v>0</v>
      </c>
      <c r="F31" s="829">
        <f>-'PL Grouping'!AL363</f>
        <v>-42449</v>
      </c>
      <c r="G31" s="829">
        <f>ROUND('PL Grouping'!AM361,0)</f>
        <v>-1661</v>
      </c>
      <c r="I31" s="862">
        <v>-42449</v>
      </c>
    </row>
    <row r="32" spans="2:13">
      <c r="B32" s="876" t="s">
        <v>46</v>
      </c>
      <c r="C32" s="867"/>
      <c r="D32" s="829">
        <v>0</v>
      </c>
      <c r="E32" s="829">
        <v>0</v>
      </c>
      <c r="F32" s="829">
        <v>0</v>
      </c>
      <c r="G32" s="829">
        <v>0</v>
      </c>
      <c r="H32" s="881"/>
    </row>
    <row r="33" spans="2:13">
      <c r="B33" s="864" t="s">
        <v>47</v>
      </c>
      <c r="C33" s="867"/>
      <c r="D33" s="829">
        <v>0</v>
      </c>
      <c r="E33" s="829">
        <v>0</v>
      </c>
      <c r="F33" s="829">
        <v>0</v>
      </c>
      <c r="G33" s="829">
        <v>0</v>
      </c>
      <c r="H33" s="882"/>
    </row>
    <row r="34" spans="2:13">
      <c r="B34" s="876" t="s">
        <v>48</v>
      </c>
      <c r="C34" s="867"/>
      <c r="D34" s="829">
        <v>0</v>
      </c>
      <c r="E34" s="829">
        <v>0</v>
      </c>
      <c r="F34" s="829">
        <v>0</v>
      </c>
      <c r="G34" s="829">
        <v>0</v>
      </c>
    </row>
    <row r="35" spans="2:13">
      <c r="B35" s="873"/>
      <c r="C35" s="867"/>
      <c r="D35" s="872"/>
      <c r="E35" s="872"/>
      <c r="F35" s="872"/>
      <c r="G35" s="829"/>
    </row>
    <row r="36" spans="2:13">
      <c r="B36" s="873" t="s">
        <v>374</v>
      </c>
      <c r="C36" s="867"/>
      <c r="D36" s="872">
        <f>+D27+D31+D32+D34</f>
        <v>11743076</v>
      </c>
      <c r="E36" s="872">
        <f>+E27+E31+E32+E34</f>
        <v>-16923010.5</v>
      </c>
      <c r="F36" s="872">
        <f>+F27+F31+F32+F34</f>
        <v>-70151405</v>
      </c>
      <c r="G36" s="872">
        <f>+G27+G31+G32+G34</f>
        <v>-60117060</v>
      </c>
      <c r="I36" s="879"/>
      <c r="J36" s="883"/>
      <c r="M36" s="1072"/>
    </row>
    <row r="37" spans="2:13">
      <c r="B37" s="748"/>
      <c r="C37" s="867"/>
      <c r="D37" s="772"/>
      <c r="E37" s="772"/>
      <c r="F37" s="772"/>
      <c r="G37" s="772"/>
      <c r="I37" s="879"/>
    </row>
    <row r="38" spans="2:13">
      <c r="B38" s="864" t="s">
        <v>49</v>
      </c>
      <c r="C38" s="867">
        <f>Notes!A519</f>
        <v>33</v>
      </c>
      <c r="D38" s="748"/>
      <c r="E38" s="748"/>
      <c r="F38" s="748"/>
      <c r="G38" s="748"/>
      <c r="I38" s="869"/>
    </row>
    <row r="39" spans="2:13">
      <c r="B39" s="748" t="s">
        <v>50</v>
      </c>
      <c r="C39" s="867"/>
      <c r="D39" s="806">
        <f>Notes!C527</f>
        <v>1.950794059245081</v>
      </c>
      <c r="E39" s="806">
        <f>Notes!D527</f>
        <v>-2.8112999799489637</v>
      </c>
      <c r="F39" s="806">
        <f>Notes!E527</f>
        <v>-11.794389985772836</v>
      </c>
      <c r="G39" s="806">
        <f>Notes!F527</f>
        <v>-10.113179548078543</v>
      </c>
    </row>
    <row r="40" spans="2:13">
      <c r="B40" s="748" t="s">
        <v>52</v>
      </c>
      <c r="C40" s="867"/>
      <c r="D40" s="806">
        <f>+Notes!C528</f>
        <v>1.950794059245081</v>
      </c>
      <c r="E40" s="806">
        <f>+Notes!D528</f>
        <v>-2.8112999799489637</v>
      </c>
      <c r="F40" s="806">
        <f>+Notes!E528</f>
        <v>-11.794389985772836</v>
      </c>
      <c r="G40" s="806">
        <f>+Notes!F528</f>
        <v>-10.113179548078543</v>
      </c>
    </row>
    <row r="41" spans="2:13">
      <c r="B41" s="748"/>
      <c r="C41" s="867"/>
      <c r="D41" s="850"/>
      <c r="E41" s="850"/>
      <c r="F41" s="850"/>
      <c r="G41" s="850"/>
    </row>
    <row r="42" spans="2:13">
      <c r="B42" s="1204" t="s">
        <v>955</v>
      </c>
      <c r="C42" s="867"/>
      <c r="D42" s="884"/>
      <c r="E42" s="884"/>
      <c r="F42" s="884"/>
      <c r="G42" s="884"/>
    </row>
    <row r="43" spans="2:13">
      <c r="B43" s="1204"/>
      <c r="C43" s="867" t="str">
        <f>BS!C56</f>
        <v>1 to 48</v>
      </c>
      <c r="D43" s="884"/>
      <c r="E43" s="884"/>
      <c r="F43" s="884"/>
      <c r="G43" s="884"/>
    </row>
    <row r="44" spans="2:13">
      <c r="B44" s="748" t="s">
        <v>956</v>
      </c>
      <c r="C44" s="867"/>
      <c r="D44" s="884"/>
      <c r="E44" s="884"/>
      <c r="F44" s="884"/>
      <c r="G44" s="884"/>
    </row>
    <row r="45" spans="2:13" ht="9" customHeight="1">
      <c r="B45" s="885"/>
      <c r="C45" s="886"/>
      <c r="D45" s="885"/>
      <c r="E45" s="885"/>
      <c r="F45" s="885"/>
      <c r="G45" s="885"/>
    </row>
    <row r="47" spans="2:13" s="720" customFormat="1">
      <c r="B47" s="719" t="s">
        <v>342</v>
      </c>
      <c r="C47" s="887" t="s">
        <v>322</v>
      </c>
    </row>
    <row r="48" spans="2:13" s="720" customFormat="1">
      <c r="B48" s="720" t="s">
        <v>323</v>
      </c>
      <c r="C48" s="863"/>
    </row>
    <row r="49" spans="2:7" s="720" customFormat="1">
      <c r="B49" s="723" t="s">
        <v>343</v>
      </c>
      <c r="C49" s="863"/>
    </row>
    <row r="50" spans="2:7" s="720" customFormat="1">
      <c r="C50" s="863"/>
    </row>
    <row r="51" spans="2:7" s="720" customFormat="1">
      <c r="C51" s="863"/>
    </row>
    <row r="52" spans="2:7" s="720" customFormat="1">
      <c r="C52" s="863"/>
    </row>
    <row r="53" spans="2:7" s="720" customFormat="1">
      <c r="B53" s="719" t="s">
        <v>344</v>
      </c>
      <c r="C53" s="724" t="str">
        <f>+BS!C63</f>
        <v>Deep A. Lalvani</v>
      </c>
      <c r="F53" s="724" t="str">
        <f>+BS!F63</f>
        <v>Jatin D. Pokarne</v>
      </c>
      <c r="G53" s="724"/>
    </row>
    <row r="54" spans="2:7" s="720" customFormat="1">
      <c r="B54" s="720" t="s">
        <v>346</v>
      </c>
      <c r="C54" s="726" t="str">
        <f>+BS!C64</f>
        <v>Chairman</v>
      </c>
      <c r="F54" s="726" t="str">
        <f>+BS!F64</f>
        <v>Director</v>
      </c>
      <c r="G54" s="726"/>
    </row>
    <row r="55" spans="2:7" s="720" customFormat="1">
      <c r="B55" s="727" t="s">
        <v>348</v>
      </c>
      <c r="C55" s="726" t="str">
        <f>+BS!C65</f>
        <v>DIN: 01771000</v>
      </c>
      <c r="F55" s="726" t="str">
        <f>+BS!F65</f>
        <v>DIN: 10205733</v>
      </c>
      <c r="G55" s="726"/>
    </row>
    <row r="56" spans="2:7" s="720" customFormat="1">
      <c r="B56" s="720" t="str">
        <f>+BS!B66</f>
        <v>Place : Mumbai</v>
      </c>
      <c r="C56" s="888" t="str">
        <f>+BS!C66</f>
        <v>Place : Mumbai</v>
      </c>
      <c r="F56" s="888" t="str">
        <f>+BS!F66</f>
        <v>Place : Mumbai</v>
      </c>
    </row>
    <row r="57" spans="2:7" s="720" customFormat="1">
      <c r="B57" s="720" t="str">
        <f>+BS!B67</f>
        <v>Date : 8th May, 2024</v>
      </c>
      <c r="C57" s="888" t="str">
        <f>+BS!C67</f>
        <v>Date : 8th May, 2024</v>
      </c>
      <c r="F57" s="888" t="str">
        <f>+BS!F67</f>
        <v>Date : 8th May, 2024</v>
      </c>
    </row>
    <row r="58" spans="2:7" s="720" customFormat="1"/>
  </sheetData>
  <mergeCells count="1">
    <mergeCell ref="B42:B43"/>
  </mergeCells>
  <pageMargins left="0.70866141732283472" right="0.70866141732283472" top="0.55118110236220474" bottom="0.39370078740157483" header="0.31496062992125984" footer="0.31496062992125984"/>
  <pageSetup paperSize="9" scale="85"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0070C0"/>
    <pageSetUpPr fitToPage="1"/>
  </sheetPr>
  <dimension ref="A1:R68"/>
  <sheetViews>
    <sheetView showGridLines="0" view="pageBreakPreview" topLeftCell="B43" zoomScaleSheetLayoutView="100" workbookViewId="0">
      <selection activeCell="F63" sqref="F63"/>
    </sheetView>
  </sheetViews>
  <sheetFormatPr defaultColWidth="9.21875" defaultRowHeight="14.4"/>
  <cols>
    <col min="1" max="1" width="4" style="694" customWidth="1"/>
    <col min="2" max="2" width="47.5546875" style="694" customWidth="1"/>
    <col min="3" max="3" width="7.77734375" style="695" customWidth="1"/>
    <col min="4" max="4" width="23.21875" style="695" customWidth="1"/>
    <col min="5" max="5" width="23.21875" style="695" hidden="1" customWidth="1"/>
    <col min="6" max="6" width="23.21875" style="695" customWidth="1"/>
    <col min="7" max="7" width="24.44140625" style="695" hidden="1" customWidth="1"/>
    <col min="8" max="9" width="13.77734375" style="695" hidden="1" customWidth="1"/>
    <col min="10" max="10" width="17.5546875" style="694" hidden="1" customWidth="1"/>
    <col min="11" max="11" width="14.21875" style="659" hidden="1" customWidth="1"/>
    <col min="12" max="12" width="11" style="659" hidden="1" customWidth="1"/>
    <col min="13" max="13" width="14.21875" style="659" hidden="1" customWidth="1"/>
    <col min="14" max="14" width="9.21875" style="694"/>
    <col min="15" max="15" width="15.88671875" style="694" bestFit="1" customWidth="1"/>
    <col min="16" max="17" width="15.109375" style="694" bestFit="1" customWidth="1"/>
    <col min="18" max="18" width="16" style="694" bestFit="1" customWidth="1"/>
    <col min="19" max="16384" width="9.21875" style="694"/>
  </cols>
  <sheetData>
    <row r="1" spans="1:18">
      <c r="A1" s="693" t="s">
        <v>880</v>
      </c>
    </row>
    <row r="2" spans="1:18">
      <c r="A2" s="693" t="s">
        <v>1558</v>
      </c>
    </row>
    <row r="3" spans="1:18">
      <c r="A3" s="696" t="s">
        <v>1500</v>
      </c>
    </row>
    <row r="4" spans="1:18" ht="12.75" customHeight="1" thickBot="1">
      <c r="H4" s="697"/>
      <c r="I4" s="697"/>
    </row>
    <row r="5" spans="1:18" s="698" customFormat="1">
      <c r="B5" s="699" t="s">
        <v>0</v>
      </c>
      <c r="C5" s="699" t="s">
        <v>1</v>
      </c>
      <c r="D5" s="699" t="s">
        <v>1560</v>
      </c>
      <c r="E5" s="699" t="s">
        <v>1502</v>
      </c>
      <c r="F5" s="699" t="s">
        <v>1351</v>
      </c>
      <c r="G5" s="699" t="s">
        <v>1111</v>
      </c>
      <c r="H5" s="700" t="s">
        <v>1447</v>
      </c>
      <c r="I5" s="700" t="s">
        <v>1455</v>
      </c>
      <c r="K5" s="660"/>
      <c r="L5" s="660"/>
      <c r="M5" s="660"/>
    </row>
    <row r="6" spans="1:18">
      <c r="A6" s="701" t="s">
        <v>2</v>
      </c>
      <c r="B6" s="702" t="s">
        <v>3</v>
      </c>
      <c r="C6" s="703"/>
      <c r="D6" s="704"/>
      <c r="E6" s="704"/>
      <c r="F6" s="704"/>
      <c r="G6" s="704"/>
      <c r="H6" s="705"/>
      <c r="I6" s="705"/>
    </row>
    <row r="7" spans="1:18" ht="5.25" customHeight="1">
      <c r="B7" s="706"/>
      <c r="C7" s="661"/>
      <c r="D7" s="661"/>
      <c r="E7" s="661"/>
      <c r="F7" s="661"/>
      <c r="G7" s="661"/>
      <c r="H7" s="662"/>
      <c r="I7" s="662"/>
    </row>
    <row r="8" spans="1:18">
      <c r="A8" s="707" t="s">
        <v>4</v>
      </c>
      <c r="B8" s="702" t="s">
        <v>5</v>
      </c>
      <c r="C8" s="661"/>
      <c r="D8" s="661"/>
      <c r="E8" s="661"/>
      <c r="F8" s="661"/>
      <c r="G8" s="661"/>
      <c r="H8" s="662"/>
      <c r="I8" s="662"/>
      <c r="J8" s="708"/>
    </row>
    <row r="9" spans="1:18">
      <c r="B9" s="706" t="s">
        <v>6</v>
      </c>
      <c r="C9" s="663" t="str">
        <f>LEFT('FA prev year'!A5,1)</f>
        <v>3</v>
      </c>
      <c r="D9" s="664">
        <f>'FA sch'!M23</f>
        <v>179690.04999999993</v>
      </c>
      <c r="E9" s="664">
        <f>'FA sep'!M23</f>
        <v>636036</v>
      </c>
      <c r="F9" s="664">
        <f>+'FA prev year'!M23</f>
        <v>989268</v>
      </c>
      <c r="G9" s="664">
        <f>ROUND('FA prev year'!M42,0)</f>
        <v>961711</v>
      </c>
      <c r="H9" s="662">
        <v>738252</v>
      </c>
      <c r="I9" s="662">
        <v>694465</v>
      </c>
      <c r="K9" s="659">
        <v>19057257.779999997</v>
      </c>
      <c r="L9" s="659">
        <f>F9+F10</f>
        <v>15634555</v>
      </c>
      <c r="Q9" s="694">
        <f>'BS Grouping'!K109</f>
        <v>12815437.57</v>
      </c>
      <c r="R9" s="1035">
        <f>D9+D10</f>
        <v>12815438.050000001</v>
      </c>
    </row>
    <row r="10" spans="1:18">
      <c r="B10" s="706" t="s">
        <v>7</v>
      </c>
      <c r="C10" s="663" t="str">
        <f>LEFT('FA prev year'!A5,1)</f>
        <v>3</v>
      </c>
      <c r="D10" s="664">
        <f>'FA sch'!M58</f>
        <v>12635748</v>
      </c>
      <c r="E10" s="664">
        <f>'FA sep'!M58</f>
        <v>13305604.5</v>
      </c>
      <c r="F10" s="664">
        <f>+'FA prev year'!M58</f>
        <v>14645287</v>
      </c>
      <c r="G10" s="664">
        <f>ROUND('FA prev year'!M74,0)</f>
        <v>17173261</v>
      </c>
      <c r="H10" s="662">
        <v>5561878</v>
      </c>
      <c r="I10" s="662">
        <v>104763</v>
      </c>
      <c r="J10" s="708"/>
      <c r="K10" s="659">
        <v>0</v>
      </c>
      <c r="L10" s="659">
        <f>K9-L9</f>
        <v>3422702.7799999975</v>
      </c>
      <c r="R10" s="964">
        <f>Q9-R9</f>
        <v>-0.48000000044703484</v>
      </c>
    </row>
    <row r="11" spans="1:18">
      <c r="B11" s="706" t="s">
        <v>1255</v>
      </c>
      <c r="C11" s="663">
        <f>+Notes!A5</f>
        <v>4</v>
      </c>
      <c r="D11" s="664">
        <f>ROUND(Notes!C18,0)</f>
        <v>0</v>
      </c>
      <c r="E11" s="664">
        <f>ROUND(Notes!D18,0)</f>
        <v>0</v>
      </c>
      <c r="F11" s="664">
        <f>ROUND(Notes!E18,0)</f>
        <v>569719</v>
      </c>
      <c r="G11" s="664">
        <f>+Notes!F18</f>
        <v>872850</v>
      </c>
      <c r="H11" s="662">
        <v>0</v>
      </c>
      <c r="I11" s="662"/>
      <c r="J11" s="708"/>
      <c r="L11" s="659">
        <f>PL!J17</f>
        <v>3551492</v>
      </c>
    </row>
    <row r="12" spans="1:18">
      <c r="B12" s="706" t="s">
        <v>1251</v>
      </c>
      <c r="C12" s="663">
        <f>Notes!A20</f>
        <v>5</v>
      </c>
      <c r="D12" s="664">
        <f>ROUND(Notes!C33,0)</f>
        <v>0</v>
      </c>
      <c r="E12" s="664">
        <f>ROUND(Notes!D33,0)</f>
        <v>0</v>
      </c>
      <c r="F12" s="664">
        <f>ROUND(Notes!E33,0)</f>
        <v>7416129</v>
      </c>
      <c r="G12" s="664">
        <f>ROUND(Notes!F33,0)</f>
        <v>8165446</v>
      </c>
      <c r="H12" s="662">
        <v>8165446</v>
      </c>
      <c r="I12" s="662">
        <v>8165446</v>
      </c>
      <c r="L12" s="659">
        <f>L10-L11</f>
        <v>-128789.22000000253</v>
      </c>
    </row>
    <row r="13" spans="1:18">
      <c r="B13" s="706" t="s">
        <v>1252</v>
      </c>
      <c r="C13" s="663"/>
      <c r="D13" s="664"/>
      <c r="E13" s="664"/>
      <c r="F13" s="664"/>
      <c r="G13" s="664"/>
      <c r="I13" s="662"/>
    </row>
    <row r="14" spans="1:18">
      <c r="B14" s="706" t="s">
        <v>1415</v>
      </c>
      <c r="C14" s="665">
        <f>Notes!A47</f>
        <v>6</v>
      </c>
      <c r="D14" s="664">
        <f>ROUND(Notes!C55,0)</f>
        <v>0</v>
      </c>
      <c r="E14" s="664">
        <f>ROUND(Notes!D55,0)</f>
        <v>0</v>
      </c>
      <c r="F14" s="664">
        <f>ROUND(Notes!E55,0)</f>
        <v>40000</v>
      </c>
      <c r="G14" s="664">
        <v>0</v>
      </c>
      <c r="H14" s="662"/>
      <c r="I14" s="662"/>
      <c r="O14" s="694" t="s">
        <v>1556</v>
      </c>
    </row>
    <row r="15" spans="1:18">
      <c r="B15" s="706" t="s">
        <v>1416</v>
      </c>
      <c r="C15" s="663">
        <f>Notes!A58</f>
        <v>7</v>
      </c>
      <c r="D15" s="664">
        <f>ROUND(Notes!C65,0)</f>
        <v>0</v>
      </c>
      <c r="E15" s="664">
        <f>ROUND(Notes!D65,0)</f>
        <v>140338</v>
      </c>
      <c r="F15" s="664">
        <f>ROUND(Notes!E65,0)</f>
        <v>404970</v>
      </c>
      <c r="G15" s="664">
        <f>ROUND(Notes!F65,0)</f>
        <v>257339</v>
      </c>
      <c r="H15" s="662">
        <v>252378</v>
      </c>
      <c r="I15" s="662">
        <v>474594</v>
      </c>
      <c r="P15" s="694" t="s">
        <v>1557</v>
      </c>
    </row>
    <row r="16" spans="1:18">
      <c r="B16" s="709" t="s">
        <v>1253</v>
      </c>
      <c r="C16" s="663">
        <f>Notes!A68</f>
        <v>8</v>
      </c>
      <c r="D16" s="664">
        <f>ROUND(Notes!C73,0)</f>
        <v>44148</v>
      </c>
      <c r="E16" s="664">
        <f>ROUND(Notes!D73,0)</f>
        <v>159162</v>
      </c>
      <c r="F16" s="664">
        <f>ROUND(Notes!E73,0)</f>
        <v>164666</v>
      </c>
      <c r="G16" s="664">
        <f>ROUND(Notes!F73,0)</f>
        <v>51405</v>
      </c>
      <c r="H16" s="662">
        <v>138253</v>
      </c>
      <c r="I16" s="662">
        <v>458647</v>
      </c>
      <c r="P16" s="694" t="s">
        <v>1557</v>
      </c>
    </row>
    <row r="17" spans="1:18">
      <c r="B17" s="709" t="s">
        <v>1254</v>
      </c>
      <c r="C17" s="663">
        <f>Notes!A75</f>
        <v>9</v>
      </c>
      <c r="D17" s="664">
        <f>ROUND(Notes!C80,0)</f>
        <v>0</v>
      </c>
      <c r="E17" s="664">
        <f>ROUND(Notes!D80,0)</f>
        <v>0</v>
      </c>
      <c r="F17" s="664">
        <f>ROUND(Notes!E80,0)</f>
        <v>12351</v>
      </c>
      <c r="G17" s="664">
        <f>ROUND(Notes!F80,0)</f>
        <v>27088</v>
      </c>
      <c r="H17" s="662">
        <v>11004</v>
      </c>
      <c r="I17" s="662">
        <v>15133</v>
      </c>
      <c r="O17" s="1040">
        <f>(F17-D17)+(F16-D16)+(F15-D15)</f>
        <v>537839</v>
      </c>
      <c r="P17" s="694" t="s">
        <v>1557</v>
      </c>
    </row>
    <row r="18" spans="1:18">
      <c r="B18" s="706"/>
      <c r="C18" s="661"/>
      <c r="D18" s="761">
        <f>SUM(D9:D17)</f>
        <v>12859586.050000001</v>
      </c>
      <c r="E18" s="761">
        <f>SUM(E9:E17)</f>
        <v>14241140.5</v>
      </c>
      <c r="F18" s="761">
        <f>SUM(F9:F17)+10</f>
        <v>24242400</v>
      </c>
      <c r="G18" s="666">
        <f>SUM(G9:G17)</f>
        <v>27509100</v>
      </c>
      <c r="H18" s="667">
        <f>SUM(H9:H17)</f>
        <v>14867211</v>
      </c>
      <c r="I18" s="667">
        <f>SUM(I9:I17)</f>
        <v>9913048</v>
      </c>
    </row>
    <row r="19" spans="1:18">
      <c r="A19" s="707" t="s">
        <v>8</v>
      </c>
      <c r="B19" s="702" t="s">
        <v>9</v>
      </c>
      <c r="C19" s="661"/>
      <c r="D19" s="664"/>
      <c r="E19" s="664"/>
      <c r="F19" s="664"/>
      <c r="G19" s="664"/>
      <c r="H19" s="662"/>
      <c r="I19" s="662"/>
    </row>
    <row r="20" spans="1:18">
      <c r="B20" s="706" t="s">
        <v>10</v>
      </c>
      <c r="C20" s="663">
        <f>Notes!A82</f>
        <v>10</v>
      </c>
      <c r="D20" s="664">
        <f>ROUND(Notes!C87,0)</f>
        <v>0</v>
      </c>
      <c r="E20" s="664">
        <f>ROUND(Notes!D87,0)</f>
        <v>12662643</v>
      </c>
      <c r="F20" s="664">
        <f>ROUND(Notes!E87,0)</f>
        <v>28060951</v>
      </c>
      <c r="G20" s="664">
        <f>ROUND(Notes!F87,0)</f>
        <v>26273701</v>
      </c>
      <c r="H20" s="662">
        <v>16809604</v>
      </c>
      <c r="I20" s="662">
        <v>7412151</v>
      </c>
      <c r="O20" s="1040">
        <f>D20-F20</f>
        <v>-28060951</v>
      </c>
      <c r="P20" s="694" t="s">
        <v>1557</v>
      </c>
      <c r="Q20" s="694">
        <v>28023072.66</v>
      </c>
      <c r="R20" s="963">
        <f>F20-Q20</f>
        <v>37878.339999999851</v>
      </c>
    </row>
    <row r="21" spans="1:18">
      <c r="B21" s="706" t="s">
        <v>11</v>
      </c>
      <c r="C21" s="661"/>
      <c r="D21" s="664"/>
      <c r="E21" s="664"/>
      <c r="F21" s="664"/>
      <c r="G21" s="664"/>
      <c r="H21" s="662"/>
      <c r="I21" s="662"/>
    </row>
    <row r="22" spans="1:18">
      <c r="B22" s="710" t="s">
        <v>558</v>
      </c>
      <c r="C22" s="663">
        <f>Notes!A90</f>
        <v>11</v>
      </c>
      <c r="D22" s="664">
        <f>ROUND(Notes!C98,0)</f>
        <v>16202</v>
      </c>
      <c r="E22" s="664">
        <f>ROUND(Notes!D98,0)</f>
        <v>3072116</v>
      </c>
      <c r="F22" s="664">
        <f>ROUND(Notes!E98,0)</f>
        <v>2662259</v>
      </c>
      <c r="G22" s="664">
        <f>ROUND(Notes!F98,0)</f>
        <v>4706908</v>
      </c>
      <c r="H22" s="662">
        <v>4961318</v>
      </c>
      <c r="I22" s="662">
        <v>3465198</v>
      </c>
      <c r="O22" s="1041">
        <f>D22-F22</f>
        <v>-2646057</v>
      </c>
      <c r="P22" s="694" t="s">
        <v>1557</v>
      </c>
    </row>
    <row r="23" spans="1:18">
      <c r="B23" s="710" t="s">
        <v>559</v>
      </c>
      <c r="C23" s="663">
        <f>Notes!A133</f>
        <v>12</v>
      </c>
      <c r="D23" s="664">
        <f>ROUND(Notes!C144,0)</f>
        <v>471884</v>
      </c>
      <c r="E23" s="664">
        <f>ROUND(Notes!D144,0)</f>
        <v>2793221</v>
      </c>
      <c r="F23" s="664">
        <f>ROUND(Notes!E144,0)</f>
        <v>43169</v>
      </c>
      <c r="G23" s="664">
        <f>ROUND(Notes!F144,0)</f>
        <v>41102092</v>
      </c>
      <c r="H23" s="662">
        <v>212620</v>
      </c>
      <c r="I23" s="662">
        <v>895556</v>
      </c>
    </row>
    <row r="24" spans="1:18">
      <c r="B24" s="710" t="s">
        <v>758</v>
      </c>
      <c r="C24" s="663">
        <f>Notes!A146</f>
        <v>13</v>
      </c>
      <c r="D24" s="664">
        <f>ROUND(Notes!C153,0)</f>
        <v>25019</v>
      </c>
      <c r="E24" s="664">
        <f>ROUND(Notes!D153,0)</f>
        <v>3679</v>
      </c>
      <c r="F24" s="664">
        <f>ROUND(Notes!E153,0)</f>
        <v>3679</v>
      </c>
      <c r="G24" s="664">
        <f>ROUND(Notes!F153,0)</f>
        <v>93710</v>
      </c>
      <c r="H24" s="662">
        <v>16949</v>
      </c>
      <c r="I24" s="662">
        <v>181851</v>
      </c>
      <c r="O24" s="1041">
        <f t="shared" ref="O24:O25" si="0">D24-F24</f>
        <v>21340</v>
      </c>
      <c r="P24" s="694" t="s">
        <v>1557</v>
      </c>
    </row>
    <row r="25" spans="1:18">
      <c r="B25" s="706" t="s">
        <v>12</v>
      </c>
      <c r="C25" s="663">
        <f>Notes!A155</f>
        <v>14</v>
      </c>
      <c r="D25" s="664">
        <f>ROUND(Notes!C162,0)</f>
        <v>19062967</v>
      </c>
      <c r="E25" s="664">
        <f>ROUND(Notes!D162,0)</f>
        <v>22955144</v>
      </c>
      <c r="F25" s="664">
        <f>ROUND(Notes!E162,0)</f>
        <v>24937381</v>
      </c>
      <c r="G25" s="664">
        <f>ROUND(Notes!F162,0)</f>
        <v>18652192</v>
      </c>
      <c r="H25" s="662">
        <v>8986308</v>
      </c>
      <c r="I25" s="662">
        <v>3865479</v>
      </c>
      <c r="O25" s="1041">
        <f t="shared" si="0"/>
        <v>-5874414</v>
      </c>
      <c r="P25" s="694" t="s">
        <v>1557</v>
      </c>
    </row>
    <row r="26" spans="1:18">
      <c r="B26" s="706"/>
      <c r="C26" s="661"/>
      <c r="D26" s="761">
        <f>SUM(D20:D25)</f>
        <v>19576072</v>
      </c>
      <c r="E26" s="761">
        <f>SUM(E20:E25)</f>
        <v>41486803</v>
      </c>
      <c r="F26" s="761">
        <f>SUM(F20:F25)+2</f>
        <v>55707441</v>
      </c>
      <c r="G26" s="666">
        <f>SUM(G20:G25)</f>
        <v>90828603</v>
      </c>
      <c r="H26" s="667">
        <f>SUM(H20:H25)</f>
        <v>30986799</v>
      </c>
      <c r="I26" s="667">
        <f>SUM(I20:I25)</f>
        <v>15820235</v>
      </c>
      <c r="O26" s="1042">
        <f>SUM(O24:O25)</f>
        <v>-5853074</v>
      </c>
      <c r="P26" s="694" t="s">
        <v>1557</v>
      </c>
    </row>
    <row r="27" spans="1:18">
      <c r="B27" s="706"/>
      <c r="C27" s="661"/>
      <c r="D27" s="664"/>
      <c r="E27" s="664"/>
      <c r="F27" s="664"/>
      <c r="G27" s="664"/>
      <c r="H27" s="662"/>
      <c r="I27" s="662"/>
    </row>
    <row r="28" spans="1:18" ht="15" thickBot="1">
      <c r="B28" s="711" t="s">
        <v>13</v>
      </c>
      <c r="C28" s="661"/>
      <c r="D28" s="729">
        <f>D18+D26</f>
        <v>32435658.050000001</v>
      </c>
      <c r="E28" s="729">
        <f>E18+E26</f>
        <v>55727943.5</v>
      </c>
      <c r="F28" s="729">
        <f>F18+F26</f>
        <v>79949841</v>
      </c>
      <c r="G28" s="729">
        <f>G18+G26+2</f>
        <v>118337705</v>
      </c>
      <c r="H28" s="668">
        <f>H18+H26</f>
        <v>45854010</v>
      </c>
      <c r="I28" s="668">
        <f>I18+I26</f>
        <v>25733283</v>
      </c>
      <c r="J28" s="694">
        <f>'BS Grouping'!AC209</f>
        <v>58745965.640000001</v>
      </c>
    </row>
    <row r="29" spans="1:18" ht="10.5" customHeight="1" thickTop="1" thickBot="1">
      <c r="B29" s="712"/>
      <c r="C29" s="669"/>
      <c r="D29" s="670"/>
      <c r="E29" s="670"/>
      <c r="F29" s="670"/>
      <c r="G29" s="670"/>
      <c r="H29" s="662"/>
      <c r="I29" s="662"/>
      <c r="O29" s="963"/>
    </row>
    <row r="30" spans="1:18">
      <c r="A30" s="701" t="s">
        <v>14</v>
      </c>
      <c r="B30" s="702" t="s">
        <v>15</v>
      </c>
      <c r="C30" s="661"/>
      <c r="D30" s="664"/>
      <c r="E30" s="664"/>
      <c r="F30" s="664"/>
      <c r="G30" s="664"/>
      <c r="H30" s="671"/>
      <c r="I30" s="671"/>
      <c r="J30" s="672">
        <f>J28-E28</f>
        <v>3018022.1400000006</v>
      </c>
    </row>
    <row r="31" spans="1:18" ht="3.75" customHeight="1">
      <c r="B31" s="706"/>
      <c r="C31" s="661"/>
      <c r="D31" s="664"/>
      <c r="E31" s="664"/>
      <c r="F31" s="664"/>
      <c r="G31" s="664"/>
      <c r="H31" s="662"/>
      <c r="I31" s="662"/>
    </row>
    <row r="32" spans="1:18">
      <c r="B32" s="702" t="s">
        <v>16</v>
      </c>
      <c r="C32" s="661"/>
      <c r="D32" s="664"/>
      <c r="E32" s="664"/>
      <c r="F32" s="664"/>
      <c r="G32" s="664"/>
      <c r="H32" s="662"/>
      <c r="I32" s="662"/>
    </row>
    <row r="33" spans="1:17">
      <c r="B33" s="706" t="s">
        <v>17</v>
      </c>
      <c r="C33" s="663">
        <f>Notes!A164</f>
        <v>15</v>
      </c>
      <c r="D33" s="664">
        <f>SOCE!E14</f>
        <v>60196390</v>
      </c>
      <c r="E33" s="664">
        <f>SOCE!E14</f>
        <v>60196390</v>
      </c>
      <c r="F33" s="664">
        <f>ROUND(SOCE!G14,0)</f>
        <v>59945140</v>
      </c>
      <c r="G33" s="664">
        <f>SOCE!I14</f>
        <v>59442630</v>
      </c>
      <c r="H33" s="662">
        <v>31993290</v>
      </c>
      <c r="I33" s="662">
        <v>18041150</v>
      </c>
      <c r="J33" s="708"/>
      <c r="O33" s="756"/>
    </row>
    <row r="34" spans="1:17">
      <c r="B34" s="703" t="s">
        <v>18</v>
      </c>
      <c r="C34" s="663">
        <f>Notes!A301</f>
        <v>16</v>
      </c>
      <c r="D34" s="664">
        <f>SOCE!G29</f>
        <v>-35026408</v>
      </c>
      <c r="E34" s="664">
        <f>SOCE!G41</f>
        <v>-63692497.5</v>
      </c>
      <c r="F34" s="664">
        <f>SOCE!G54</f>
        <v>-49018174</v>
      </c>
      <c r="G34" s="664">
        <f>ROUND(Notes!F316,0)</f>
        <v>16635768</v>
      </c>
      <c r="H34" s="662">
        <v>-62793926</v>
      </c>
      <c r="I34" s="662">
        <v>-57152023</v>
      </c>
      <c r="O34" s="756">
        <v>26675356</v>
      </c>
      <c r="P34" s="756">
        <f>O34-D35</f>
        <v>1505374</v>
      </c>
      <c r="Q34" s="756"/>
    </row>
    <row r="35" spans="1:17">
      <c r="B35" s="706"/>
      <c r="C35" s="661"/>
      <c r="D35" s="666">
        <f t="shared" ref="D35:I35" si="1">SUM(D33:D34)</f>
        <v>25169982</v>
      </c>
      <c r="E35" s="666">
        <f t="shared" si="1"/>
        <v>-3496107.5</v>
      </c>
      <c r="F35" s="666">
        <f t="shared" si="1"/>
        <v>10926966</v>
      </c>
      <c r="G35" s="666">
        <f t="shared" si="1"/>
        <v>76078398</v>
      </c>
      <c r="H35" s="667">
        <f t="shared" si="1"/>
        <v>-30800636</v>
      </c>
      <c r="I35" s="667">
        <f t="shared" si="1"/>
        <v>-39110873</v>
      </c>
      <c r="J35" s="708"/>
      <c r="K35" s="659">
        <f>'BS Grouping'!AC11+'BS Grouping'!AC15</f>
        <v>-1372274.9699999988</v>
      </c>
    </row>
    <row r="36" spans="1:17">
      <c r="B36" s="702" t="s">
        <v>19</v>
      </c>
      <c r="C36" s="661"/>
      <c r="D36" s="664"/>
      <c r="E36" s="664"/>
      <c r="F36" s="664"/>
      <c r="G36" s="664"/>
      <c r="H36" s="662"/>
      <c r="I36" s="662"/>
      <c r="K36" s="659">
        <f>E35-K35</f>
        <v>-2123832.5300000012</v>
      </c>
    </row>
    <row r="37" spans="1:17">
      <c r="A37" s="707" t="s">
        <v>4</v>
      </c>
      <c r="B37" s="702" t="s">
        <v>20</v>
      </c>
      <c r="C37" s="661"/>
      <c r="D37" s="664"/>
      <c r="E37" s="664"/>
      <c r="F37" s="664"/>
      <c r="G37" s="664"/>
      <c r="H37" s="662"/>
      <c r="I37" s="662"/>
      <c r="J37" s="708"/>
    </row>
    <row r="38" spans="1:17">
      <c r="B38" s="706" t="s">
        <v>21</v>
      </c>
      <c r="C38" s="661"/>
      <c r="D38" s="664"/>
      <c r="E38" s="664"/>
      <c r="F38" s="664"/>
      <c r="G38" s="664"/>
      <c r="H38" s="662"/>
      <c r="I38" s="662"/>
    </row>
    <row r="39" spans="1:17">
      <c r="B39" s="710" t="s">
        <v>1257</v>
      </c>
      <c r="C39" s="663">
        <f>Notes!A318</f>
        <v>17</v>
      </c>
      <c r="D39" s="664">
        <f>ROUND(Notes!C321,)</f>
        <v>0</v>
      </c>
      <c r="E39" s="664">
        <f>ROUND(Notes!D321,)</f>
        <v>0</v>
      </c>
      <c r="F39" s="664">
        <f>ROUND(Notes!E321,)</f>
        <v>275494</v>
      </c>
      <c r="G39" s="664">
        <f>ROUND(Notes!F321,)</f>
        <v>601532</v>
      </c>
      <c r="H39" s="662">
        <v>0</v>
      </c>
      <c r="I39" s="662"/>
      <c r="O39" s="756"/>
    </row>
    <row r="40" spans="1:17">
      <c r="B40" s="710" t="s">
        <v>1256</v>
      </c>
      <c r="C40" s="663">
        <f>C39+1</f>
        <v>18</v>
      </c>
      <c r="D40" s="664">
        <f>Notes!C332</f>
        <v>0</v>
      </c>
      <c r="E40" s="664">
        <f>Notes!D332</f>
        <v>25500000</v>
      </c>
      <c r="F40" s="664">
        <v>0</v>
      </c>
      <c r="G40" s="664"/>
      <c r="H40" s="662">
        <v>30821780</v>
      </c>
      <c r="I40" s="662">
        <v>22397242</v>
      </c>
      <c r="O40" s="756" t="s">
        <v>1631</v>
      </c>
    </row>
    <row r="41" spans="1:17">
      <c r="B41" s="706" t="s">
        <v>332</v>
      </c>
      <c r="C41" s="663">
        <f>Notes!A334</f>
        <v>19</v>
      </c>
      <c r="D41" s="664">
        <f>ROUND(Notes!C340,0)</f>
        <v>0</v>
      </c>
      <c r="E41" s="664">
        <f>ROUND(Notes!D340,0)</f>
        <v>1447031</v>
      </c>
      <c r="F41" s="664">
        <f>ROUND(Notes!E340,0)</f>
        <v>2213525</v>
      </c>
      <c r="G41" s="664">
        <f>ROUND(Notes!F340,0)</f>
        <v>1657085</v>
      </c>
      <c r="H41" s="662">
        <v>1233428</v>
      </c>
      <c r="I41" s="662">
        <v>1023460</v>
      </c>
      <c r="O41" s="756">
        <f t="shared" ref="O41" si="2">D41-F41</f>
        <v>-2213525</v>
      </c>
    </row>
    <row r="42" spans="1:17">
      <c r="B42" s="706"/>
      <c r="C42" s="661"/>
      <c r="D42" s="666">
        <f t="shared" ref="D42:I42" si="3">SUM(D39:D41)</f>
        <v>0</v>
      </c>
      <c r="E42" s="666">
        <f t="shared" si="3"/>
        <v>26947031</v>
      </c>
      <c r="F42" s="666">
        <f t="shared" si="3"/>
        <v>2489019</v>
      </c>
      <c r="G42" s="666">
        <f t="shared" si="3"/>
        <v>2258617</v>
      </c>
      <c r="H42" s="667">
        <f t="shared" si="3"/>
        <v>32055208</v>
      </c>
      <c r="I42" s="667">
        <f t="shared" si="3"/>
        <v>23420702</v>
      </c>
    </row>
    <row r="43" spans="1:17">
      <c r="A43" s="707" t="s">
        <v>8</v>
      </c>
      <c r="B43" s="702" t="s">
        <v>23</v>
      </c>
      <c r="C43" s="661"/>
      <c r="D43" s="664"/>
      <c r="E43" s="664"/>
      <c r="F43" s="664"/>
      <c r="G43" s="664"/>
      <c r="H43" s="662"/>
      <c r="I43" s="662"/>
    </row>
    <row r="44" spans="1:17">
      <c r="B44" s="706" t="s">
        <v>21</v>
      </c>
      <c r="C44" s="661"/>
      <c r="D44" s="664"/>
      <c r="E44" s="664"/>
      <c r="F44" s="664"/>
      <c r="G44" s="664"/>
      <c r="H44" s="662"/>
      <c r="I44" s="662"/>
    </row>
    <row r="45" spans="1:17">
      <c r="B45" s="710" t="s">
        <v>1257</v>
      </c>
      <c r="C45" s="663">
        <f>+C39</f>
        <v>17</v>
      </c>
      <c r="D45" s="664">
        <f>ROUND(Notes!C322,)</f>
        <v>0</v>
      </c>
      <c r="E45" s="664">
        <f>ROUND(Notes!D322,)</f>
        <v>0</v>
      </c>
      <c r="F45" s="664">
        <f>ROUND(Notes!E322,)</f>
        <v>326038</v>
      </c>
      <c r="G45" s="664">
        <f>ROUND(Notes!F322,)</f>
        <v>274741</v>
      </c>
      <c r="H45" s="662">
        <v>0</v>
      </c>
      <c r="I45" s="662"/>
      <c r="O45" s="756"/>
    </row>
    <row r="46" spans="1:17">
      <c r="B46" s="710" t="s">
        <v>1275</v>
      </c>
      <c r="C46" s="663">
        <f>+Notes!A342</f>
        <v>20</v>
      </c>
      <c r="D46" s="664">
        <f>ROUND(Notes!C355,0)</f>
        <v>0</v>
      </c>
      <c r="E46" s="664">
        <f>ROUND(Notes!D355,0)</f>
        <v>592864</v>
      </c>
      <c r="F46" s="664">
        <f>ROUND(Notes!E355,0)</f>
        <v>15311609</v>
      </c>
      <c r="G46" s="664">
        <f>ROUND(Notes!F355,0)</f>
        <v>2843006</v>
      </c>
      <c r="H46" s="662">
        <v>25796419</v>
      </c>
      <c r="I46" s="662">
        <v>27380316</v>
      </c>
      <c r="O46" s="756" t="s">
        <v>1631</v>
      </c>
    </row>
    <row r="47" spans="1:17">
      <c r="B47" s="710" t="s">
        <v>1276</v>
      </c>
      <c r="C47" s="663">
        <f>+Notes!A359</f>
        <v>21</v>
      </c>
      <c r="D47" s="664"/>
      <c r="E47" s="664"/>
      <c r="F47" s="664"/>
      <c r="G47" s="664"/>
      <c r="H47" s="662"/>
      <c r="I47" s="662"/>
      <c r="O47" s="756">
        <f t="shared" ref="O47:O50" si="4">D47-F47</f>
        <v>0</v>
      </c>
    </row>
    <row r="48" spans="1:17" ht="28.8">
      <c r="B48" s="713" t="s">
        <v>1278</v>
      </c>
      <c r="C48" s="663"/>
      <c r="D48" s="664">
        <f>ROUND(Notes!C362,0)</f>
        <v>212179</v>
      </c>
      <c r="E48" s="664">
        <f>ROUND(Notes!D362,0)</f>
        <v>0</v>
      </c>
      <c r="F48" s="664">
        <f>ROUND(Notes!E362,0)</f>
        <v>21277182</v>
      </c>
      <c r="G48" s="664">
        <f>ROUND(Notes!F362,0)</f>
        <v>5514596</v>
      </c>
      <c r="H48" s="662">
        <v>989511</v>
      </c>
      <c r="I48" s="662">
        <v>10733022</v>
      </c>
      <c r="O48" s="756">
        <f t="shared" si="4"/>
        <v>-21065003</v>
      </c>
    </row>
    <row r="49" spans="2:18" ht="28.8">
      <c r="B49" s="713" t="s">
        <v>1279</v>
      </c>
      <c r="C49" s="663"/>
      <c r="D49" s="1202">
        <f>ROUND(Notes!C363,0)</f>
        <v>6767567</v>
      </c>
      <c r="E49" s="664">
        <f>ROUND(Notes!D363,0)</f>
        <v>31111996</v>
      </c>
      <c r="F49" s="1202">
        <f>ROUND(Notes!E363,0)</f>
        <v>27088910</v>
      </c>
      <c r="G49" s="664">
        <f>ROUND(Notes!F363,0)</f>
        <v>29121860</v>
      </c>
      <c r="H49" s="662">
        <v>15005574</v>
      </c>
      <c r="I49" s="662"/>
      <c r="O49" s="756">
        <f t="shared" si="4"/>
        <v>-20321343</v>
      </c>
    </row>
    <row r="50" spans="2:18">
      <c r="B50" s="710" t="s">
        <v>1277</v>
      </c>
      <c r="C50" s="663">
        <f>Notes!A385</f>
        <v>22</v>
      </c>
      <c r="D50" s="664">
        <f>ROUND(Notes!C394,0)</f>
        <v>285928</v>
      </c>
      <c r="E50" s="664">
        <f>ROUND(Notes!D394,0)</f>
        <v>521099</v>
      </c>
      <c r="F50" s="664">
        <f>ROUND(Notes!E394,0)</f>
        <v>1893151</v>
      </c>
      <c r="G50" s="664">
        <f>ROUND(Notes!F394,0)</f>
        <v>1762027</v>
      </c>
      <c r="H50" s="662">
        <v>2451712</v>
      </c>
      <c r="I50" s="662">
        <v>3048239</v>
      </c>
      <c r="O50" s="756">
        <f t="shared" si="4"/>
        <v>-1607223</v>
      </c>
    </row>
    <row r="51" spans="2:18">
      <c r="B51" s="706" t="s">
        <v>26</v>
      </c>
      <c r="C51" s="663">
        <f>Notes!A396</f>
        <v>23</v>
      </c>
      <c r="D51" s="664">
        <f>ROUND(Notes!C403,0)</f>
        <v>0</v>
      </c>
      <c r="E51" s="664">
        <f>ROUND(Notes!D403,0)</f>
        <v>51053</v>
      </c>
      <c r="F51" s="664">
        <f>ROUND(Notes!E403,0)</f>
        <v>636960</v>
      </c>
      <c r="G51" s="664">
        <f>ROUND(Notes!F403,0)</f>
        <v>484448</v>
      </c>
      <c r="H51" s="662">
        <v>356221</v>
      </c>
      <c r="I51" s="662">
        <v>261877</v>
      </c>
      <c r="O51" s="756">
        <f>D51-F51</f>
        <v>-636960</v>
      </c>
    </row>
    <row r="52" spans="2:18">
      <c r="B52" s="706"/>
      <c r="C52" s="661"/>
      <c r="D52" s="666">
        <f>SUM(D44:D51)+5</f>
        <v>7265679</v>
      </c>
      <c r="E52" s="666">
        <f>SUM(E44:E51)+1</f>
        <v>32277013</v>
      </c>
      <c r="F52" s="666">
        <f>SUM(F44:F51)+1</f>
        <v>66533851</v>
      </c>
      <c r="G52" s="666">
        <f>SUM(G44:G51)+9</f>
        <v>40000687</v>
      </c>
      <c r="H52" s="667">
        <f>SUM(H44:H51)</f>
        <v>44599437</v>
      </c>
      <c r="I52" s="667">
        <f>SUM(I44:I51)</f>
        <v>41423454</v>
      </c>
      <c r="O52" s="756">
        <f>SUM(O39:O51)</f>
        <v>-45844054</v>
      </c>
    </row>
    <row r="53" spans="2:18">
      <c r="B53" s="706"/>
      <c r="C53" s="661"/>
      <c r="D53" s="664"/>
      <c r="E53" s="664"/>
      <c r="F53" s="664"/>
      <c r="G53" s="664"/>
      <c r="H53" s="662"/>
      <c r="I53" s="662"/>
    </row>
    <row r="54" spans="2:18" ht="15" thickBot="1">
      <c r="B54" s="711" t="s">
        <v>27</v>
      </c>
      <c r="C54" s="661"/>
      <c r="D54" s="729">
        <f>D42+D52+D35</f>
        <v>32435661</v>
      </c>
      <c r="E54" s="729">
        <f>E42+E52+E35</f>
        <v>55727936.5</v>
      </c>
      <c r="F54" s="729">
        <f>F42+F52+F35+6</f>
        <v>79949842</v>
      </c>
      <c r="G54" s="729">
        <f>G42+G52+G35+5</f>
        <v>118337707</v>
      </c>
      <c r="H54" s="668">
        <f>H42+H52+H35</f>
        <v>45854009</v>
      </c>
      <c r="I54" s="668">
        <f>I42+I52+I35</f>
        <v>25733283</v>
      </c>
      <c r="J54" s="659">
        <f>'BS Grouping'!AC208</f>
        <v>57577946.329999983</v>
      </c>
      <c r="K54" s="659">
        <f>E54-J54</f>
        <v>-1850009.8299999833</v>
      </c>
      <c r="O54" s="1036">
        <f>D54-D28</f>
        <v>2.9499999992549419</v>
      </c>
      <c r="P54" s="1033"/>
      <c r="Q54" s="951">
        <f>E54-E28</f>
        <v>-7</v>
      </c>
      <c r="R54" s="951">
        <f>F54-F28</f>
        <v>1</v>
      </c>
    </row>
    <row r="55" spans="2:18" ht="15" thickTop="1">
      <c r="B55" s="706"/>
      <c r="C55" s="703"/>
      <c r="D55" s="703"/>
      <c r="E55" s="703"/>
      <c r="F55" s="703"/>
      <c r="G55" s="703"/>
      <c r="H55" s="714"/>
      <c r="I55" s="714"/>
    </row>
    <row r="56" spans="2:18" ht="43.2">
      <c r="B56" s="715" t="s">
        <v>1527</v>
      </c>
      <c r="C56" s="716" t="str">
        <f>"1 to " &amp;'Notes 43 to 48'!A33</f>
        <v>1 to 48</v>
      </c>
      <c r="D56" s="717"/>
      <c r="E56" s="717"/>
      <c r="F56" s="717"/>
      <c r="G56" s="717"/>
      <c r="H56" s="718"/>
      <c r="I56" s="718"/>
      <c r="O56" s="740"/>
      <c r="P56" s="964">
        <f>SOCE!Q54</f>
        <v>0</v>
      </c>
    </row>
    <row r="57" spans="2:18" ht="17.25" customHeight="1">
      <c r="P57" s="811"/>
    </row>
    <row r="58" spans="2:18" s="720" customFormat="1">
      <c r="B58" s="719" t="s">
        <v>342</v>
      </c>
      <c r="C58" s="719" t="s">
        <v>322</v>
      </c>
      <c r="G58" s="673">
        <f>E54-E28</f>
        <v>-7</v>
      </c>
      <c r="H58" s="673">
        <f>F54-F28</f>
        <v>1</v>
      </c>
      <c r="I58" s="721">
        <f t="shared" ref="I58:K58" si="5">G54-G28</f>
        <v>2</v>
      </c>
      <c r="J58" s="721">
        <f t="shared" si="5"/>
        <v>-1</v>
      </c>
      <c r="K58" s="721">
        <f t="shared" si="5"/>
        <v>0</v>
      </c>
      <c r="L58" s="674"/>
      <c r="M58" s="674"/>
      <c r="P58" s="961"/>
    </row>
    <row r="59" spans="2:18" s="720" customFormat="1">
      <c r="B59" s="720" t="s">
        <v>323</v>
      </c>
      <c r="G59" s="722">
        <f>'BS Grouping'!U3</f>
        <v>-280479.28333336115</v>
      </c>
      <c r="K59" s="674"/>
      <c r="L59" s="674"/>
      <c r="M59" s="674"/>
    </row>
    <row r="60" spans="2:18" s="720" customFormat="1">
      <c r="B60" s="723" t="s">
        <v>343</v>
      </c>
      <c r="G60" s="722">
        <f>G58-G59</f>
        <v>280472.28333336115</v>
      </c>
      <c r="I60" s="722">
        <f>G59*2</f>
        <v>-560958.5666667223</v>
      </c>
      <c r="K60" s="674"/>
      <c r="L60" s="674"/>
      <c r="M60" s="674"/>
    </row>
    <row r="61" spans="2:18" s="720" customFormat="1">
      <c r="K61" s="674"/>
      <c r="L61" s="674"/>
      <c r="M61" s="674"/>
    </row>
    <row r="62" spans="2:18" s="720" customFormat="1">
      <c r="K62" s="674"/>
      <c r="L62" s="674"/>
      <c r="M62" s="674"/>
    </row>
    <row r="63" spans="2:18" s="720" customFormat="1">
      <c r="B63" s="719" t="s">
        <v>344</v>
      </c>
      <c r="C63" s="724" t="s">
        <v>345</v>
      </c>
      <c r="D63" s="725"/>
      <c r="E63" s="725"/>
      <c r="F63" s="725" t="s">
        <v>1533</v>
      </c>
      <c r="G63" s="725"/>
      <c r="H63" s="719"/>
      <c r="I63" s="719"/>
      <c r="K63" s="674"/>
      <c r="L63" s="674"/>
      <c r="M63" s="674"/>
    </row>
    <row r="64" spans="2:18" s="720" customFormat="1">
      <c r="B64" s="720" t="s">
        <v>346</v>
      </c>
      <c r="C64" s="720" t="s">
        <v>347</v>
      </c>
      <c r="D64" s="726"/>
      <c r="E64" s="726"/>
      <c r="F64" s="726" t="s">
        <v>788</v>
      </c>
      <c r="G64" s="726"/>
      <c r="K64" s="674"/>
      <c r="L64" s="674"/>
      <c r="M64" s="674"/>
    </row>
    <row r="65" spans="2:13" s="720" customFormat="1">
      <c r="B65" s="727" t="s">
        <v>348</v>
      </c>
      <c r="C65" s="726" t="s">
        <v>349</v>
      </c>
      <c r="D65" s="728"/>
      <c r="E65" s="728"/>
      <c r="F65" s="728" t="s">
        <v>1534</v>
      </c>
      <c r="G65" s="728"/>
      <c r="K65" s="674"/>
      <c r="L65" s="674"/>
      <c r="M65" s="674"/>
    </row>
    <row r="66" spans="2:13" s="720" customFormat="1">
      <c r="B66" s="720" t="s">
        <v>350</v>
      </c>
      <c r="C66" s="720" t="str">
        <f>B66</f>
        <v>Place : Mumbai</v>
      </c>
      <c r="F66" s="720" t="str">
        <f>C66</f>
        <v>Place : Mumbai</v>
      </c>
      <c r="K66" s="674"/>
      <c r="L66" s="674"/>
      <c r="M66" s="674"/>
    </row>
    <row r="67" spans="2:13" s="720" customFormat="1">
      <c r="B67" s="720" t="s">
        <v>1722</v>
      </c>
      <c r="C67" s="720" t="str">
        <f>B67</f>
        <v>Date : 8th May, 2024</v>
      </c>
      <c r="F67" s="720" t="str">
        <f>C67</f>
        <v>Date : 8th May, 2024</v>
      </c>
      <c r="K67" s="674"/>
      <c r="L67" s="674"/>
      <c r="M67" s="674"/>
    </row>
    <row r="68" spans="2:13" s="720" customFormat="1">
      <c r="K68" s="674"/>
      <c r="L68" s="674"/>
      <c r="M68" s="674"/>
    </row>
  </sheetData>
  <conditionalFormatting sqref="C64">
    <cfRule type="cellIs" dxfId="10" priority="1" stopIfTrue="1" operator="equal">
      <formula>"Please Insert Designation of the Director 1"</formula>
    </cfRule>
  </conditionalFormatting>
  <pageMargins left="0.70866141732283472" right="0.70866141732283472" top="0.43307086614173229" bottom="0.19685039370078741" header="0.31496062992125984" footer="0.31496062992125984"/>
  <pageSetup scale="73" orientation="portrait" blackAndWhite="1" r:id="rId1"/>
  <colBreaks count="1" manualBreakCount="1">
    <brk id="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92D050"/>
  </sheetPr>
  <dimension ref="A1:R65"/>
  <sheetViews>
    <sheetView showGridLines="0" view="pageBreakPreview" topLeftCell="A39" zoomScaleSheetLayoutView="100" workbookViewId="0">
      <selection activeCell="A63" sqref="A63"/>
    </sheetView>
  </sheetViews>
  <sheetFormatPr defaultColWidth="9.21875" defaultRowHeight="14.4"/>
  <cols>
    <col min="1" max="1" width="49.21875" style="862" customWidth="1"/>
    <col min="2" max="2" width="15.21875" style="862" customWidth="1"/>
    <col min="3" max="3" width="19.77734375" style="862" customWidth="1"/>
    <col min="4" max="4" width="19.77734375" style="862" hidden="1" customWidth="1"/>
    <col min="5" max="5" width="21" style="862" bestFit="1" customWidth="1"/>
    <col min="6" max="6" width="20.21875" style="862" hidden="1" customWidth="1"/>
    <col min="7" max="7" width="4.21875" style="862" hidden="1" customWidth="1"/>
    <col min="8" max="8" width="12.21875" style="862" hidden="1" customWidth="1"/>
    <col min="9" max="9" width="15.77734375" style="862" hidden="1" customWidth="1"/>
    <col min="10" max="10" width="12.44140625" style="862" hidden="1" customWidth="1"/>
    <col min="11" max="11" width="13.44140625" style="862" hidden="1" customWidth="1"/>
    <col min="12" max="13" width="0" style="862" hidden="1" customWidth="1"/>
    <col min="14" max="14" width="10.44140625" style="862" bestFit="1" customWidth="1"/>
    <col min="15" max="15" width="14.6640625" style="862" bestFit="1" customWidth="1"/>
    <col min="16" max="16" width="14.5546875" style="862" bestFit="1" customWidth="1"/>
    <col min="17" max="17" width="13.6640625" style="862" bestFit="1" customWidth="1"/>
    <col min="18" max="16384" width="9.21875" style="862"/>
  </cols>
  <sheetData>
    <row r="1" spans="1:15">
      <c r="A1" s="1057" t="str">
        <f>BS!A1</f>
        <v>1908 E-Ventures Private Limited</v>
      </c>
      <c r="B1" s="1057"/>
      <c r="C1" s="674"/>
      <c r="D1" s="674"/>
      <c r="E1" s="674"/>
      <c r="F1" s="1058"/>
    </row>
    <row r="2" spans="1:15">
      <c r="A2" s="1059" t="s">
        <v>1561</v>
      </c>
      <c r="B2" s="1059"/>
      <c r="C2" s="674"/>
      <c r="D2" s="674"/>
      <c r="E2" s="674"/>
      <c r="F2" s="1058"/>
    </row>
    <row r="3" spans="1:15">
      <c r="A3" s="696" t="str">
        <f>PL!A4</f>
        <v>[Currency: Indian Rupees(Rs.'000)]</v>
      </c>
      <c r="B3" s="696"/>
      <c r="C3" s="674"/>
      <c r="D3" s="674"/>
      <c r="E3" s="674"/>
      <c r="F3" s="1058"/>
    </row>
    <row r="4" spans="1:15">
      <c r="A4" s="1205" t="s">
        <v>0</v>
      </c>
      <c r="B4" s="1206"/>
      <c r="C4" s="891" t="s">
        <v>1538</v>
      </c>
      <c r="D4" s="891" t="s">
        <v>1538</v>
      </c>
      <c r="E4" s="891" t="s">
        <v>476</v>
      </c>
      <c r="F4" s="892" t="s">
        <v>476</v>
      </c>
      <c r="I4" s="862" t="s">
        <v>476</v>
      </c>
    </row>
    <row r="5" spans="1:15">
      <c r="A5" s="1207"/>
      <c r="B5" s="1208"/>
      <c r="C5" s="893" t="s">
        <v>1569</v>
      </c>
      <c r="D5" s="893" t="s">
        <v>1537</v>
      </c>
      <c r="E5" s="893" t="s">
        <v>1350</v>
      </c>
      <c r="F5" s="894" t="s">
        <v>1262</v>
      </c>
      <c r="I5" s="862" t="s">
        <v>1262</v>
      </c>
    </row>
    <row r="6" spans="1:15">
      <c r="A6" s="1060" t="s">
        <v>477</v>
      </c>
      <c r="B6" s="1061"/>
      <c r="C6" s="850"/>
      <c r="D6" s="850"/>
      <c r="E6" s="850"/>
      <c r="F6" s="1062"/>
    </row>
    <row r="7" spans="1:15" ht="7.5" customHeight="1">
      <c r="A7" s="1060"/>
      <c r="B7" s="1061"/>
      <c r="C7" s="850"/>
      <c r="D7" s="850"/>
      <c r="E7" s="850"/>
      <c r="F7" s="1062"/>
    </row>
    <row r="8" spans="1:15">
      <c r="A8" s="1060" t="s">
        <v>478</v>
      </c>
      <c r="B8" s="1063"/>
      <c r="C8" s="829">
        <f>ROUND(PL!D23,0)</f>
        <v>19159205</v>
      </c>
      <c r="D8" s="829">
        <f>ROUND(PL!E23,0)</f>
        <v>-9506878</v>
      </c>
      <c r="E8" s="829">
        <f>ROUND(PL!F23,0)</f>
        <v>-69359635</v>
      </c>
      <c r="F8" s="895">
        <f>ROUND(PL!G23,0)</f>
        <v>-60115399</v>
      </c>
      <c r="I8" s="862">
        <v>-60115259</v>
      </c>
      <c r="K8" s="869">
        <f>F8-I8</f>
        <v>-140</v>
      </c>
      <c r="O8" s="862" t="s">
        <v>1557</v>
      </c>
    </row>
    <row r="9" spans="1:15">
      <c r="A9" s="1060" t="s">
        <v>479</v>
      </c>
      <c r="B9" s="1061"/>
      <c r="C9" s="829"/>
      <c r="D9" s="829"/>
      <c r="E9" s="829"/>
      <c r="F9" s="1064"/>
      <c r="K9" s="869">
        <f t="shared" ref="K9:K61" si="0">F9-I9</f>
        <v>0</v>
      </c>
    </row>
    <row r="10" spans="1:15">
      <c r="A10" s="1065" t="s">
        <v>480</v>
      </c>
      <c r="B10" s="1063"/>
      <c r="C10" s="829">
        <f>ROUND(PL!D17,0)</f>
        <v>2370544</v>
      </c>
      <c r="D10" s="829">
        <f>ROUND(PL!E17,0)</f>
        <v>1554694</v>
      </c>
      <c r="E10" s="829">
        <f>ROUND(PL!F17,0)</f>
        <v>3854623</v>
      </c>
      <c r="F10" s="895">
        <f>ROUND(PL!G17,0)</f>
        <v>1350262</v>
      </c>
      <c r="I10" s="862">
        <v>1350262</v>
      </c>
      <c r="J10" s="869"/>
      <c r="K10" s="869">
        <f t="shared" si="0"/>
        <v>0</v>
      </c>
      <c r="O10" s="862" t="s">
        <v>1557</v>
      </c>
    </row>
    <row r="11" spans="1:15">
      <c r="A11" s="1065" t="s">
        <v>481</v>
      </c>
      <c r="B11" s="1063"/>
      <c r="C11" s="829">
        <f>ROUND(-(Notes!C430+Notes!C431+Notes!C432),0)</f>
        <v>-11035</v>
      </c>
      <c r="D11" s="829">
        <f>ROUND(-(Notes!D430+Notes!D431+Notes!D432),0)*0</f>
        <v>0</v>
      </c>
      <c r="E11" s="829">
        <f>ROUND(-(Notes!E430+Notes!E431+Notes!E432),0)</f>
        <v>-21217</v>
      </c>
      <c r="F11" s="895">
        <f>ROUND(-(Notes!F430+Notes!F431+Notes!F432),0)</f>
        <v>-37675</v>
      </c>
      <c r="I11" s="862">
        <v>-37675</v>
      </c>
      <c r="J11" s="869"/>
      <c r="K11" s="869">
        <f t="shared" si="0"/>
        <v>0</v>
      </c>
      <c r="O11" s="862" t="s">
        <v>1557</v>
      </c>
    </row>
    <row r="12" spans="1:15">
      <c r="A12" s="1065" t="s">
        <v>1621</v>
      </c>
      <c r="B12" s="1063"/>
      <c r="C12" s="829">
        <f>Notes!C494</f>
        <v>548910</v>
      </c>
      <c r="D12" s="829">
        <f>Notes!D494</f>
        <v>170163</v>
      </c>
      <c r="E12" s="829">
        <f>Notes!E494</f>
        <v>38077</v>
      </c>
      <c r="F12" s="829">
        <f>Notes!F494</f>
        <v>122301</v>
      </c>
      <c r="I12" s="862">
        <v>122301</v>
      </c>
      <c r="J12" s="869"/>
      <c r="K12" s="869">
        <f t="shared" si="0"/>
        <v>0</v>
      </c>
      <c r="O12" s="862" t="s">
        <v>1557</v>
      </c>
    </row>
    <row r="13" spans="1:15">
      <c r="A13" s="1065" t="s">
        <v>123</v>
      </c>
      <c r="B13" s="1063"/>
      <c r="C13" s="895">
        <f>ROUND(Notes!C462,0)</f>
        <v>0</v>
      </c>
      <c r="D13" s="895">
        <f>ROUND(Notes!D462,0)</f>
        <v>0</v>
      </c>
      <c r="E13" s="895">
        <f>ROUND(Notes!E462,0)</f>
        <v>210410</v>
      </c>
      <c r="F13" s="895">
        <f>ROUND(Notes!F462,0)</f>
        <v>188986</v>
      </c>
      <c r="H13" s="1066"/>
      <c r="I13" s="862">
        <v>188986</v>
      </c>
      <c r="J13" s="869"/>
      <c r="K13" s="869">
        <f t="shared" si="0"/>
        <v>0</v>
      </c>
    </row>
    <row r="14" spans="1:15">
      <c r="A14" s="1065" t="s">
        <v>507</v>
      </c>
      <c r="B14" s="1063"/>
      <c r="C14" s="895">
        <f>ROUND(Notes!C463,0)</f>
        <v>0</v>
      </c>
      <c r="D14" s="895">
        <f>ROUND(Notes!D463,0)</f>
        <v>0</v>
      </c>
      <c r="E14" s="895">
        <f>ROUND(Notes!E463,0)</f>
        <v>479272</v>
      </c>
      <c r="F14" s="895">
        <f>ROUND(Notes!F463,0)</f>
        <v>493373</v>
      </c>
      <c r="I14" s="862">
        <v>493373</v>
      </c>
      <c r="J14" s="869"/>
      <c r="K14" s="869">
        <f t="shared" si="0"/>
        <v>0</v>
      </c>
    </row>
    <row r="15" spans="1:15" hidden="1">
      <c r="A15" s="1065" t="s">
        <v>1013</v>
      </c>
      <c r="B15" s="1063"/>
      <c r="C15" s="829">
        <f>ROUND(Notes!C464,0)</f>
        <v>0</v>
      </c>
      <c r="D15" s="829">
        <f>ROUND(Notes!D464,0)</f>
        <v>0</v>
      </c>
      <c r="E15" s="829">
        <f>ROUND(Notes!E464,0)</f>
        <v>0</v>
      </c>
      <c r="F15" s="829">
        <f>ROUND(Notes!F464,0)</f>
        <v>2073850</v>
      </c>
      <c r="I15" s="862">
        <v>2073850</v>
      </c>
      <c r="J15" s="869"/>
      <c r="K15" s="869">
        <f t="shared" si="0"/>
        <v>0</v>
      </c>
    </row>
    <row r="16" spans="1:15">
      <c r="A16" s="1065" t="s">
        <v>1633</v>
      </c>
      <c r="B16" s="1063"/>
      <c r="C16" s="829">
        <f>O19</f>
        <v>-31813</v>
      </c>
      <c r="D16" s="829"/>
      <c r="E16" s="829"/>
      <c r="F16" s="895"/>
      <c r="J16" s="869"/>
      <c r="K16" s="869"/>
    </row>
    <row r="17" spans="1:17">
      <c r="A17" s="1065" t="s">
        <v>1629</v>
      </c>
      <c r="B17" s="1063"/>
      <c r="C17" s="829">
        <f>-Notes!C433+Notes!C504</f>
        <v>223065</v>
      </c>
      <c r="D17" s="829">
        <f>-Notes!D433+Notes!D504</f>
        <v>5100</v>
      </c>
      <c r="E17" s="829">
        <f>-Notes!E433+Notes!E504</f>
        <v>0</v>
      </c>
      <c r="F17" s="895">
        <f>-Notes!F433+Notes!F504</f>
        <v>-2435</v>
      </c>
      <c r="I17" s="862">
        <v>0</v>
      </c>
      <c r="J17" s="869"/>
      <c r="K17" s="869">
        <f t="shared" si="0"/>
        <v>-2435</v>
      </c>
      <c r="O17" s="880"/>
    </row>
    <row r="18" spans="1:17">
      <c r="A18" s="1065" t="s">
        <v>502</v>
      </c>
      <c r="B18" s="1063"/>
      <c r="C18" s="829">
        <f>ROUND(-Notes!C435,0)</f>
        <v>-14100590</v>
      </c>
      <c r="D18" s="829">
        <f>ROUND(-Notes!D436,0)</f>
        <v>-8706412</v>
      </c>
      <c r="E18" s="829">
        <f>ROUND(-Notes!E435,0)</f>
        <v>-40825</v>
      </c>
      <c r="F18" s="895">
        <f>ROUND(-Notes!F435,0)</f>
        <v>-269244</v>
      </c>
      <c r="I18" s="862">
        <v>-269245</v>
      </c>
      <c r="J18" s="869"/>
      <c r="K18" s="869">
        <f t="shared" si="0"/>
        <v>1</v>
      </c>
      <c r="P18" s="1067"/>
    </row>
    <row r="19" spans="1:17">
      <c r="A19" s="1060" t="s">
        <v>482</v>
      </c>
      <c r="B19" s="1061"/>
      <c r="C19" s="872">
        <f>SUM(C8:C18)</f>
        <v>8158286</v>
      </c>
      <c r="D19" s="872">
        <f>SUM(D8:D18)-10</f>
        <v>-16483343</v>
      </c>
      <c r="E19" s="872">
        <f>SUM(E8:E18)-10</f>
        <v>-64839305</v>
      </c>
      <c r="F19" s="1068">
        <f>ROUND(SUM(F8:F18),0)</f>
        <v>-56195981</v>
      </c>
      <c r="I19" s="862">
        <v>-56193407</v>
      </c>
      <c r="K19" s="869">
        <f t="shared" si="0"/>
        <v>-2574</v>
      </c>
      <c r="O19" s="862">
        <f>BS!F11-BS!F45-BS!F39</f>
        <v>-31813</v>
      </c>
      <c r="P19" s="862" t="s">
        <v>1632</v>
      </c>
    </row>
    <row r="20" spans="1:17" ht="9.75" customHeight="1">
      <c r="A20" s="1069"/>
      <c r="B20" s="1070"/>
      <c r="C20" s="829"/>
      <c r="D20" s="829"/>
      <c r="E20" s="829"/>
      <c r="F20" s="896"/>
      <c r="K20" s="869">
        <f t="shared" si="0"/>
        <v>0</v>
      </c>
    </row>
    <row r="21" spans="1:17">
      <c r="A21" s="1071" t="s">
        <v>483</v>
      </c>
      <c r="B21" s="1070"/>
      <c r="C21" s="829"/>
      <c r="D21" s="829"/>
      <c r="E21" s="829"/>
      <c r="F21" s="896"/>
      <c r="K21" s="869">
        <f t="shared" si="0"/>
        <v>0</v>
      </c>
    </row>
    <row r="22" spans="1:17">
      <c r="A22" s="1065" t="s">
        <v>484</v>
      </c>
      <c r="B22" s="1063"/>
      <c r="C22" s="829">
        <f>-ROUND(BS!O20,0)-10</f>
        <v>28060941</v>
      </c>
      <c r="D22" s="829">
        <f>ROUND(BS!F20-BS!E20,0)</f>
        <v>15398308</v>
      </c>
      <c r="E22" s="829">
        <f>ROUND(BS!G20-BS!F20,0)</f>
        <v>-1787250</v>
      </c>
      <c r="F22" s="829">
        <f>ROUND(BS!H20-BS!G20,0)</f>
        <v>-9464097</v>
      </c>
      <c r="H22" s="862">
        <v>-1787250</v>
      </c>
      <c r="I22" s="862">
        <v>-9464097</v>
      </c>
      <c r="K22" s="869">
        <f t="shared" si="0"/>
        <v>0</v>
      </c>
      <c r="L22" s="869"/>
    </row>
    <row r="23" spans="1:17">
      <c r="A23" s="1065" t="s">
        <v>485</v>
      </c>
      <c r="B23" s="1063"/>
      <c r="C23" s="829">
        <f>-ROUND(BS!O22,0)-4</f>
        <v>2646053</v>
      </c>
      <c r="D23" s="829">
        <f>ROUND(BS!F22-BS!E22,0)</f>
        <v>-409857</v>
      </c>
      <c r="E23" s="829">
        <f>ROUND(BS!G22-BS!F22,0)</f>
        <v>2044649</v>
      </c>
      <c r="F23" s="829">
        <f>ROUND(BS!H22-BS!G22,0)</f>
        <v>254410</v>
      </c>
      <c r="H23" s="862">
        <v>1998204</v>
      </c>
      <c r="I23" s="862">
        <v>254410</v>
      </c>
      <c r="K23" s="869">
        <f t="shared" si="0"/>
        <v>0</v>
      </c>
      <c r="L23" s="869"/>
    </row>
    <row r="24" spans="1:17">
      <c r="A24" s="1065" t="s">
        <v>503</v>
      </c>
      <c r="B24" s="1063"/>
      <c r="C24" s="829">
        <f>ROUND(BS!O17,0)</f>
        <v>537839</v>
      </c>
      <c r="D24" s="829">
        <f>ROUND(BS!F17-BS!E17+BS!F16-BS!E16+BS!F15-BS!E15,0)</f>
        <v>282487</v>
      </c>
      <c r="E24" s="829">
        <f>ROUND(BS!G17-BS!F17+BS!G16-BS!F16+BS!G15-BS!F15,0)</f>
        <v>-246155</v>
      </c>
      <c r="F24" s="829">
        <f>ROUND(BS!H17-BS!G17+BS!H16-BS!G16+BS!H15-BS!G15,0)</f>
        <v>65803</v>
      </c>
      <c r="H24" s="862">
        <v>-213062</v>
      </c>
      <c r="I24" s="862">
        <v>70127</v>
      </c>
      <c r="K24" s="869">
        <f t="shared" si="0"/>
        <v>-4324</v>
      </c>
      <c r="L24" s="869"/>
    </row>
    <row r="25" spans="1:17">
      <c r="A25" s="1065" t="s">
        <v>504</v>
      </c>
      <c r="B25" s="1063"/>
      <c r="C25" s="829">
        <f>-ROUND(BS!O26,0)</f>
        <v>5853074</v>
      </c>
      <c r="D25" s="829">
        <f>ROUND(+BS!F25-BS!E25+BS!F24-BS!E24+BS!F11-BS!E11-Notes!D482,0)</f>
        <v>2551956</v>
      </c>
      <c r="E25" s="829">
        <f>ROUND(+BS!G25-BS!F25+BS!G24-BS!F24+BS!G11-BS!F11-Notes!E482,0)-8</f>
        <v>-6195166</v>
      </c>
      <c r="F25" s="829">
        <f>ROUND(+BS!H25-BS!G25+BS!H24-BS!G24+BS!H11-BS!G11-Notes!F482,0)</f>
        <v>-10652037</v>
      </c>
      <c r="H25" s="862">
        <v>-6228258</v>
      </c>
      <c r="I25" s="862">
        <v>-10656361</v>
      </c>
      <c r="K25" s="869">
        <f t="shared" si="0"/>
        <v>4324</v>
      </c>
      <c r="L25" s="869"/>
    </row>
    <row r="26" spans="1:17">
      <c r="A26" s="1065" t="s">
        <v>486</v>
      </c>
      <c r="B26" s="1063"/>
      <c r="C26" s="897">
        <f>BS!O52-C18-C12</f>
        <v>-32292374</v>
      </c>
      <c r="D26" s="897">
        <f>(ROUND(BS!E41-BS!F41+BS!E48+BS!E49-BS!F48-BS!F49+BS!E47-BS!F47+BS!E50-BS!F50+BS!E51-BS!F51+BS!E45-BS!F45+BS!E39-BS!F39-D12-'Cash flow'!D13-'Cash flow'!D14-D18+PL!E31,0))+PL!E31*0</f>
        <v>-12043832</v>
      </c>
      <c r="E26" s="897">
        <f>(ROUND(BS!F41-BS!G41+BS!F48+BS!F49-BS!G48-BS!G49+BS!F47-BS!G47+BS!F50-BS!G50+BS!F51-BS!G51+BS!F45-BS!G45+BS!F39-BS!G39-E12-'Cash flow'!E13-'Cash flow'!E14-E18+PL!F31,0))+PL!F31*0</f>
        <v>13565588</v>
      </c>
      <c r="F26" s="897">
        <f>ROUND(BS!G41-BS!H41+BS!G48+BS!G49-BS!H48-BS!H49+BS!G47-BS!H47+BS!G50-BS!H50+BS!G51-BS!H51+BS!G45-BS!H45+BS!G39-BS!H39-F12-'Cash flow'!F13-'Cash flow'!F14-F18+PL!G31,0)-30</f>
        <v>18842736</v>
      </c>
      <c r="H26" s="862">
        <v>13998740</v>
      </c>
      <c r="I26" s="862">
        <v>18842641</v>
      </c>
      <c r="K26" s="869">
        <f t="shared" si="0"/>
        <v>95</v>
      </c>
      <c r="L26" s="869"/>
      <c r="O26" s="880"/>
      <c r="P26" s="882"/>
      <c r="Q26" s="1072"/>
    </row>
    <row r="27" spans="1:17">
      <c r="A27" s="1060" t="s">
        <v>487</v>
      </c>
      <c r="B27" s="1061"/>
      <c r="C27" s="872">
        <f>SUM(C19:C26)</f>
        <v>12963819</v>
      </c>
      <c r="D27" s="872">
        <f>SUM(D19:D26)</f>
        <v>-10704281</v>
      </c>
      <c r="E27" s="872">
        <f>SUM(E19:E26)-10</f>
        <v>-57457649</v>
      </c>
      <c r="F27" s="898">
        <f>SUM(F19:F26)</f>
        <v>-57149166</v>
      </c>
      <c r="I27" s="862">
        <v>-57146687</v>
      </c>
      <c r="K27" s="869">
        <f t="shared" si="0"/>
        <v>-2479</v>
      </c>
    </row>
    <row r="28" spans="1:17">
      <c r="A28" s="1065" t="s">
        <v>488</v>
      </c>
      <c r="B28" s="1063"/>
      <c r="C28" s="829">
        <v>0</v>
      </c>
      <c r="D28" s="829">
        <v>0</v>
      </c>
      <c r="E28" s="829">
        <v>0</v>
      </c>
      <c r="F28" s="895">
        <v>0</v>
      </c>
      <c r="I28" s="862">
        <v>0</v>
      </c>
      <c r="K28" s="869">
        <f t="shared" si="0"/>
        <v>0</v>
      </c>
    </row>
    <row r="29" spans="1:17">
      <c r="A29" s="1060" t="s">
        <v>489</v>
      </c>
      <c r="B29" s="1061"/>
      <c r="C29" s="890">
        <f>SUM(C27:C28)</f>
        <v>12963819</v>
      </c>
      <c r="D29" s="890">
        <f>SUM(D27:D28)</f>
        <v>-10704281</v>
      </c>
      <c r="E29" s="890">
        <f>SUM(E27:E28)</f>
        <v>-57457649</v>
      </c>
      <c r="F29" s="899">
        <f>ROUND(SUM(F27:F28),0)</f>
        <v>-57149166</v>
      </c>
      <c r="I29" s="862">
        <v>-57146687</v>
      </c>
      <c r="K29" s="869">
        <f t="shared" si="0"/>
        <v>-2479</v>
      </c>
    </row>
    <row r="30" spans="1:17">
      <c r="A30" s="1073" t="s">
        <v>490</v>
      </c>
      <c r="B30" s="1074"/>
      <c r="C30" s="829"/>
      <c r="D30" s="829"/>
      <c r="E30" s="829"/>
      <c r="F30" s="896"/>
      <c r="K30" s="869">
        <f t="shared" si="0"/>
        <v>0</v>
      </c>
    </row>
    <row r="31" spans="1:17">
      <c r="A31" s="1065" t="s">
        <v>491</v>
      </c>
      <c r="B31" s="1075"/>
      <c r="C31" s="829">
        <v>0</v>
      </c>
      <c r="D31" s="829">
        <f>ROUND(-'FA prev year'!C58-'FA prev year'!C23,0)</f>
        <v>0</v>
      </c>
      <c r="E31" s="829">
        <f>ROUND(-'FA prev year'!D58-'FA prev year'!D23,0)</f>
        <v>-1093843</v>
      </c>
      <c r="F31" s="829">
        <f>ROUND(-'FA prev year'!D42-'FA prev year'!D69,0)</f>
        <v>-13151127</v>
      </c>
      <c r="I31" s="869">
        <v>-13151127</v>
      </c>
      <c r="K31" s="869">
        <f t="shared" si="0"/>
        <v>0</v>
      </c>
    </row>
    <row r="32" spans="1:17">
      <c r="A32" s="1065" t="s">
        <v>1630</v>
      </c>
      <c r="B32" s="1075"/>
      <c r="C32" s="829">
        <f>D32</f>
        <v>40000</v>
      </c>
      <c r="D32" s="829">
        <f>-E32</f>
        <v>40000</v>
      </c>
      <c r="E32" s="829">
        <f>-BS!G14-BS!F14</f>
        <v>-40000</v>
      </c>
      <c r="F32" s="895">
        <v>0</v>
      </c>
      <c r="I32" s="869"/>
      <c r="K32" s="869"/>
    </row>
    <row r="33" spans="1:11">
      <c r="A33" s="1065" t="s">
        <v>1456</v>
      </c>
      <c r="B33" s="1063"/>
      <c r="C33" s="962">
        <f>'FA sch'!F23-'FA sch'!K23+Notes!C433-Notes!C504</f>
        <v>225517.95000000019</v>
      </c>
      <c r="D33" s="829">
        <f>'FA sep'!F23-'FA sep'!K23-Notes!D504+23</f>
        <v>133144</v>
      </c>
      <c r="E33" s="829">
        <f>ROUND('FA prev year'!F23-'FA prev year'!K23-E17,0)</f>
        <v>42768</v>
      </c>
      <c r="F33" s="896">
        <f>'FA prev year'!F42+'FA prev year'!F74-'FA prev year'!K42-'FA prev year'!K74-F17</f>
        <v>5000</v>
      </c>
      <c r="I33" s="869">
        <v>2565</v>
      </c>
      <c r="K33" s="869">
        <f t="shared" si="0"/>
        <v>2435</v>
      </c>
    </row>
    <row r="34" spans="1:11">
      <c r="A34" s="1065" t="s">
        <v>492</v>
      </c>
      <c r="B34" s="1063"/>
      <c r="C34" s="829">
        <f>ROUND(-C11,0)</f>
        <v>11035</v>
      </c>
      <c r="D34" s="829">
        <f>ROUND(-D11,0)</f>
        <v>0</v>
      </c>
      <c r="E34" s="829">
        <f>ROUND(-E11,0)</f>
        <v>21217</v>
      </c>
      <c r="F34" s="829">
        <f>ROUND(-F11,0)</f>
        <v>37675</v>
      </c>
      <c r="I34" s="862">
        <v>37675</v>
      </c>
      <c r="K34" s="869">
        <f t="shared" si="0"/>
        <v>0</v>
      </c>
    </row>
    <row r="35" spans="1:11">
      <c r="A35" s="1073" t="s">
        <v>493</v>
      </c>
      <c r="B35" s="1074"/>
      <c r="C35" s="890">
        <f>SUM(C31:C34)+5</f>
        <v>276557.95000000019</v>
      </c>
      <c r="D35" s="890">
        <f>SUM(D31:D34)</f>
        <v>173144</v>
      </c>
      <c r="E35" s="890">
        <f>SUM(E31:E34)+4</f>
        <v>-1069854</v>
      </c>
      <c r="F35" s="899">
        <f>ROUND(SUM(F31:F34),0)</f>
        <v>-13108452</v>
      </c>
      <c r="I35" s="869">
        <v>-13110887</v>
      </c>
      <c r="K35" s="869">
        <f t="shared" si="0"/>
        <v>2435</v>
      </c>
    </row>
    <row r="36" spans="1:11">
      <c r="A36" s="1073" t="s">
        <v>494</v>
      </c>
      <c r="B36" s="1074"/>
      <c r="C36" s="829"/>
      <c r="D36" s="829"/>
      <c r="E36" s="829"/>
      <c r="F36" s="896"/>
      <c r="K36" s="869">
        <f t="shared" si="0"/>
        <v>0</v>
      </c>
    </row>
    <row r="37" spans="1:11" hidden="1">
      <c r="A37" s="1065" t="s">
        <v>508</v>
      </c>
      <c r="B37" s="1063"/>
      <c r="C37" s="829">
        <f>ROUND(BS!C40-BS!E40,0)*0</f>
        <v>0</v>
      </c>
      <c r="D37" s="829">
        <f>ROUND(BS!E40-BS!F40,0)*0</f>
        <v>0</v>
      </c>
      <c r="E37" s="829">
        <f>ROUND(BS!F40-BS!G40,0)*0</f>
        <v>0</v>
      </c>
      <c r="F37" s="895">
        <v>0</v>
      </c>
      <c r="I37" s="862">
        <v>0</v>
      </c>
      <c r="K37" s="869">
        <f t="shared" si="0"/>
        <v>0</v>
      </c>
    </row>
    <row r="38" spans="1:11" hidden="1">
      <c r="A38" s="1065" t="s">
        <v>1665</v>
      </c>
      <c r="B38" s="1063"/>
      <c r="C38" s="829">
        <f>BS!D40</f>
        <v>0</v>
      </c>
      <c r="D38" s="829">
        <f>BS!E40</f>
        <v>25500000</v>
      </c>
      <c r="E38" s="829">
        <v>0</v>
      </c>
      <c r="F38" s="829">
        <v>2678186</v>
      </c>
      <c r="I38" s="862">
        <v>2678186</v>
      </c>
      <c r="K38" s="869">
        <f t="shared" si="0"/>
        <v>0</v>
      </c>
    </row>
    <row r="39" spans="1:11">
      <c r="A39" s="1065" t="s">
        <v>1014</v>
      </c>
      <c r="B39" s="1063"/>
      <c r="C39" s="829">
        <f>D39</f>
        <v>2499937</v>
      </c>
      <c r="D39" s="829">
        <f>SOCE!E11+SOCE!E35</f>
        <v>2499937</v>
      </c>
      <c r="E39" s="829">
        <f>ROUND(SOCE!G11+SOCE!G10+SOCE!E48,0)</f>
        <v>4999975</v>
      </c>
      <c r="F39" s="895">
        <v>131422306</v>
      </c>
      <c r="I39" s="862">
        <v>131422306</v>
      </c>
      <c r="K39" s="869">
        <f t="shared" si="0"/>
        <v>0</v>
      </c>
    </row>
    <row r="40" spans="1:11">
      <c r="A40" s="1065" t="s">
        <v>752</v>
      </c>
      <c r="B40" s="1063"/>
      <c r="C40" s="829">
        <f>ROUND(BS!D46-BS!F46,0)</f>
        <v>-15311609</v>
      </c>
      <c r="D40" s="829">
        <f>ROUND(BS!E46-BS!F46,0)</f>
        <v>-14718745</v>
      </c>
      <c r="E40" s="829">
        <f>ROUND(BS!F46-BS!G46,0)</f>
        <v>12468603</v>
      </c>
      <c r="F40" s="829">
        <f>ROUND(BS!G46-BS!H46,0)</f>
        <v>-22953413</v>
      </c>
      <c r="I40" s="862">
        <v>-22953413</v>
      </c>
      <c r="K40" s="869">
        <f t="shared" si="0"/>
        <v>0</v>
      </c>
    </row>
    <row r="41" spans="1:11">
      <c r="A41" s="1073" t="s">
        <v>495</v>
      </c>
      <c r="B41" s="1074"/>
      <c r="C41" s="890">
        <f>SUM(C37:C40)</f>
        <v>-12811672</v>
      </c>
      <c r="D41" s="890">
        <f>SUM(D37:D40)</f>
        <v>13281192</v>
      </c>
      <c r="E41" s="890">
        <f>SUM(E37:E40)</f>
        <v>17468578</v>
      </c>
      <c r="F41" s="908">
        <f>SUM(F37:F40)+6</f>
        <v>111147085</v>
      </c>
      <c r="I41" s="862">
        <v>111147079</v>
      </c>
      <c r="K41" s="869">
        <f t="shared" si="0"/>
        <v>6</v>
      </c>
    </row>
    <row r="42" spans="1:11">
      <c r="A42" s="1073"/>
      <c r="B42" s="1074"/>
      <c r="C42" s="872"/>
      <c r="D42" s="872"/>
      <c r="E42" s="872"/>
      <c r="F42" s="898"/>
      <c r="K42" s="869">
        <f t="shared" si="0"/>
        <v>0</v>
      </c>
    </row>
    <row r="43" spans="1:11">
      <c r="A43" s="1060" t="s">
        <v>496</v>
      </c>
      <c r="B43" s="1061"/>
      <c r="C43" s="872">
        <f>ROUND(C41+C35+C29,0)</f>
        <v>428705</v>
      </c>
      <c r="D43" s="872">
        <f>ROUND(D41+D35+D29,0)-10</f>
        <v>2750045</v>
      </c>
      <c r="E43" s="872">
        <f>ROUND(E41+E35+E29,0)+4</f>
        <v>-41058921</v>
      </c>
      <c r="F43" s="898">
        <f>F41+F35+F29</f>
        <v>40889467</v>
      </c>
      <c r="I43" s="862">
        <v>40889505</v>
      </c>
      <c r="J43" s="862">
        <f>+(7550000-5999994)</f>
        <v>1550006</v>
      </c>
      <c r="K43" s="869">
        <f t="shared" si="0"/>
        <v>-38</v>
      </c>
    </row>
    <row r="44" spans="1:11">
      <c r="A44" s="1076" t="s">
        <v>497</v>
      </c>
      <c r="B44" s="1075"/>
      <c r="C44" s="897">
        <f>ROUND(E50,0)</f>
        <v>43169</v>
      </c>
      <c r="D44" s="897">
        <f>ROUND(E45,0)</f>
        <v>43165</v>
      </c>
      <c r="E44" s="897">
        <f>ROUND(F45,0)</f>
        <v>41102086</v>
      </c>
      <c r="F44" s="1077">
        <v>212619</v>
      </c>
      <c r="I44" s="862">
        <v>212619</v>
      </c>
      <c r="K44" s="869">
        <f t="shared" si="0"/>
        <v>0</v>
      </c>
    </row>
    <row r="45" spans="1:11" ht="15" thickBot="1">
      <c r="A45" s="1073" t="s">
        <v>498</v>
      </c>
      <c r="B45" s="1074"/>
      <c r="C45" s="900">
        <f>+C43+C44+10</f>
        <v>471884</v>
      </c>
      <c r="D45" s="900">
        <f>+D43+D44</f>
        <v>2793210</v>
      </c>
      <c r="E45" s="900">
        <f>+E43+E44</f>
        <v>43165</v>
      </c>
      <c r="F45" s="1078">
        <f>+F43+F44</f>
        <v>41102086</v>
      </c>
      <c r="I45" s="862">
        <v>41102124</v>
      </c>
      <c r="J45" s="869">
        <f>J43+J44+E41</f>
        <v>19018584</v>
      </c>
      <c r="K45" s="869">
        <f t="shared" si="0"/>
        <v>-38</v>
      </c>
    </row>
    <row r="46" spans="1:11" ht="15" thickTop="1">
      <c r="A46" s="1076"/>
      <c r="B46" s="1075"/>
      <c r="C46" s="829"/>
      <c r="D46" s="829"/>
      <c r="E46" s="829"/>
      <c r="F46" s="1068"/>
      <c r="J46" s="862">
        <f>BS!I33+BS!I34</f>
        <v>-39110873</v>
      </c>
      <c r="K46" s="869">
        <f t="shared" si="0"/>
        <v>0</v>
      </c>
    </row>
    <row r="47" spans="1:11">
      <c r="A47" s="1073" t="s">
        <v>1667</v>
      </c>
      <c r="B47" s="1074"/>
      <c r="C47" s="872"/>
      <c r="D47" s="872"/>
      <c r="E47" s="872"/>
      <c r="F47" s="1068"/>
      <c r="J47" s="869">
        <f>J45-J46</f>
        <v>58129457</v>
      </c>
      <c r="K47" s="869">
        <f t="shared" si="0"/>
        <v>0</v>
      </c>
    </row>
    <row r="48" spans="1:11">
      <c r="A48" s="1076" t="s">
        <v>64</v>
      </c>
      <c r="B48" s="1075"/>
      <c r="C48" s="901">
        <f>ROUND(Notes!C138,0)</f>
        <v>143666</v>
      </c>
      <c r="D48" s="901">
        <f>ROUND(Notes!D138,0)</f>
        <v>9085</v>
      </c>
      <c r="E48" s="901">
        <f>ROUND(Notes!E138,0)</f>
        <v>11768</v>
      </c>
      <c r="F48" s="902">
        <f>ROUND(Notes!F138,0)</f>
        <v>10191</v>
      </c>
      <c r="I48" s="862">
        <v>10191</v>
      </c>
      <c r="J48" s="869">
        <f>J47+I35</f>
        <v>45018570</v>
      </c>
      <c r="K48" s="869">
        <f t="shared" si="0"/>
        <v>0</v>
      </c>
    </row>
    <row r="49" spans="1:18">
      <c r="A49" s="1076" t="s">
        <v>499</v>
      </c>
      <c r="B49" s="1075"/>
      <c r="C49" s="901">
        <f>ROUND(Notes!C137,0)</f>
        <v>328208</v>
      </c>
      <c r="D49" s="901">
        <f>ROUND(Notes!D137,0)</f>
        <v>2784126</v>
      </c>
      <c r="E49" s="901">
        <f>ROUND(Notes!E137,0)</f>
        <v>31401</v>
      </c>
      <c r="F49" s="902">
        <f>ROUND(Notes!F137,0)</f>
        <v>41091901</v>
      </c>
      <c r="I49" s="862">
        <v>41091901</v>
      </c>
      <c r="K49" s="869">
        <f t="shared" si="0"/>
        <v>0</v>
      </c>
    </row>
    <row r="50" spans="1:18" ht="15" thickBot="1">
      <c r="A50" s="1079" t="s">
        <v>51</v>
      </c>
      <c r="B50" s="1080"/>
      <c r="C50" s="878">
        <f>SUM(C48:C49)+10</f>
        <v>471884</v>
      </c>
      <c r="D50" s="878">
        <f>SUM(D48:D49)+5</f>
        <v>2793216</v>
      </c>
      <c r="E50" s="878">
        <f>SUM(E48:E49)</f>
        <v>43169</v>
      </c>
      <c r="F50" s="903">
        <f>SUM(F48:F49)</f>
        <v>41102092</v>
      </c>
      <c r="H50" s="869">
        <f>E50-E45</f>
        <v>4</v>
      </c>
      <c r="I50" s="869">
        <f>F50-F45</f>
        <v>6</v>
      </c>
      <c r="K50" s="869">
        <f t="shared" si="0"/>
        <v>41102086</v>
      </c>
    </row>
    <row r="51" spans="1:18" ht="15" thickTop="1">
      <c r="A51" s="1081"/>
      <c r="B51" s="1081"/>
      <c r="F51" s="1082"/>
      <c r="H51" s="904">
        <f>E45-E50</f>
        <v>-4</v>
      </c>
      <c r="K51" s="869">
        <f t="shared" si="0"/>
        <v>0</v>
      </c>
      <c r="N51" s="1072">
        <f>+C45-C50</f>
        <v>0</v>
      </c>
      <c r="O51" s="1072">
        <f>+D45-D50</f>
        <v>-6</v>
      </c>
      <c r="P51" s="1072">
        <f>+C45-C50</f>
        <v>0</v>
      </c>
      <c r="R51" s="862">
        <f>P51/1000</f>
        <v>0</v>
      </c>
    </row>
    <row r="52" spans="1:18">
      <c r="A52" s="1081" t="s">
        <v>500</v>
      </c>
      <c r="B52" s="1081"/>
      <c r="C52" s="673"/>
      <c r="D52" s="673"/>
      <c r="E52" s="904"/>
      <c r="F52" s="1082">
        <f>E45-E50</f>
        <v>-4</v>
      </c>
      <c r="H52" s="879"/>
      <c r="K52" s="869">
        <f t="shared" si="0"/>
        <v>-4</v>
      </c>
    </row>
    <row r="53" spans="1:18">
      <c r="A53" s="723"/>
      <c r="B53" s="723"/>
      <c r="C53" s="905"/>
      <c r="D53" s="905"/>
      <c r="E53" s="905"/>
      <c r="F53" s="906">
        <f>D50-D45</f>
        <v>6</v>
      </c>
      <c r="H53" s="879">
        <f>H50-H52</f>
        <v>4</v>
      </c>
      <c r="K53" s="869">
        <f t="shared" si="0"/>
        <v>6</v>
      </c>
    </row>
    <row r="54" spans="1:18">
      <c r="A54" s="1083" t="str">
        <f>PL!B47</f>
        <v>For Sunil Modi &amp; Co</v>
      </c>
      <c r="B54" s="1083" t="str">
        <f>PL!C47</f>
        <v>For and on behalf of the Board of Directors</v>
      </c>
      <c r="C54" s="907"/>
      <c r="D54" s="907"/>
      <c r="E54" s="907"/>
      <c r="F54" s="1084"/>
      <c r="K54" s="869">
        <f t="shared" si="0"/>
        <v>0</v>
      </c>
    </row>
    <row r="55" spans="1:18">
      <c r="A55" s="723" t="str">
        <f>PL!B48</f>
        <v>Chartered Accountants</v>
      </c>
      <c r="B55" s="723"/>
      <c r="C55" s="674"/>
      <c r="D55" s="674"/>
      <c r="E55" s="674"/>
      <c r="F55" s="1084"/>
      <c r="K55" s="869">
        <f t="shared" si="0"/>
        <v>0</v>
      </c>
    </row>
    <row r="56" spans="1:18">
      <c r="A56" s="723" t="str">
        <f>PL!B49</f>
        <v>Firm Registration No. 142806W</v>
      </c>
      <c r="B56" s="723"/>
      <c r="C56" s="674"/>
      <c r="D56" s="674"/>
      <c r="E56" s="674"/>
      <c r="F56" s="1084"/>
      <c r="H56" s="869"/>
      <c r="K56" s="869">
        <f t="shared" si="0"/>
        <v>0</v>
      </c>
    </row>
    <row r="57" spans="1:18">
      <c r="A57" s="723"/>
      <c r="B57" s="723"/>
      <c r="C57" s="674"/>
      <c r="D57" s="674"/>
      <c r="E57" s="674"/>
      <c r="F57" s="1084"/>
      <c r="K57" s="869">
        <f t="shared" si="0"/>
        <v>0</v>
      </c>
    </row>
    <row r="58" spans="1:18">
      <c r="A58" s="723"/>
      <c r="B58" s="723"/>
      <c r="C58" s="674"/>
      <c r="D58" s="674"/>
      <c r="E58" s="674"/>
      <c r="F58" s="1084"/>
      <c r="K58" s="869">
        <f t="shared" si="0"/>
        <v>0</v>
      </c>
    </row>
    <row r="59" spans="1:18">
      <c r="A59" s="1083" t="str">
        <f>PL!B53</f>
        <v>Sunil Modi</v>
      </c>
      <c r="B59" s="1083" t="str">
        <f>+BS!C63</f>
        <v>Deep A. Lalvani</v>
      </c>
      <c r="C59" s="674"/>
      <c r="D59" s="674"/>
      <c r="E59" s="1083" t="str">
        <f>+BS!F63</f>
        <v>Jatin D. Pokarne</v>
      </c>
      <c r="F59" s="1083">
        <f>+BS!G63</f>
        <v>0</v>
      </c>
      <c r="K59" s="869">
        <f t="shared" si="0"/>
        <v>0</v>
      </c>
    </row>
    <row r="60" spans="1:18">
      <c r="A60" s="723" t="str">
        <f>PL!B54</f>
        <v>Partner</v>
      </c>
      <c r="B60" s="723" t="str">
        <f>+BS!C64</f>
        <v>Chairman</v>
      </c>
      <c r="C60" s="674"/>
      <c r="D60" s="674"/>
      <c r="E60" s="723" t="str">
        <f>+BS!F64</f>
        <v>Director</v>
      </c>
      <c r="F60" s="723">
        <f>+BS!G64</f>
        <v>0</v>
      </c>
      <c r="K60" s="869">
        <f t="shared" si="0"/>
        <v>0</v>
      </c>
    </row>
    <row r="61" spans="1:18">
      <c r="A61" s="723" t="str">
        <f>PL!B55</f>
        <v>Membership No. 042562</v>
      </c>
      <c r="B61" s="723" t="str">
        <f>+BS!C65</f>
        <v>DIN: 01771000</v>
      </c>
      <c r="C61" s="674"/>
      <c r="D61" s="674"/>
      <c r="E61" s="723" t="str">
        <f>+BS!F65</f>
        <v>DIN: 10205733</v>
      </c>
      <c r="F61" s="723">
        <f>+BS!G65</f>
        <v>0</v>
      </c>
      <c r="K61" s="869">
        <f t="shared" si="0"/>
        <v>0</v>
      </c>
    </row>
    <row r="62" spans="1:18">
      <c r="A62" s="727" t="str">
        <f>+BS!B66</f>
        <v>Place : Mumbai</v>
      </c>
      <c r="B62" s="727" t="str">
        <f>+BS!C66</f>
        <v>Place : Mumbai</v>
      </c>
      <c r="C62" s="674"/>
      <c r="D62" s="674"/>
      <c r="E62" s="727" t="str">
        <f>+BS!F66</f>
        <v>Place : Mumbai</v>
      </c>
      <c r="F62" s="1058"/>
    </row>
    <row r="63" spans="1:18">
      <c r="A63" s="727" t="str">
        <f>+BS!B67</f>
        <v>Date : 8th May, 2024</v>
      </c>
      <c r="B63" s="727" t="str">
        <f>+BS!C67</f>
        <v>Date : 8th May, 2024</v>
      </c>
      <c r="C63" s="674"/>
      <c r="D63" s="674"/>
      <c r="E63" s="727" t="str">
        <f>+BS!F67</f>
        <v>Date : 8th May, 2024</v>
      </c>
      <c r="F63" s="1084"/>
    </row>
    <row r="64" spans="1:18">
      <c r="C64" s="674"/>
      <c r="D64" s="674"/>
      <c r="E64" s="674"/>
      <c r="F64" s="1085"/>
    </row>
    <row r="65" spans="3:6">
      <c r="C65" s="674"/>
      <c r="D65" s="674"/>
      <c r="E65" s="674"/>
      <c r="F65" s="1085"/>
    </row>
  </sheetData>
  <mergeCells count="1">
    <mergeCell ref="A4:B5"/>
  </mergeCells>
  <conditionalFormatting sqref="F51:F52">
    <cfRule type="cellIs" dxfId="9" priority="1" stopIfTrue="1" operator="equal">
      <formula>0</formula>
    </cfRule>
  </conditionalFormatting>
  <pageMargins left="0.70866141732283472" right="0.70866141732283472" top="0.54" bottom="0.23" header="0.31496062992125984" footer="0.19"/>
  <pageSetup scale="8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70C0"/>
    <pageSetUpPr fitToPage="1"/>
  </sheetPr>
  <dimension ref="A1:Q86"/>
  <sheetViews>
    <sheetView view="pageBreakPreview" topLeftCell="A42" zoomScale="118" zoomScaleSheetLayoutView="118" workbookViewId="0">
      <selection activeCell="A80" sqref="A80"/>
    </sheetView>
  </sheetViews>
  <sheetFormatPr defaultColWidth="9.21875" defaultRowHeight="14.4"/>
  <cols>
    <col min="1" max="1" width="37.21875" style="1" customWidth="1"/>
    <col min="2" max="2" width="17.109375" style="980" hidden="1" customWidth="1"/>
    <col min="3" max="3" width="17.21875" style="980" hidden="1" customWidth="1"/>
    <col min="4" max="7" width="15.77734375" style="1" customWidth="1"/>
    <col min="8" max="8" width="19.21875" style="1" hidden="1" customWidth="1"/>
    <col min="9" max="9" width="11.77734375" style="1" hidden="1" customWidth="1"/>
    <col min="10" max="10" width="12.21875" style="1" hidden="1" customWidth="1"/>
    <col min="11" max="11" width="17.77734375" style="1" hidden="1" customWidth="1"/>
    <col min="12" max="12" width="12.5546875" style="1" hidden="1" customWidth="1"/>
    <col min="13" max="13" width="11.44140625" style="1" hidden="1" customWidth="1"/>
    <col min="14" max="14" width="11.5546875" style="1" hidden="1" customWidth="1"/>
    <col min="15" max="15" width="9.21875" style="1"/>
    <col min="16" max="16" width="11.44140625" style="1" bestFit="1" customWidth="1"/>
    <col min="17" max="17" width="13.44140625" style="1" bestFit="1" customWidth="1"/>
    <col min="18" max="16384" width="9.21875" style="1"/>
  </cols>
  <sheetData>
    <row r="1" spans="1:12">
      <c r="A1" s="5" t="str">
        <f>BS!A1</f>
        <v>1908 E-Ventures Private Limited</v>
      </c>
      <c r="B1" s="974"/>
      <c r="C1" s="974"/>
    </row>
    <row r="2" spans="1:12">
      <c r="A2" s="5" t="s">
        <v>341</v>
      </c>
      <c r="B2" s="974"/>
      <c r="C2" s="974"/>
    </row>
    <row r="3" spans="1:12">
      <c r="A3" s="5" t="str">
        <f>PL!A3</f>
        <v>For the year ended 31st March, 2024</v>
      </c>
      <c r="B3" s="974"/>
      <c r="C3" s="974"/>
    </row>
    <row r="4" spans="1:12">
      <c r="A4" s="8" t="str">
        <f>BS!A3</f>
        <v>[Currency: Indian Rupees(Rs.'000)]</v>
      </c>
      <c r="B4" s="975"/>
      <c r="C4" s="975"/>
    </row>
    <row r="6" spans="1:12">
      <c r="A6" s="5" t="s">
        <v>314</v>
      </c>
      <c r="B6" s="974"/>
      <c r="C6" s="974"/>
    </row>
    <row r="7" spans="1:12" ht="15" customHeight="1">
      <c r="A7" s="1212" t="s">
        <v>0</v>
      </c>
      <c r="B7" s="1221"/>
      <c r="C7" s="1222"/>
      <c r="D7" s="1209" t="s">
        <v>556</v>
      </c>
      <c r="E7" s="1210"/>
      <c r="F7" s="1209" t="s">
        <v>549</v>
      </c>
      <c r="G7" s="1210"/>
      <c r="H7" s="1209" t="s">
        <v>548</v>
      </c>
      <c r="I7" s="1210"/>
    </row>
    <row r="8" spans="1:12" ht="33.75" customHeight="1">
      <c r="A8" s="1213"/>
      <c r="B8" s="976"/>
      <c r="C8" s="976"/>
      <c r="D8" s="9" t="s">
        <v>759</v>
      </c>
      <c r="E8" s="9" t="s">
        <v>1002</v>
      </c>
      <c r="F8" s="9" t="s">
        <v>759</v>
      </c>
      <c r="G8" s="9" t="s">
        <v>1002</v>
      </c>
      <c r="H8" s="9" t="s">
        <v>759</v>
      </c>
      <c r="I8" s="9" t="s">
        <v>1002</v>
      </c>
    </row>
    <row r="9" spans="1:12">
      <c r="A9" s="3" t="s">
        <v>1457</v>
      </c>
      <c r="B9" s="977"/>
      <c r="C9" s="977"/>
      <c r="D9" s="528">
        <f>+F14</f>
        <v>5994514</v>
      </c>
      <c r="E9" s="528">
        <f>D9*10</f>
        <v>59945140</v>
      </c>
      <c r="F9" s="528">
        <f>+H14</f>
        <v>5944263</v>
      </c>
      <c r="G9" s="528">
        <f>F9*10</f>
        <v>59442630</v>
      </c>
      <c r="H9" s="528">
        <v>3199329</v>
      </c>
      <c r="I9" s="528">
        <v>31993290</v>
      </c>
    </row>
    <row r="10" spans="1:12" ht="35.25" customHeight="1">
      <c r="A10" s="24" t="s">
        <v>999</v>
      </c>
      <c r="B10" s="977"/>
      <c r="C10" s="977"/>
      <c r="D10" s="528"/>
      <c r="E10" s="528">
        <f>+D10*10</f>
        <v>0</v>
      </c>
      <c r="F10" s="528"/>
      <c r="G10" s="528">
        <f>+F10*10</f>
        <v>0</v>
      </c>
      <c r="H10" s="528">
        <v>37000</v>
      </c>
      <c r="I10" s="528">
        <v>370000</v>
      </c>
    </row>
    <row r="11" spans="1:12" ht="35.25" customHeight="1">
      <c r="A11" s="10" t="s">
        <v>1188</v>
      </c>
      <c r="B11" s="977"/>
      <c r="C11" s="977"/>
      <c r="D11" s="528">
        <v>25125</v>
      </c>
      <c r="E11" s="528">
        <f>+D11*10</f>
        <v>251250</v>
      </c>
      <c r="F11" s="528">
        <v>50251</v>
      </c>
      <c r="G11" s="528">
        <f>+F11*10</f>
        <v>502510</v>
      </c>
      <c r="H11" s="528">
        <v>1894732</v>
      </c>
      <c r="I11" s="528">
        <v>18947320</v>
      </c>
    </row>
    <row r="12" spans="1:12" ht="28.8" hidden="1">
      <c r="A12" s="10" t="s">
        <v>1000</v>
      </c>
      <c r="B12" s="977"/>
      <c r="C12" s="977"/>
      <c r="D12" s="528"/>
      <c r="E12" s="528">
        <f>+D12*10</f>
        <v>0</v>
      </c>
      <c r="F12" s="528"/>
      <c r="G12" s="528">
        <f>+F12*10</f>
        <v>0</v>
      </c>
      <c r="H12" s="528">
        <v>457142</v>
      </c>
      <c r="I12" s="528">
        <v>4571420</v>
      </c>
    </row>
    <row r="13" spans="1:12" ht="28.8" hidden="1">
      <c r="A13" s="10" t="s">
        <v>1189</v>
      </c>
      <c r="B13" s="977"/>
      <c r="C13" s="977"/>
      <c r="D13" s="528"/>
      <c r="E13" s="528">
        <f>+D13*10</f>
        <v>0</v>
      </c>
      <c r="F13" s="528"/>
      <c r="G13" s="528">
        <f>+F13*10</f>
        <v>0</v>
      </c>
      <c r="H13" s="528">
        <v>356060</v>
      </c>
      <c r="I13" s="528">
        <v>3560600</v>
      </c>
      <c r="L13" s="1">
        <f>194529139-118487682</f>
        <v>76041457</v>
      </c>
    </row>
    <row r="14" spans="1:12" ht="15" thickBot="1">
      <c r="A14" s="517" t="s">
        <v>1001</v>
      </c>
      <c r="B14" s="978"/>
      <c r="C14" s="979"/>
      <c r="D14" s="530">
        <f t="shared" ref="D14:I14" si="0">SUM(D9:D13)</f>
        <v>6019639</v>
      </c>
      <c r="E14" s="915">
        <f t="shared" si="0"/>
        <v>60196390</v>
      </c>
      <c r="F14" s="530">
        <f t="shared" si="0"/>
        <v>5994514</v>
      </c>
      <c r="G14" s="530">
        <f t="shared" si="0"/>
        <v>59945140</v>
      </c>
      <c r="H14" s="530">
        <f t="shared" si="0"/>
        <v>5944263</v>
      </c>
      <c r="I14" s="530">
        <f t="shared" si="0"/>
        <v>59442630</v>
      </c>
      <c r="L14" s="161">
        <f>+G54+G14</f>
        <v>10926966</v>
      </c>
    </row>
    <row r="15" spans="1:12" ht="8.1" customHeight="1" thickTop="1">
      <c r="D15" s="534"/>
      <c r="E15" s="534"/>
      <c r="F15" s="534"/>
      <c r="G15" s="534"/>
      <c r="H15" s="518"/>
      <c r="I15" s="518"/>
    </row>
    <row r="16" spans="1:12" ht="8.1" customHeight="1">
      <c r="D16" s="534"/>
      <c r="E16" s="534"/>
      <c r="F16" s="534"/>
      <c r="G16" s="534"/>
      <c r="H16" s="518"/>
      <c r="I16" s="518"/>
    </row>
    <row r="17" spans="1:14">
      <c r="A17" s="5" t="s">
        <v>315</v>
      </c>
      <c r="B17" s="974"/>
      <c r="C17" s="974"/>
      <c r="D17" s="534"/>
      <c r="E17" s="534"/>
      <c r="F17" s="534"/>
      <c r="G17" s="534"/>
      <c r="H17" s="518"/>
      <c r="I17" s="518"/>
    </row>
    <row r="18" spans="1:14">
      <c r="A18" s="1223" t="s">
        <v>0</v>
      </c>
      <c r="B18" s="981"/>
      <c r="C18" s="981"/>
      <c r="D18" s="1216" t="s">
        <v>316</v>
      </c>
      <c r="E18" s="1217"/>
      <c r="F18" s="1218"/>
      <c r="G18" s="1219" t="s">
        <v>317</v>
      </c>
      <c r="L18" s="161" t="e">
        <f>#REF!-#REF!</f>
        <v>#REF!</v>
      </c>
      <c r="M18" s="1">
        <v>149599</v>
      </c>
      <c r="N18" s="1" t="s">
        <v>1190</v>
      </c>
    </row>
    <row r="19" spans="1:14" ht="33.75" customHeight="1">
      <c r="A19" s="1215"/>
      <c r="B19" s="982"/>
      <c r="C19" s="982"/>
      <c r="D19" s="535" t="s">
        <v>318</v>
      </c>
      <c r="E19" s="535" t="s">
        <v>996</v>
      </c>
      <c r="F19" s="535" t="s">
        <v>997</v>
      </c>
      <c r="G19" s="1220"/>
      <c r="M19" s="1">
        <v>335985</v>
      </c>
      <c r="N19" s="1" t="s">
        <v>1191</v>
      </c>
    </row>
    <row r="20" spans="1:14">
      <c r="A20" s="1032"/>
      <c r="B20" s="983"/>
      <c r="C20" s="983"/>
      <c r="D20" s="536" t="s">
        <v>962</v>
      </c>
      <c r="E20" s="536" t="s">
        <v>962</v>
      </c>
      <c r="F20" s="536" t="s">
        <v>962</v>
      </c>
      <c r="G20" s="537" t="s">
        <v>962</v>
      </c>
      <c r="M20" s="1">
        <f>SUM(M18:M19)</f>
        <v>485584</v>
      </c>
    </row>
    <row r="21" spans="1:14">
      <c r="A21" s="3" t="s">
        <v>1523</v>
      </c>
      <c r="B21" s="984"/>
      <c r="C21" s="984"/>
      <c r="D21" s="525">
        <f>D54</f>
        <v>-226210233</v>
      </c>
      <c r="E21" s="525">
        <f>E54</f>
        <v>177192059</v>
      </c>
      <c r="F21" s="525">
        <f>F54</f>
        <v>0</v>
      </c>
      <c r="G21" s="538">
        <f t="shared" ref="G21:G26" si="1">SUM(D21:F21)</f>
        <v>-49018174</v>
      </c>
      <c r="K21" s="1" t="e">
        <f>'BS Grouping'!AC1+'BS Grouping'!#REF!-'BS Grouping'!#REF!</f>
        <v>#REF!</v>
      </c>
      <c r="M21" s="161" t="e">
        <f>+L18+M20</f>
        <v>#REF!</v>
      </c>
    </row>
    <row r="22" spans="1:14">
      <c r="A22" s="2" t="s">
        <v>319</v>
      </c>
      <c r="B22" s="983"/>
      <c r="C22" s="983"/>
      <c r="D22" s="525">
        <f>PL!D27</f>
        <v>11743076</v>
      </c>
      <c r="E22" s="525">
        <v>0</v>
      </c>
      <c r="F22" s="525">
        <v>0</v>
      </c>
      <c r="G22" s="539">
        <f t="shared" si="1"/>
        <v>11743076</v>
      </c>
      <c r="K22" s="518" t="e">
        <f>G21-K21</f>
        <v>#REF!</v>
      </c>
    </row>
    <row r="23" spans="1:14">
      <c r="A23" s="2" t="s">
        <v>998</v>
      </c>
      <c r="B23" s="983"/>
      <c r="C23" s="983"/>
      <c r="D23" s="525">
        <v>0</v>
      </c>
      <c r="E23" s="525">
        <f>2248680</f>
        <v>2248680</v>
      </c>
      <c r="F23" s="525">
        <v>0</v>
      </c>
      <c r="G23" s="539">
        <f t="shared" si="1"/>
        <v>2248680</v>
      </c>
      <c r="M23" s="161"/>
    </row>
    <row r="24" spans="1:14" ht="28.8">
      <c r="A24" s="10" t="s">
        <v>1009</v>
      </c>
      <c r="B24" s="985"/>
      <c r="C24" s="985"/>
      <c r="D24" s="525">
        <v>0</v>
      </c>
      <c r="E24" s="525">
        <v>0</v>
      </c>
      <c r="F24" s="525">
        <v>0</v>
      </c>
      <c r="G24" s="539">
        <f t="shared" si="1"/>
        <v>0</v>
      </c>
      <c r="K24" s="1">
        <v>202676507</v>
      </c>
    </row>
    <row r="25" spans="1:14">
      <c r="A25" s="2" t="s">
        <v>539</v>
      </c>
      <c r="B25" s="983"/>
      <c r="C25" s="983"/>
      <c r="D25" s="525">
        <v>0</v>
      </c>
      <c r="E25" s="525">
        <v>0</v>
      </c>
      <c r="F25" s="525">
        <v>0</v>
      </c>
      <c r="G25" s="539">
        <f t="shared" si="1"/>
        <v>0</v>
      </c>
      <c r="K25" s="1">
        <f>42152481-4500393</f>
        <v>37652088</v>
      </c>
      <c r="L25" s="161"/>
      <c r="M25" s="161"/>
    </row>
    <row r="26" spans="1:14">
      <c r="A26" s="2" t="s">
        <v>320</v>
      </c>
      <c r="B26" s="983"/>
      <c r="C26" s="983"/>
      <c r="D26" s="525">
        <v>0</v>
      </c>
      <c r="E26" s="525">
        <v>0</v>
      </c>
      <c r="F26" s="525">
        <v>0</v>
      </c>
      <c r="G26" s="539">
        <f t="shared" si="1"/>
        <v>0</v>
      </c>
      <c r="K26" s="1">
        <f>('BS Grouping'!W3+'BS Grouping'!Y3+'BS Grouping'!AA3)*-1</f>
        <v>-3.3399999999674037</v>
      </c>
    </row>
    <row r="27" spans="1:14">
      <c r="A27" s="2"/>
      <c r="B27" s="983"/>
      <c r="C27" s="983"/>
      <c r="D27" s="525"/>
      <c r="E27" s="525"/>
      <c r="F27" s="525"/>
      <c r="G27" s="539"/>
      <c r="K27" s="1">
        <f>SUM(K24:K26)</f>
        <v>240328591.66</v>
      </c>
      <c r="N27" s="161"/>
    </row>
    <row r="28" spans="1:14">
      <c r="A28" s="2" t="s">
        <v>321</v>
      </c>
      <c r="B28" s="983"/>
      <c r="C28" s="983"/>
      <c r="D28" s="526">
        <f t="shared" ref="D28:G28" si="2">SUM(D22:D26)</f>
        <v>11743076</v>
      </c>
      <c r="E28" s="526">
        <f t="shared" si="2"/>
        <v>2248680</v>
      </c>
      <c r="F28" s="526">
        <f t="shared" si="2"/>
        <v>0</v>
      </c>
      <c r="G28" s="526">
        <f t="shared" si="2"/>
        <v>13991756</v>
      </c>
      <c r="K28" s="534">
        <f>D29</f>
        <v>-214467147</v>
      </c>
      <c r="L28" s="161"/>
      <c r="M28" s="161"/>
      <c r="N28" s="161"/>
    </row>
    <row r="29" spans="1:14" ht="15" thickBot="1">
      <c r="A29" s="3" t="s">
        <v>1564</v>
      </c>
      <c r="B29" s="984"/>
      <c r="C29" s="984"/>
      <c r="D29" s="540">
        <f>D28+D21+10</f>
        <v>-214467147</v>
      </c>
      <c r="E29" s="540">
        <f t="shared" ref="E29:F29" si="3">E28+E21</f>
        <v>179440739</v>
      </c>
      <c r="F29" s="540">
        <f t="shared" si="3"/>
        <v>0</v>
      </c>
      <c r="G29" s="540">
        <f>G28+G21+10</f>
        <v>-35026408</v>
      </c>
      <c r="K29" s="518">
        <f>SUM(K27:K28)</f>
        <v>25861444.659999996</v>
      </c>
      <c r="L29" s="161" t="e">
        <f>G29+#REF!</f>
        <v>#REF!</v>
      </c>
    </row>
    <row r="30" spans="1:14" ht="15" hidden="1" thickTop="1">
      <c r="A30" s="1214" t="s">
        <v>0</v>
      </c>
      <c r="B30" s="981"/>
      <c r="C30" s="981"/>
      <c r="D30" s="1216" t="s">
        <v>316</v>
      </c>
      <c r="E30" s="1217"/>
      <c r="F30" s="1218"/>
      <c r="G30" s="1219" t="s">
        <v>317</v>
      </c>
      <c r="L30" s="161">
        <f>L1-L2</f>
        <v>0</v>
      </c>
      <c r="M30" s="1">
        <v>149599</v>
      </c>
      <c r="N30" s="1" t="s">
        <v>1190</v>
      </c>
    </row>
    <row r="31" spans="1:14" ht="33.75" hidden="1" customHeight="1">
      <c r="A31" s="1215"/>
      <c r="B31" s="982"/>
      <c r="C31" s="982"/>
      <c r="D31" s="535" t="s">
        <v>318</v>
      </c>
      <c r="E31" s="535" t="s">
        <v>996</v>
      </c>
      <c r="F31" s="535" t="s">
        <v>997</v>
      </c>
      <c r="G31" s="1220"/>
      <c r="M31" s="1">
        <v>335985</v>
      </c>
      <c r="N31" s="1" t="s">
        <v>1191</v>
      </c>
    </row>
    <row r="32" spans="1:14" hidden="1">
      <c r="A32" s="2"/>
      <c r="B32" s="983"/>
      <c r="C32" s="983"/>
      <c r="D32" s="536" t="s">
        <v>962</v>
      </c>
      <c r="E32" s="536" t="s">
        <v>962</v>
      </c>
      <c r="F32" s="536" t="s">
        <v>962</v>
      </c>
      <c r="G32" s="537" t="s">
        <v>962</v>
      </c>
      <c r="M32" s="1">
        <f>SUM(M30:M31)</f>
        <v>485584</v>
      </c>
    </row>
    <row r="33" spans="1:14" hidden="1">
      <c r="A33" s="3" t="s">
        <v>1523</v>
      </c>
      <c r="B33" s="984"/>
      <c r="C33" s="984"/>
      <c r="D33" s="527">
        <f t="shared" ref="D33:F33" si="4">D54</f>
        <v>-226210233</v>
      </c>
      <c r="E33" s="525">
        <f t="shared" si="4"/>
        <v>177192059</v>
      </c>
      <c r="F33" s="527">
        <f t="shared" si="4"/>
        <v>0</v>
      </c>
      <c r="G33" s="538">
        <f t="shared" ref="G33:G38" si="5">SUM(D33:F33)</f>
        <v>-49018174</v>
      </c>
      <c r="K33" s="1">
        <f>'BS Grouping'!AC13+'BS Grouping'!AC11-'BS Grouping'!AC7</f>
        <v>-46195329.969999999</v>
      </c>
      <c r="M33" s="161">
        <f>+L30+M32</f>
        <v>485584</v>
      </c>
    </row>
    <row r="34" spans="1:14" hidden="1">
      <c r="A34" s="2" t="s">
        <v>319</v>
      </c>
      <c r="B34" s="983"/>
      <c r="C34" s="983"/>
      <c r="D34" s="525">
        <f>PL!E27</f>
        <v>-16923010.5</v>
      </c>
      <c r="E34" s="525">
        <v>0</v>
      </c>
      <c r="F34" s="525">
        <v>0</v>
      </c>
      <c r="G34" s="539">
        <f t="shared" si="5"/>
        <v>-16923010.5</v>
      </c>
      <c r="K34" s="518">
        <f>G33-K33</f>
        <v>-2822844.0300000012</v>
      </c>
    </row>
    <row r="35" spans="1:14" hidden="1">
      <c r="A35" s="2" t="s">
        <v>998</v>
      </c>
      <c r="B35" s="983"/>
      <c r="C35" s="983"/>
      <c r="D35" s="525">
        <v>0</v>
      </c>
      <c r="E35" s="525">
        <v>2248687</v>
      </c>
      <c r="F35" s="525">
        <v>0</v>
      </c>
      <c r="G35" s="539">
        <f t="shared" si="5"/>
        <v>2248687</v>
      </c>
      <c r="M35" s="161"/>
    </row>
    <row r="36" spans="1:14" ht="28.8" hidden="1">
      <c r="A36" s="10" t="s">
        <v>1009</v>
      </c>
      <c r="B36" s="985"/>
      <c r="C36" s="985"/>
      <c r="D36" s="525">
        <v>0</v>
      </c>
      <c r="E36" s="525">
        <v>0</v>
      </c>
      <c r="F36" s="525">
        <v>0</v>
      </c>
      <c r="G36" s="539">
        <f t="shared" si="5"/>
        <v>0</v>
      </c>
      <c r="K36" s="1">
        <v>202676507</v>
      </c>
    </row>
    <row r="37" spans="1:14" hidden="1">
      <c r="A37" s="2" t="s">
        <v>539</v>
      </c>
      <c r="B37" s="983"/>
      <c r="C37" s="983"/>
      <c r="D37" s="525">
        <v>0</v>
      </c>
      <c r="E37" s="525">
        <v>0</v>
      </c>
      <c r="F37" s="525">
        <v>0</v>
      </c>
      <c r="G37" s="539">
        <f t="shared" si="5"/>
        <v>0</v>
      </c>
      <c r="K37" s="1">
        <f>42152481-4500393</f>
        <v>37652088</v>
      </c>
      <c r="L37" s="161"/>
      <c r="M37" s="161"/>
    </row>
    <row r="38" spans="1:14" hidden="1">
      <c r="A38" s="2" t="s">
        <v>320</v>
      </c>
      <c r="B38" s="983"/>
      <c r="C38" s="983"/>
      <c r="D38" s="525">
        <v>0</v>
      </c>
      <c r="E38" s="525">
        <v>0</v>
      </c>
      <c r="F38" s="525">
        <v>0</v>
      </c>
      <c r="G38" s="539">
        <f t="shared" si="5"/>
        <v>0</v>
      </c>
      <c r="K38" s="1">
        <f>('BS Grouping'!W15+'BS Grouping'!Y15+'BS Grouping'!AA15)*-1</f>
        <v>1171978.6600000001</v>
      </c>
    </row>
    <row r="39" spans="1:14" hidden="1">
      <c r="A39" s="2"/>
      <c r="B39" s="983"/>
      <c r="C39" s="983"/>
      <c r="D39" s="525"/>
      <c r="E39" s="525"/>
      <c r="F39" s="525"/>
      <c r="G39" s="539"/>
      <c r="K39" s="1">
        <f>SUM(K36:K38)</f>
        <v>241500573.66</v>
      </c>
      <c r="N39" s="161"/>
    </row>
    <row r="40" spans="1:14" hidden="1">
      <c r="A40" s="2" t="s">
        <v>321</v>
      </c>
      <c r="B40" s="983"/>
      <c r="C40" s="983"/>
      <c r="D40" s="526">
        <f t="shared" ref="D40:G40" si="6">SUM(D34:D38)</f>
        <v>-16923010.5</v>
      </c>
      <c r="E40" s="526">
        <f t="shared" si="6"/>
        <v>2248687</v>
      </c>
      <c r="F40" s="526">
        <f t="shared" si="6"/>
        <v>0</v>
      </c>
      <c r="G40" s="526">
        <f t="shared" si="6"/>
        <v>-14674323.5</v>
      </c>
      <c r="K40" s="534">
        <f>D41</f>
        <v>-243133243.5</v>
      </c>
      <c r="L40" s="161"/>
      <c r="M40" s="161"/>
      <c r="N40" s="161"/>
    </row>
    <row r="41" spans="1:14" ht="15" hidden="1" thickBot="1">
      <c r="A41" s="3" t="s">
        <v>1524</v>
      </c>
      <c r="B41" s="984"/>
      <c r="C41" s="984"/>
      <c r="D41" s="540">
        <f t="shared" ref="D41:G41" si="7">D40+D33</f>
        <v>-243133243.5</v>
      </c>
      <c r="E41" s="540">
        <f t="shared" si="7"/>
        <v>179440746</v>
      </c>
      <c r="F41" s="540">
        <f t="shared" si="7"/>
        <v>0</v>
      </c>
      <c r="G41" s="540">
        <f t="shared" si="7"/>
        <v>-63692497.5</v>
      </c>
      <c r="K41" s="518">
        <f>SUM(K39:K40)</f>
        <v>-1632669.8400000036</v>
      </c>
      <c r="L41" s="161">
        <f>G41+E2</f>
        <v>-63692497.5</v>
      </c>
    </row>
    <row r="42" spans="1:14" ht="15" thickTop="1">
      <c r="A42" s="3"/>
      <c r="B42" s="986"/>
      <c r="C42" s="986"/>
      <c r="D42" s="948"/>
      <c r="E42" s="949"/>
      <c r="F42" s="950"/>
      <c r="G42" s="950"/>
      <c r="K42" s="518"/>
      <c r="L42" s="161"/>
    </row>
    <row r="43" spans="1:14">
      <c r="A43" s="1214" t="s">
        <v>0</v>
      </c>
      <c r="B43" s="981"/>
      <c r="C43" s="981"/>
      <c r="D43" s="1216" t="s">
        <v>316</v>
      </c>
      <c r="E43" s="1217"/>
      <c r="F43" s="1218"/>
      <c r="G43" s="1219" t="s">
        <v>317</v>
      </c>
      <c r="L43" s="161">
        <f>L13-L14</f>
        <v>65114491</v>
      </c>
      <c r="M43" s="1">
        <v>149599</v>
      </c>
      <c r="N43" s="1" t="s">
        <v>1190</v>
      </c>
    </row>
    <row r="44" spans="1:14" ht="33.75" customHeight="1">
      <c r="A44" s="1215"/>
      <c r="B44" s="982"/>
      <c r="C44" s="982"/>
      <c r="D44" s="535" t="s">
        <v>318</v>
      </c>
      <c r="E44" s="535" t="s">
        <v>996</v>
      </c>
      <c r="F44" s="535" t="s">
        <v>997</v>
      </c>
      <c r="G44" s="1220"/>
      <c r="K44" s="658">
        <f>'BS Grouping'!U3</f>
        <v>-280479.28333336115</v>
      </c>
      <c r="M44" s="1">
        <v>335985</v>
      </c>
      <c r="N44" s="1" t="s">
        <v>1191</v>
      </c>
    </row>
    <row r="45" spans="1:14">
      <c r="A45" s="2"/>
      <c r="B45" s="983"/>
      <c r="C45" s="983"/>
      <c r="D45" s="536" t="s">
        <v>962</v>
      </c>
      <c r="E45" s="536" t="s">
        <v>962</v>
      </c>
      <c r="F45" s="536" t="s">
        <v>962</v>
      </c>
      <c r="G45" s="537" t="s">
        <v>962</v>
      </c>
      <c r="K45" s="658">
        <f>K44*2</f>
        <v>-560958.5666667223</v>
      </c>
      <c r="M45" s="1">
        <f>SUM(M43:M44)</f>
        <v>485584</v>
      </c>
    </row>
    <row r="46" spans="1:14">
      <c r="A46" s="3" t="s">
        <v>1358</v>
      </c>
      <c r="B46" s="984"/>
      <c r="C46" s="984"/>
      <c r="D46" s="527">
        <f>+D64</f>
        <v>-156058722</v>
      </c>
      <c r="E46" s="525">
        <f>+E64</f>
        <v>172694594</v>
      </c>
      <c r="F46" s="527">
        <f>+F64</f>
        <v>-106</v>
      </c>
      <c r="G46" s="538">
        <f t="shared" ref="G46:G51" si="8">SUM(D46:F46)</f>
        <v>16635766</v>
      </c>
      <c r="K46" s="658">
        <f>K41-K45</f>
        <v>-1071711.2733332813</v>
      </c>
      <c r="M46" s="161">
        <f>+L43+M45</f>
        <v>65600075</v>
      </c>
    </row>
    <row r="47" spans="1:14">
      <c r="A47" s="2" t="s">
        <v>319</v>
      </c>
      <c r="B47" s="983"/>
      <c r="C47" s="983"/>
      <c r="D47" s="525">
        <f>ROUND(PL!F27,)</f>
        <v>-70108956</v>
      </c>
      <c r="E47" s="525">
        <v>0</v>
      </c>
      <c r="F47" s="525">
        <v>0</v>
      </c>
      <c r="G47" s="539">
        <f t="shared" si="8"/>
        <v>-70108956</v>
      </c>
    </row>
    <row r="48" spans="1:14">
      <c r="A48" s="2" t="s">
        <v>998</v>
      </c>
      <c r="B48" s="983"/>
      <c r="C48" s="983"/>
      <c r="D48" s="525">
        <v>0</v>
      </c>
      <c r="E48" s="525">
        <v>4497465</v>
      </c>
      <c r="F48" s="525">
        <v>0</v>
      </c>
      <c r="G48" s="539">
        <f t="shared" si="8"/>
        <v>4497465</v>
      </c>
      <c r="M48" s="161"/>
    </row>
    <row r="49" spans="1:17" ht="28.8">
      <c r="A49" s="10" t="s">
        <v>1009</v>
      </c>
      <c r="B49" s="985"/>
      <c r="C49" s="985"/>
      <c r="D49" s="525"/>
      <c r="E49" s="525">
        <v>0</v>
      </c>
      <c r="F49" s="525">
        <f>-D49</f>
        <v>0</v>
      </c>
      <c r="G49" s="539">
        <f t="shared" si="8"/>
        <v>0</v>
      </c>
    </row>
    <row r="50" spans="1:17">
      <c r="A50" s="2" t="s">
        <v>539</v>
      </c>
      <c r="B50" s="983"/>
      <c r="C50" s="983"/>
      <c r="D50" s="525">
        <v>-106</v>
      </c>
      <c r="E50" s="525">
        <v>0</v>
      </c>
      <c r="F50" s="525">
        <v>106</v>
      </c>
      <c r="G50" s="539">
        <f t="shared" si="8"/>
        <v>0</v>
      </c>
      <c r="L50" s="161"/>
      <c r="M50" s="161"/>
    </row>
    <row r="51" spans="1:17">
      <c r="A51" s="2" t="s">
        <v>320</v>
      </c>
      <c r="B51" s="983"/>
      <c r="C51" s="983"/>
      <c r="D51" s="525">
        <f>ROUND((PL!F31+PL!F32),)</f>
        <v>-42449</v>
      </c>
      <c r="E51" s="525">
        <v>0</v>
      </c>
      <c r="F51" s="525">
        <f>PL!H31</f>
        <v>0</v>
      </c>
      <c r="G51" s="539">
        <f t="shared" si="8"/>
        <v>-42449</v>
      </c>
    </row>
    <row r="52" spans="1:17">
      <c r="A52" s="2"/>
      <c r="B52" s="983"/>
      <c r="C52" s="983"/>
      <c r="D52" s="525"/>
      <c r="E52" s="525"/>
      <c r="F52" s="525"/>
      <c r="G52" s="539"/>
      <c r="N52" s="161"/>
    </row>
    <row r="53" spans="1:17">
      <c r="A53" s="2" t="s">
        <v>321</v>
      </c>
      <c r="B53" s="983"/>
      <c r="C53" s="983"/>
      <c r="D53" s="526">
        <f t="shared" ref="D53:G53" si="9">SUM(D47:D51)</f>
        <v>-70151511</v>
      </c>
      <c r="E53" s="526">
        <f t="shared" si="9"/>
        <v>4497465</v>
      </c>
      <c r="F53" s="526">
        <f t="shared" si="9"/>
        <v>106</v>
      </c>
      <c r="G53" s="526">
        <f t="shared" si="9"/>
        <v>-65653940</v>
      </c>
      <c r="L53" s="161"/>
      <c r="M53" s="161"/>
      <c r="N53" s="161"/>
    </row>
    <row r="54" spans="1:17" ht="15" thickBot="1">
      <c r="A54" s="517" t="s">
        <v>1359</v>
      </c>
      <c r="B54" s="984"/>
      <c r="C54" s="984"/>
      <c r="D54" s="540">
        <f t="shared" ref="D54:G54" si="10">D53+D46</f>
        <v>-226210233</v>
      </c>
      <c r="E54" s="540">
        <f t="shared" si="10"/>
        <v>177192059</v>
      </c>
      <c r="F54" s="540">
        <f t="shared" si="10"/>
        <v>0</v>
      </c>
      <c r="G54" s="540">
        <f t="shared" si="10"/>
        <v>-49018174</v>
      </c>
      <c r="L54" s="161">
        <f>G54+G14</f>
        <v>10926966</v>
      </c>
      <c r="P54" s="1">
        <v>-226210233</v>
      </c>
      <c r="Q54" s="1031">
        <f>P54-D54</f>
        <v>0</v>
      </c>
    </row>
    <row r="55" spans="1:17" ht="15" hidden="1" thickTop="1">
      <c r="A55" s="3"/>
      <c r="B55" s="984"/>
      <c r="C55" s="984"/>
      <c r="D55" s="525"/>
      <c r="E55" s="525"/>
      <c r="F55" s="525"/>
      <c r="G55" s="525"/>
      <c r="N55" s="161"/>
    </row>
    <row r="56" spans="1:17" ht="15" hidden="1" thickTop="1">
      <c r="A56" s="3" t="s">
        <v>1525</v>
      </c>
      <c r="B56" s="984"/>
      <c r="C56" s="984"/>
      <c r="D56" s="525">
        <v>-98611789</v>
      </c>
      <c r="E56" s="525">
        <v>35221692</v>
      </c>
      <c r="F56" s="525">
        <v>596171</v>
      </c>
      <c r="G56" s="539">
        <f t="shared" ref="G56:G61" si="11">SUM(D56:F56)</f>
        <v>-62793926</v>
      </c>
      <c r="L56" s="161"/>
      <c r="N56" s="161"/>
    </row>
    <row r="57" spans="1:17" ht="15" hidden="1" thickTop="1">
      <c r="A57" s="2" t="s">
        <v>319</v>
      </c>
      <c r="B57" s="983"/>
      <c r="C57" s="983"/>
      <c r="D57" s="525">
        <f>ROUND(PL!G27,)</f>
        <v>-60115399</v>
      </c>
      <c r="E57" s="525">
        <v>0</v>
      </c>
      <c r="F57" s="525">
        <v>0</v>
      </c>
      <c r="G57" s="539">
        <f t="shared" si="11"/>
        <v>-60115399</v>
      </c>
    </row>
    <row r="58" spans="1:17" ht="15" hidden="1" thickTop="1">
      <c r="A58" s="2" t="s">
        <v>998</v>
      </c>
      <c r="B58" s="983"/>
      <c r="C58" s="983"/>
      <c r="D58" s="525">
        <v>0</v>
      </c>
      <c r="E58" s="525">
        <v>137472902</v>
      </c>
      <c r="F58" s="525">
        <v>0</v>
      </c>
      <c r="G58" s="539">
        <f t="shared" si="11"/>
        <v>137472902</v>
      </c>
    </row>
    <row r="59" spans="1:17" ht="29.4" hidden="1" thickTop="1">
      <c r="A59" s="10" t="s">
        <v>1009</v>
      </c>
      <c r="B59" s="985"/>
      <c r="C59" s="985"/>
      <c r="D59" s="525">
        <v>2670127</v>
      </c>
      <c r="E59" s="525">
        <v>0</v>
      </c>
      <c r="F59" s="525">
        <v>-2670127</v>
      </c>
      <c r="G59" s="539">
        <f t="shared" si="11"/>
        <v>0</v>
      </c>
    </row>
    <row r="60" spans="1:17" ht="15" hidden="1" thickTop="1">
      <c r="A60" s="2" t="s">
        <v>539</v>
      </c>
      <c r="B60" s="983"/>
      <c r="C60" s="983"/>
      <c r="D60" s="525">
        <v>0</v>
      </c>
      <c r="E60" s="525">
        <v>0</v>
      </c>
      <c r="F60" s="525">
        <v>2073850</v>
      </c>
      <c r="G60" s="539">
        <f t="shared" si="11"/>
        <v>2073850</v>
      </c>
      <c r="L60" s="161"/>
    </row>
    <row r="61" spans="1:17" ht="15" hidden="1" thickTop="1">
      <c r="A61" s="2" t="s">
        <v>320</v>
      </c>
      <c r="B61" s="983"/>
      <c r="C61" s="983"/>
      <c r="D61" s="525">
        <f>ROUND(PL!G31,)</f>
        <v>-1661</v>
      </c>
      <c r="E61" s="525">
        <v>0</v>
      </c>
      <c r="F61" s="525">
        <v>0</v>
      </c>
      <c r="G61" s="539">
        <f t="shared" si="11"/>
        <v>-1661</v>
      </c>
    </row>
    <row r="62" spans="1:17" ht="15" hidden="1" thickTop="1">
      <c r="A62" s="2"/>
      <c r="B62" s="983"/>
      <c r="C62" s="983"/>
      <c r="D62" s="525"/>
      <c r="E62" s="525"/>
      <c r="F62" s="525"/>
      <c r="G62" s="539"/>
    </row>
    <row r="63" spans="1:17" ht="15" hidden="1" thickTop="1">
      <c r="A63" s="2" t="s">
        <v>321</v>
      </c>
      <c r="B63" s="983"/>
      <c r="C63" s="983"/>
      <c r="D63" s="541">
        <f t="shared" ref="D63:G63" si="12">SUM(D57:D62)</f>
        <v>-57446933</v>
      </c>
      <c r="E63" s="541">
        <f t="shared" si="12"/>
        <v>137472902</v>
      </c>
      <c r="F63" s="541">
        <f t="shared" si="12"/>
        <v>-596277</v>
      </c>
      <c r="G63" s="541">
        <f t="shared" si="12"/>
        <v>79429692</v>
      </c>
    </row>
    <row r="64" spans="1:17" ht="15.6" hidden="1" thickTop="1" thickBot="1">
      <c r="A64" s="517" t="s">
        <v>1113</v>
      </c>
      <c r="B64" s="984"/>
      <c r="C64" s="984"/>
      <c r="D64" s="540">
        <f t="shared" ref="D64:G64" si="13">D56+D63</f>
        <v>-156058722</v>
      </c>
      <c r="E64" s="540">
        <f t="shared" si="13"/>
        <v>172694594</v>
      </c>
      <c r="F64" s="540">
        <f t="shared" si="13"/>
        <v>-106</v>
      </c>
      <c r="G64" s="540">
        <f t="shared" si="13"/>
        <v>16635766</v>
      </c>
      <c r="L64" s="161">
        <f>G64+I14</f>
        <v>76078396</v>
      </c>
    </row>
    <row r="65" spans="1:12" ht="7.5" customHeight="1" thickTop="1">
      <c r="A65" s="5"/>
      <c r="B65" s="974"/>
      <c r="C65" s="974"/>
      <c r="F65" s="519"/>
      <c r="G65" s="519"/>
      <c r="H65" s="519"/>
      <c r="I65" s="519"/>
      <c r="J65" s="519"/>
    </row>
    <row r="66" spans="1:12" ht="32.25" customHeight="1">
      <c r="A66" s="1211" t="str">
        <f>BS!B56</f>
        <v>The accompanying notes are integral part of the financial statements (all amounts in Rupees Thousands)
In terms of our report on even date attached</v>
      </c>
      <c r="B66" s="1211"/>
      <c r="C66" s="1211"/>
      <c r="D66" s="1211"/>
      <c r="E66" s="1211"/>
      <c r="F66" s="1211"/>
      <c r="G66" s="1211"/>
      <c r="L66" s="1">
        <v>16635692</v>
      </c>
    </row>
    <row r="67" spans="1:12" ht="7.5" customHeight="1">
      <c r="A67" s="5"/>
      <c r="B67" s="974"/>
      <c r="C67" s="974"/>
      <c r="D67" s="520"/>
      <c r="E67" s="520"/>
      <c r="F67" s="520"/>
      <c r="G67" s="520"/>
    </row>
    <row r="68" spans="1:12">
      <c r="D68" s="520"/>
      <c r="E68" s="520"/>
      <c r="F68" s="520"/>
      <c r="G68" s="520"/>
    </row>
    <row r="69" spans="1:12" ht="6" customHeight="1">
      <c r="D69" s="520"/>
      <c r="E69" s="520"/>
      <c r="F69" s="520"/>
      <c r="G69" s="520"/>
    </row>
    <row r="70" spans="1:12">
      <c r="A70" s="7"/>
      <c r="B70" s="987"/>
      <c r="C70" s="987"/>
      <c r="D70" s="520"/>
      <c r="E70" s="520"/>
      <c r="F70" s="520"/>
      <c r="G70" s="520"/>
    </row>
    <row r="71" spans="1:12">
      <c r="A71" s="5" t="s">
        <v>342</v>
      </c>
      <c r="B71" s="974"/>
      <c r="C71" s="974"/>
      <c r="D71" s="5" t="s">
        <v>322</v>
      </c>
      <c r="E71" s="5"/>
      <c r="F71" s="519"/>
      <c r="G71" s="5"/>
      <c r="H71" s="520"/>
      <c r="I71" s="520"/>
      <c r="J71" s="520"/>
    </row>
    <row r="72" spans="1:12">
      <c r="A72" s="1" t="s">
        <v>323</v>
      </c>
      <c r="F72" s="519"/>
      <c r="H72" s="519"/>
      <c r="I72" s="519"/>
      <c r="J72" s="519"/>
    </row>
    <row r="73" spans="1:12">
      <c r="A73" s="6" t="s">
        <v>343</v>
      </c>
      <c r="B73" s="988"/>
      <c r="C73" s="988"/>
      <c r="F73" s="519"/>
      <c r="H73" s="519"/>
      <c r="I73" s="519"/>
      <c r="J73" s="519"/>
    </row>
    <row r="74" spans="1:12">
      <c r="F74" s="519"/>
      <c r="H74" s="519"/>
      <c r="I74" s="519"/>
      <c r="J74" s="519"/>
    </row>
    <row r="75" spans="1:12">
      <c r="F75" s="519"/>
      <c r="H75" s="519"/>
      <c r="I75" s="519"/>
      <c r="J75" s="519"/>
    </row>
    <row r="76" spans="1:12">
      <c r="F76" s="519"/>
      <c r="H76" s="521"/>
      <c r="I76" s="520"/>
      <c r="J76" s="520"/>
    </row>
    <row r="77" spans="1:12">
      <c r="A77" s="5" t="s">
        <v>344</v>
      </c>
      <c r="B77" s="974"/>
      <c r="C77" s="974"/>
      <c r="D77" s="5" t="str">
        <f>+BS!C63</f>
        <v>Deep A. Lalvani</v>
      </c>
      <c r="E77" s="5"/>
      <c r="F77" s="14" t="s">
        <v>1533</v>
      </c>
      <c r="I77" s="5"/>
      <c r="J77" s="520"/>
    </row>
    <row r="78" spans="1:12">
      <c r="A78" s="1" t="s">
        <v>346</v>
      </c>
      <c r="D78" s="1" t="str">
        <f>+BS!C64</f>
        <v>Chairman</v>
      </c>
      <c r="F78" s="910" t="s">
        <v>788</v>
      </c>
      <c r="J78" s="519"/>
    </row>
    <row r="79" spans="1:12">
      <c r="A79" s="163" t="s">
        <v>348</v>
      </c>
      <c r="B79" s="989"/>
      <c r="C79" s="989"/>
      <c r="D79" s="1" t="str">
        <f>+BS!C65</f>
        <v>DIN: 01771000</v>
      </c>
      <c r="F79" s="21" t="s">
        <v>1534</v>
      </c>
      <c r="J79" s="519"/>
    </row>
    <row r="80" spans="1:12">
      <c r="A80" s="1" t="str">
        <f>+BS!B66</f>
        <v>Place : Mumbai</v>
      </c>
      <c r="D80" s="1" t="str">
        <f>+BS!C66</f>
        <v>Place : Mumbai</v>
      </c>
      <c r="E80" s="519"/>
      <c r="F80" s="1" t="str">
        <f>D80</f>
        <v>Place : Mumbai</v>
      </c>
      <c r="I80" s="520"/>
      <c r="J80" s="520"/>
    </row>
    <row r="81" spans="1:10">
      <c r="A81" s="1" t="str">
        <f>+BS!B67</f>
        <v>Date : 8th May, 2024</v>
      </c>
      <c r="D81" s="1" t="str">
        <f>+BS!C67</f>
        <v>Date : 8th May, 2024</v>
      </c>
      <c r="F81" s="1" t="str">
        <f>D81</f>
        <v>Date : 8th May, 2024</v>
      </c>
    </row>
    <row r="83" spans="1:10">
      <c r="F83" s="522"/>
      <c r="H83" s="522"/>
      <c r="I83" s="522"/>
      <c r="J83" s="522"/>
    </row>
    <row r="84" spans="1:10" ht="49.5" customHeight="1">
      <c r="A84" s="1225"/>
      <c r="B84" s="1225"/>
      <c r="C84" s="1225"/>
      <c r="D84" s="1225"/>
      <c r="E84" s="1225"/>
      <c r="F84" s="1225"/>
      <c r="G84" s="1225"/>
      <c r="H84" s="1225"/>
      <c r="I84" s="1225"/>
      <c r="J84" s="1225"/>
    </row>
    <row r="85" spans="1:10">
      <c r="A85" s="1224"/>
      <c r="B85" s="1224"/>
      <c r="C85" s="1224"/>
      <c r="D85" s="1224"/>
      <c r="E85" s="1224"/>
      <c r="F85" s="1224"/>
      <c r="G85" s="1224"/>
      <c r="H85" s="1224"/>
      <c r="I85" s="1224"/>
      <c r="J85" s="1224"/>
    </row>
    <row r="86" spans="1:10">
      <c r="A86" s="1224"/>
      <c r="B86" s="1224"/>
      <c r="C86" s="1224"/>
      <c r="D86" s="1224"/>
      <c r="E86" s="1224"/>
      <c r="F86" s="1224"/>
      <c r="G86" s="1224"/>
      <c r="H86" s="1224"/>
      <c r="I86" s="1224"/>
      <c r="J86" s="1224"/>
    </row>
  </sheetData>
  <mergeCells count="18">
    <mergeCell ref="A85:J85"/>
    <mergeCell ref="A86:J86"/>
    <mergeCell ref="A84:J84"/>
    <mergeCell ref="G43:G44"/>
    <mergeCell ref="A43:A44"/>
    <mergeCell ref="D43:F43"/>
    <mergeCell ref="D7:E7"/>
    <mergeCell ref="F7:G7"/>
    <mergeCell ref="H7:I7"/>
    <mergeCell ref="A66:G66"/>
    <mergeCell ref="A7:A8"/>
    <mergeCell ref="A30:A31"/>
    <mergeCell ref="D30:F30"/>
    <mergeCell ref="G30:G31"/>
    <mergeCell ref="B7:C7"/>
    <mergeCell ref="A18:A19"/>
    <mergeCell ref="D18:F18"/>
    <mergeCell ref="G18:G19"/>
  </mergeCells>
  <conditionalFormatting sqref="E78">
    <cfRule type="cellIs" dxfId="8" priority="3" stopIfTrue="1" operator="equal">
      <formula>"Please Insert Designation of the Director 1"</formula>
    </cfRule>
  </conditionalFormatting>
  <pageMargins left="0.70866141732283472" right="0.55118110236220474" top="0.51181102362204722" bottom="0.19685039370078741" header="0.43307086614173229" footer="0.19685039370078741"/>
  <pageSetup paperSize="9" scale="81"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92D050"/>
    <pageSetUpPr fitToPage="1"/>
  </sheetPr>
  <dimension ref="A1:AD224"/>
  <sheetViews>
    <sheetView showGridLines="0" view="pageBreakPreview" topLeftCell="B220" zoomScaleSheetLayoutView="100" workbookViewId="0">
      <selection activeCell="B214" sqref="A214:B214"/>
    </sheetView>
  </sheetViews>
  <sheetFormatPr defaultColWidth="9.21875" defaultRowHeight="14.4"/>
  <cols>
    <col min="1" max="1" width="4" style="1118" customWidth="1"/>
    <col min="2" max="2" width="4.44140625" style="1118" customWidth="1"/>
    <col min="3" max="3" width="39.5546875" style="1118" customWidth="1"/>
    <col min="4" max="4" width="16.77734375" style="1118" customWidth="1"/>
    <col min="5" max="5" width="14.21875" style="1118" customWidth="1"/>
    <col min="6" max="6" width="12" style="1118" customWidth="1"/>
    <col min="7" max="7" width="15.21875" style="1118" customWidth="1"/>
    <col min="8" max="8" width="23.44140625" style="1119" customWidth="1"/>
    <col min="9" max="10" width="9.21875" style="1119"/>
    <col min="11" max="11" width="12" style="1119" bestFit="1" customWidth="1"/>
    <col min="12" max="16384" width="9.21875" style="1119"/>
  </cols>
  <sheetData>
    <row r="1" spans="1:12" s="1116" customFormat="1">
      <c r="A1" s="1115" t="str">
        <f>'Cash flow'!A1</f>
        <v>1908 E-Ventures Private Limited</v>
      </c>
      <c r="H1" s="1117"/>
    </row>
    <row r="2" spans="1:12" s="1116" customFormat="1">
      <c r="A2" s="427" t="s">
        <v>1623</v>
      </c>
      <c r="H2" s="1117"/>
    </row>
    <row r="3" spans="1:12">
      <c r="A3" s="1116" t="s">
        <v>964</v>
      </c>
    </row>
    <row r="5" spans="1:12">
      <c r="A5" s="1133">
        <v>1</v>
      </c>
      <c r="B5" s="1227" t="s">
        <v>751</v>
      </c>
      <c r="C5" s="1227"/>
      <c r="D5" s="1227"/>
      <c r="E5" s="1227"/>
      <c r="F5" s="1227"/>
      <c r="G5" s="1227"/>
      <c r="H5" s="1227"/>
    </row>
    <row r="6" spans="1:12" ht="103.95" customHeight="1">
      <c r="A6" s="1134"/>
      <c r="B6" s="1181" t="s">
        <v>563</v>
      </c>
      <c r="C6" s="1228" t="s">
        <v>1051</v>
      </c>
      <c r="D6" s="1228"/>
      <c r="E6" s="1228"/>
      <c r="F6" s="1228"/>
      <c r="G6" s="1228"/>
      <c r="H6" s="1228"/>
    </row>
    <row r="7" spans="1:12">
      <c r="A7" s="1134"/>
      <c r="B7" s="1181"/>
      <c r="C7" s="1181"/>
      <c r="D7" s="1181"/>
      <c r="E7" s="1181"/>
      <c r="F7" s="1181"/>
      <c r="G7" s="1181"/>
      <c r="H7" s="1181"/>
    </row>
    <row r="8" spans="1:12" ht="18" customHeight="1">
      <c r="A8" s="1133">
        <v>2.1</v>
      </c>
      <c r="B8" s="1227" t="s">
        <v>562</v>
      </c>
      <c r="C8" s="1227"/>
      <c r="D8" s="1227"/>
      <c r="E8" s="1227"/>
      <c r="F8" s="1227"/>
      <c r="G8" s="1227"/>
      <c r="H8" s="1227"/>
      <c r="I8" s="1188"/>
      <c r="J8" s="1188"/>
      <c r="K8" s="1188"/>
      <c r="L8" s="1188"/>
    </row>
    <row r="9" spans="1:12" ht="21" customHeight="1">
      <c r="A9" s="1133"/>
      <c r="B9" s="1133" t="s">
        <v>563</v>
      </c>
      <c r="C9" s="1227" t="s">
        <v>564</v>
      </c>
      <c r="D9" s="1227"/>
      <c r="E9" s="1227"/>
      <c r="F9" s="1227"/>
      <c r="G9" s="1227"/>
      <c r="H9" s="1227"/>
      <c r="I9" s="1188"/>
      <c r="J9" s="1188"/>
      <c r="K9" s="1188"/>
      <c r="L9" s="1188"/>
    </row>
    <row r="10" spans="1:12" ht="42.6" customHeight="1">
      <c r="A10" s="1133"/>
      <c r="B10" s="1135" t="s">
        <v>432</v>
      </c>
      <c r="C10" s="1233" t="s">
        <v>1697</v>
      </c>
      <c r="D10" s="1233"/>
      <c r="E10" s="1233"/>
      <c r="F10" s="1233"/>
      <c r="G10" s="1233"/>
      <c r="H10" s="1233"/>
      <c r="I10" s="1188"/>
      <c r="J10" s="1188"/>
      <c r="K10" s="1188"/>
      <c r="L10" s="1188"/>
    </row>
    <row r="11" spans="1:12" ht="29.55" customHeight="1">
      <c r="A11" s="1133"/>
      <c r="B11" s="1135" t="s">
        <v>565</v>
      </c>
      <c r="C11" s="1233" t="s">
        <v>1698</v>
      </c>
      <c r="D11" s="1234"/>
      <c r="E11" s="1234"/>
      <c r="F11" s="1234"/>
      <c r="G11" s="1234"/>
      <c r="H11" s="1234"/>
      <c r="I11" s="1188"/>
      <c r="J11" s="1188"/>
      <c r="K11" s="1188"/>
      <c r="L11" s="1188"/>
    </row>
    <row r="12" spans="1:12" ht="61.2" customHeight="1">
      <c r="A12" s="1133"/>
      <c r="B12" s="1135" t="s">
        <v>601</v>
      </c>
      <c r="C12" s="1233" t="s">
        <v>1699</v>
      </c>
      <c r="D12" s="1234"/>
      <c r="E12" s="1234"/>
      <c r="F12" s="1234"/>
      <c r="G12" s="1234"/>
      <c r="H12" s="1234"/>
      <c r="I12" s="1188"/>
      <c r="J12" s="1188"/>
      <c r="K12" s="1188"/>
      <c r="L12" s="1188"/>
    </row>
    <row r="13" spans="1:12" ht="31.05" customHeight="1">
      <c r="A13" s="1133"/>
      <c r="B13" s="1135" t="s">
        <v>604</v>
      </c>
      <c r="C13" s="1233" t="s">
        <v>1700</v>
      </c>
      <c r="D13" s="1234"/>
      <c r="E13" s="1234"/>
      <c r="F13" s="1234"/>
      <c r="G13" s="1234"/>
      <c r="H13" s="1234"/>
      <c r="I13" s="1188"/>
      <c r="J13" s="1188"/>
      <c r="K13" s="1188"/>
      <c r="L13" s="1188"/>
    </row>
    <row r="14" spans="1:12" ht="21" hidden="1" customHeight="1">
      <c r="A14" s="1133"/>
      <c r="B14" s="1135" t="s">
        <v>606</v>
      </c>
      <c r="C14" s="1183" t="s">
        <v>1701</v>
      </c>
      <c r="D14" s="1180"/>
      <c r="E14" s="1180"/>
      <c r="F14" s="1180"/>
      <c r="G14" s="1180"/>
      <c r="H14" s="1180"/>
      <c r="I14" s="1188"/>
      <c r="J14" s="1188"/>
      <c r="K14" s="1188"/>
      <c r="L14" s="1188"/>
    </row>
    <row r="15" spans="1:12">
      <c r="A15" s="1133"/>
      <c r="B15" s="1135" t="s">
        <v>606</v>
      </c>
      <c r="C15" s="1233" t="s">
        <v>1730</v>
      </c>
      <c r="D15" s="1234"/>
      <c r="E15" s="1234"/>
      <c r="F15" s="1234"/>
      <c r="G15" s="1234"/>
      <c r="H15" s="1234"/>
      <c r="I15" s="1188"/>
      <c r="J15" s="1188"/>
      <c r="K15" s="1188"/>
      <c r="L15" s="1188"/>
    </row>
    <row r="16" spans="1:12">
      <c r="A16" s="1120"/>
      <c r="B16" s="1120"/>
      <c r="C16" s="427"/>
      <c r="D16" s="427"/>
      <c r="E16" s="427"/>
      <c r="F16" s="427"/>
      <c r="G16" s="427"/>
      <c r="H16" s="427"/>
      <c r="I16" s="1188"/>
      <c r="J16" s="1188"/>
      <c r="K16" s="1188"/>
      <c r="L16" s="1188"/>
    </row>
    <row r="17" spans="1:12">
      <c r="A17" s="1120"/>
      <c r="B17" s="1105" t="s">
        <v>567</v>
      </c>
      <c r="C17" s="1230" t="s">
        <v>387</v>
      </c>
      <c r="D17" s="1230"/>
      <c r="E17" s="427"/>
      <c r="F17" s="427"/>
      <c r="G17" s="427"/>
      <c r="H17" s="427"/>
      <c r="I17" s="1188"/>
      <c r="J17" s="1188"/>
      <c r="K17" s="1188"/>
      <c r="L17" s="1188"/>
    </row>
    <row r="18" spans="1:12" ht="68.55" customHeight="1">
      <c r="A18" s="1120"/>
      <c r="B18" s="1121" t="s">
        <v>432</v>
      </c>
      <c r="C18" s="1237" t="s">
        <v>963</v>
      </c>
      <c r="D18" s="1237"/>
      <c r="E18" s="1237"/>
      <c r="F18" s="1237"/>
      <c r="G18" s="1237"/>
      <c r="H18" s="1237"/>
      <c r="I18" s="1188"/>
      <c r="J18" s="1188"/>
      <c r="K18" s="1188"/>
      <c r="L18" s="1188"/>
    </row>
    <row r="19" spans="1:12" ht="35.549999999999997" customHeight="1">
      <c r="A19" s="1120"/>
      <c r="B19" s="1121" t="s">
        <v>565</v>
      </c>
      <c r="C19" s="1237" t="s">
        <v>566</v>
      </c>
      <c r="D19" s="1237"/>
      <c r="E19" s="1237"/>
      <c r="F19" s="1237"/>
      <c r="G19" s="1237"/>
      <c r="H19" s="1237"/>
      <c r="I19" s="1188"/>
      <c r="J19" s="1188"/>
      <c r="K19" s="1188"/>
      <c r="L19" s="1188"/>
    </row>
    <row r="20" spans="1:12" ht="21" customHeight="1">
      <c r="A20" s="1120"/>
      <c r="B20" s="1120" t="s">
        <v>567</v>
      </c>
      <c r="C20" s="1238" t="s">
        <v>387</v>
      </c>
      <c r="D20" s="1238"/>
      <c r="E20" s="1238"/>
      <c r="F20" s="1238"/>
      <c r="G20" s="1238"/>
      <c r="H20" s="1238"/>
      <c r="I20" s="1188"/>
      <c r="J20" s="1188"/>
      <c r="K20" s="1188"/>
      <c r="L20" s="1188"/>
    </row>
    <row r="21" spans="1:12" ht="49.05" customHeight="1">
      <c r="A21" s="1120"/>
      <c r="B21" s="1120"/>
      <c r="C21" s="1237" t="s">
        <v>568</v>
      </c>
      <c r="D21" s="1237"/>
      <c r="E21" s="1237"/>
      <c r="F21" s="1237"/>
      <c r="G21" s="1237"/>
      <c r="H21" s="1237"/>
      <c r="I21" s="1188"/>
      <c r="J21" s="1188"/>
      <c r="K21" s="1188"/>
      <c r="L21" s="1188"/>
    </row>
    <row r="22" spans="1:12" ht="49.5" customHeight="1">
      <c r="A22" s="1120"/>
      <c r="B22" s="1120"/>
      <c r="C22" s="1237" t="s">
        <v>569</v>
      </c>
      <c r="D22" s="1237"/>
      <c r="E22" s="1237"/>
      <c r="F22" s="1237"/>
      <c r="G22" s="1237"/>
      <c r="H22" s="1237"/>
      <c r="I22" s="1188"/>
      <c r="J22" s="1188"/>
      <c r="K22" s="1188"/>
      <c r="L22" s="1188"/>
    </row>
    <row r="23" spans="1:12" ht="40.5" customHeight="1">
      <c r="A23" s="1120"/>
      <c r="B23" s="1120"/>
      <c r="C23" s="1237" t="s">
        <v>570</v>
      </c>
      <c r="D23" s="1237"/>
      <c r="E23" s="1237"/>
      <c r="F23" s="1237"/>
      <c r="G23" s="1237"/>
      <c r="H23" s="1237"/>
      <c r="I23" s="1188"/>
      <c r="J23" s="1188"/>
      <c r="K23" s="1188"/>
      <c r="L23" s="1188"/>
    </row>
    <row r="24" spans="1:12" ht="16.5" customHeight="1">
      <c r="A24" s="1120"/>
      <c r="B24" s="1120"/>
      <c r="C24" s="1238" t="s">
        <v>571</v>
      </c>
      <c r="D24" s="1238"/>
      <c r="E24" s="1238"/>
      <c r="F24" s="1238"/>
      <c r="G24" s="1238"/>
      <c r="H24" s="1238"/>
      <c r="I24" s="1188"/>
      <c r="J24" s="1188"/>
      <c r="K24" s="1188"/>
      <c r="L24" s="1188"/>
    </row>
    <row r="25" spans="1:12" ht="66" customHeight="1">
      <c r="A25" s="1120"/>
      <c r="B25" s="1120"/>
      <c r="C25" s="1228" t="s">
        <v>572</v>
      </c>
      <c r="D25" s="1228"/>
      <c r="E25" s="1228"/>
      <c r="F25" s="1228"/>
      <c r="G25" s="1228"/>
      <c r="H25" s="1228"/>
      <c r="I25" s="1188"/>
      <c r="J25" s="1188"/>
      <c r="K25" s="1188"/>
      <c r="L25" s="1188"/>
    </row>
    <row r="26" spans="1:12" ht="7.5" customHeight="1">
      <c r="A26" s="1120"/>
      <c r="B26" s="1120"/>
      <c r="C26" s="1185"/>
      <c r="D26" s="1185"/>
      <c r="E26" s="1185"/>
      <c r="F26" s="1185"/>
      <c r="G26" s="1185"/>
      <c r="H26" s="1185"/>
      <c r="I26" s="1188"/>
      <c r="J26" s="1188"/>
      <c r="K26" s="1188"/>
      <c r="L26" s="1188"/>
    </row>
    <row r="27" spans="1:12">
      <c r="A27" s="1120"/>
      <c r="B27" s="1120"/>
      <c r="C27" s="1238" t="s">
        <v>573</v>
      </c>
      <c r="D27" s="1238"/>
      <c r="E27" s="1238"/>
      <c r="F27" s="1238"/>
      <c r="G27" s="1238"/>
      <c r="H27" s="1238"/>
      <c r="I27" s="1188"/>
      <c r="J27" s="1188"/>
      <c r="K27" s="1188"/>
      <c r="L27" s="1188"/>
    </row>
    <row r="28" spans="1:12" ht="30.6" customHeight="1">
      <c r="A28" s="1120"/>
      <c r="B28" s="1120"/>
      <c r="C28" s="1228" t="s">
        <v>574</v>
      </c>
      <c r="D28" s="1228"/>
      <c r="E28" s="1228"/>
      <c r="F28" s="1228"/>
      <c r="G28" s="1228"/>
      <c r="H28" s="1228"/>
      <c r="I28" s="1188"/>
      <c r="J28" s="1188"/>
      <c r="K28" s="1188"/>
      <c r="L28" s="1188"/>
    </row>
    <row r="29" spans="1:12" ht="10.95" customHeight="1">
      <c r="A29" s="1120"/>
      <c r="B29" s="1120"/>
      <c r="C29" s="1186"/>
      <c r="D29" s="1186"/>
      <c r="E29" s="1186"/>
      <c r="F29" s="1186"/>
      <c r="G29" s="1186"/>
      <c r="H29" s="1186"/>
      <c r="I29" s="1188"/>
      <c r="J29" s="1188"/>
      <c r="K29" s="1188"/>
      <c r="L29" s="1188"/>
    </row>
    <row r="30" spans="1:12">
      <c r="A30" s="1120"/>
      <c r="B30" s="1120"/>
      <c r="C30" s="1238" t="s">
        <v>575</v>
      </c>
      <c r="D30" s="1238"/>
      <c r="E30" s="1238"/>
      <c r="F30" s="1238"/>
      <c r="G30" s="1238"/>
      <c r="H30" s="1238"/>
      <c r="I30" s="1188"/>
      <c r="J30" s="1188"/>
      <c r="K30" s="1188"/>
      <c r="L30" s="1188"/>
    </row>
    <row r="31" spans="1:12" ht="60" customHeight="1">
      <c r="A31" s="1120"/>
      <c r="B31" s="1120"/>
      <c r="C31" s="1244" t="s">
        <v>1695</v>
      </c>
      <c r="D31" s="1244"/>
      <c r="E31" s="1244"/>
      <c r="F31" s="1244"/>
      <c r="G31" s="1244"/>
      <c r="H31" s="1244"/>
      <c r="I31" s="1188"/>
      <c r="J31" s="1188">
        <f>'Employee benefits Note 36'!A5</f>
        <v>36</v>
      </c>
      <c r="K31" s="1188"/>
      <c r="L31" s="1188"/>
    </row>
    <row r="32" spans="1:12" ht="18" customHeight="1">
      <c r="A32" s="1120"/>
      <c r="B32" s="1120" t="s">
        <v>576</v>
      </c>
      <c r="C32" s="1238" t="s">
        <v>577</v>
      </c>
      <c r="D32" s="1238"/>
      <c r="E32" s="1238"/>
      <c r="F32" s="1238"/>
      <c r="G32" s="1238"/>
      <c r="H32" s="1238"/>
      <c r="I32" s="1188"/>
      <c r="J32" s="1188"/>
      <c r="K32" s="1188"/>
      <c r="L32" s="1188"/>
    </row>
    <row r="33" spans="1:12" ht="49.95" customHeight="1">
      <c r="A33" s="1120"/>
      <c r="B33" s="1120"/>
      <c r="C33" s="1228" t="s">
        <v>578</v>
      </c>
      <c r="D33" s="1228"/>
      <c r="E33" s="1228"/>
      <c r="F33" s="1228"/>
      <c r="G33" s="1228"/>
      <c r="H33" s="1228"/>
      <c r="I33" s="1188"/>
      <c r="J33" s="1188"/>
      <c r="K33" s="1188"/>
      <c r="L33" s="1188"/>
    </row>
    <row r="34" spans="1:12">
      <c r="A34" s="1120"/>
      <c r="B34" s="1120"/>
      <c r="C34" s="1238" t="s">
        <v>579</v>
      </c>
      <c r="D34" s="1238"/>
      <c r="E34" s="1238"/>
      <c r="F34" s="1238"/>
      <c r="G34" s="1238"/>
      <c r="H34" s="1238"/>
      <c r="I34" s="1188"/>
      <c r="J34" s="1188"/>
      <c r="K34" s="1188"/>
      <c r="L34" s="1188"/>
    </row>
    <row r="35" spans="1:12" ht="48" customHeight="1">
      <c r="A35" s="1120"/>
      <c r="B35" s="1120"/>
      <c r="C35" s="1244" t="s">
        <v>580</v>
      </c>
      <c r="D35" s="1244"/>
      <c r="E35" s="1244"/>
      <c r="F35" s="1244"/>
      <c r="G35" s="1244"/>
      <c r="H35" s="1244"/>
      <c r="I35" s="1188"/>
      <c r="J35" s="1188"/>
      <c r="K35" s="1188"/>
      <c r="L35" s="1188"/>
    </row>
    <row r="36" spans="1:12" ht="18" customHeight="1">
      <c r="A36" s="1120"/>
      <c r="B36" s="1120"/>
      <c r="C36" s="1246" t="s">
        <v>581</v>
      </c>
      <c r="D36" s="1246"/>
      <c r="E36" s="1246"/>
      <c r="F36" s="1246"/>
      <c r="G36" s="1246"/>
      <c r="H36" s="1246"/>
      <c r="I36" s="1188"/>
      <c r="J36" s="1188"/>
      <c r="K36" s="1188"/>
      <c r="L36" s="1188"/>
    </row>
    <row r="37" spans="1:12" ht="21.75" customHeight="1">
      <c r="A37" s="1120"/>
      <c r="B37" s="1120"/>
      <c r="C37" s="1246" t="s">
        <v>582</v>
      </c>
      <c r="D37" s="1246"/>
      <c r="E37" s="1246"/>
      <c r="F37" s="1246"/>
      <c r="G37" s="1246"/>
      <c r="H37" s="1246"/>
      <c r="I37" s="1188"/>
      <c r="J37" s="1188"/>
      <c r="K37" s="1188"/>
      <c r="L37" s="1188"/>
    </row>
    <row r="38" spans="1:12">
      <c r="A38" s="1120"/>
      <c r="B38" s="1120"/>
      <c r="C38" s="1239" t="s">
        <v>583</v>
      </c>
      <c r="D38" s="1239"/>
      <c r="E38" s="1239"/>
      <c r="F38" s="1239"/>
      <c r="G38" s="1239"/>
      <c r="H38" s="1239"/>
      <c r="I38" s="1188"/>
      <c r="J38" s="1188"/>
      <c r="K38" s="1188"/>
      <c r="L38" s="1188"/>
    </row>
    <row r="39" spans="1:12" ht="30.45" customHeight="1">
      <c r="A39" s="1120"/>
      <c r="B39" s="1120"/>
      <c r="C39" s="1237" t="s">
        <v>584</v>
      </c>
      <c r="D39" s="1237"/>
      <c r="E39" s="1237"/>
      <c r="F39" s="1237"/>
      <c r="G39" s="1237"/>
      <c r="H39" s="1237"/>
      <c r="I39" s="1188"/>
      <c r="J39" s="1188"/>
      <c r="K39" s="1188"/>
      <c r="L39" s="1188"/>
    </row>
    <row r="40" spans="1:12" ht="31.95" customHeight="1">
      <c r="A40" s="1120"/>
      <c r="B40" s="1120"/>
      <c r="C40" s="1237" t="s">
        <v>585</v>
      </c>
      <c r="D40" s="1237"/>
      <c r="E40" s="1237"/>
      <c r="F40" s="1237"/>
      <c r="G40" s="1237"/>
      <c r="H40" s="1237"/>
      <c r="I40" s="1188"/>
      <c r="J40" s="1188"/>
      <c r="K40" s="1188"/>
      <c r="L40" s="1188"/>
    </row>
    <row r="41" spans="1:12" ht="43.95" customHeight="1">
      <c r="A41" s="1120"/>
      <c r="B41" s="1120"/>
      <c r="C41" s="1237" t="s">
        <v>586</v>
      </c>
      <c r="D41" s="1237"/>
      <c r="E41" s="1237"/>
      <c r="F41" s="1237"/>
      <c r="G41" s="1237"/>
      <c r="H41" s="1237"/>
      <c r="I41" s="1188"/>
      <c r="J41" s="1188"/>
      <c r="K41" s="1188"/>
      <c r="L41" s="1188"/>
    </row>
    <row r="42" spans="1:12" ht="30.45" customHeight="1">
      <c r="A42" s="1120"/>
      <c r="B42" s="1120"/>
      <c r="C42" s="1237" t="s">
        <v>587</v>
      </c>
      <c r="D42" s="1237"/>
      <c r="E42" s="1237"/>
      <c r="F42" s="1237"/>
      <c r="G42" s="1237"/>
      <c r="H42" s="1237"/>
      <c r="I42" s="1188"/>
      <c r="J42" s="1188"/>
      <c r="K42" s="1188"/>
      <c r="L42" s="1188"/>
    </row>
    <row r="43" spans="1:12" ht="31.05" customHeight="1">
      <c r="A43" s="1120"/>
      <c r="B43" s="1120"/>
      <c r="C43" s="1237" t="s">
        <v>588</v>
      </c>
      <c r="D43" s="1237"/>
      <c r="E43" s="1237"/>
      <c r="F43" s="1237"/>
      <c r="G43" s="1237"/>
      <c r="H43" s="1237"/>
      <c r="I43" s="1188"/>
      <c r="J43" s="1188"/>
      <c r="K43" s="1188"/>
      <c r="L43" s="1188"/>
    </row>
    <row r="44" spans="1:12">
      <c r="A44" s="1120"/>
      <c r="B44" s="1120"/>
      <c r="C44" s="1239" t="s">
        <v>589</v>
      </c>
      <c r="D44" s="1239"/>
      <c r="E44" s="1239"/>
      <c r="F44" s="1239"/>
      <c r="G44" s="1239"/>
      <c r="H44" s="1239"/>
      <c r="I44" s="1188"/>
      <c r="J44" s="1188"/>
      <c r="K44" s="1188"/>
      <c r="L44" s="1188"/>
    </row>
    <row r="45" spans="1:12">
      <c r="A45" s="1120"/>
      <c r="B45" s="1120"/>
      <c r="C45" s="1228" t="s">
        <v>1099</v>
      </c>
      <c r="D45" s="1228"/>
      <c r="E45" s="1228"/>
      <c r="F45" s="1228"/>
      <c r="G45" s="1228"/>
      <c r="H45" s="1228"/>
      <c r="I45" s="1188"/>
      <c r="J45" s="1188"/>
      <c r="K45" s="1188"/>
      <c r="L45" s="1188"/>
    </row>
    <row r="46" spans="1:12">
      <c r="A46" s="1120"/>
      <c r="B46" s="1120"/>
      <c r="C46" s="1228" t="s">
        <v>590</v>
      </c>
      <c r="D46" s="1228"/>
      <c r="E46" s="1228"/>
      <c r="F46" s="1228"/>
      <c r="G46" s="1228"/>
      <c r="H46" s="1228"/>
      <c r="I46" s="1188"/>
      <c r="J46" s="1188"/>
      <c r="K46" s="1188"/>
      <c r="L46" s="1188"/>
    </row>
    <row r="47" spans="1:12" ht="38.25" customHeight="1">
      <c r="A47" s="1120"/>
      <c r="B47" s="1120"/>
      <c r="C47" s="1237" t="s">
        <v>591</v>
      </c>
      <c r="D47" s="1237"/>
      <c r="E47" s="1237"/>
      <c r="F47" s="1237"/>
      <c r="G47" s="1237"/>
      <c r="H47" s="1237"/>
      <c r="I47" s="1188"/>
      <c r="J47" s="1188"/>
      <c r="K47" s="1188"/>
      <c r="L47" s="1188"/>
    </row>
    <row r="48" spans="1:12" ht="18" customHeight="1">
      <c r="A48" s="1120"/>
      <c r="B48" s="1120" t="s">
        <v>628</v>
      </c>
      <c r="C48" s="1238" t="s">
        <v>593</v>
      </c>
      <c r="D48" s="1238"/>
      <c r="E48" s="1238"/>
      <c r="F48" s="1238"/>
      <c r="G48" s="1238"/>
      <c r="H48" s="1238"/>
      <c r="I48" s="1188"/>
      <c r="J48" s="1188"/>
      <c r="K48" s="1188"/>
      <c r="L48" s="1188"/>
    </row>
    <row r="49" spans="1:30" ht="20.55" customHeight="1">
      <c r="A49" s="1120"/>
      <c r="B49" s="1120"/>
      <c r="C49" s="1237" t="s">
        <v>594</v>
      </c>
      <c r="D49" s="1237"/>
      <c r="E49" s="1237"/>
      <c r="F49" s="1237"/>
      <c r="G49" s="1237"/>
      <c r="H49" s="1237"/>
      <c r="I49" s="1245"/>
      <c r="J49" s="1245"/>
      <c r="K49" s="1245"/>
      <c r="L49" s="1245"/>
      <c r="M49" s="1245"/>
      <c r="N49" s="1245"/>
      <c r="O49" s="1245"/>
      <c r="P49" s="1245"/>
      <c r="Q49" s="1245"/>
      <c r="R49" s="1245"/>
      <c r="S49" s="1245"/>
      <c r="T49" s="1245"/>
      <c r="U49" s="1245"/>
      <c r="V49" s="1245"/>
      <c r="W49" s="1245"/>
      <c r="X49" s="1245"/>
      <c r="Y49" s="1245"/>
      <c r="Z49" s="1245"/>
      <c r="AA49" s="1245"/>
      <c r="AB49" s="1245"/>
      <c r="AC49" s="1245"/>
      <c r="AD49" s="1245"/>
    </row>
    <row r="50" spans="1:30" ht="8.25" customHeight="1">
      <c r="A50" s="1120"/>
      <c r="B50" s="1120"/>
      <c r="C50" s="1187"/>
      <c r="D50" s="1187"/>
      <c r="E50" s="1187"/>
      <c r="F50" s="1187"/>
      <c r="G50" s="1187"/>
      <c r="H50" s="1187"/>
      <c r="I50" s="1188"/>
      <c r="J50" s="1188"/>
      <c r="K50" s="1188"/>
      <c r="L50" s="1188"/>
    </row>
    <row r="51" spans="1:30" ht="18" customHeight="1">
      <c r="A51" s="1120">
        <v>2.2000000000000002</v>
      </c>
      <c r="B51" s="1238" t="s">
        <v>595</v>
      </c>
      <c r="C51" s="1238"/>
      <c r="D51" s="1238"/>
      <c r="E51" s="1238"/>
      <c r="F51" s="1238"/>
      <c r="G51" s="1238"/>
      <c r="H51" s="1238"/>
      <c r="I51" s="1188"/>
      <c r="J51" s="1188"/>
      <c r="K51" s="1188"/>
      <c r="L51" s="1188"/>
    </row>
    <row r="52" spans="1:30" ht="18" customHeight="1">
      <c r="A52" s="1120"/>
      <c r="B52" s="1120" t="s">
        <v>563</v>
      </c>
      <c r="C52" s="1238" t="s">
        <v>1101</v>
      </c>
      <c r="D52" s="1238"/>
      <c r="E52" s="1238"/>
      <c r="F52" s="1238"/>
      <c r="G52" s="1238"/>
      <c r="H52" s="1238"/>
      <c r="I52" s="1188"/>
      <c r="J52" s="1188"/>
      <c r="K52" s="1188"/>
      <c r="L52" s="1188"/>
    </row>
    <row r="53" spans="1:30" ht="18" customHeight="1">
      <c r="A53" s="1120"/>
      <c r="B53" s="1121" t="s">
        <v>432</v>
      </c>
      <c r="C53" s="1238" t="s">
        <v>596</v>
      </c>
      <c r="D53" s="1238"/>
      <c r="E53" s="1238"/>
      <c r="F53" s="1238"/>
      <c r="G53" s="1238"/>
      <c r="H53" s="1238"/>
      <c r="I53" s="1188"/>
      <c r="J53" s="1188"/>
      <c r="K53" s="1188"/>
      <c r="L53" s="1188"/>
    </row>
    <row r="54" spans="1:30" ht="35.25" customHeight="1">
      <c r="A54" s="1120"/>
      <c r="B54" s="1120"/>
      <c r="C54" s="1237" t="s">
        <v>597</v>
      </c>
      <c r="D54" s="1237"/>
      <c r="E54" s="1237"/>
      <c r="F54" s="1237"/>
      <c r="G54" s="1237"/>
      <c r="H54" s="1237"/>
      <c r="I54" s="1188"/>
      <c r="J54" s="1188"/>
      <c r="K54" s="1188"/>
      <c r="L54" s="1188"/>
    </row>
    <row r="55" spans="1:30" ht="34.5" customHeight="1">
      <c r="A55" s="1120"/>
      <c r="B55" s="1120"/>
      <c r="C55" s="1237" t="s">
        <v>598</v>
      </c>
      <c r="D55" s="1237"/>
      <c r="E55" s="1237"/>
      <c r="F55" s="1237"/>
      <c r="G55" s="1237"/>
      <c r="H55" s="1237"/>
      <c r="I55" s="1188"/>
      <c r="J55" s="1188"/>
      <c r="K55" s="1188"/>
      <c r="L55" s="1188"/>
    </row>
    <row r="56" spans="1:30" ht="18" customHeight="1">
      <c r="A56" s="1120"/>
      <c r="B56" s="1121" t="s">
        <v>565</v>
      </c>
      <c r="C56" s="1238" t="s">
        <v>599</v>
      </c>
      <c r="D56" s="1238"/>
      <c r="E56" s="1238"/>
      <c r="F56" s="1238"/>
      <c r="G56" s="1238"/>
      <c r="H56" s="1238"/>
      <c r="I56" s="1188"/>
      <c r="J56" s="1188"/>
      <c r="K56" s="1188"/>
      <c r="L56" s="1188"/>
    </row>
    <row r="57" spans="1:30" ht="50.55" customHeight="1">
      <c r="A57" s="1120"/>
      <c r="B57" s="1120"/>
      <c r="C57" s="1237" t="s">
        <v>600</v>
      </c>
      <c r="D57" s="1237"/>
      <c r="E57" s="1237"/>
      <c r="F57" s="1237"/>
      <c r="G57" s="1237"/>
      <c r="H57" s="1237"/>
      <c r="I57" s="1188"/>
      <c r="J57" s="1188"/>
      <c r="K57" s="1188"/>
      <c r="L57" s="1188"/>
    </row>
    <row r="58" spans="1:30" ht="18" customHeight="1">
      <c r="A58" s="1120"/>
      <c r="B58" s="1121" t="s">
        <v>601</v>
      </c>
      <c r="C58" s="1186" t="s">
        <v>602</v>
      </c>
      <c r="D58" s="1186"/>
      <c r="E58" s="1186"/>
      <c r="F58" s="1186"/>
      <c r="G58" s="1186"/>
      <c r="I58" s="1188"/>
      <c r="J58" s="1188"/>
      <c r="K58" s="1188"/>
      <c r="L58" s="1188"/>
    </row>
    <row r="59" spans="1:30" ht="79.5" customHeight="1">
      <c r="A59" s="1120"/>
      <c r="B59" s="1120"/>
      <c r="C59" s="1237" t="s">
        <v>603</v>
      </c>
      <c r="D59" s="1237"/>
      <c r="E59" s="1237"/>
      <c r="F59" s="1237"/>
      <c r="G59" s="1237"/>
      <c r="H59" s="1237"/>
      <c r="I59" s="1188"/>
      <c r="J59" s="1188"/>
      <c r="K59" s="1188"/>
      <c r="L59" s="1188"/>
    </row>
    <row r="60" spans="1:30">
      <c r="A60" s="1120"/>
      <c r="B60" s="1121" t="s">
        <v>604</v>
      </c>
      <c r="C60" s="1124" t="s">
        <v>481</v>
      </c>
      <c r="D60" s="1124"/>
      <c r="E60" s="1124"/>
      <c r="F60" s="1124"/>
      <c r="G60" s="1124"/>
      <c r="H60" s="1124"/>
      <c r="I60" s="1188"/>
      <c r="J60" s="1188"/>
      <c r="K60" s="1188"/>
      <c r="L60" s="1188"/>
    </row>
    <row r="61" spans="1:30">
      <c r="A61" s="1120"/>
      <c r="B61" s="1120"/>
      <c r="C61" s="1237" t="s">
        <v>605</v>
      </c>
      <c r="D61" s="1237"/>
      <c r="E61" s="1237"/>
      <c r="F61" s="1237"/>
      <c r="G61" s="1237"/>
      <c r="H61" s="1237"/>
      <c r="I61" s="1188"/>
      <c r="J61" s="1188"/>
      <c r="K61" s="1188"/>
      <c r="L61" s="1188"/>
    </row>
    <row r="62" spans="1:30" ht="9" customHeight="1">
      <c r="A62" s="1120"/>
      <c r="B62" s="1121"/>
      <c r="C62" s="1185"/>
      <c r="D62" s="1185"/>
      <c r="E62" s="1185"/>
      <c r="F62" s="1185"/>
      <c r="G62" s="1185"/>
      <c r="H62" s="1185"/>
      <c r="I62" s="1188"/>
      <c r="J62" s="1188"/>
      <c r="K62" s="1188"/>
      <c r="L62" s="1188"/>
    </row>
    <row r="63" spans="1:30" ht="15" customHeight="1">
      <c r="A63" s="1120"/>
      <c r="B63" s="1121" t="s">
        <v>606</v>
      </c>
      <c r="C63" s="1124" t="s">
        <v>607</v>
      </c>
      <c r="D63" s="1124"/>
      <c r="E63" s="1124"/>
      <c r="F63" s="1124"/>
      <c r="G63" s="1124"/>
      <c r="H63" s="1124"/>
      <c r="I63" s="1188"/>
      <c r="J63" s="1188"/>
      <c r="K63" s="1188"/>
      <c r="L63" s="1188"/>
    </row>
    <row r="64" spans="1:30">
      <c r="A64" s="1120"/>
      <c r="B64" s="1120"/>
      <c r="C64" s="1237" t="s">
        <v>608</v>
      </c>
      <c r="D64" s="1237"/>
      <c r="E64" s="1237"/>
      <c r="F64" s="1237"/>
      <c r="G64" s="1237"/>
      <c r="H64" s="1237"/>
      <c r="I64" s="1188"/>
      <c r="J64" s="1188"/>
      <c r="K64" s="1188"/>
      <c r="L64" s="1188"/>
    </row>
    <row r="65" spans="1:12">
      <c r="A65" s="1120"/>
      <c r="B65" s="1120"/>
      <c r="C65" s="1185"/>
      <c r="D65" s="1185"/>
      <c r="E65" s="1185"/>
      <c r="F65" s="1185"/>
      <c r="G65" s="1185"/>
      <c r="H65" s="1185"/>
      <c r="I65" s="1188"/>
      <c r="J65" s="1188"/>
      <c r="K65" s="1188"/>
      <c r="L65" s="1188"/>
    </row>
    <row r="66" spans="1:12">
      <c r="A66" s="1120"/>
      <c r="B66" s="1121" t="s">
        <v>1703</v>
      </c>
      <c r="C66" s="1106" t="s">
        <v>1702</v>
      </c>
      <c r="D66" s="1185"/>
      <c r="E66" s="1185"/>
      <c r="F66" s="1185"/>
      <c r="G66" s="1185"/>
      <c r="H66" s="1185"/>
      <c r="I66" s="1188"/>
      <c r="J66" s="1188"/>
      <c r="K66" s="1188"/>
      <c r="L66" s="1188"/>
    </row>
    <row r="67" spans="1:12" ht="60" customHeight="1">
      <c r="A67" s="1120"/>
      <c r="B67" s="1120"/>
      <c r="C67" s="1235" t="s">
        <v>1704</v>
      </c>
      <c r="D67" s="1235"/>
      <c r="E67" s="1235"/>
      <c r="F67" s="1235"/>
      <c r="G67" s="1235"/>
      <c r="H67" s="1235"/>
      <c r="I67" s="1188"/>
      <c r="J67" s="1188"/>
      <c r="K67" s="1188"/>
      <c r="L67" s="1188"/>
    </row>
    <row r="68" spans="1:12" ht="13.8" customHeight="1">
      <c r="A68" s="1120"/>
      <c r="B68" s="1120"/>
      <c r="C68" s="1185"/>
      <c r="D68" s="1185"/>
      <c r="E68" s="1185"/>
      <c r="F68" s="1185"/>
      <c r="G68" s="1185"/>
      <c r="H68" s="1185"/>
      <c r="I68" s="1188"/>
      <c r="J68" s="1188"/>
      <c r="K68" s="1188"/>
      <c r="L68" s="1188"/>
    </row>
    <row r="69" spans="1:12" ht="18" customHeight="1">
      <c r="A69" s="1120"/>
      <c r="B69" s="1120" t="s">
        <v>567</v>
      </c>
      <c r="C69" s="1238" t="s">
        <v>609</v>
      </c>
      <c r="D69" s="1238"/>
      <c r="E69" s="1238"/>
      <c r="F69" s="1238"/>
      <c r="G69" s="1238"/>
      <c r="H69" s="1238"/>
      <c r="I69" s="1188"/>
      <c r="J69" s="1188"/>
      <c r="K69" s="1188"/>
      <c r="L69" s="1188"/>
    </row>
    <row r="70" spans="1:12" ht="18" customHeight="1">
      <c r="A70" s="1120"/>
      <c r="B70" s="1121" t="s">
        <v>432</v>
      </c>
      <c r="C70" s="1186" t="s">
        <v>610</v>
      </c>
      <c r="D70" s="1187"/>
      <c r="E70" s="1187"/>
      <c r="F70" s="1187"/>
      <c r="G70" s="1187"/>
      <c r="H70" s="1187"/>
      <c r="I70" s="1188"/>
      <c r="J70" s="1188"/>
      <c r="K70" s="1188"/>
      <c r="L70" s="1188"/>
    </row>
    <row r="71" spans="1:12" ht="79.5" customHeight="1">
      <c r="A71" s="1120"/>
      <c r="B71" s="1120"/>
      <c r="C71" s="1244" t="s">
        <v>611</v>
      </c>
      <c r="D71" s="1244"/>
      <c r="E71" s="1244"/>
      <c r="F71" s="1244"/>
      <c r="G71" s="1244"/>
      <c r="H71" s="1244"/>
      <c r="I71" s="1125"/>
      <c r="J71" s="1188"/>
      <c r="K71" s="1188"/>
      <c r="L71" s="1188"/>
    </row>
    <row r="72" spans="1:12" ht="33.450000000000003" customHeight="1">
      <c r="A72" s="1120"/>
      <c r="B72" s="1120"/>
      <c r="C72" s="1237" t="s">
        <v>612</v>
      </c>
      <c r="D72" s="1237"/>
      <c r="E72" s="1237"/>
      <c r="F72" s="1237"/>
      <c r="G72" s="1237"/>
      <c r="H72" s="1237"/>
      <c r="I72" s="1188"/>
      <c r="J72" s="1188"/>
      <c r="K72" s="1188"/>
      <c r="L72" s="1188"/>
    </row>
    <row r="73" spans="1:12" ht="48.45" customHeight="1">
      <c r="A73" s="1126"/>
      <c r="B73" s="1126"/>
      <c r="C73" s="1237" t="s">
        <v>613</v>
      </c>
      <c r="D73" s="1237"/>
      <c r="E73" s="1237"/>
      <c r="F73" s="1237"/>
      <c r="G73" s="1237"/>
      <c r="H73" s="1237"/>
      <c r="I73" s="1127"/>
      <c r="J73" s="1127"/>
      <c r="K73" s="1127"/>
      <c r="L73" s="1127"/>
    </row>
    <row r="74" spans="1:12" ht="52.05" customHeight="1">
      <c r="A74" s="1120"/>
      <c r="B74" s="1120"/>
      <c r="C74" s="1237" t="s">
        <v>614</v>
      </c>
      <c r="D74" s="1237"/>
      <c r="E74" s="1237"/>
      <c r="F74" s="1237"/>
      <c r="G74" s="1237"/>
      <c r="H74" s="1237"/>
      <c r="I74" s="1188"/>
      <c r="J74" s="1188"/>
      <c r="K74" s="1188"/>
      <c r="L74" s="1188"/>
    </row>
    <row r="75" spans="1:12" ht="39" customHeight="1">
      <c r="A75" s="1120"/>
      <c r="B75" s="1120"/>
      <c r="C75" s="1237" t="s">
        <v>615</v>
      </c>
      <c r="D75" s="1237"/>
      <c r="E75" s="1237"/>
      <c r="F75" s="1237"/>
      <c r="G75" s="1237"/>
      <c r="H75" s="1237"/>
      <c r="I75" s="1188"/>
      <c r="J75" s="1188"/>
      <c r="K75" s="1188"/>
      <c r="L75" s="1188"/>
    </row>
    <row r="76" spans="1:12" ht="52.5" customHeight="1">
      <c r="A76" s="1120"/>
      <c r="B76" s="1120"/>
      <c r="C76" s="1237" t="s">
        <v>616</v>
      </c>
      <c r="D76" s="1237"/>
      <c r="E76" s="1237"/>
      <c r="F76" s="1237"/>
      <c r="G76" s="1237"/>
      <c r="H76" s="1237"/>
      <c r="I76" s="1188"/>
      <c r="J76" s="1188"/>
      <c r="K76" s="1188"/>
      <c r="L76" s="1188"/>
    </row>
    <row r="77" spans="1:12" ht="36.75" customHeight="1">
      <c r="A77" s="1120"/>
      <c r="B77" s="1120"/>
      <c r="C77" s="1237" t="s">
        <v>617</v>
      </c>
      <c r="D77" s="1237"/>
      <c r="E77" s="1237"/>
      <c r="F77" s="1237"/>
      <c r="G77" s="1237"/>
      <c r="H77" s="1237"/>
      <c r="I77" s="1188"/>
      <c r="J77" s="1188"/>
      <c r="K77" s="1188"/>
      <c r="L77" s="1188"/>
    </row>
    <row r="78" spans="1:12" ht="4.5" customHeight="1">
      <c r="A78" s="1120"/>
      <c r="B78" s="1120"/>
      <c r="C78" s="1187"/>
      <c r="D78" s="1187"/>
      <c r="E78" s="1187"/>
      <c r="F78" s="1187"/>
      <c r="G78" s="1187"/>
      <c r="H78" s="1185"/>
      <c r="I78" s="1188"/>
      <c r="J78" s="1188"/>
      <c r="K78" s="1188"/>
      <c r="L78" s="1188"/>
    </row>
    <row r="79" spans="1:12" ht="18" customHeight="1">
      <c r="A79" s="1122"/>
      <c r="B79" s="1121" t="s">
        <v>565</v>
      </c>
      <c r="C79" s="1186" t="s">
        <v>618</v>
      </c>
      <c r="D79" s="1187"/>
      <c r="E79" s="1187"/>
      <c r="F79" s="1187"/>
      <c r="G79" s="1187"/>
      <c r="H79" s="1187"/>
      <c r="I79" s="1128"/>
      <c r="J79" s="1128"/>
      <c r="K79" s="1128"/>
      <c r="L79" s="1128"/>
    </row>
    <row r="80" spans="1:12" ht="68.55" customHeight="1">
      <c r="A80" s="1120"/>
      <c r="B80" s="1129"/>
      <c r="C80" s="1237" t="s">
        <v>619</v>
      </c>
      <c r="D80" s="1237"/>
      <c r="E80" s="1237"/>
      <c r="F80" s="1237"/>
      <c r="G80" s="1237"/>
      <c r="H80" s="1237"/>
      <c r="I80" s="1188"/>
      <c r="J80" s="1188"/>
      <c r="K80" s="1188"/>
      <c r="L80" s="1188"/>
    </row>
    <row r="81" spans="1:12" ht="19.5" customHeight="1">
      <c r="A81" s="1120"/>
      <c r="B81" s="1121" t="s">
        <v>601</v>
      </c>
      <c r="C81" s="1186" t="s">
        <v>620</v>
      </c>
      <c r="D81" s="1187"/>
      <c r="E81" s="1187"/>
      <c r="F81" s="1187"/>
      <c r="G81" s="1187"/>
      <c r="H81" s="1187"/>
      <c r="I81" s="1188"/>
      <c r="J81" s="1188"/>
      <c r="K81" s="1188"/>
      <c r="L81" s="1188"/>
    </row>
    <row r="82" spans="1:12" ht="53.55" customHeight="1">
      <c r="A82" s="1120"/>
      <c r="B82" s="1121"/>
      <c r="C82" s="1237" t="s">
        <v>621</v>
      </c>
      <c r="D82" s="1237"/>
      <c r="E82" s="1237"/>
      <c r="F82" s="1237"/>
      <c r="G82" s="1237"/>
      <c r="H82" s="1237"/>
      <c r="I82" s="1188"/>
      <c r="J82" s="1188"/>
      <c r="K82" s="1188"/>
      <c r="L82" s="1188"/>
    </row>
    <row r="83" spans="1:12" ht="0.75" hidden="1" customHeight="1">
      <c r="A83" s="1120"/>
      <c r="B83" s="1120"/>
      <c r="C83" s="1187"/>
      <c r="D83" s="1187"/>
      <c r="E83" s="1187"/>
      <c r="F83" s="1187"/>
      <c r="G83" s="1187"/>
      <c r="H83" s="1185"/>
      <c r="I83" s="1188"/>
      <c r="J83" s="1188"/>
      <c r="K83" s="1188"/>
      <c r="L83" s="1188"/>
    </row>
    <row r="84" spans="1:12" ht="19.5" customHeight="1">
      <c r="A84" s="1120"/>
      <c r="B84" s="1121" t="s">
        <v>604</v>
      </c>
      <c r="C84" s="1186" t="s">
        <v>622</v>
      </c>
      <c r="D84" s="1187"/>
      <c r="E84" s="1187"/>
      <c r="F84" s="1187"/>
      <c r="G84" s="1187"/>
      <c r="H84" s="1187"/>
      <c r="I84" s="1188"/>
      <c r="J84" s="1188"/>
      <c r="K84" s="1188"/>
      <c r="L84" s="1188"/>
    </row>
    <row r="85" spans="1:12" ht="55.05" customHeight="1">
      <c r="A85" s="1120"/>
      <c r="B85" s="1120"/>
      <c r="C85" s="1237" t="s">
        <v>623</v>
      </c>
      <c r="D85" s="1237"/>
      <c r="E85" s="1237"/>
      <c r="F85" s="1237"/>
      <c r="G85" s="1237"/>
      <c r="H85" s="1237"/>
      <c r="I85" s="1188"/>
      <c r="J85" s="1188"/>
      <c r="K85" s="1188"/>
      <c r="L85" s="1188"/>
    </row>
    <row r="86" spans="1:12" ht="198" customHeight="1">
      <c r="A86" s="1120"/>
      <c r="B86" s="1120"/>
      <c r="C86" s="1237" t="s">
        <v>1098</v>
      </c>
      <c r="D86" s="1237"/>
      <c r="E86" s="1237"/>
      <c r="F86" s="1237"/>
      <c r="G86" s="1237"/>
      <c r="H86" s="1237"/>
      <c r="I86" s="1188"/>
      <c r="J86" s="1188"/>
      <c r="K86" s="1188"/>
      <c r="L86" s="1188"/>
    </row>
    <row r="87" spans="1:12" ht="18" customHeight="1">
      <c r="A87" s="1120"/>
      <c r="B87" s="1120" t="s">
        <v>576</v>
      </c>
      <c r="C87" s="1238" t="s">
        <v>83</v>
      </c>
      <c r="D87" s="1238"/>
      <c r="E87" s="1238"/>
      <c r="F87" s="1238"/>
      <c r="G87" s="1238"/>
      <c r="H87" s="1238"/>
      <c r="I87" s="1188"/>
      <c r="J87" s="1188"/>
      <c r="K87" s="1188"/>
      <c r="L87" s="1188"/>
    </row>
    <row r="88" spans="1:12" ht="36" customHeight="1">
      <c r="A88" s="1120"/>
      <c r="B88" s="1120"/>
      <c r="C88" s="1228" t="s">
        <v>624</v>
      </c>
      <c r="D88" s="1228"/>
      <c r="E88" s="1228"/>
      <c r="F88" s="1228"/>
      <c r="G88" s="1228"/>
      <c r="H88" s="1228"/>
      <c r="I88" s="1188"/>
      <c r="J88" s="1188"/>
      <c r="K88" s="1188"/>
      <c r="L88" s="1188"/>
    </row>
    <row r="89" spans="1:12" ht="94.95" customHeight="1">
      <c r="A89" s="1120"/>
      <c r="B89" s="1120"/>
      <c r="C89" s="1237" t="s">
        <v>625</v>
      </c>
      <c r="D89" s="1237"/>
      <c r="E89" s="1237"/>
      <c r="F89" s="1237"/>
      <c r="G89" s="1237"/>
      <c r="H89" s="1237"/>
      <c r="I89" s="1188"/>
      <c r="J89" s="1188"/>
      <c r="K89" s="1188"/>
      <c r="L89" s="1188"/>
    </row>
    <row r="90" spans="1:12" ht="36.450000000000003" customHeight="1">
      <c r="A90" s="1120"/>
      <c r="B90" s="1120"/>
      <c r="C90" s="1237" t="s">
        <v>626</v>
      </c>
      <c r="D90" s="1237"/>
      <c r="E90" s="1237"/>
      <c r="F90" s="1237"/>
      <c r="G90" s="1237"/>
      <c r="H90" s="1237"/>
      <c r="I90" s="1188"/>
      <c r="J90" s="1188"/>
      <c r="K90" s="1188"/>
      <c r="L90" s="1188"/>
    </row>
    <row r="91" spans="1:12" ht="36.6" customHeight="1">
      <c r="A91" s="1120"/>
      <c r="B91" s="1120"/>
      <c r="C91" s="1243" t="s">
        <v>1052</v>
      </c>
      <c r="D91" s="1237"/>
      <c r="E91" s="1237"/>
      <c r="F91" s="1237"/>
      <c r="G91" s="1237"/>
      <c r="H91" s="1237"/>
      <c r="I91" s="1188"/>
      <c r="J91" s="1188"/>
      <c r="K91" s="1188"/>
      <c r="L91" s="1188"/>
    </row>
    <row r="92" spans="1:12" ht="50.25" customHeight="1">
      <c r="A92" s="1120"/>
      <c r="B92" s="1120"/>
      <c r="C92" s="1237" t="s">
        <v>627</v>
      </c>
      <c r="D92" s="1237"/>
      <c r="E92" s="1237"/>
      <c r="F92" s="1237"/>
      <c r="G92" s="1237"/>
      <c r="H92" s="1237"/>
      <c r="I92" s="1188"/>
      <c r="J92" s="1188"/>
      <c r="K92" s="1188"/>
      <c r="L92" s="1188"/>
    </row>
    <row r="93" spans="1:12">
      <c r="A93" s="1120"/>
      <c r="B93" s="1120"/>
      <c r="C93" s="1239" t="s">
        <v>1290</v>
      </c>
      <c r="D93" s="1239"/>
      <c r="E93" s="1239"/>
      <c r="F93" s="1239"/>
      <c r="G93" s="1239"/>
      <c r="H93" s="1239"/>
      <c r="I93" s="1188"/>
      <c r="J93" s="1188"/>
      <c r="K93" s="1188"/>
      <c r="L93" s="1188"/>
    </row>
    <row r="94" spans="1:12">
      <c r="A94" s="1120"/>
      <c r="B94" s="1120"/>
      <c r="C94" s="1185"/>
      <c r="D94" s="1185"/>
      <c r="E94" s="1185"/>
      <c r="F94" s="1185"/>
      <c r="G94" s="1185"/>
      <c r="H94" s="1185"/>
      <c r="I94" s="1188"/>
      <c r="J94" s="1188"/>
      <c r="K94" s="1188"/>
      <c r="L94" s="1188"/>
    </row>
    <row r="95" spans="1:12" ht="18" customHeight="1">
      <c r="A95" s="1120"/>
      <c r="B95" s="1120" t="s">
        <v>628</v>
      </c>
      <c r="C95" s="1238" t="s">
        <v>629</v>
      </c>
      <c r="D95" s="1238"/>
      <c r="E95" s="1238"/>
      <c r="F95" s="1238"/>
      <c r="G95" s="1238"/>
      <c r="H95" s="1238"/>
      <c r="I95" s="1188"/>
      <c r="J95" s="1188"/>
      <c r="K95" s="1188"/>
      <c r="L95" s="1188"/>
    </row>
    <row r="96" spans="1:12">
      <c r="A96" s="1120"/>
      <c r="B96" s="1120"/>
      <c r="C96" s="1237" t="s">
        <v>630</v>
      </c>
      <c r="D96" s="1237"/>
      <c r="E96" s="1237"/>
      <c r="F96" s="1237"/>
      <c r="G96" s="1237"/>
      <c r="H96" s="1237"/>
      <c r="I96" s="1188"/>
      <c r="J96" s="1188"/>
      <c r="K96" s="1188"/>
      <c r="L96" s="1188"/>
    </row>
    <row r="97" spans="1:12">
      <c r="A97" s="1120"/>
      <c r="B97" s="1120"/>
      <c r="C97" s="1238" t="s">
        <v>631</v>
      </c>
      <c r="D97" s="1238"/>
      <c r="E97" s="1238"/>
      <c r="F97" s="1238"/>
      <c r="G97" s="1238"/>
      <c r="H97" s="1238"/>
      <c r="I97" s="1188"/>
      <c r="J97" s="1188"/>
      <c r="K97" s="1188"/>
      <c r="L97" s="1188"/>
    </row>
    <row r="98" spans="1:12">
      <c r="A98" s="1120"/>
      <c r="B98" s="1120"/>
      <c r="C98" s="1242" t="s">
        <v>632</v>
      </c>
      <c r="D98" s="1242"/>
      <c r="E98" s="1242"/>
      <c r="F98" s="1242"/>
      <c r="G98" s="1242"/>
      <c r="H98" s="1242"/>
      <c r="I98" s="1188"/>
      <c r="J98" s="1188"/>
      <c r="K98" s="1188"/>
      <c r="L98" s="1188"/>
    </row>
    <row r="99" spans="1:12" ht="70.05" customHeight="1">
      <c r="A99" s="1120"/>
      <c r="B99" s="1120"/>
      <c r="C99" s="1237" t="s">
        <v>633</v>
      </c>
      <c r="D99" s="1237"/>
      <c r="E99" s="1237"/>
      <c r="F99" s="1237"/>
      <c r="G99" s="1237"/>
      <c r="H99" s="1237"/>
      <c r="I99" s="1188"/>
      <c r="J99" s="1188"/>
      <c r="K99" s="1188"/>
      <c r="L99" s="1188"/>
    </row>
    <row r="100" spans="1:12">
      <c r="A100" s="1120"/>
      <c r="B100" s="1120"/>
      <c r="C100" s="1242" t="s">
        <v>634</v>
      </c>
      <c r="D100" s="1242"/>
      <c r="E100" s="1242"/>
      <c r="F100" s="1242"/>
      <c r="G100" s="1242"/>
      <c r="H100" s="1242"/>
      <c r="I100" s="1188"/>
      <c r="J100" s="1188"/>
      <c r="K100" s="1188"/>
      <c r="L100" s="1188"/>
    </row>
    <row r="101" spans="1:12">
      <c r="A101" s="1120"/>
      <c r="B101" s="1120"/>
      <c r="C101" s="1239" t="s">
        <v>635</v>
      </c>
      <c r="D101" s="1239"/>
      <c r="E101" s="1239"/>
      <c r="F101" s="1239"/>
      <c r="G101" s="1239"/>
      <c r="H101" s="1239"/>
      <c r="I101" s="1188"/>
      <c r="J101" s="1188"/>
      <c r="K101" s="1188"/>
      <c r="L101" s="1188"/>
    </row>
    <row r="102" spans="1:12">
      <c r="A102" s="1120"/>
      <c r="B102" s="1120"/>
      <c r="C102" s="1238" t="s">
        <v>636</v>
      </c>
      <c r="D102" s="1238"/>
      <c r="E102" s="1238"/>
      <c r="F102" s="1238"/>
      <c r="G102" s="1238"/>
      <c r="H102" s="1238"/>
      <c r="I102" s="1188"/>
      <c r="J102" s="1188"/>
      <c r="K102" s="1188"/>
      <c r="L102" s="1188"/>
    </row>
    <row r="103" spans="1:12">
      <c r="A103" s="1120"/>
      <c r="B103" s="1120"/>
      <c r="C103" s="1239" t="s">
        <v>637</v>
      </c>
      <c r="D103" s="1239"/>
      <c r="E103" s="1239"/>
      <c r="F103" s="1239"/>
      <c r="G103" s="1239"/>
      <c r="H103" s="1239"/>
      <c r="I103" s="1188"/>
      <c r="J103" s="1188"/>
      <c r="K103" s="1188"/>
      <c r="L103" s="1188"/>
    </row>
    <row r="104" spans="1:12">
      <c r="A104" s="1120"/>
      <c r="B104" s="1121" t="s">
        <v>432</v>
      </c>
      <c r="C104" s="1239" t="s">
        <v>638</v>
      </c>
      <c r="D104" s="1239"/>
      <c r="E104" s="1239"/>
      <c r="F104" s="1239"/>
      <c r="G104" s="1239"/>
      <c r="H104" s="1239"/>
      <c r="I104" s="1188"/>
      <c r="J104" s="1188"/>
      <c r="K104" s="1188"/>
      <c r="L104" s="1188"/>
    </row>
    <row r="105" spans="1:12" ht="29.55" customHeight="1">
      <c r="A105" s="1120"/>
      <c r="B105" s="1121" t="s">
        <v>565</v>
      </c>
      <c r="C105" s="1237" t="s">
        <v>639</v>
      </c>
      <c r="D105" s="1237"/>
      <c r="E105" s="1237"/>
      <c r="F105" s="1237"/>
      <c r="G105" s="1237"/>
      <c r="H105" s="1237"/>
      <c r="I105" s="1188"/>
      <c r="J105" s="1188"/>
      <c r="K105" s="1188"/>
      <c r="L105" s="1188"/>
    </row>
    <row r="106" spans="1:12" ht="6" customHeight="1">
      <c r="A106" s="1120"/>
      <c r="B106" s="1120"/>
      <c r="C106" s="1121"/>
      <c r="D106" s="1121"/>
      <c r="E106" s="1121"/>
      <c r="F106" s="1121"/>
      <c r="G106" s="1121"/>
      <c r="H106" s="1181" t="s">
        <v>640</v>
      </c>
      <c r="I106" s="1188"/>
      <c r="J106" s="1188"/>
      <c r="K106" s="1188"/>
      <c r="L106" s="1188"/>
    </row>
    <row r="107" spans="1:12" ht="69.45" customHeight="1">
      <c r="A107" s="1120"/>
      <c r="B107" s="1120"/>
      <c r="C107" s="1237" t="s">
        <v>641</v>
      </c>
      <c r="D107" s="1237"/>
      <c r="E107" s="1237"/>
      <c r="F107" s="1237"/>
      <c r="G107" s="1237"/>
      <c r="H107" s="1237"/>
      <c r="I107" s="1188"/>
      <c r="J107" s="1188"/>
      <c r="K107" s="1188"/>
      <c r="L107" s="1188"/>
    </row>
    <row r="108" spans="1:12" ht="18" customHeight="1">
      <c r="A108" s="1120"/>
      <c r="B108" s="1120"/>
      <c r="C108" s="1240" t="s">
        <v>642</v>
      </c>
      <c r="D108" s="1240"/>
      <c r="E108" s="1240"/>
      <c r="F108" s="1240"/>
      <c r="G108" s="1240"/>
      <c r="H108" s="1240"/>
      <c r="I108" s="1188"/>
      <c r="J108" s="1188"/>
      <c r="K108" s="1188"/>
      <c r="L108" s="1188"/>
    </row>
    <row r="109" spans="1:12" ht="18" customHeight="1">
      <c r="A109" s="1120"/>
      <c r="B109" s="1120"/>
      <c r="C109" s="1241" t="s">
        <v>643</v>
      </c>
      <c r="D109" s="1241"/>
      <c r="E109" s="1241"/>
      <c r="F109" s="1241"/>
      <c r="G109" s="1241"/>
      <c r="H109" s="1241"/>
      <c r="I109" s="1188"/>
      <c r="J109" s="1188"/>
      <c r="K109" s="1188"/>
      <c r="L109" s="1188"/>
    </row>
    <row r="110" spans="1:12">
      <c r="A110" s="1120"/>
      <c r="B110" s="1122" t="s">
        <v>432</v>
      </c>
      <c r="C110" s="1239" t="s">
        <v>644</v>
      </c>
      <c r="D110" s="1239"/>
      <c r="E110" s="1239"/>
      <c r="F110" s="1239"/>
      <c r="G110" s="1239"/>
      <c r="H110" s="1239"/>
      <c r="I110" s="1188"/>
      <c r="J110" s="1188"/>
      <c r="K110" s="1188"/>
      <c r="L110" s="1188"/>
    </row>
    <row r="111" spans="1:12">
      <c r="A111" s="1120"/>
      <c r="B111" s="1122" t="s">
        <v>565</v>
      </c>
      <c r="C111" s="1239" t="s">
        <v>645</v>
      </c>
      <c r="D111" s="1239"/>
      <c r="E111" s="1239"/>
      <c r="F111" s="1239"/>
      <c r="G111" s="1239"/>
      <c r="H111" s="1239"/>
      <c r="I111" s="1188"/>
      <c r="J111" s="1188"/>
      <c r="K111" s="1188"/>
      <c r="L111" s="1188"/>
    </row>
    <row r="112" spans="1:12" ht="81.45" customHeight="1">
      <c r="A112" s="1120"/>
      <c r="B112" s="1120"/>
      <c r="C112" s="1237" t="s">
        <v>646</v>
      </c>
      <c r="D112" s="1237"/>
      <c r="E112" s="1237"/>
      <c r="F112" s="1237"/>
      <c r="G112" s="1237"/>
      <c r="H112" s="1237"/>
      <c r="I112" s="1188"/>
      <c r="J112" s="1188"/>
      <c r="K112" s="1188"/>
      <c r="L112" s="1188"/>
    </row>
    <row r="113" spans="1:12" ht="18" customHeight="1">
      <c r="A113" s="1120"/>
      <c r="B113" s="1120"/>
      <c r="C113" s="1238" t="s">
        <v>647</v>
      </c>
      <c r="D113" s="1238"/>
      <c r="E113" s="1238"/>
      <c r="F113" s="1238"/>
      <c r="G113" s="1238"/>
      <c r="H113" s="1238"/>
      <c r="I113" s="1188"/>
      <c r="J113" s="1188"/>
      <c r="K113" s="1188"/>
      <c r="L113" s="1188"/>
    </row>
    <row r="114" spans="1:12" ht="35.25" customHeight="1">
      <c r="A114" s="1120"/>
      <c r="B114" s="1120"/>
      <c r="C114" s="1237" t="s">
        <v>648</v>
      </c>
      <c r="D114" s="1237"/>
      <c r="E114" s="1237"/>
      <c r="F114" s="1237"/>
      <c r="G114" s="1237"/>
      <c r="H114" s="1237"/>
      <c r="I114" s="1188"/>
      <c r="J114" s="1188"/>
      <c r="K114" s="1188"/>
      <c r="L114" s="1188"/>
    </row>
    <row r="115" spans="1:12" ht="67.5" customHeight="1">
      <c r="A115" s="1120"/>
      <c r="B115" s="1120"/>
      <c r="C115" s="1237" t="s">
        <v>649</v>
      </c>
      <c r="D115" s="1237"/>
      <c r="E115" s="1237"/>
      <c r="F115" s="1237"/>
      <c r="G115" s="1237"/>
      <c r="H115" s="1237"/>
      <c r="I115" s="1188"/>
      <c r="J115" s="1188"/>
      <c r="K115" s="1188"/>
      <c r="L115" s="1188"/>
    </row>
    <row r="116" spans="1:12">
      <c r="A116" s="1120"/>
      <c r="B116" s="1120"/>
      <c r="C116" s="1238" t="s">
        <v>650</v>
      </c>
      <c r="D116" s="1238"/>
      <c r="E116" s="1238"/>
      <c r="F116" s="1238"/>
      <c r="G116" s="1238"/>
      <c r="H116" s="1238"/>
      <c r="I116" s="1188"/>
      <c r="J116" s="1188"/>
      <c r="K116" s="1188"/>
      <c r="L116" s="1188"/>
    </row>
    <row r="117" spans="1:12" ht="33.450000000000003" customHeight="1">
      <c r="A117" s="1120"/>
      <c r="B117" s="1120"/>
      <c r="C117" s="1237" t="s">
        <v>651</v>
      </c>
      <c r="D117" s="1237"/>
      <c r="E117" s="1237"/>
      <c r="F117" s="1237"/>
      <c r="G117" s="1237"/>
      <c r="H117" s="1237"/>
      <c r="I117" s="1188"/>
      <c r="J117" s="1188"/>
      <c r="K117" s="1188"/>
      <c r="L117" s="1188"/>
    </row>
    <row r="118" spans="1:12">
      <c r="A118" s="1120"/>
      <c r="B118" s="1121" t="s">
        <v>432</v>
      </c>
      <c r="C118" s="1239" t="s">
        <v>652</v>
      </c>
      <c r="D118" s="1239"/>
      <c r="E118" s="1239"/>
      <c r="F118" s="1239"/>
      <c r="G118" s="1239"/>
      <c r="H118" s="1239"/>
      <c r="I118" s="1188"/>
      <c r="J118" s="1188"/>
      <c r="K118" s="1188"/>
      <c r="L118" s="1188"/>
    </row>
    <row r="119" spans="1:12" ht="62.4" customHeight="1">
      <c r="A119" s="1120"/>
      <c r="B119" s="1121" t="s">
        <v>565</v>
      </c>
      <c r="C119" s="1237" t="s">
        <v>653</v>
      </c>
      <c r="D119" s="1237"/>
      <c r="E119" s="1237"/>
      <c r="F119" s="1237"/>
      <c r="G119" s="1237"/>
      <c r="H119" s="1237"/>
      <c r="I119" s="1188"/>
      <c r="J119" s="1188"/>
      <c r="K119" s="1188"/>
      <c r="L119" s="1188"/>
    </row>
    <row r="120" spans="1:12" ht="101.4" customHeight="1">
      <c r="A120" s="1120"/>
      <c r="B120" s="1120"/>
      <c r="C120" s="1237" t="s">
        <v>654</v>
      </c>
      <c r="D120" s="1237"/>
      <c r="E120" s="1237"/>
      <c r="F120" s="1237"/>
      <c r="G120" s="1237"/>
      <c r="H120" s="1237"/>
      <c r="I120" s="1188"/>
      <c r="J120" s="1188"/>
      <c r="K120" s="1188"/>
      <c r="L120" s="1188"/>
    </row>
    <row r="121" spans="1:12" ht="18" customHeight="1">
      <c r="A121" s="1120"/>
      <c r="B121" s="1120"/>
      <c r="C121" s="1238" t="s">
        <v>655</v>
      </c>
      <c r="D121" s="1238"/>
      <c r="E121" s="1238"/>
      <c r="F121" s="1238"/>
      <c r="G121" s="1238"/>
      <c r="H121" s="1238"/>
      <c r="I121" s="1188"/>
      <c r="J121" s="1188"/>
      <c r="K121" s="1188"/>
      <c r="L121" s="1188"/>
    </row>
    <row r="122" spans="1:12" ht="54" customHeight="1">
      <c r="A122" s="1120"/>
      <c r="B122" s="1120"/>
      <c r="C122" s="1237" t="s">
        <v>656</v>
      </c>
      <c r="D122" s="1237"/>
      <c r="E122" s="1237"/>
      <c r="F122" s="1237"/>
      <c r="G122" s="1237"/>
      <c r="H122" s="1237"/>
      <c r="I122" s="1188"/>
      <c r="J122" s="1188"/>
      <c r="K122" s="1188"/>
      <c r="L122" s="1188"/>
    </row>
    <row r="123" spans="1:12" ht="49.95" customHeight="1">
      <c r="A123" s="1120"/>
      <c r="B123" s="1120"/>
      <c r="C123" s="1237" t="s">
        <v>657</v>
      </c>
      <c r="D123" s="1237"/>
      <c r="E123" s="1237"/>
      <c r="F123" s="1237"/>
      <c r="G123" s="1237"/>
      <c r="H123" s="1237"/>
      <c r="I123" s="1188"/>
      <c r="J123" s="1188"/>
      <c r="K123" s="1188"/>
      <c r="L123" s="1188"/>
    </row>
    <row r="124" spans="1:12" ht="76.8" customHeight="1">
      <c r="A124" s="1120"/>
      <c r="B124" s="1120"/>
      <c r="C124" s="1237" t="s">
        <v>658</v>
      </c>
      <c r="D124" s="1237"/>
      <c r="E124" s="1237"/>
      <c r="F124" s="1237"/>
      <c r="G124" s="1237"/>
      <c r="H124" s="1237"/>
      <c r="I124" s="1188"/>
      <c r="J124" s="1188"/>
      <c r="K124" s="1188"/>
      <c r="L124" s="1188"/>
    </row>
    <row r="125" spans="1:12" ht="36" customHeight="1">
      <c r="A125" s="1120"/>
      <c r="B125" s="1120"/>
      <c r="C125" s="1237" t="s">
        <v>659</v>
      </c>
      <c r="D125" s="1237"/>
      <c r="E125" s="1237"/>
      <c r="F125" s="1237"/>
      <c r="G125" s="1237"/>
      <c r="H125" s="1237"/>
      <c r="I125" s="1188"/>
      <c r="J125" s="1188"/>
      <c r="K125" s="1188"/>
      <c r="L125" s="1188"/>
    </row>
    <row r="126" spans="1:12" ht="36" customHeight="1">
      <c r="A126" s="1120"/>
      <c r="B126" s="1120"/>
      <c r="C126" s="1237" t="s">
        <v>660</v>
      </c>
      <c r="D126" s="1237"/>
      <c r="E126" s="1237"/>
      <c r="F126" s="1237"/>
      <c r="G126" s="1237"/>
      <c r="H126" s="1237"/>
      <c r="I126" s="1188"/>
      <c r="J126" s="1188"/>
      <c r="K126" s="1188"/>
      <c r="L126" s="1188"/>
    </row>
    <row r="127" spans="1:12" ht="50.25" customHeight="1">
      <c r="A127" s="1120"/>
      <c r="B127" s="1120"/>
      <c r="C127" s="1237" t="s">
        <v>661</v>
      </c>
      <c r="D127" s="1237"/>
      <c r="E127" s="1237"/>
      <c r="F127" s="1237"/>
      <c r="G127" s="1237"/>
      <c r="H127" s="1237"/>
      <c r="I127" s="1188"/>
      <c r="J127" s="1188"/>
      <c r="K127" s="1188"/>
      <c r="L127" s="1188"/>
    </row>
    <row r="128" spans="1:12" ht="48.75" customHeight="1">
      <c r="A128" s="1120"/>
      <c r="B128" s="1121" t="s">
        <v>432</v>
      </c>
      <c r="C128" s="1239" t="s">
        <v>662</v>
      </c>
      <c r="D128" s="1239"/>
      <c r="E128" s="1239"/>
      <c r="F128" s="1239"/>
      <c r="G128" s="1239"/>
      <c r="H128" s="1239"/>
      <c r="I128" s="1188"/>
      <c r="J128" s="1188"/>
      <c r="K128" s="1188"/>
      <c r="L128" s="1188"/>
    </row>
    <row r="129" spans="1:12" ht="39" customHeight="1">
      <c r="A129" s="1120"/>
      <c r="B129" s="1121" t="s">
        <v>565</v>
      </c>
      <c r="C129" s="1237" t="s">
        <v>663</v>
      </c>
      <c r="D129" s="1237"/>
      <c r="E129" s="1237"/>
      <c r="F129" s="1237"/>
      <c r="G129" s="1237"/>
      <c r="H129" s="1237"/>
      <c r="I129" s="1188"/>
      <c r="J129" s="1188"/>
      <c r="K129" s="1188"/>
      <c r="L129" s="1188"/>
    </row>
    <row r="130" spans="1:12" ht="42" customHeight="1">
      <c r="A130" s="1120"/>
      <c r="B130" s="1121" t="s">
        <v>601</v>
      </c>
      <c r="C130" s="1237" t="s">
        <v>664</v>
      </c>
      <c r="D130" s="1237"/>
      <c r="E130" s="1237"/>
      <c r="F130" s="1237"/>
      <c r="G130" s="1237"/>
      <c r="H130" s="1237"/>
      <c r="I130" s="1188"/>
      <c r="J130" s="1188"/>
      <c r="K130" s="1188"/>
      <c r="L130" s="1188"/>
    </row>
    <row r="131" spans="1:12" ht="37.5" customHeight="1">
      <c r="A131" s="1120"/>
      <c r="B131" s="1120"/>
      <c r="C131" s="1237" t="s">
        <v>665</v>
      </c>
      <c r="D131" s="1237"/>
      <c r="E131" s="1237"/>
      <c r="F131" s="1237"/>
      <c r="G131" s="1237"/>
      <c r="H131" s="1237"/>
      <c r="I131" s="1188"/>
      <c r="J131" s="1188"/>
      <c r="K131" s="1188"/>
      <c r="L131" s="1188"/>
    </row>
    <row r="132" spans="1:12">
      <c r="A132" s="1120"/>
      <c r="B132" s="1120"/>
      <c r="C132" s="1238" t="s">
        <v>666</v>
      </c>
      <c r="D132" s="1238"/>
      <c r="E132" s="1238"/>
      <c r="F132" s="1238"/>
      <c r="G132" s="1238"/>
      <c r="H132" s="1238"/>
      <c r="I132" s="1188"/>
      <c r="J132" s="1188"/>
      <c r="K132" s="1188"/>
      <c r="L132" s="1188"/>
    </row>
    <row r="133" spans="1:12" ht="36.450000000000003" customHeight="1">
      <c r="A133" s="1120"/>
      <c r="B133" s="1120"/>
      <c r="C133" s="1237" t="s">
        <v>667</v>
      </c>
      <c r="D133" s="1237"/>
      <c r="E133" s="1237"/>
      <c r="F133" s="1237"/>
      <c r="G133" s="1237"/>
      <c r="H133" s="1237"/>
      <c r="I133" s="1188"/>
      <c r="J133" s="1188"/>
      <c r="K133" s="1188"/>
      <c r="L133" s="1188"/>
    </row>
    <row r="134" spans="1:12">
      <c r="A134" s="1120"/>
      <c r="B134" s="1120"/>
      <c r="C134" s="1237" t="s">
        <v>668</v>
      </c>
      <c r="D134" s="1237"/>
      <c r="E134" s="1237"/>
      <c r="F134" s="1237"/>
      <c r="G134" s="1237"/>
      <c r="H134" s="1237"/>
      <c r="I134" s="1188"/>
      <c r="J134" s="1188"/>
      <c r="K134" s="1188"/>
      <c r="L134" s="1188"/>
    </row>
    <row r="135" spans="1:12" ht="36.75" customHeight="1">
      <c r="A135" s="1120"/>
      <c r="B135" s="1120"/>
      <c r="C135" s="1237" t="s">
        <v>669</v>
      </c>
      <c r="D135" s="1237"/>
      <c r="E135" s="1237"/>
      <c r="F135" s="1237"/>
      <c r="G135" s="1237"/>
      <c r="H135" s="1237"/>
      <c r="I135" s="1188"/>
      <c r="J135" s="1188"/>
      <c r="K135" s="1188"/>
      <c r="L135" s="1188"/>
    </row>
    <row r="136" spans="1:12">
      <c r="A136" s="1120"/>
      <c r="B136" s="1120"/>
      <c r="C136" s="1239" t="s">
        <v>670</v>
      </c>
      <c r="D136" s="1239"/>
      <c r="E136" s="1239"/>
      <c r="F136" s="1239"/>
      <c r="G136" s="1239"/>
      <c r="H136" s="1239"/>
      <c r="I136" s="1188"/>
      <c r="J136" s="1188"/>
      <c r="K136" s="1188"/>
      <c r="L136" s="1188"/>
    </row>
    <row r="137" spans="1:12">
      <c r="A137" s="1120"/>
      <c r="B137" s="1120"/>
      <c r="C137" s="1187"/>
      <c r="D137" s="1187"/>
      <c r="E137" s="1187"/>
      <c r="F137" s="1187"/>
      <c r="G137" s="1187"/>
      <c r="H137" s="1187"/>
      <c r="I137" s="1188"/>
      <c r="J137" s="1188"/>
      <c r="K137" s="1188"/>
      <c r="L137" s="1188"/>
    </row>
    <row r="138" spans="1:12">
      <c r="A138" s="1120"/>
      <c r="B138" s="1120"/>
      <c r="C138" s="1238" t="s">
        <v>671</v>
      </c>
      <c r="D138" s="1238"/>
      <c r="E138" s="1238"/>
      <c r="F138" s="1238"/>
      <c r="G138" s="1238"/>
      <c r="H138" s="1238"/>
      <c r="I138" s="1188"/>
      <c r="J138" s="1188"/>
      <c r="K138" s="1188"/>
      <c r="L138" s="1188"/>
    </row>
    <row r="139" spans="1:12" ht="82.5" customHeight="1">
      <c r="A139" s="1120"/>
      <c r="B139" s="1120"/>
      <c r="C139" s="1237" t="s">
        <v>672</v>
      </c>
      <c r="D139" s="1237"/>
      <c r="E139" s="1237"/>
      <c r="F139" s="1237"/>
      <c r="G139" s="1237"/>
      <c r="H139" s="1237"/>
      <c r="I139" s="1188"/>
      <c r="J139" s="1188"/>
      <c r="K139" s="1188"/>
      <c r="L139" s="1188"/>
    </row>
    <row r="140" spans="1:12">
      <c r="A140" s="1120"/>
      <c r="B140" s="1120"/>
      <c r="C140" s="1238" t="s">
        <v>673</v>
      </c>
      <c r="D140" s="1238"/>
      <c r="E140" s="1238"/>
      <c r="F140" s="1238"/>
      <c r="G140" s="1238"/>
      <c r="H140" s="1238"/>
      <c r="I140" s="1188"/>
      <c r="J140" s="1188"/>
      <c r="K140" s="1188"/>
      <c r="L140" s="1188"/>
    </row>
    <row r="141" spans="1:12" ht="82.5" customHeight="1">
      <c r="A141" s="1120"/>
      <c r="B141" s="1120"/>
      <c r="C141" s="1237" t="s">
        <v>674</v>
      </c>
      <c r="D141" s="1237"/>
      <c r="E141" s="1237"/>
      <c r="F141" s="1237"/>
      <c r="G141" s="1237"/>
      <c r="H141" s="1237"/>
      <c r="I141" s="1188"/>
      <c r="J141" s="1188"/>
      <c r="K141" s="1188"/>
      <c r="L141" s="1188"/>
    </row>
    <row r="142" spans="1:12">
      <c r="A142" s="1120"/>
      <c r="B142" s="1120"/>
      <c r="C142" s="1238" t="s">
        <v>675</v>
      </c>
      <c r="D142" s="1238"/>
      <c r="E142" s="1238"/>
      <c r="F142" s="1238"/>
      <c r="G142" s="1238"/>
      <c r="H142" s="1238"/>
      <c r="I142" s="1188"/>
      <c r="J142" s="1188"/>
      <c r="K142" s="1188"/>
      <c r="L142" s="1188"/>
    </row>
    <row r="143" spans="1:12" ht="45" customHeight="1">
      <c r="A143" s="1120"/>
      <c r="B143" s="1120"/>
      <c r="C143" s="1237" t="s">
        <v>676</v>
      </c>
      <c r="D143" s="1237"/>
      <c r="E143" s="1237"/>
      <c r="F143" s="1237"/>
      <c r="G143" s="1237"/>
      <c r="H143" s="1237"/>
      <c r="I143" s="1188"/>
      <c r="J143" s="1188"/>
      <c r="K143" s="1188"/>
      <c r="L143" s="1188"/>
    </row>
    <row r="144" spans="1:12" ht="33" customHeight="1">
      <c r="A144" s="1120"/>
      <c r="B144" s="1120"/>
      <c r="C144" s="1237" t="s">
        <v>677</v>
      </c>
      <c r="D144" s="1237"/>
      <c r="E144" s="1237"/>
      <c r="F144" s="1237"/>
      <c r="G144" s="1237"/>
      <c r="H144" s="1237"/>
      <c r="I144" s="1188"/>
      <c r="J144" s="1188"/>
      <c r="K144" s="1188"/>
      <c r="L144" s="1188"/>
    </row>
    <row r="145" spans="1:12">
      <c r="A145" s="1120"/>
      <c r="B145" s="1120"/>
      <c r="C145" s="1238" t="s">
        <v>678</v>
      </c>
      <c r="D145" s="1238"/>
      <c r="E145" s="1238"/>
      <c r="F145" s="1238"/>
      <c r="G145" s="1238"/>
      <c r="H145" s="1238"/>
      <c r="I145" s="1188"/>
      <c r="J145" s="1188"/>
      <c r="K145" s="1188"/>
      <c r="L145" s="1188"/>
    </row>
    <row r="146" spans="1:12" ht="64.95" customHeight="1">
      <c r="A146" s="1120"/>
      <c r="B146" s="1120"/>
      <c r="C146" s="1237" t="s">
        <v>679</v>
      </c>
      <c r="D146" s="1237"/>
      <c r="E146" s="1237"/>
      <c r="F146" s="1237"/>
      <c r="G146" s="1237"/>
      <c r="H146" s="1237"/>
      <c r="I146" s="1188"/>
      <c r="J146" s="1188"/>
      <c r="K146" s="1188"/>
      <c r="L146" s="1188"/>
    </row>
    <row r="147" spans="1:12">
      <c r="A147" s="1120"/>
      <c r="B147" s="1120"/>
      <c r="C147" s="1240" t="s">
        <v>680</v>
      </c>
      <c r="D147" s="1240"/>
      <c r="E147" s="1240"/>
      <c r="F147" s="1240"/>
      <c r="G147" s="1240"/>
      <c r="H147" s="1240"/>
      <c r="I147" s="1188"/>
      <c r="J147" s="1188"/>
      <c r="K147" s="1188"/>
      <c r="L147" s="1188"/>
    </row>
    <row r="148" spans="1:12" ht="28.95" customHeight="1">
      <c r="A148" s="1120"/>
      <c r="B148" s="1120"/>
      <c r="C148" s="1237" t="s">
        <v>681</v>
      </c>
      <c r="D148" s="1237"/>
      <c r="E148" s="1237"/>
      <c r="F148" s="1237"/>
      <c r="G148" s="1237"/>
      <c r="H148" s="1237"/>
      <c r="I148" s="1188"/>
      <c r="J148" s="1130">
        <f>'Note 39 FVM_1'!A5</f>
        <v>39</v>
      </c>
      <c r="K148" s="1188"/>
      <c r="L148" s="1188"/>
    </row>
    <row r="149" spans="1:12">
      <c r="A149" s="1120"/>
      <c r="B149" s="1120"/>
      <c r="C149" s="1239" t="s">
        <v>1696</v>
      </c>
      <c r="D149" s="1239"/>
      <c r="E149" s="1239"/>
      <c r="F149" s="1239"/>
      <c r="G149" s="1239"/>
      <c r="H149" s="1239"/>
      <c r="I149" s="1188"/>
      <c r="J149" s="1188"/>
      <c r="K149" s="1188"/>
      <c r="L149" s="1188"/>
    </row>
    <row r="150" spans="1:12">
      <c r="A150" s="1120"/>
      <c r="B150" s="1120"/>
      <c r="C150" s="1187"/>
      <c r="D150" s="1187"/>
      <c r="E150" s="1187"/>
      <c r="F150" s="1187"/>
      <c r="G150" s="1187"/>
      <c r="H150" s="1187"/>
      <c r="I150" s="1188"/>
      <c r="J150" s="1188"/>
      <c r="K150" s="1188"/>
      <c r="L150" s="1188"/>
    </row>
    <row r="151" spans="1:12">
      <c r="A151" s="1120"/>
      <c r="B151" s="1120" t="s">
        <v>592</v>
      </c>
      <c r="C151" s="1238" t="s">
        <v>144</v>
      </c>
      <c r="D151" s="1238"/>
      <c r="E151" s="1238"/>
      <c r="F151" s="1238"/>
      <c r="G151" s="1238"/>
      <c r="H151" s="1238"/>
      <c r="I151" s="1188"/>
      <c r="J151" s="1188"/>
      <c r="K151" s="1188"/>
      <c r="L151" s="1188"/>
    </row>
    <row r="152" spans="1:12" ht="36" customHeight="1">
      <c r="A152" s="1120"/>
      <c r="B152" s="1120"/>
      <c r="C152" s="1237" t="s">
        <v>682</v>
      </c>
      <c r="D152" s="1237"/>
      <c r="E152" s="1237"/>
      <c r="F152" s="1237"/>
      <c r="G152" s="1237"/>
      <c r="H152" s="1237"/>
      <c r="I152" s="1188"/>
      <c r="J152" s="1188"/>
      <c r="K152" s="1188"/>
      <c r="L152" s="1188"/>
    </row>
    <row r="153" spans="1:12">
      <c r="A153" s="1120"/>
      <c r="B153" s="1120"/>
      <c r="C153" s="1239" t="s">
        <v>683</v>
      </c>
      <c r="D153" s="1239"/>
      <c r="E153" s="1239"/>
      <c r="F153" s="1239"/>
      <c r="G153" s="1239"/>
      <c r="H153" s="1239"/>
      <c r="I153" s="1188"/>
      <c r="J153" s="1188"/>
      <c r="K153" s="1188"/>
      <c r="L153" s="1188"/>
    </row>
    <row r="154" spans="1:12">
      <c r="A154" s="1120"/>
      <c r="B154" s="1120"/>
      <c r="C154" s="1187"/>
      <c r="D154" s="1187"/>
      <c r="E154" s="1187"/>
      <c r="F154" s="1187"/>
      <c r="G154" s="1187"/>
      <c r="H154" s="1187"/>
      <c r="I154" s="1188"/>
      <c r="J154" s="1188"/>
      <c r="K154" s="1188"/>
      <c r="L154" s="1188"/>
    </row>
    <row r="155" spans="1:12" s="1123" customFormat="1">
      <c r="A155" s="1120"/>
      <c r="B155" s="1120" t="s">
        <v>684</v>
      </c>
      <c r="C155" s="1131" t="s">
        <v>685</v>
      </c>
      <c r="D155" s="1131"/>
      <c r="E155" s="1131"/>
      <c r="F155" s="1131"/>
      <c r="G155" s="1131"/>
      <c r="H155" s="1187"/>
      <c r="I155" s="1188"/>
      <c r="J155" s="1188"/>
      <c r="K155" s="1188"/>
      <c r="L155" s="1188"/>
    </row>
    <row r="156" spans="1:12" ht="67.95" customHeight="1">
      <c r="A156" s="1120"/>
      <c r="B156" s="1120"/>
      <c r="C156" s="1237" t="s">
        <v>686</v>
      </c>
      <c r="D156" s="1237"/>
      <c r="E156" s="1237"/>
      <c r="F156" s="1237"/>
      <c r="G156" s="1237"/>
      <c r="H156" s="1237"/>
      <c r="I156" s="1188"/>
      <c r="J156" s="1188"/>
      <c r="K156" s="1188"/>
      <c r="L156" s="1188"/>
    </row>
    <row r="157" spans="1:12">
      <c r="A157" s="1120"/>
      <c r="B157" s="1120" t="s">
        <v>687</v>
      </c>
      <c r="C157" s="1238" t="s">
        <v>688</v>
      </c>
      <c r="D157" s="1238"/>
      <c r="E157" s="1238"/>
      <c r="F157" s="1238"/>
      <c r="G157" s="1238"/>
      <c r="H157" s="1238"/>
      <c r="I157" s="1188"/>
      <c r="J157" s="1188"/>
      <c r="K157" s="1188"/>
      <c r="L157" s="1188"/>
    </row>
    <row r="158" spans="1:12" ht="79.05" customHeight="1">
      <c r="A158" s="1120"/>
      <c r="B158" s="1120"/>
      <c r="C158" s="1237" t="s">
        <v>689</v>
      </c>
      <c r="D158" s="1237"/>
      <c r="E158" s="1237"/>
      <c r="F158" s="1237"/>
      <c r="G158" s="1237"/>
      <c r="H158" s="1237"/>
      <c r="I158" s="1188"/>
      <c r="J158" s="1188"/>
      <c r="K158" s="1188"/>
      <c r="L158" s="1188"/>
    </row>
    <row r="159" spans="1:12" ht="67.5" customHeight="1">
      <c r="A159" s="1120"/>
      <c r="B159" s="1120"/>
      <c r="C159" s="1237" t="s">
        <v>690</v>
      </c>
      <c r="D159" s="1237"/>
      <c r="E159" s="1237"/>
      <c r="F159" s="1237"/>
      <c r="G159" s="1237"/>
      <c r="H159" s="1237"/>
      <c r="I159" s="1188"/>
      <c r="J159" s="1188"/>
      <c r="K159" s="1188"/>
      <c r="L159" s="1188"/>
    </row>
    <row r="160" spans="1:12" ht="34.5" customHeight="1">
      <c r="A160" s="1120"/>
      <c r="B160" s="1120"/>
      <c r="C160" s="1237" t="s">
        <v>691</v>
      </c>
      <c r="D160" s="1237"/>
      <c r="E160" s="1237"/>
      <c r="F160" s="1237"/>
      <c r="G160" s="1237"/>
      <c r="H160" s="1237"/>
      <c r="I160" s="1188"/>
      <c r="J160" s="1188"/>
      <c r="K160" s="1188"/>
      <c r="L160" s="1188"/>
    </row>
    <row r="161" spans="1:12">
      <c r="A161" s="1120"/>
      <c r="B161" s="1120"/>
      <c r="C161" s="1239" t="s">
        <v>692</v>
      </c>
      <c r="D161" s="1239"/>
      <c r="E161" s="1239"/>
      <c r="F161" s="1239"/>
      <c r="G161" s="1239"/>
      <c r="H161" s="1239"/>
      <c r="I161" s="1188"/>
      <c r="J161" s="1188"/>
      <c r="K161" s="1188"/>
      <c r="L161" s="1188"/>
    </row>
    <row r="162" spans="1:12">
      <c r="A162" s="1120"/>
      <c r="B162" s="1120"/>
      <c r="C162" s="1187"/>
      <c r="D162" s="1187"/>
      <c r="E162" s="1187"/>
      <c r="F162" s="1187"/>
      <c r="G162" s="1187"/>
      <c r="H162" s="1187"/>
      <c r="I162" s="1188"/>
      <c r="J162" s="1188"/>
      <c r="K162" s="1188"/>
      <c r="L162" s="1188"/>
    </row>
    <row r="163" spans="1:12" ht="97.05" customHeight="1">
      <c r="A163" s="1120"/>
      <c r="B163" s="1120"/>
      <c r="C163" s="1237" t="s">
        <v>693</v>
      </c>
      <c r="D163" s="1237"/>
      <c r="E163" s="1237"/>
      <c r="F163" s="1237"/>
      <c r="G163" s="1237"/>
      <c r="H163" s="1237"/>
      <c r="I163" s="1188"/>
      <c r="J163" s="1188"/>
      <c r="K163" s="1188"/>
      <c r="L163" s="1188"/>
    </row>
    <row r="164" spans="1:12" s="1123" customFormat="1" ht="18" customHeight="1">
      <c r="A164" s="1120"/>
      <c r="B164" s="1120" t="s">
        <v>694</v>
      </c>
      <c r="C164" s="1131" t="s">
        <v>695</v>
      </c>
      <c r="D164" s="1131"/>
      <c r="E164" s="1131"/>
      <c r="F164" s="1131"/>
      <c r="G164" s="1131"/>
      <c r="H164" s="1187"/>
      <c r="I164" s="1188"/>
      <c r="J164" s="1188"/>
      <c r="K164" s="1188"/>
      <c r="L164" s="1188"/>
    </row>
    <row r="165" spans="1:12" ht="145.5" customHeight="1">
      <c r="A165" s="1120"/>
      <c r="B165" s="1120"/>
      <c r="C165" s="1237" t="s">
        <v>696</v>
      </c>
      <c r="D165" s="1237"/>
      <c r="E165" s="1237"/>
      <c r="F165" s="1237"/>
      <c r="G165" s="1237"/>
      <c r="H165" s="1237"/>
      <c r="I165" s="1188"/>
      <c r="J165" s="1188"/>
      <c r="K165" s="1188"/>
      <c r="L165" s="1188"/>
    </row>
    <row r="166" spans="1:12">
      <c r="A166" s="1120"/>
      <c r="B166" s="1120" t="s">
        <v>432</v>
      </c>
      <c r="C166" s="1131" t="s">
        <v>130</v>
      </c>
      <c r="D166" s="1131"/>
      <c r="E166" s="1131"/>
      <c r="F166" s="1131"/>
      <c r="G166" s="1131"/>
      <c r="H166" s="1187"/>
      <c r="I166" s="1188"/>
      <c r="J166" s="1188"/>
      <c r="K166" s="1188"/>
      <c r="L166" s="1188"/>
    </row>
    <row r="167" spans="1:12">
      <c r="A167" s="1120"/>
      <c r="B167" s="1120"/>
      <c r="C167" s="1239" t="s">
        <v>697</v>
      </c>
      <c r="D167" s="1239"/>
      <c r="E167" s="1239"/>
      <c r="F167" s="1239"/>
      <c r="G167" s="1239"/>
      <c r="H167" s="1239"/>
      <c r="I167" s="1188"/>
      <c r="J167" s="1188"/>
      <c r="K167" s="1188"/>
      <c r="L167" s="1188"/>
    </row>
    <row r="168" spans="1:12">
      <c r="A168" s="1120"/>
      <c r="B168" s="1120"/>
      <c r="C168" s="1239" t="s">
        <v>698</v>
      </c>
      <c r="D168" s="1239"/>
      <c r="E168" s="1239"/>
      <c r="F168" s="1239"/>
      <c r="G168" s="1239"/>
      <c r="H168" s="1239"/>
      <c r="I168" s="1188"/>
      <c r="J168" s="1188"/>
      <c r="K168" s="1188"/>
      <c r="L168" s="1188"/>
    </row>
    <row r="169" spans="1:12" ht="37.049999999999997" customHeight="1">
      <c r="A169" s="1120"/>
      <c r="B169" s="1122" t="s">
        <v>563</v>
      </c>
      <c r="C169" s="1237" t="s">
        <v>699</v>
      </c>
      <c r="D169" s="1237"/>
      <c r="E169" s="1237"/>
      <c r="F169" s="1237"/>
      <c r="G169" s="1237"/>
      <c r="H169" s="1237"/>
      <c r="I169" s="1188"/>
      <c r="J169" s="1188"/>
      <c r="K169" s="1188"/>
      <c r="L169" s="1188"/>
    </row>
    <row r="170" spans="1:12" ht="37.5" customHeight="1">
      <c r="A170" s="1120"/>
      <c r="B170" s="1122" t="s">
        <v>567</v>
      </c>
      <c r="C170" s="1237" t="s">
        <v>700</v>
      </c>
      <c r="D170" s="1237"/>
      <c r="E170" s="1237"/>
      <c r="F170" s="1237"/>
      <c r="G170" s="1237"/>
      <c r="H170" s="1237"/>
      <c r="I170" s="1188"/>
      <c r="J170" s="1188"/>
      <c r="K170" s="1188"/>
      <c r="L170" s="1188"/>
    </row>
    <row r="171" spans="1:12" ht="33" customHeight="1">
      <c r="A171" s="1120"/>
      <c r="B171" s="1122"/>
      <c r="C171" s="1237" t="s">
        <v>701</v>
      </c>
      <c r="D171" s="1237"/>
      <c r="E171" s="1237"/>
      <c r="F171" s="1237"/>
      <c r="G171" s="1237"/>
      <c r="H171" s="1237"/>
      <c r="I171" s="1188"/>
      <c r="J171" s="1188"/>
      <c r="K171" s="1188"/>
      <c r="L171" s="1188"/>
    </row>
    <row r="172" spans="1:12" ht="42" customHeight="1">
      <c r="A172" s="1120"/>
      <c r="B172" s="1120"/>
      <c r="C172" s="1237" t="s">
        <v>702</v>
      </c>
      <c r="D172" s="1237"/>
      <c r="E172" s="1237"/>
      <c r="F172" s="1237"/>
      <c r="G172" s="1237"/>
      <c r="H172" s="1237"/>
      <c r="I172" s="1188"/>
      <c r="J172" s="1188"/>
      <c r="K172" s="1188"/>
      <c r="L172" s="1188"/>
    </row>
    <row r="173" spans="1:12">
      <c r="A173" s="1120"/>
      <c r="B173" s="1120" t="s">
        <v>703</v>
      </c>
      <c r="C173" s="1238" t="s">
        <v>704</v>
      </c>
      <c r="D173" s="1238"/>
      <c r="E173" s="1238"/>
      <c r="F173" s="1238"/>
      <c r="G173" s="1238"/>
      <c r="H173" s="1238"/>
      <c r="I173" s="1188"/>
      <c r="J173" s="1188"/>
      <c r="K173" s="1188"/>
      <c r="L173" s="1188"/>
    </row>
    <row r="174" spans="1:12">
      <c r="A174" s="1120"/>
      <c r="B174" s="1120"/>
      <c r="C174" s="1238" t="s">
        <v>705</v>
      </c>
      <c r="D174" s="1238"/>
      <c r="E174" s="1238"/>
      <c r="F174" s="1238"/>
      <c r="G174" s="1238"/>
      <c r="H174" s="1238"/>
      <c r="I174" s="1188"/>
      <c r="J174" s="1188"/>
      <c r="K174" s="1188"/>
      <c r="L174" s="1188"/>
    </row>
    <row r="175" spans="1:12" ht="40.5" customHeight="1">
      <c r="A175" s="1120"/>
      <c r="B175" s="1120"/>
      <c r="C175" s="1237" t="s">
        <v>1053</v>
      </c>
      <c r="D175" s="1237"/>
      <c r="E175" s="1237"/>
      <c r="F175" s="1237"/>
      <c r="G175" s="1237"/>
      <c r="H175" s="1237"/>
      <c r="I175" s="1188"/>
      <c r="J175" s="1188"/>
      <c r="K175" s="1188"/>
      <c r="L175" s="1188"/>
    </row>
    <row r="176" spans="1:12" ht="70.95" customHeight="1">
      <c r="A176" s="1120"/>
      <c r="B176" s="1120"/>
      <c r="C176" s="1237" t="s">
        <v>706</v>
      </c>
      <c r="D176" s="1237"/>
      <c r="E176" s="1237"/>
      <c r="F176" s="1237"/>
      <c r="G176" s="1237"/>
      <c r="H176" s="1237"/>
      <c r="I176" s="1188"/>
      <c r="J176" s="1188"/>
      <c r="K176" s="1188"/>
      <c r="L176" s="1188"/>
    </row>
    <row r="177" spans="1:12">
      <c r="A177" s="1120"/>
      <c r="B177" s="1120"/>
      <c r="C177" s="1238" t="s">
        <v>707</v>
      </c>
      <c r="D177" s="1238"/>
      <c r="E177" s="1238"/>
      <c r="F177" s="1238"/>
      <c r="G177" s="1238"/>
      <c r="H177" s="1238"/>
      <c r="I177" s="1188"/>
      <c r="J177" s="1188"/>
      <c r="K177" s="1188"/>
      <c r="L177" s="1188"/>
    </row>
    <row r="178" spans="1:12" ht="54" customHeight="1">
      <c r="A178" s="1120"/>
      <c r="B178" s="1120"/>
      <c r="C178" s="1237" t="s">
        <v>708</v>
      </c>
      <c r="D178" s="1237"/>
      <c r="E178" s="1237"/>
      <c r="F178" s="1237"/>
      <c r="G178" s="1237"/>
      <c r="H178" s="1237"/>
      <c r="I178" s="1188"/>
      <c r="J178" s="1188"/>
      <c r="K178" s="1188"/>
      <c r="L178" s="1188"/>
    </row>
    <row r="179" spans="1:12" ht="50.55" customHeight="1">
      <c r="A179" s="1120"/>
      <c r="B179" s="1120"/>
      <c r="C179" s="1237" t="s">
        <v>709</v>
      </c>
      <c r="D179" s="1237"/>
      <c r="E179" s="1237"/>
      <c r="F179" s="1237"/>
      <c r="G179" s="1237"/>
      <c r="H179" s="1237"/>
      <c r="I179" s="1188"/>
      <c r="J179" s="1188"/>
      <c r="K179" s="1188"/>
      <c r="L179" s="1188"/>
    </row>
    <row r="180" spans="1:12" ht="51.45" customHeight="1">
      <c r="A180" s="1120"/>
      <c r="B180" s="1120"/>
      <c r="C180" s="1237" t="s">
        <v>710</v>
      </c>
      <c r="D180" s="1237"/>
      <c r="E180" s="1237"/>
      <c r="F180" s="1237"/>
      <c r="G180" s="1237"/>
      <c r="H180" s="1237"/>
      <c r="I180" s="1188"/>
      <c r="J180" s="1188"/>
      <c r="K180" s="1188"/>
      <c r="L180" s="1188"/>
    </row>
    <row r="181" spans="1:12" ht="37.950000000000003" customHeight="1">
      <c r="A181" s="1120"/>
      <c r="B181" s="1120"/>
      <c r="C181" s="1237" t="s">
        <v>711</v>
      </c>
      <c r="D181" s="1237"/>
      <c r="E181" s="1237"/>
      <c r="F181" s="1237"/>
      <c r="G181" s="1237"/>
      <c r="H181" s="1237"/>
      <c r="I181" s="1188"/>
      <c r="J181" s="1188"/>
      <c r="K181" s="1188"/>
      <c r="L181" s="1188"/>
    </row>
    <row r="182" spans="1:12" ht="37.049999999999997" customHeight="1">
      <c r="A182" s="1120"/>
      <c r="B182" s="1120"/>
      <c r="C182" s="1237" t="s">
        <v>712</v>
      </c>
      <c r="D182" s="1237"/>
      <c r="E182" s="1237"/>
      <c r="F182" s="1237"/>
      <c r="G182" s="1237"/>
      <c r="H182" s="1237"/>
      <c r="I182" s="1188"/>
      <c r="J182" s="1188"/>
      <c r="K182" s="1188"/>
      <c r="L182" s="1188"/>
    </row>
    <row r="183" spans="1:12" ht="33.75" customHeight="1">
      <c r="A183" s="1120"/>
      <c r="B183" s="1120"/>
      <c r="C183" s="1237" t="s">
        <v>713</v>
      </c>
      <c r="D183" s="1237"/>
      <c r="E183" s="1237"/>
      <c r="F183" s="1237"/>
      <c r="G183" s="1237"/>
      <c r="H183" s="1237"/>
      <c r="I183" s="1188"/>
      <c r="J183" s="1188"/>
      <c r="K183" s="1188"/>
      <c r="L183" s="1188"/>
    </row>
    <row r="184" spans="1:12" ht="59.55" customHeight="1">
      <c r="A184" s="1120"/>
      <c r="B184" s="1120"/>
      <c r="C184" s="1237" t="s">
        <v>714</v>
      </c>
      <c r="D184" s="1237"/>
      <c r="E184" s="1237"/>
      <c r="F184" s="1237"/>
      <c r="G184" s="1237"/>
      <c r="H184" s="1237"/>
      <c r="I184" s="1188"/>
      <c r="J184" s="1188"/>
      <c r="K184" s="1188"/>
      <c r="L184" s="1188"/>
    </row>
    <row r="185" spans="1:12">
      <c r="A185" s="1120"/>
      <c r="B185" s="1120" t="s">
        <v>715</v>
      </c>
      <c r="C185" s="1238" t="s">
        <v>716</v>
      </c>
      <c r="D185" s="1238"/>
      <c r="E185" s="1238"/>
      <c r="F185" s="1238"/>
      <c r="G185" s="1238"/>
      <c r="H185" s="1238"/>
      <c r="I185" s="1188"/>
      <c r="J185" s="1188"/>
      <c r="K185" s="1188"/>
      <c r="L185" s="1188"/>
    </row>
    <row r="186" spans="1:12">
      <c r="A186" s="1120"/>
      <c r="B186" s="1120"/>
      <c r="C186" s="1186" t="s">
        <v>717</v>
      </c>
      <c r="D186" s="1186"/>
      <c r="E186" s="1186"/>
      <c r="F186" s="1186"/>
      <c r="G186" s="1186"/>
      <c r="H186" s="1124"/>
      <c r="I186" s="1188"/>
      <c r="J186" s="1188"/>
      <c r="K186" s="1188"/>
      <c r="L186" s="1188"/>
    </row>
    <row r="187" spans="1:12" ht="66" customHeight="1">
      <c r="A187" s="1120"/>
      <c r="B187" s="1120"/>
      <c r="C187" s="1237" t="s">
        <v>718</v>
      </c>
      <c r="D187" s="1237"/>
      <c r="E187" s="1237"/>
      <c r="F187" s="1237"/>
      <c r="G187" s="1237"/>
      <c r="H187" s="1237"/>
      <c r="I187" s="1188"/>
      <c r="J187" s="1188"/>
      <c r="K187" s="1188"/>
      <c r="L187" s="1188"/>
    </row>
    <row r="188" spans="1:12">
      <c r="A188" s="1120"/>
      <c r="B188" s="1120"/>
      <c r="C188" s="1238" t="s">
        <v>719</v>
      </c>
      <c r="D188" s="1238"/>
      <c r="E188" s="1238"/>
      <c r="F188" s="1238"/>
      <c r="G188" s="1238"/>
      <c r="H188" s="1238"/>
      <c r="I188" s="1188"/>
      <c r="J188" s="1188"/>
      <c r="K188" s="1188"/>
      <c r="L188" s="1188"/>
    </row>
    <row r="189" spans="1:12" ht="70.95" customHeight="1">
      <c r="A189" s="1120"/>
      <c r="B189" s="1120"/>
      <c r="C189" s="1237" t="s">
        <v>720</v>
      </c>
      <c r="D189" s="1237"/>
      <c r="E189" s="1237"/>
      <c r="F189" s="1237"/>
      <c r="G189" s="1237"/>
      <c r="H189" s="1237"/>
      <c r="I189" s="1188"/>
      <c r="J189" s="1188"/>
      <c r="K189" s="1188"/>
      <c r="L189" s="1188"/>
    </row>
    <row r="190" spans="1:12">
      <c r="A190" s="1120"/>
      <c r="B190" s="1120"/>
      <c r="C190" s="1186" t="s">
        <v>721</v>
      </c>
      <c r="D190" s="1186"/>
      <c r="E190" s="1186"/>
      <c r="F190" s="1186"/>
      <c r="G190" s="1186"/>
      <c r="H190" s="1124"/>
      <c r="I190" s="1188"/>
      <c r="J190" s="1188"/>
      <c r="K190" s="1188"/>
      <c r="L190" s="1188"/>
    </row>
    <row r="191" spans="1:12">
      <c r="A191" s="1120"/>
      <c r="B191" s="1120"/>
      <c r="C191" s="1124" t="s">
        <v>722</v>
      </c>
      <c r="D191" s="1124"/>
      <c r="E191" s="1124"/>
      <c r="F191" s="1124"/>
      <c r="G191" s="1124"/>
      <c r="H191" s="1132"/>
      <c r="I191" s="1188"/>
      <c r="J191" s="1188"/>
      <c r="K191" s="1188"/>
      <c r="L191" s="1188"/>
    </row>
    <row r="192" spans="1:12" ht="88.95" customHeight="1">
      <c r="A192" s="1120"/>
      <c r="B192" s="1120"/>
      <c r="C192" s="1237" t="s">
        <v>723</v>
      </c>
      <c r="D192" s="1237"/>
      <c r="E192" s="1237"/>
      <c r="F192" s="1237"/>
      <c r="G192" s="1237"/>
      <c r="H192" s="1237"/>
      <c r="I192" s="1188"/>
      <c r="J192" s="1188"/>
      <c r="K192" s="1188"/>
      <c r="L192" s="1188"/>
    </row>
    <row r="193" spans="1:12" s="1137" customFormat="1">
      <c r="A193" s="1105"/>
      <c r="B193" s="1105"/>
      <c r="C193" s="1203" t="s">
        <v>1654</v>
      </c>
      <c r="D193" s="1106"/>
      <c r="E193" s="1106"/>
      <c r="F193" s="1106"/>
      <c r="G193" s="1106"/>
      <c r="H193" s="1106"/>
      <c r="I193" s="1136"/>
      <c r="J193" s="1136"/>
      <c r="K193" s="1136"/>
      <c r="L193" s="1136"/>
    </row>
    <row r="194" spans="1:12" s="1137" customFormat="1">
      <c r="A194" s="1105"/>
      <c r="B194" s="1105"/>
      <c r="C194" s="1230" t="s">
        <v>724</v>
      </c>
      <c r="D194" s="1230"/>
      <c r="E194" s="1230"/>
      <c r="F194" s="1230"/>
      <c r="G194" s="1230"/>
      <c r="H194" s="1230"/>
      <c r="I194" s="1136"/>
      <c r="J194" s="1136"/>
      <c r="K194" s="1136"/>
      <c r="L194" s="1136"/>
    </row>
    <row r="195" spans="1:12" s="1137" customFormat="1" ht="56.55" customHeight="1">
      <c r="A195" s="1105"/>
      <c r="B195" s="1105"/>
      <c r="C195" s="1229" t="s">
        <v>1110</v>
      </c>
      <c r="D195" s="1229"/>
      <c r="E195" s="1229"/>
      <c r="F195" s="1229"/>
      <c r="G195" s="1229"/>
      <c r="H195" s="1229"/>
      <c r="I195" s="1136"/>
      <c r="J195" s="1136"/>
      <c r="K195" s="1136"/>
      <c r="L195" s="1136"/>
    </row>
    <row r="196" spans="1:12" s="1137" customFormat="1" ht="70.5" customHeight="1">
      <c r="A196" s="1105"/>
      <c r="B196" s="1105"/>
      <c r="C196" s="1229" t="s">
        <v>725</v>
      </c>
      <c r="D196" s="1229"/>
      <c r="E196" s="1229"/>
      <c r="F196" s="1229"/>
      <c r="G196" s="1229"/>
      <c r="H196" s="1229"/>
      <c r="I196" s="1136"/>
      <c r="J196" s="1136"/>
      <c r="K196" s="1136"/>
      <c r="L196" s="1136"/>
    </row>
    <row r="197" spans="1:12" s="1137" customFormat="1" ht="52.05" customHeight="1">
      <c r="A197" s="1105"/>
      <c r="B197" s="1105"/>
      <c r="C197" s="1229" t="s">
        <v>726</v>
      </c>
      <c r="D197" s="1229"/>
      <c r="E197" s="1229"/>
      <c r="F197" s="1229"/>
      <c r="G197" s="1229"/>
      <c r="H197" s="1229"/>
      <c r="I197" s="1136"/>
      <c r="J197" s="1136"/>
      <c r="K197" s="1136"/>
      <c r="L197" s="1136"/>
    </row>
    <row r="198" spans="1:12" s="1137" customFormat="1" ht="57.45" customHeight="1">
      <c r="A198" s="1105"/>
      <c r="B198" s="1105"/>
      <c r="C198" s="1229" t="s">
        <v>727</v>
      </c>
      <c r="D198" s="1229"/>
      <c r="E198" s="1229"/>
      <c r="F198" s="1229"/>
      <c r="G198" s="1229"/>
      <c r="H198" s="1229"/>
      <c r="I198" s="1136"/>
      <c r="J198" s="1136"/>
      <c r="K198" s="1136"/>
      <c r="L198" s="1136"/>
    </row>
    <row r="199" spans="1:12" s="1137" customFormat="1">
      <c r="A199" s="1105"/>
      <c r="B199" s="1105"/>
      <c r="C199" s="1236" t="s">
        <v>728</v>
      </c>
      <c r="D199" s="1236"/>
      <c r="E199" s="1236"/>
      <c r="F199" s="1236"/>
      <c r="G199" s="1236"/>
      <c r="H199" s="1236"/>
      <c r="I199" s="1136"/>
      <c r="J199" s="1136"/>
      <c r="K199" s="1136"/>
      <c r="L199" s="1136"/>
    </row>
    <row r="200" spans="1:12" s="1137" customFormat="1" ht="74.55" customHeight="1">
      <c r="A200" s="1105"/>
      <c r="B200" s="1105"/>
      <c r="C200" s="1229" t="s">
        <v>729</v>
      </c>
      <c r="D200" s="1229"/>
      <c r="E200" s="1229"/>
      <c r="F200" s="1229"/>
      <c r="G200" s="1229"/>
      <c r="H200" s="1229"/>
      <c r="I200" s="1136"/>
      <c r="J200" s="1136"/>
      <c r="K200" s="1136"/>
      <c r="L200" s="1136"/>
    </row>
    <row r="201" spans="1:12" s="1138" customFormat="1">
      <c r="A201" s="1105"/>
      <c r="B201" s="1105" t="s">
        <v>730</v>
      </c>
      <c r="C201" s="1232" t="s">
        <v>731</v>
      </c>
      <c r="D201" s="1232"/>
      <c r="E201" s="1232"/>
      <c r="F201" s="1232"/>
      <c r="G201" s="1232"/>
      <c r="H201" s="1232"/>
      <c r="I201" s="1136"/>
      <c r="J201" s="1136"/>
      <c r="K201" s="1136"/>
      <c r="L201" s="1136"/>
    </row>
    <row r="202" spans="1:12" s="1137" customFormat="1" ht="17.25" customHeight="1">
      <c r="A202" s="1105"/>
      <c r="B202" s="1105"/>
      <c r="C202" s="1235" t="s">
        <v>732</v>
      </c>
      <c r="D202" s="1235"/>
      <c r="E202" s="1235"/>
      <c r="F202" s="1235"/>
      <c r="G202" s="1235"/>
      <c r="H202" s="1235"/>
      <c r="I202" s="1136"/>
      <c r="J202" s="1136"/>
      <c r="K202" s="1136"/>
      <c r="L202" s="1136"/>
    </row>
    <row r="203" spans="1:12" s="1137" customFormat="1" ht="97.95" customHeight="1">
      <c r="A203" s="1105"/>
      <c r="B203" s="1105"/>
      <c r="C203" s="1229" t="s">
        <v>733</v>
      </c>
      <c r="D203" s="1229"/>
      <c r="E203" s="1229"/>
      <c r="F203" s="1229"/>
      <c r="G203" s="1229"/>
      <c r="H203" s="1229"/>
      <c r="I203" s="1136"/>
      <c r="J203" s="1136"/>
      <c r="K203" s="1136"/>
      <c r="L203" s="1136"/>
    </row>
    <row r="204" spans="1:12" s="1137" customFormat="1" ht="55.2" customHeight="1">
      <c r="A204" s="1105"/>
      <c r="B204" s="1105"/>
      <c r="C204" s="1229" t="s">
        <v>386</v>
      </c>
      <c r="D204" s="1229"/>
      <c r="E204" s="1229"/>
      <c r="F204" s="1229"/>
      <c r="G204" s="1229"/>
      <c r="H204" s="1229"/>
      <c r="I204" s="1136"/>
      <c r="J204" s="1136"/>
      <c r="K204" s="1136"/>
      <c r="L204" s="1136"/>
    </row>
    <row r="205" spans="1:12" s="1137" customFormat="1">
      <c r="A205" s="1105"/>
      <c r="B205" s="1105"/>
      <c r="C205" s="1235" t="s">
        <v>734</v>
      </c>
      <c r="D205" s="1235"/>
      <c r="E205" s="1235"/>
      <c r="F205" s="1235"/>
      <c r="G205" s="1235"/>
      <c r="H205" s="1235"/>
      <c r="I205" s="1136"/>
      <c r="J205" s="1136"/>
      <c r="K205" s="1136"/>
      <c r="L205" s="1136"/>
    </row>
    <row r="206" spans="1:12" s="1137" customFormat="1">
      <c r="A206" s="1105"/>
      <c r="B206" s="1105"/>
      <c r="C206" s="1184"/>
      <c r="D206" s="1184"/>
      <c r="E206" s="1184"/>
      <c r="F206" s="1184"/>
      <c r="G206" s="1184"/>
      <c r="H206" s="1184"/>
      <c r="I206" s="1136"/>
      <c r="J206" s="1136"/>
      <c r="K206" s="1136"/>
      <c r="L206" s="1136"/>
    </row>
    <row r="207" spans="1:12" s="1137" customFormat="1" ht="16.5" customHeight="1">
      <c r="A207" s="1105"/>
      <c r="B207" s="1105" t="s">
        <v>735</v>
      </c>
      <c r="C207" s="1230" t="s">
        <v>736</v>
      </c>
      <c r="D207" s="1230"/>
      <c r="E207" s="1230"/>
      <c r="F207" s="1230"/>
      <c r="G207" s="1230"/>
      <c r="H207" s="1230"/>
      <c r="I207" s="1136"/>
      <c r="J207" s="1136"/>
      <c r="K207" s="1136"/>
      <c r="L207" s="1136"/>
    </row>
    <row r="208" spans="1:12" s="1137" customFormat="1" ht="69" customHeight="1">
      <c r="A208" s="1105"/>
      <c r="B208" s="1105"/>
      <c r="C208" s="1229" t="s">
        <v>737</v>
      </c>
      <c r="D208" s="1229"/>
      <c r="E208" s="1229"/>
      <c r="F208" s="1229"/>
      <c r="G208" s="1229"/>
      <c r="H208" s="1229"/>
      <c r="I208" s="1136"/>
      <c r="J208" s="1136"/>
      <c r="K208" s="1136"/>
      <c r="L208" s="1136"/>
    </row>
    <row r="209" spans="1:12" s="1137" customFormat="1" ht="150.6" customHeight="1">
      <c r="A209" s="1105"/>
      <c r="B209" s="1105"/>
      <c r="C209" s="1229" t="s">
        <v>1054</v>
      </c>
      <c r="D209" s="1229"/>
      <c r="E209" s="1229"/>
      <c r="F209" s="1229"/>
      <c r="G209" s="1229"/>
      <c r="H209" s="1229"/>
      <c r="I209" s="1136"/>
      <c r="J209" s="1136"/>
      <c r="K209" s="1136"/>
      <c r="L209" s="1136"/>
    </row>
    <row r="210" spans="1:12" s="1137" customFormat="1">
      <c r="A210" s="1105"/>
      <c r="B210" s="1105" t="s">
        <v>738</v>
      </c>
      <c r="C210" s="1231" t="s">
        <v>49</v>
      </c>
      <c r="D210" s="1231"/>
      <c r="E210" s="1231"/>
      <c r="F210" s="1231"/>
      <c r="G210" s="1231"/>
      <c r="H210" s="1231"/>
      <c r="I210" s="1136"/>
      <c r="J210" s="1136"/>
      <c r="K210" s="1136"/>
      <c r="L210" s="1136"/>
    </row>
    <row r="211" spans="1:12" s="1137" customFormat="1" ht="69.45" customHeight="1">
      <c r="A211" s="1105"/>
      <c r="B211" s="1105"/>
      <c r="C211" s="1229" t="s">
        <v>739</v>
      </c>
      <c r="D211" s="1229"/>
      <c r="E211" s="1229"/>
      <c r="F211" s="1229"/>
      <c r="G211" s="1229"/>
      <c r="H211" s="1229"/>
      <c r="I211" s="1136"/>
      <c r="J211" s="1136"/>
      <c r="K211" s="1136"/>
      <c r="L211" s="1136"/>
    </row>
    <row r="212" spans="1:12" s="1137" customFormat="1">
      <c r="A212" s="1105"/>
      <c r="B212" s="1105" t="s">
        <v>740</v>
      </c>
      <c r="C212" s="1230" t="s">
        <v>741</v>
      </c>
      <c r="D212" s="1230"/>
      <c r="E212" s="1230"/>
      <c r="F212" s="1230"/>
      <c r="G212" s="1230"/>
      <c r="H212" s="1230"/>
      <c r="I212" s="1136"/>
      <c r="J212" s="1136"/>
      <c r="K212" s="1136"/>
      <c r="L212" s="1136"/>
    </row>
    <row r="213" spans="1:12" s="1137" customFormat="1" ht="36.450000000000003" customHeight="1">
      <c r="A213" s="1105"/>
      <c r="B213" s="1105"/>
      <c r="C213" s="1229" t="s">
        <v>742</v>
      </c>
      <c r="D213" s="1229"/>
      <c r="E213" s="1229"/>
      <c r="F213" s="1229"/>
      <c r="G213" s="1229"/>
      <c r="H213" s="1229"/>
      <c r="I213" s="1136"/>
      <c r="J213" s="1136"/>
      <c r="K213" s="1136"/>
      <c r="L213" s="1136"/>
    </row>
    <row r="214" spans="1:12" s="1137" customFormat="1" ht="40.049999999999997" customHeight="1">
      <c r="A214" s="1105"/>
      <c r="B214" s="1105"/>
      <c r="C214" s="1229" t="s">
        <v>743</v>
      </c>
      <c r="D214" s="1229"/>
      <c r="E214" s="1229"/>
      <c r="F214" s="1229"/>
      <c r="G214" s="1229"/>
      <c r="H214" s="1229"/>
      <c r="I214" s="1136"/>
      <c r="J214" s="1136"/>
      <c r="K214" s="1136"/>
      <c r="L214" s="1136"/>
    </row>
    <row r="215" spans="1:12" s="1137" customFormat="1" ht="39" customHeight="1">
      <c r="A215" s="1105"/>
      <c r="B215" s="1105"/>
      <c r="C215" s="1229" t="s">
        <v>744</v>
      </c>
      <c r="D215" s="1229"/>
      <c r="E215" s="1229"/>
      <c r="F215" s="1229"/>
      <c r="G215" s="1229"/>
      <c r="H215" s="1229"/>
      <c r="I215" s="1136"/>
      <c r="J215" s="1136"/>
      <c r="K215" s="1136"/>
      <c r="L215" s="1136"/>
    </row>
    <row r="216" spans="1:12" s="1138" customFormat="1">
      <c r="A216" s="1105"/>
      <c r="B216" s="1105" t="s">
        <v>745</v>
      </c>
      <c r="C216" s="1230" t="s">
        <v>385</v>
      </c>
      <c r="D216" s="1230"/>
      <c r="E216" s="1230"/>
      <c r="F216" s="1230"/>
      <c r="G216" s="1230"/>
      <c r="H216" s="1230"/>
      <c r="I216" s="1136"/>
      <c r="J216" s="1136"/>
      <c r="K216" s="1136"/>
      <c r="L216" s="1136"/>
    </row>
    <row r="217" spans="1:12" s="1137" customFormat="1" ht="22.05" customHeight="1">
      <c r="A217" s="1105"/>
      <c r="B217" s="1105"/>
      <c r="C217" s="1139" t="s">
        <v>746</v>
      </c>
      <c r="D217" s="1139"/>
      <c r="E217" s="1139"/>
      <c r="F217" s="1139"/>
      <c r="G217" s="1139"/>
      <c r="H217" s="1182"/>
      <c r="I217" s="1136"/>
      <c r="J217" s="1136"/>
      <c r="K217" s="1136"/>
      <c r="L217" s="1136"/>
    </row>
    <row r="218" spans="1:12" s="1137" customFormat="1" ht="256.95" customHeight="1">
      <c r="A218" s="1105"/>
      <c r="B218" s="1105"/>
      <c r="C218" s="1229" t="s">
        <v>1705</v>
      </c>
      <c r="D218" s="1229"/>
      <c r="E218" s="1229"/>
      <c r="F218" s="1229"/>
      <c r="G218" s="1229"/>
      <c r="H218" s="1229"/>
      <c r="I218" s="1136"/>
      <c r="J218" s="1136"/>
      <c r="K218" s="1136"/>
      <c r="L218" s="1136"/>
    </row>
    <row r="219" spans="1:12" s="1137" customFormat="1" ht="18" customHeight="1">
      <c r="A219" s="1105"/>
      <c r="B219" s="1105"/>
      <c r="C219" s="1139" t="s">
        <v>748</v>
      </c>
      <c r="D219" s="1139"/>
      <c r="E219" s="1139"/>
      <c r="F219" s="1139"/>
      <c r="G219" s="1139"/>
      <c r="H219" s="1139"/>
      <c r="I219" s="1136"/>
      <c r="J219" s="1136"/>
      <c r="K219" s="1136"/>
      <c r="L219" s="1136"/>
    </row>
    <row r="220" spans="1:12" s="1137" customFormat="1" ht="70.95" customHeight="1">
      <c r="A220" s="1105"/>
      <c r="B220" s="1105"/>
      <c r="C220" s="1229" t="s">
        <v>749</v>
      </c>
      <c r="D220" s="1229"/>
      <c r="E220" s="1229"/>
      <c r="F220" s="1229"/>
      <c r="G220" s="1229"/>
      <c r="H220" s="1229"/>
      <c r="I220" s="1136"/>
      <c r="J220" s="1136"/>
      <c r="K220" s="1136"/>
      <c r="L220" s="1136"/>
    </row>
    <row r="221" spans="1:12" s="1137" customFormat="1">
      <c r="A221" s="1105"/>
      <c r="B221" s="1105" t="s">
        <v>750</v>
      </c>
      <c r="C221" s="1230" t="s">
        <v>525</v>
      </c>
      <c r="D221" s="1230"/>
      <c r="E221" s="1230"/>
      <c r="F221" s="1230"/>
      <c r="G221" s="1230"/>
      <c r="H221" s="1230"/>
      <c r="I221" s="1136"/>
      <c r="J221" s="1136"/>
      <c r="K221" s="1136"/>
      <c r="L221" s="1136"/>
    </row>
    <row r="222" spans="1:12" s="1137" customFormat="1" ht="75.45" customHeight="1">
      <c r="A222" s="1105"/>
      <c r="B222" s="1105"/>
      <c r="C222" s="1229" t="s">
        <v>1017</v>
      </c>
      <c r="D222" s="1229"/>
      <c r="E222" s="1229"/>
      <c r="F222" s="1229"/>
      <c r="G222" s="1229"/>
      <c r="H222" s="1229"/>
      <c r="I222" s="1136"/>
      <c r="J222" s="1136"/>
      <c r="K222" s="1136"/>
      <c r="L222" s="1136"/>
    </row>
    <row r="223" spans="1:12" s="1137" customFormat="1">
      <c r="A223" s="1140"/>
      <c r="B223" s="1105" t="s">
        <v>1708</v>
      </c>
      <c r="C223" s="1141" t="s">
        <v>1707</v>
      </c>
      <c r="D223" s="1141"/>
      <c r="E223" s="1141"/>
      <c r="F223" s="1141"/>
      <c r="G223" s="1141"/>
      <c r="H223" s="1141"/>
    </row>
    <row r="224" spans="1:12" s="1137" customFormat="1" ht="40.5" customHeight="1">
      <c r="A224" s="1140"/>
      <c r="B224" s="1140"/>
      <c r="C224" s="1226" t="s">
        <v>1706</v>
      </c>
      <c r="D224" s="1226"/>
      <c r="E224" s="1226"/>
      <c r="F224" s="1226"/>
      <c r="G224" s="1226"/>
      <c r="H224" s="1226"/>
    </row>
  </sheetData>
  <mergeCells count="185">
    <mergeCell ref="B8:H8"/>
    <mergeCell ref="C9:H9"/>
    <mergeCell ref="C18:H18"/>
    <mergeCell ref="C19:H19"/>
    <mergeCell ref="C20:H20"/>
    <mergeCell ref="C21:H21"/>
    <mergeCell ref="C36:H36"/>
    <mergeCell ref="C37:H37"/>
    <mergeCell ref="C38:H38"/>
    <mergeCell ref="C30:H30"/>
    <mergeCell ref="C31:H31"/>
    <mergeCell ref="C32:H32"/>
    <mergeCell ref="C12:H12"/>
    <mergeCell ref="C13:H13"/>
    <mergeCell ref="C15:H15"/>
    <mergeCell ref="C17:D17"/>
    <mergeCell ref="C22:H22"/>
    <mergeCell ref="C23:H23"/>
    <mergeCell ref="C24:H24"/>
    <mergeCell ref="C25:H25"/>
    <mergeCell ref="C27:H27"/>
    <mergeCell ref="C28:H28"/>
    <mergeCell ref="C39:H39"/>
    <mergeCell ref="C40:H40"/>
    <mergeCell ref="C41:H41"/>
    <mergeCell ref="C33:H33"/>
    <mergeCell ref="C34:H34"/>
    <mergeCell ref="C35:H35"/>
    <mergeCell ref="C48:H48"/>
    <mergeCell ref="C49:H49"/>
    <mergeCell ref="I49:AD49"/>
    <mergeCell ref="B51:H51"/>
    <mergeCell ref="C52:H52"/>
    <mergeCell ref="C42:H42"/>
    <mergeCell ref="C43:H43"/>
    <mergeCell ref="C44:H44"/>
    <mergeCell ref="C45:H45"/>
    <mergeCell ref="C46:H46"/>
    <mergeCell ref="C47:H47"/>
    <mergeCell ref="C61:H61"/>
    <mergeCell ref="C64:H64"/>
    <mergeCell ref="C69:H69"/>
    <mergeCell ref="C71:H71"/>
    <mergeCell ref="C72:H72"/>
    <mergeCell ref="C67:H67"/>
    <mergeCell ref="C53:H53"/>
    <mergeCell ref="C54:H54"/>
    <mergeCell ref="C55:H55"/>
    <mergeCell ref="C56:H56"/>
    <mergeCell ref="C57:H57"/>
    <mergeCell ref="C59:H59"/>
    <mergeCell ref="C82:H82"/>
    <mergeCell ref="C85:H85"/>
    <mergeCell ref="C87:H87"/>
    <mergeCell ref="C88:H88"/>
    <mergeCell ref="C89:H89"/>
    <mergeCell ref="C86:H86"/>
    <mergeCell ref="C91:H91"/>
    <mergeCell ref="C93:H93"/>
    <mergeCell ref="C73:H73"/>
    <mergeCell ref="C74:H74"/>
    <mergeCell ref="C75:H75"/>
    <mergeCell ref="C76:H76"/>
    <mergeCell ref="C77:H77"/>
    <mergeCell ref="C80:H80"/>
    <mergeCell ref="C98:H98"/>
    <mergeCell ref="C99:H99"/>
    <mergeCell ref="C100:H100"/>
    <mergeCell ref="C101:H101"/>
    <mergeCell ref="C102:H102"/>
    <mergeCell ref="C103:H103"/>
    <mergeCell ref="C90:H90"/>
    <mergeCell ref="C92:H92"/>
    <mergeCell ref="C95:H95"/>
    <mergeCell ref="C96:H96"/>
    <mergeCell ref="C97:H97"/>
    <mergeCell ref="C111:H111"/>
    <mergeCell ref="C112:H112"/>
    <mergeCell ref="C113:H113"/>
    <mergeCell ref="C114:H114"/>
    <mergeCell ref="C115:H115"/>
    <mergeCell ref="C116:H116"/>
    <mergeCell ref="C104:H104"/>
    <mergeCell ref="C105:H105"/>
    <mergeCell ref="C107:H107"/>
    <mergeCell ref="C108:H108"/>
    <mergeCell ref="C109:H109"/>
    <mergeCell ref="C110:H110"/>
    <mergeCell ref="C123:H123"/>
    <mergeCell ref="C124:H124"/>
    <mergeCell ref="C125:H125"/>
    <mergeCell ref="C126:H126"/>
    <mergeCell ref="C127:H127"/>
    <mergeCell ref="C128:H128"/>
    <mergeCell ref="C117:H117"/>
    <mergeCell ref="C118:H118"/>
    <mergeCell ref="C119:H119"/>
    <mergeCell ref="C120:H120"/>
    <mergeCell ref="C121:H121"/>
    <mergeCell ref="C122:H122"/>
    <mergeCell ref="C135:H135"/>
    <mergeCell ref="C136:H136"/>
    <mergeCell ref="C138:H138"/>
    <mergeCell ref="C139:H139"/>
    <mergeCell ref="C140:H140"/>
    <mergeCell ref="C141:H141"/>
    <mergeCell ref="C129:H129"/>
    <mergeCell ref="C130:H130"/>
    <mergeCell ref="C131:H131"/>
    <mergeCell ref="C132:H132"/>
    <mergeCell ref="C133:H133"/>
    <mergeCell ref="C134:H134"/>
    <mergeCell ref="C148:H148"/>
    <mergeCell ref="C149:H149"/>
    <mergeCell ref="C151:H151"/>
    <mergeCell ref="C152:H152"/>
    <mergeCell ref="C153:H153"/>
    <mergeCell ref="C156:H156"/>
    <mergeCell ref="C142:H142"/>
    <mergeCell ref="C143:H143"/>
    <mergeCell ref="C144:H144"/>
    <mergeCell ref="C145:H145"/>
    <mergeCell ref="C146:H146"/>
    <mergeCell ref="C147:H147"/>
    <mergeCell ref="C165:H165"/>
    <mergeCell ref="C167:H167"/>
    <mergeCell ref="C168:H168"/>
    <mergeCell ref="C169:H169"/>
    <mergeCell ref="C170:H170"/>
    <mergeCell ref="C171:H171"/>
    <mergeCell ref="C157:H157"/>
    <mergeCell ref="C158:H158"/>
    <mergeCell ref="C159:H159"/>
    <mergeCell ref="C160:H160"/>
    <mergeCell ref="C161:H161"/>
    <mergeCell ref="C163:H163"/>
    <mergeCell ref="C178:H178"/>
    <mergeCell ref="C179:H179"/>
    <mergeCell ref="C180:H180"/>
    <mergeCell ref="C181:H181"/>
    <mergeCell ref="C182:H182"/>
    <mergeCell ref="C183:H183"/>
    <mergeCell ref="C172:H172"/>
    <mergeCell ref="C173:H173"/>
    <mergeCell ref="C174:H174"/>
    <mergeCell ref="C175:H175"/>
    <mergeCell ref="C176:H176"/>
    <mergeCell ref="C177:H177"/>
    <mergeCell ref="C205:H205"/>
    <mergeCell ref="C194:H194"/>
    <mergeCell ref="C195:H195"/>
    <mergeCell ref="C196:H196"/>
    <mergeCell ref="C197:H197"/>
    <mergeCell ref="C198:H198"/>
    <mergeCell ref="C199:H199"/>
    <mergeCell ref="C184:H184"/>
    <mergeCell ref="C185:H185"/>
    <mergeCell ref="C187:H187"/>
    <mergeCell ref="C188:H188"/>
    <mergeCell ref="C189:H189"/>
    <mergeCell ref="C192:H192"/>
    <mergeCell ref="C224:H224"/>
    <mergeCell ref="B5:H5"/>
    <mergeCell ref="C6:H6"/>
    <mergeCell ref="C220:H220"/>
    <mergeCell ref="C221:H221"/>
    <mergeCell ref="C222:H222"/>
    <mergeCell ref="C213:H213"/>
    <mergeCell ref="C214:H214"/>
    <mergeCell ref="C215:H215"/>
    <mergeCell ref="C216:H216"/>
    <mergeCell ref="C218:H218"/>
    <mergeCell ref="C207:H207"/>
    <mergeCell ref="C208:H208"/>
    <mergeCell ref="C209:H209"/>
    <mergeCell ref="C210:H210"/>
    <mergeCell ref="C211:H211"/>
    <mergeCell ref="C212:H212"/>
    <mergeCell ref="C200:H200"/>
    <mergeCell ref="C201:H201"/>
    <mergeCell ref="C10:H10"/>
    <mergeCell ref="C11:H11"/>
    <mergeCell ref="C202:H202"/>
    <mergeCell ref="C203:H203"/>
    <mergeCell ref="C204:H204"/>
  </mergeCells>
  <pageMargins left="0.35433070866141736" right="0.6692913385826772" top="0.39370078740157483" bottom="0.19685039370078741" header="7.874015748031496E-2" footer="7.874015748031496E-2"/>
  <pageSetup paperSize="9" scale="71" fitToHeight="0" orientation="portrait" blackAndWhite="1" r:id="rId1"/>
  <rowBreaks count="8" manualBreakCount="8">
    <brk id="31" max="7" man="1"/>
    <brk id="64" max="7" man="1"/>
    <brk id="88" max="7" man="1"/>
    <brk id="119" max="7" man="1"/>
    <brk id="141" max="7" man="1"/>
    <brk id="165" max="7" man="1"/>
    <brk id="189" max="7" man="1"/>
    <brk id="209" max="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00B050"/>
  </sheetPr>
  <dimension ref="A1:O31"/>
  <sheetViews>
    <sheetView topLeftCell="A6" zoomScaleNormal="100" zoomScaleSheetLayoutView="100" workbookViewId="0">
      <selection activeCell="C3" sqref="C3"/>
    </sheetView>
  </sheetViews>
  <sheetFormatPr defaultColWidth="9.21875" defaultRowHeight="14.4"/>
  <cols>
    <col min="1" max="1" width="28.44140625" style="151" bestFit="1" customWidth="1"/>
    <col min="2" max="2" width="15.5546875" style="202" bestFit="1" customWidth="1"/>
    <col min="3" max="3" width="15.6640625" style="151" bestFit="1" customWidth="1"/>
    <col min="4" max="4" width="14.109375" style="151" bestFit="1" customWidth="1"/>
    <col min="5" max="6" width="14.109375" style="151" customWidth="1"/>
    <col min="7" max="7" width="14.6640625" style="151" bestFit="1" customWidth="1"/>
    <col min="8" max="8" width="16" style="151" bestFit="1" customWidth="1"/>
    <col min="9" max="9" width="9.21875" style="151"/>
    <col min="10" max="10" width="24.21875" style="151" bestFit="1" customWidth="1"/>
    <col min="11" max="11" width="16" style="151" bestFit="1" customWidth="1"/>
    <col min="12" max="12" width="11.5546875" style="151" bestFit="1" customWidth="1"/>
    <col min="13" max="13" width="15" style="151" bestFit="1" customWidth="1"/>
    <col min="14" max="14" width="14" style="151" bestFit="1" customWidth="1"/>
    <col min="15" max="15" width="16" style="151" bestFit="1" customWidth="1"/>
    <col min="16" max="16384" width="9.21875" style="151"/>
  </cols>
  <sheetData>
    <row r="1" spans="1:15">
      <c r="A1" s="322"/>
      <c r="J1" s="322"/>
      <c r="K1" s="202"/>
    </row>
    <row r="2" spans="1:15">
      <c r="A2" s="206"/>
      <c r="B2" s="153"/>
      <c r="C2" s="153" t="s">
        <v>1616</v>
      </c>
      <c r="D2" s="153"/>
      <c r="E2" s="153" t="s">
        <v>1720</v>
      </c>
      <c r="F2" s="153"/>
      <c r="G2" s="153" t="s">
        <v>561</v>
      </c>
      <c r="H2" s="153"/>
      <c r="I2" s="153"/>
      <c r="J2" s="206"/>
      <c r="K2" s="153"/>
      <c r="L2" s="153"/>
      <c r="M2" s="153"/>
      <c r="N2" s="153"/>
      <c r="O2" s="153"/>
    </row>
    <row r="3" spans="1:15">
      <c r="B3" s="153" t="s">
        <v>95</v>
      </c>
      <c r="C3" s="153">
        <f>'PL Grouping'!C385+'PL Grouping'!D385+PL!D26</f>
        <v>12290779.475409836</v>
      </c>
      <c r="E3" s="151">
        <v>12277474</v>
      </c>
      <c r="G3" s="153">
        <f>C3-E3</f>
        <v>13305.475409835577</v>
      </c>
      <c r="H3" s="153">
        <f>'PL Grouping'!D384</f>
        <v>-809011.52459016372</v>
      </c>
      <c r="I3" s="153">
        <f>G3-H3</f>
        <v>822316.9999999993</v>
      </c>
      <c r="J3" s="206"/>
      <c r="K3" s="153"/>
      <c r="L3" s="153"/>
      <c r="M3" s="153"/>
      <c r="N3" s="153"/>
      <c r="O3" s="153"/>
    </row>
    <row r="4" spans="1:15">
      <c r="A4" s="444"/>
      <c r="B4" s="153" t="s">
        <v>1615</v>
      </c>
      <c r="C4" s="153">
        <f>'PL Grouping'!E385</f>
        <v>-292871</v>
      </c>
      <c r="D4" s="153"/>
      <c r="E4" s="153">
        <v>-292871</v>
      </c>
      <c r="F4" s="153"/>
      <c r="G4" s="153">
        <f>C4-E4</f>
        <v>0</v>
      </c>
      <c r="H4" s="153"/>
      <c r="I4" s="153"/>
      <c r="J4" s="206"/>
      <c r="K4" s="153"/>
      <c r="L4" s="153"/>
      <c r="M4" s="153"/>
      <c r="N4" s="153"/>
      <c r="O4" s="153"/>
    </row>
    <row r="5" spans="1:15">
      <c r="B5" s="153" t="s">
        <v>1081</v>
      </c>
      <c r="C5" s="153">
        <f>'PL Grouping'!G385+'PL Grouping'!H384</f>
        <v>-58930</v>
      </c>
      <c r="D5" s="153"/>
      <c r="E5" s="153">
        <v>-58930</v>
      </c>
      <c r="F5" s="153"/>
      <c r="G5" s="153">
        <f t="shared" ref="G5:G14" si="0">C5-E5</f>
        <v>0</v>
      </c>
      <c r="H5" s="153"/>
      <c r="I5" s="153"/>
      <c r="K5" s="153"/>
      <c r="L5" s="153"/>
      <c r="M5" s="153"/>
      <c r="N5" s="153"/>
      <c r="O5" s="153"/>
    </row>
    <row r="6" spans="1:15">
      <c r="B6" s="153" t="s">
        <v>1429</v>
      </c>
      <c r="C6" s="153">
        <f>'PL Grouping'!I385+'PL Grouping'!J384</f>
        <v>-335957.36</v>
      </c>
      <c r="D6" s="153"/>
      <c r="E6" s="153">
        <v>-335957</v>
      </c>
      <c r="F6" s="153"/>
      <c r="G6" s="153">
        <f t="shared" si="0"/>
        <v>-0.35999999998603016</v>
      </c>
      <c r="H6" s="153"/>
      <c r="I6" s="153"/>
      <c r="K6" s="153"/>
      <c r="L6" s="153"/>
      <c r="M6" s="153"/>
      <c r="N6" s="153"/>
      <c r="O6" s="153"/>
    </row>
    <row r="7" spans="1:15">
      <c r="B7" s="153" t="s">
        <v>51</v>
      </c>
      <c r="C7" s="153">
        <f>SUM(C3:C6)</f>
        <v>11603021.115409836</v>
      </c>
      <c r="D7" s="153"/>
      <c r="E7" s="153">
        <f>SUM(E3:E6)</f>
        <v>11589716</v>
      </c>
      <c r="F7" s="153"/>
      <c r="G7" s="153">
        <f t="shared" si="0"/>
        <v>13305.115409836173</v>
      </c>
      <c r="H7" s="153"/>
      <c r="I7" s="153"/>
      <c r="K7" s="153"/>
      <c r="L7" s="153"/>
      <c r="M7" s="153"/>
      <c r="N7" s="153"/>
      <c r="O7" s="153"/>
    </row>
    <row r="8" spans="1:15">
      <c r="C8" s="153"/>
      <c r="D8" s="153"/>
      <c r="E8" s="153"/>
      <c r="F8" s="153"/>
      <c r="G8" s="153">
        <f t="shared" si="0"/>
        <v>0</v>
      </c>
      <c r="H8" s="153"/>
      <c r="I8" s="153"/>
      <c r="K8" s="153"/>
      <c r="L8" s="153"/>
      <c r="M8" s="153"/>
      <c r="N8" s="153"/>
      <c r="O8" s="153"/>
    </row>
    <row r="9" spans="1:15">
      <c r="B9" s="202" t="s">
        <v>1617</v>
      </c>
      <c r="C9" s="153">
        <f>PL!D36</f>
        <v>11743076</v>
      </c>
      <c r="D9" s="153"/>
      <c r="E9" s="153">
        <f>PL!D36</f>
        <v>11743076</v>
      </c>
      <c r="F9" s="153"/>
      <c r="G9" s="153">
        <f t="shared" si="0"/>
        <v>0</v>
      </c>
      <c r="H9" s="153"/>
      <c r="I9" s="153"/>
      <c r="K9" s="153"/>
      <c r="L9" s="153"/>
      <c r="M9" s="153"/>
      <c r="N9" s="153"/>
      <c r="O9" s="153"/>
    </row>
    <row r="10" spans="1:15">
      <c r="B10" s="153" t="s">
        <v>561</v>
      </c>
      <c r="C10" s="153">
        <f>C7-C9</f>
        <v>-140054.88459016383</v>
      </c>
      <c r="D10" s="153"/>
      <c r="E10" s="153">
        <f>E7-E9</f>
        <v>-153360</v>
      </c>
      <c r="F10" s="153"/>
      <c r="G10" s="153">
        <f t="shared" si="0"/>
        <v>13305.115409836173</v>
      </c>
      <c r="H10" s="153"/>
      <c r="I10" s="153"/>
      <c r="K10" s="153"/>
      <c r="L10" s="153"/>
      <c r="M10" s="153"/>
      <c r="N10" s="153"/>
      <c r="O10" s="153"/>
    </row>
    <row r="11" spans="1:15">
      <c r="B11" s="153" t="s">
        <v>1619</v>
      </c>
      <c r="C11" s="153">
        <v>139719</v>
      </c>
      <c r="D11" s="153"/>
      <c r="E11" s="153">
        <f>C11</f>
        <v>139719</v>
      </c>
      <c r="F11" s="153"/>
      <c r="G11" s="153">
        <f t="shared" si="0"/>
        <v>0</v>
      </c>
      <c r="H11" s="153"/>
      <c r="I11" s="153"/>
      <c r="K11" s="153"/>
      <c r="L11" s="153"/>
      <c r="M11" s="153"/>
      <c r="N11" s="153"/>
      <c r="O11" s="153"/>
    </row>
    <row r="12" spans="1:15">
      <c r="B12" s="153" t="s">
        <v>1620</v>
      </c>
      <c r="C12" s="153">
        <v>337</v>
      </c>
      <c r="D12" s="153"/>
      <c r="E12" s="153">
        <v>337</v>
      </c>
      <c r="F12" s="153"/>
      <c r="G12" s="153">
        <f t="shared" si="0"/>
        <v>0</v>
      </c>
      <c r="H12" s="153"/>
      <c r="I12" s="153"/>
      <c r="K12" s="153"/>
      <c r="L12" s="153"/>
      <c r="M12" s="153"/>
      <c r="N12" s="153"/>
      <c r="O12" s="153"/>
    </row>
    <row r="13" spans="1:15">
      <c r="B13" s="153"/>
      <c r="C13" s="153"/>
      <c r="D13" s="153"/>
      <c r="E13" s="153"/>
      <c r="F13" s="153"/>
      <c r="G13" s="153">
        <f t="shared" si="0"/>
        <v>0</v>
      </c>
      <c r="H13" s="153"/>
      <c r="I13" s="153"/>
      <c r="K13" s="153"/>
      <c r="L13" s="153"/>
      <c r="M13" s="153"/>
      <c r="N13" s="153"/>
      <c r="O13" s="153"/>
    </row>
    <row r="14" spans="1:15">
      <c r="B14" s="153" t="s">
        <v>561</v>
      </c>
      <c r="C14" s="153">
        <f>C11+C10+C12+C13</f>
        <v>1.1154098361730576</v>
      </c>
      <c r="D14" s="153"/>
      <c r="E14" s="153">
        <f>E11+E10+E12+E13</f>
        <v>-13304</v>
      </c>
      <c r="F14" s="153"/>
      <c r="G14" s="153">
        <f t="shared" si="0"/>
        <v>13305.115409836173</v>
      </c>
      <c r="H14" s="153"/>
      <c r="I14" s="153"/>
      <c r="K14" s="153"/>
      <c r="L14" s="153"/>
      <c r="M14" s="153"/>
      <c r="N14" s="153"/>
      <c r="O14" s="153"/>
    </row>
    <row r="15" spans="1:15">
      <c r="B15" s="153"/>
      <c r="C15" s="153"/>
      <c r="D15" s="153"/>
      <c r="E15" s="153"/>
      <c r="F15" s="153"/>
      <c r="G15" s="153">
        <f t="shared" ref="G15" si="1">C15-D15</f>
        <v>0</v>
      </c>
      <c r="H15" s="153"/>
      <c r="I15" s="153"/>
      <c r="K15" s="153"/>
      <c r="L15" s="153"/>
      <c r="M15" s="153"/>
      <c r="N15" s="153"/>
      <c r="O15" s="153"/>
    </row>
    <row r="16" spans="1:15">
      <c r="B16" s="153"/>
      <c r="C16" s="153"/>
      <c r="D16" s="153"/>
      <c r="E16" s="153"/>
      <c r="F16" s="153"/>
      <c r="G16" s="153"/>
      <c r="H16" s="153"/>
      <c r="I16" s="153"/>
      <c r="K16" s="153"/>
      <c r="L16" s="153"/>
      <c r="M16" s="153"/>
      <c r="N16" s="153"/>
      <c r="O16" s="153"/>
    </row>
    <row r="17" spans="1:15">
      <c r="B17" s="153"/>
      <c r="C17" s="153"/>
      <c r="D17" s="153"/>
      <c r="E17" s="153"/>
      <c r="F17" s="153"/>
      <c r="G17" s="153"/>
      <c r="H17" s="153"/>
      <c r="I17" s="153"/>
      <c r="K17" s="153"/>
      <c r="L17" s="153"/>
      <c r="M17" s="153"/>
      <c r="N17" s="153"/>
      <c r="O17" s="153"/>
    </row>
    <row r="18" spans="1:15">
      <c r="B18" s="153"/>
      <c r="C18" s="153"/>
      <c r="D18" s="153"/>
      <c r="E18" s="153"/>
      <c r="F18" s="153"/>
      <c r="G18" s="153"/>
      <c r="H18" s="153"/>
      <c r="I18" s="153"/>
      <c r="K18" s="153"/>
      <c r="L18" s="153"/>
      <c r="M18" s="153"/>
      <c r="N18" s="153"/>
      <c r="O18" s="153"/>
    </row>
    <row r="19" spans="1:15">
      <c r="B19" s="153"/>
      <c r="C19" s="153"/>
      <c r="D19" s="153"/>
      <c r="E19" s="153"/>
      <c r="F19" s="153"/>
      <c r="G19" s="153"/>
      <c r="H19" s="153"/>
      <c r="I19" s="153"/>
      <c r="K19" s="153"/>
      <c r="L19" s="153"/>
      <c r="M19" s="153"/>
      <c r="N19" s="153"/>
      <c r="O19" s="153"/>
    </row>
    <row r="20" spans="1:15">
      <c r="B20" s="153"/>
      <c r="C20" s="153"/>
      <c r="D20" s="153"/>
      <c r="E20" s="153"/>
      <c r="F20" s="153"/>
      <c r="G20" s="153"/>
      <c r="H20" s="153"/>
      <c r="I20" s="153"/>
    </row>
    <row r="21" spans="1:15">
      <c r="A21" s="151" t="s">
        <v>1622</v>
      </c>
      <c r="B21" s="153"/>
      <c r="C21" s="153"/>
      <c r="D21" s="153"/>
      <c r="E21" s="153"/>
      <c r="F21" s="153"/>
      <c r="G21" s="153"/>
      <c r="H21" s="153"/>
      <c r="I21" s="153"/>
    </row>
    <row r="22" spans="1:15">
      <c r="A22" s="151">
        <v>1</v>
      </c>
      <c r="B22" s="202" t="s">
        <v>1674</v>
      </c>
      <c r="G22" s="151" t="s">
        <v>1694</v>
      </c>
      <c r="H22" s="505"/>
    </row>
    <row r="23" spans="1:15">
      <c r="A23" s="151">
        <v>2</v>
      </c>
      <c r="B23" s="202" t="s">
        <v>1675</v>
      </c>
      <c r="G23" s="151" t="s">
        <v>1694</v>
      </c>
      <c r="H23" s="505"/>
    </row>
    <row r="24" spans="1:15">
      <c r="A24" s="151">
        <v>3</v>
      </c>
      <c r="B24" s="202" t="s">
        <v>1676</v>
      </c>
    </row>
    <row r="25" spans="1:15" ht="15.6">
      <c r="A25" s="151">
        <v>4</v>
      </c>
      <c r="B25" s="523" t="s">
        <v>1677</v>
      </c>
      <c r="H25" s="505"/>
    </row>
    <row r="26" spans="1:15">
      <c r="A26" s="151">
        <v>5</v>
      </c>
      <c r="B26" s="151" t="s">
        <v>1682</v>
      </c>
      <c r="G26" s="151" t="s">
        <v>1694</v>
      </c>
    </row>
    <row r="27" spans="1:15">
      <c r="A27" s="151">
        <v>6</v>
      </c>
      <c r="B27" s="202" t="s">
        <v>1683</v>
      </c>
    </row>
    <row r="28" spans="1:15">
      <c r="A28" s="151">
        <v>7</v>
      </c>
    </row>
    <row r="31" spans="1:15" s="206" customFormat="1">
      <c r="B31" s="524"/>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98"/>
  <sheetViews>
    <sheetView showGridLines="0" view="pageBreakPreview" topLeftCell="A10" zoomScaleNormal="90" zoomScaleSheetLayoutView="100" workbookViewId="0">
      <selection activeCell="I19" sqref="I19"/>
    </sheetView>
  </sheetViews>
  <sheetFormatPr defaultRowHeight="13.8"/>
  <cols>
    <col min="1" max="1" width="43" style="122" customWidth="1"/>
    <col min="2" max="2" width="14.44140625" style="122" bestFit="1" customWidth="1"/>
    <col min="3" max="3" width="15.44140625" style="122" hidden="1" customWidth="1"/>
    <col min="4" max="4" width="13" style="122" bestFit="1" customWidth="1"/>
    <col min="5" max="5" width="13.44140625" style="122" bestFit="1" customWidth="1"/>
    <col min="6" max="6" width="12" style="122" bestFit="1" customWidth="1"/>
    <col min="7" max="7" width="14.44140625" style="130" bestFit="1" customWidth="1"/>
    <col min="8" max="8" width="12.5546875" style="122" bestFit="1" customWidth="1"/>
    <col min="9" max="9" width="14.5546875" style="122" bestFit="1" customWidth="1"/>
    <col min="10" max="10" width="13.44140625" style="122" bestFit="1" customWidth="1"/>
    <col min="11" max="11" width="12" style="122" bestFit="1" customWidth="1"/>
    <col min="12" max="14" width="14.44140625" style="130" bestFit="1" customWidth="1"/>
    <col min="15" max="15" width="15.21875" style="122" bestFit="1" customWidth="1"/>
    <col min="16" max="17" width="14.77734375" style="122" bestFit="1" customWidth="1"/>
    <col min="18" max="18" width="14.5546875" style="122" bestFit="1" customWidth="1"/>
    <col min="19" max="255" width="8.88671875" style="122"/>
    <col min="256" max="256" width="5.44140625" style="122" customWidth="1"/>
    <col min="257" max="257" width="67.5546875" style="122" customWidth="1"/>
    <col min="258" max="259" width="12.21875" style="122" customWidth="1"/>
    <col min="260" max="260" width="13.77734375" style="122" customWidth="1"/>
    <col min="261" max="261" width="12.77734375" style="122" customWidth="1"/>
    <col min="262" max="262" width="15.77734375" style="122" bestFit="1" customWidth="1"/>
    <col min="263" max="263" width="13" style="122" bestFit="1" customWidth="1"/>
    <col min="264" max="264" width="9" style="122" bestFit="1" customWidth="1"/>
    <col min="265" max="265" width="15.44140625" style="122" bestFit="1" customWidth="1"/>
    <col min="266" max="266" width="12.44140625" style="122" bestFit="1" customWidth="1"/>
    <col min="267" max="269" width="15.77734375" style="122" bestFit="1" customWidth="1"/>
    <col min="270" max="271" width="8.88671875" style="122"/>
    <col min="272" max="272" width="12.77734375" style="122" bestFit="1" customWidth="1"/>
    <col min="273" max="511" width="8.88671875" style="122"/>
    <col min="512" max="512" width="5.44140625" style="122" customWidth="1"/>
    <col min="513" max="513" width="67.5546875" style="122" customWidth="1"/>
    <col min="514" max="515" width="12.21875" style="122" customWidth="1"/>
    <col min="516" max="516" width="13.77734375" style="122" customWidth="1"/>
    <col min="517" max="517" width="12.77734375" style="122" customWidth="1"/>
    <col min="518" max="518" width="15.77734375" style="122" bestFit="1" customWidth="1"/>
    <col min="519" max="519" width="13" style="122" bestFit="1" customWidth="1"/>
    <col min="520" max="520" width="9" style="122" bestFit="1" customWidth="1"/>
    <col min="521" max="521" width="15.44140625" style="122" bestFit="1" customWidth="1"/>
    <col min="522" max="522" width="12.44140625" style="122" bestFit="1" customWidth="1"/>
    <col min="523" max="525" width="15.77734375" style="122" bestFit="1" customWidth="1"/>
    <col min="526" max="527" width="8.88671875" style="122"/>
    <col min="528" max="528" width="12.77734375" style="122" bestFit="1" customWidth="1"/>
    <col min="529" max="767" width="8.88671875" style="122"/>
    <col min="768" max="768" width="5.44140625" style="122" customWidth="1"/>
    <col min="769" max="769" width="67.5546875" style="122" customWidth="1"/>
    <col min="770" max="771" width="12.21875" style="122" customWidth="1"/>
    <col min="772" max="772" width="13.77734375" style="122" customWidth="1"/>
    <col min="773" max="773" width="12.77734375" style="122" customWidth="1"/>
    <col min="774" max="774" width="15.77734375" style="122" bestFit="1" customWidth="1"/>
    <col min="775" max="775" width="13" style="122" bestFit="1" customWidth="1"/>
    <col min="776" max="776" width="9" style="122" bestFit="1" customWidth="1"/>
    <col min="777" max="777" width="15.44140625" style="122" bestFit="1" customWidth="1"/>
    <col min="778" max="778" width="12.44140625" style="122" bestFit="1" customWidth="1"/>
    <col min="779" max="781" width="15.77734375" style="122" bestFit="1" customWidth="1"/>
    <col min="782" max="783" width="8.88671875" style="122"/>
    <col min="784" max="784" width="12.77734375" style="122" bestFit="1" customWidth="1"/>
    <col min="785" max="1023" width="8.88671875" style="122"/>
    <col min="1024" max="1024" width="5.44140625" style="122" customWidth="1"/>
    <col min="1025" max="1025" width="67.5546875" style="122" customWidth="1"/>
    <col min="1026" max="1027" width="12.21875" style="122" customWidth="1"/>
    <col min="1028" max="1028" width="13.77734375" style="122" customWidth="1"/>
    <col min="1029" max="1029" width="12.77734375" style="122" customWidth="1"/>
    <col min="1030" max="1030" width="15.77734375" style="122" bestFit="1" customWidth="1"/>
    <col min="1031" max="1031" width="13" style="122" bestFit="1" customWidth="1"/>
    <col min="1032" max="1032" width="9" style="122" bestFit="1" customWidth="1"/>
    <col min="1033" max="1033" width="15.44140625" style="122" bestFit="1" customWidth="1"/>
    <col min="1034" max="1034" width="12.44140625" style="122" bestFit="1" customWidth="1"/>
    <col min="1035" max="1037" width="15.77734375" style="122" bestFit="1" customWidth="1"/>
    <col min="1038" max="1039" width="8.88671875" style="122"/>
    <col min="1040" max="1040" width="12.77734375" style="122" bestFit="1" customWidth="1"/>
    <col min="1041" max="1279" width="8.88671875" style="122"/>
    <col min="1280" max="1280" width="5.44140625" style="122" customWidth="1"/>
    <col min="1281" max="1281" width="67.5546875" style="122" customWidth="1"/>
    <col min="1282" max="1283" width="12.21875" style="122" customWidth="1"/>
    <col min="1284" max="1284" width="13.77734375" style="122" customWidth="1"/>
    <col min="1285" max="1285" width="12.77734375" style="122" customWidth="1"/>
    <col min="1286" max="1286" width="15.77734375" style="122" bestFit="1" customWidth="1"/>
    <col min="1287" max="1287" width="13" style="122" bestFit="1" customWidth="1"/>
    <col min="1288" max="1288" width="9" style="122" bestFit="1" customWidth="1"/>
    <col min="1289" max="1289" width="15.44140625" style="122" bestFit="1" customWidth="1"/>
    <col min="1290" max="1290" width="12.44140625" style="122" bestFit="1" customWidth="1"/>
    <col min="1291" max="1293" width="15.77734375" style="122" bestFit="1" customWidth="1"/>
    <col min="1294" max="1295" width="8.88671875" style="122"/>
    <col min="1296" max="1296" width="12.77734375" style="122" bestFit="1" customWidth="1"/>
    <col min="1297" max="1535" width="8.88671875" style="122"/>
    <col min="1536" max="1536" width="5.44140625" style="122" customWidth="1"/>
    <col min="1537" max="1537" width="67.5546875" style="122" customWidth="1"/>
    <col min="1538" max="1539" width="12.21875" style="122" customWidth="1"/>
    <col min="1540" max="1540" width="13.77734375" style="122" customWidth="1"/>
    <col min="1541" max="1541" width="12.77734375" style="122" customWidth="1"/>
    <col min="1542" max="1542" width="15.77734375" style="122" bestFit="1" customWidth="1"/>
    <col min="1543" max="1543" width="13" style="122" bestFit="1" customWidth="1"/>
    <col min="1544" max="1544" width="9" style="122" bestFit="1" customWidth="1"/>
    <col min="1545" max="1545" width="15.44140625" style="122" bestFit="1" customWidth="1"/>
    <col min="1546" max="1546" width="12.44140625" style="122" bestFit="1" customWidth="1"/>
    <col min="1547" max="1549" width="15.77734375" style="122" bestFit="1" customWidth="1"/>
    <col min="1550" max="1551" width="8.88671875" style="122"/>
    <col min="1552" max="1552" width="12.77734375" style="122" bestFit="1" customWidth="1"/>
    <col min="1553" max="1791" width="8.88671875" style="122"/>
    <col min="1792" max="1792" width="5.44140625" style="122" customWidth="1"/>
    <col min="1793" max="1793" width="67.5546875" style="122" customWidth="1"/>
    <col min="1794" max="1795" width="12.21875" style="122" customWidth="1"/>
    <col min="1796" max="1796" width="13.77734375" style="122" customWidth="1"/>
    <col min="1797" max="1797" width="12.77734375" style="122" customWidth="1"/>
    <col min="1798" max="1798" width="15.77734375" style="122" bestFit="1" customWidth="1"/>
    <col min="1799" max="1799" width="13" style="122" bestFit="1" customWidth="1"/>
    <col min="1800" max="1800" width="9" style="122" bestFit="1" customWidth="1"/>
    <col min="1801" max="1801" width="15.44140625" style="122" bestFit="1" customWidth="1"/>
    <col min="1802" max="1802" width="12.44140625" style="122" bestFit="1" customWidth="1"/>
    <col min="1803" max="1805" width="15.77734375" style="122" bestFit="1" customWidth="1"/>
    <col min="1806" max="1807" width="8.88671875" style="122"/>
    <col min="1808" max="1808" width="12.77734375" style="122" bestFit="1" customWidth="1"/>
    <col min="1809" max="2047" width="8.88671875" style="122"/>
    <col min="2048" max="2048" width="5.44140625" style="122" customWidth="1"/>
    <col min="2049" max="2049" width="67.5546875" style="122" customWidth="1"/>
    <col min="2050" max="2051" width="12.21875" style="122" customWidth="1"/>
    <col min="2052" max="2052" width="13.77734375" style="122" customWidth="1"/>
    <col min="2053" max="2053" width="12.77734375" style="122" customWidth="1"/>
    <col min="2054" max="2054" width="15.77734375" style="122" bestFit="1" customWidth="1"/>
    <col min="2055" max="2055" width="13" style="122" bestFit="1" customWidth="1"/>
    <col min="2056" max="2056" width="9" style="122" bestFit="1" customWidth="1"/>
    <col min="2057" max="2057" width="15.44140625" style="122" bestFit="1" customWidth="1"/>
    <col min="2058" max="2058" width="12.44140625" style="122" bestFit="1" customWidth="1"/>
    <col min="2059" max="2061" width="15.77734375" style="122" bestFit="1" customWidth="1"/>
    <col min="2062" max="2063" width="8.88671875" style="122"/>
    <col min="2064" max="2064" width="12.77734375" style="122" bestFit="1" customWidth="1"/>
    <col min="2065" max="2303" width="8.88671875" style="122"/>
    <col min="2304" max="2304" width="5.44140625" style="122" customWidth="1"/>
    <col min="2305" max="2305" width="67.5546875" style="122" customWidth="1"/>
    <col min="2306" max="2307" width="12.21875" style="122" customWidth="1"/>
    <col min="2308" max="2308" width="13.77734375" style="122" customWidth="1"/>
    <col min="2309" max="2309" width="12.77734375" style="122" customWidth="1"/>
    <col min="2310" max="2310" width="15.77734375" style="122" bestFit="1" customWidth="1"/>
    <col min="2311" max="2311" width="13" style="122" bestFit="1" customWidth="1"/>
    <col min="2312" max="2312" width="9" style="122" bestFit="1" customWidth="1"/>
    <col min="2313" max="2313" width="15.44140625" style="122" bestFit="1" customWidth="1"/>
    <col min="2314" max="2314" width="12.44140625" style="122" bestFit="1" customWidth="1"/>
    <col min="2315" max="2317" width="15.77734375" style="122" bestFit="1" customWidth="1"/>
    <col min="2318" max="2319" width="8.88671875" style="122"/>
    <col min="2320" max="2320" width="12.77734375" style="122" bestFit="1" customWidth="1"/>
    <col min="2321" max="2559" width="8.88671875" style="122"/>
    <col min="2560" max="2560" width="5.44140625" style="122" customWidth="1"/>
    <col min="2561" max="2561" width="67.5546875" style="122" customWidth="1"/>
    <col min="2562" max="2563" width="12.21875" style="122" customWidth="1"/>
    <col min="2564" max="2564" width="13.77734375" style="122" customWidth="1"/>
    <col min="2565" max="2565" width="12.77734375" style="122" customWidth="1"/>
    <col min="2566" max="2566" width="15.77734375" style="122" bestFit="1" customWidth="1"/>
    <col min="2567" max="2567" width="13" style="122" bestFit="1" customWidth="1"/>
    <col min="2568" max="2568" width="9" style="122" bestFit="1" customWidth="1"/>
    <col min="2569" max="2569" width="15.44140625" style="122" bestFit="1" customWidth="1"/>
    <col min="2570" max="2570" width="12.44140625" style="122" bestFit="1" customWidth="1"/>
    <col min="2571" max="2573" width="15.77734375" style="122" bestFit="1" customWidth="1"/>
    <col min="2574" max="2575" width="8.88671875" style="122"/>
    <col min="2576" max="2576" width="12.77734375" style="122" bestFit="1" customWidth="1"/>
    <col min="2577" max="2815" width="8.88671875" style="122"/>
    <col min="2816" max="2816" width="5.44140625" style="122" customWidth="1"/>
    <col min="2817" max="2817" width="67.5546875" style="122" customWidth="1"/>
    <col min="2818" max="2819" width="12.21875" style="122" customWidth="1"/>
    <col min="2820" max="2820" width="13.77734375" style="122" customWidth="1"/>
    <col min="2821" max="2821" width="12.77734375" style="122" customWidth="1"/>
    <col min="2822" max="2822" width="15.77734375" style="122" bestFit="1" customWidth="1"/>
    <col min="2823" max="2823" width="13" style="122" bestFit="1" customWidth="1"/>
    <col min="2824" max="2824" width="9" style="122" bestFit="1" customWidth="1"/>
    <col min="2825" max="2825" width="15.44140625" style="122" bestFit="1" customWidth="1"/>
    <col min="2826" max="2826" width="12.44140625" style="122" bestFit="1" customWidth="1"/>
    <col min="2827" max="2829" width="15.77734375" style="122" bestFit="1" customWidth="1"/>
    <col min="2830" max="2831" width="8.88671875" style="122"/>
    <col min="2832" max="2832" width="12.77734375" style="122" bestFit="1" customWidth="1"/>
    <col min="2833" max="3071" width="8.88671875" style="122"/>
    <col min="3072" max="3072" width="5.44140625" style="122" customWidth="1"/>
    <col min="3073" max="3073" width="67.5546875" style="122" customWidth="1"/>
    <col min="3074" max="3075" width="12.21875" style="122" customWidth="1"/>
    <col min="3076" max="3076" width="13.77734375" style="122" customWidth="1"/>
    <col min="3077" max="3077" width="12.77734375" style="122" customWidth="1"/>
    <col min="3078" max="3078" width="15.77734375" style="122" bestFit="1" customWidth="1"/>
    <col min="3079" max="3079" width="13" style="122" bestFit="1" customWidth="1"/>
    <col min="3080" max="3080" width="9" style="122" bestFit="1" customWidth="1"/>
    <col min="3081" max="3081" width="15.44140625" style="122" bestFit="1" customWidth="1"/>
    <col min="3082" max="3082" width="12.44140625" style="122" bestFit="1" customWidth="1"/>
    <col min="3083" max="3085" width="15.77734375" style="122" bestFit="1" customWidth="1"/>
    <col min="3086" max="3087" width="8.88671875" style="122"/>
    <col min="3088" max="3088" width="12.77734375" style="122" bestFit="1" customWidth="1"/>
    <col min="3089" max="3327" width="8.88671875" style="122"/>
    <col min="3328" max="3328" width="5.44140625" style="122" customWidth="1"/>
    <col min="3329" max="3329" width="67.5546875" style="122" customWidth="1"/>
    <col min="3330" max="3331" width="12.21875" style="122" customWidth="1"/>
    <col min="3332" max="3332" width="13.77734375" style="122" customWidth="1"/>
    <col min="3333" max="3333" width="12.77734375" style="122" customWidth="1"/>
    <col min="3334" max="3334" width="15.77734375" style="122" bestFit="1" customWidth="1"/>
    <col min="3335" max="3335" width="13" style="122" bestFit="1" customWidth="1"/>
    <col min="3336" max="3336" width="9" style="122" bestFit="1" customWidth="1"/>
    <col min="3337" max="3337" width="15.44140625" style="122" bestFit="1" customWidth="1"/>
    <col min="3338" max="3338" width="12.44140625" style="122" bestFit="1" customWidth="1"/>
    <col min="3339" max="3341" width="15.77734375" style="122" bestFit="1" customWidth="1"/>
    <col min="3342" max="3343" width="8.88671875" style="122"/>
    <col min="3344" max="3344" width="12.77734375" style="122" bestFit="1" customWidth="1"/>
    <col min="3345" max="3583" width="8.88671875" style="122"/>
    <col min="3584" max="3584" width="5.44140625" style="122" customWidth="1"/>
    <col min="3585" max="3585" width="67.5546875" style="122" customWidth="1"/>
    <col min="3586" max="3587" width="12.21875" style="122" customWidth="1"/>
    <col min="3588" max="3588" width="13.77734375" style="122" customWidth="1"/>
    <col min="3589" max="3589" width="12.77734375" style="122" customWidth="1"/>
    <col min="3590" max="3590" width="15.77734375" style="122" bestFit="1" customWidth="1"/>
    <col min="3591" max="3591" width="13" style="122" bestFit="1" customWidth="1"/>
    <col min="3592" max="3592" width="9" style="122" bestFit="1" customWidth="1"/>
    <col min="3593" max="3593" width="15.44140625" style="122" bestFit="1" customWidth="1"/>
    <col min="3594" max="3594" width="12.44140625" style="122" bestFit="1" customWidth="1"/>
    <col min="3595" max="3597" width="15.77734375" style="122" bestFit="1" customWidth="1"/>
    <col min="3598" max="3599" width="8.88671875" style="122"/>
    <col min="3600" max="3600" width="12.77734375" style="122" bestFit="1" customWidth="1"/>
    <col min="3601" max="3839" width="8.88671875" style="122"/>
    <col min="3840" max="3840" width="5.44140625" style="122" customWidth="1"/>
    <col min="3841" max="3841" width="67.5546875" style="122" customWidth="1"/>
    <col min="3842" max="3843" width="12.21875" style="122" customWidth="1"/>
    <col min="3844" max="3844" width="13.77734375" style="122" customWidth="1"/>
    <col min="3845" max="3845" width="12.77734375" style="122" customWidth="1"/>
    <col min="3846" max="3846" width="15.77734375" style="122" bestFit="1" customWidth="1"/>
    <col min="3847" max="3847" width="13" style="122" bestFit="1" customWidth="1"/>
    <col min="3848" max="3848" width="9" style="122" bestFit="1" customWidth="1"/>
    <col min="3849" max="3849" width="15.44140625" style="122" bestFit="1" customWidth="1"/>
    <col min="3850" max="3850" width="12.44140625" style="122" bestFit="1" customWidth="1"/>
    <col min="3851" max="3853" width="15.77734375" style="122" bestFit="1" customWidth="1"/>
    <col min="3854" max="3855" width="8.88671875" style="122"/>
    <col min="3856" max="3856" width="12.77734375" style="122" bestFit="1" customWidth="1"/>
    <col min="3857" max="4095" width="8.88671875" style="122"/>
    <col min="4096" max="4096" width="5.44140625" style="122" customWidth="1"/>
    <col min="4097" max="4097" width="67.5546875" style="122" customWidth="1"/>
    <col min="4098" max="4099" width="12.21875" style="122" customWidth="1"/>
    <col min="4100" max="4100" width="13.77734375" style="122" customWidth="1"/>
    <col min="4101" max="4101" width="12.77734375" style="122" customWidth="1"/>
    <col min="4102" max="4102" width="15.77734375" style="122" bestFit="1" customWidth="1"/>
    <col min="4103" max="4103" width="13" style="122" bestFit="1" customWidth="1"/>
    <col min="4104" max="4104" width="9" style="122" bestFit="1" customWidth="1"/>
    <col min="4105" max="4105" width="15.44140625" style="122" bestFit="1" customWidth="1"/>
    <col min="4106" max="4106" width="12.44140625" style="122" bestFit="1" customWidth="1"/>
    <col min="4107" max="4109" width="15.77734375" style="122" bestFit="1" customWidth="1"/>
    <col min="4110" max="4111" width="8.88671875" style="122"/>
    <col min="4112" max="4112" width="12.77734375" style="122" bestFit="1" customWidth="1"/>
    <col min="4113" max="4351" width="8.88671875" style="122"/>
    <col min="4352" max="4352" width="5.44140625" style="122" customWidth="1"/>
    <col min="4353" max="4353" width="67.5546875" style="122" customWidth="1"/>
    <col min="4354" max="4355" width="12.21875" style="122" customWidth="1"/>
    <col min="4356" max="4356" width="13.77734375" style="122" customWidth="1"/>
    <col min="4357" max="4357" width="12.77734375" style="122" customWidth="1"/>
    <col min="4358" max="4358" width="15.77734375" style="122" bestFit="1" customWidth="1"/>
    <col min="4359" max="4359" width="13" style="122" bestFit="1" customWidth="1"/>
    <col min="4360" max="4360" width="9" style="122" bestFit="1" customWidth="1"/>
    <col min="4361" max="4361" width="15.44140625" style="122" bestFit="1" customWidth="1"/>
    <col min="4362" max="4362" width="12.44140625" style="122" bestFit="1" customWidth="1"/>
    <col min="4363" max="4365" width="15.77734375" style="122" bestFit="1" customWidth="1"/>
    <col min="4366" max="4367" width="8.88671875" style="122"/>
    <col min="4368" max="4368" width="12.77734375" style="122" bestFit="1" customWidth="1"/>
    <col min="4369" max="4607" width="8.88671875" style="122"/>
    <col min="4608" max="4608" width="5.44140625" style="122" customWidth="1"/>
    <col min="4609" max="4609" width="67.5546875" style="122" customWidth="1"/>
    <col min="4610" max="4611" width="12.21875" style="122" customWidth="1"/>
    <col min="4612" max="4612" width="13.77734375" style="122" customWidth="1"/>
    <col min="4613" max="4613" width="12.77734375" style="122" customWidth="1"/>
    <col min="4614" max="4614" width="15.77734375" style="122" bestFit="1" customWidth="1"/>
    <col min="4615" max="4615" width="13" style="122" bestFit="1" customWidth="1"/>
    <col min="4616" max="4616" width="9" style="122" bestFit="1" customWidth="1"/>
    <col min="4617" max="4617" width="15.44140625" style="122" bestFit="1" customWidth="1"/>
    <col min="4618" max="4618" width="12.44140625" style="122" bestFit="1" customWidth="1"/>
    <col min="4619" max="4621" width="15.77734375" style="122" bestFit="1" customWidth="1"/>
    <col min="4622" max="4623" width="8.88671875" style="122"/>
    <col min="4624" max="4624" width="12.77734375" style="122" bestFit="1" customWidth="1"/>
    <col min="4625" max="4863" width="8.88671875" style="122"/>
    <col min="4864" max="4864" width="5.44140625" style="122" customWidth="1"/>
    <col min="4865" max="4865" width="67.5546875" style="122" customWidth="1"/>
    <col min="4866" max="4867" width="12.21875" style="122" customWidth="1"/>
    <col min="4868" max="4868" width="13.77734375" style="122" customWidth="1"/>
    <col min="4869" max="4869" width="12.77734375" style="122" customWidth="1"/>
    <col min="4870" max="4870" width="15.77734375" style="122" bestFit="1" customWidth="1"/>
    <col min="4871" max="4871" width="13" style="122" bestFit="1" customWidth="1"/>
    <col min="4872" max="4872" width="9" style="122" bestFit="1" customWidth="1"/>
    <col min="4873" max="4873" width="15.44140625" style="122" bestFit="1" customWidth="1"/>
    <col min="4874" max="4874" width="12.44140625" style="122" bestFit="1" customWidth="1"/>
    <col min="4875" max="4877" width="15.77734375" style="122" bestFit="1" customWidth="1"/>
    <col min="4878" max="4879" width="8.88671875" style="122"/>
    <col min="4880" max="4880" width="12.77734375" style="122" bestFit="1" customWidth="1"/>
    <col min="4881" max="5119" width="8.88671875" style="122"/>
    <col min="5120" max="5120" width="5.44140625" style="122" customWidth="1"/>
    <col min="5121" max="5121" width="67.5546875" style="122" customWidth="1"/>
    <col min="5122" max="5123" width="12.21875" style="122" customWidth="1"/>
    <col min="5124" max="5124" width="13.77734375" style="122" customWidth="1"/>
    <col min="5125" max="5125" width="12.77734375" style="122" customWidth="1"/>
    <col min="5126" max="5126" width="15.77734375" style="122" bestFit="1" customWidth="1"/>
    <col min="5127" max="5127" width="13" style="122" bestFit="1" customWidth="1"/>
    <col min="5128" max="5128" width="9" style="122" bestFit="1" customWidth="1"/>
    <col min="5129" max="5129" width="15.44140625" style="122" bestFit="1" customWidth="1"/>
    <col min="5130" max="5130" width="12.44140625" style="122" bestFit="1" customWidth="1"/>
    <col min="5131" max="5133" width="15.77734375" style="122" bestFit="1" customWidth="1"/>
    <col min="5134" max="5135" width="8.88671875" style="122"/>
    <col min="5136" max="5136" width="12.77734375" style="122" bestFit="1" customWidth="1"/>
    <col min="5137" max="5375" width="8.88671875" style="122"/>
    <col min="5376" max="5376" width="5.44140625" style="122" customWidth="1"/>
    <col min="5377" max="5377" width="67.5546875" style="122" customWidth="1"/>
    <col min="5378" max="5379" width="12.21875" style="122" customWidth="1"/>
    <col min="5380" max="5380" width="13.77734375" style="122" customWidth="1"/>
    <col min="5381" max="5381" width="12.77734375" style="122" customWidth="1"/>
    <col min="5382" max="5382" width="15.77734375" style="122" bestFit="1" customWidth="1"/>
    <col min="5383" max="5383" width="13" style="122" bestFit="1" customWidth="1"/>
    <col min="5384" max="5384" width="9" style="122" bestFit="1" customWidth="1"/>
    <col min="5385" max="5385" width="15.44140625" style="122" bestFit="1" customWidth="1"/>
    <col min="5386" max="5386" width="12.44140625" style="122" bestFit="1" customWidth="1"/>
    <col min="5387" max="5389" width="15.77734375" style="122" bestFit="1" customWidth="1"/>
    <col min="5390" max="5391" width="8.88671875" style="122"/>
    <col min="5392" max="5392" width="12.77734375" style="122" bestFit="1" customWidth="1"/>
    <col min="5393" max="5631" width="8.88671875" style="122"/>
    <col min="5632" max="5632" width="5.44140625" style="122" customWidth="1"/>
    <col min="5633" max="5633" width="67.5546875" style="122" customWidth="1"/>
    <col min="5634" max="5635" width="12.21875" style="122" customWidth="1"/>
    <col min="5636" max="5636" width="13.77734375" style="122" customWidth="1"/>
    <col min="5637" max="5637" width="12.77734375" style="122" customWidth="1"/>
    <col min="5638" max="5638" width="15.77734375" style="122" bestFit="1" customWidth="1"/>
    <col min="5639" max="5639" width="13" style="122" bestFit="1" customWidth="1"/>
    <col min="5640" max="5640" width="9" style="122" bestFit="1" customWidth="1"/>
    <col min="5641" max="5641" width="15.44140625" style="122" bestFit="1" customWidth="1"/>
    <col min="5642" max="5642" width="12.44140625" style="122" bestFit="1" customWidth="1"/>
    <col min="5643" max="5645" width="15.77734375" style="122" bestFit="1" customWidth="1"/>
    <col min="5646" max="5647" width="8.88671875" style="122"/>
    <col min="5648" max="5648" width="12.77734375" style="122" bestFit="1" customWidth="1"/>
    <col min="5649" max="5887" width="8.88671875" style="122"/>
    <col min="5888" max="5888" width="5.44140625" style="122" customWidth="1"/>
    <col min="5889" max="5889" width="67.5546875" style="122" customWidth="1"/>
    <col min="5890" max="5891" width="12.21875" style="122" customWidth="1"/>
    <col min="5892" max="5892" width="13.77734375" style="122" customWidth="1"/>
    <col min="5893" max="5893" width="12.77734375" style="122" customWidth="1"/>
    <col min="5894" max="5894" width="15.77734375" style="122" bestFit="1" customWidth="1"/>
    <col min="5895" max="5895" width="13" style="122" bestFit="1" customWidth="1"/>
    <col min="5896" max="5896" width="9" style="122" bestFit="1" customWidth="1"/>
    <col min="5897" max="5897" width="15.44140625" style="122" bestFit="1" customWidth="1"/>
    <col min="5898" max="5898" width="12.44140625" style="122" bestFit="1" customWidth="1"/>
    <col min="5899" max="5901" width="15.77734375" style="122" bestFit="1" customWidth="1"/>
    <col min="5902" max="5903" width="8.88671875" style="122"/>
    <col min="5904" max="5904" width="12.77734375" style="122" bestFit="1" customWidth="1"/>
    <col min="5905" max="6143" width="8.88671875" style="122"/>
    <col min="6144" max="6144" width="5.44140625" style="122" customWidth="1"/>
    <col min="6145" max="6145" width="67.5546875" style="122" customWidth="1"/>
    <col min="6146" max="6147" width="12.21875" style="122" customWidth="1"/>
    <col min="6148" max="6148" width="13.77734375" style="122" customWidth="1"/>
    <col min="6149" max="6149" width="12.77734375" style="122" customWidth="1"/>
    <col min="6150" max="6150" width="15.77734375" style="122" bestFit="1" customWidth="1"/>
    <col min="6151" max="6151" width="13" style="122" bestFit="1" customWidth="1"/>
    <col min="6152" max="6152" width="9" style="122" bestFit="1" customWidth="1"/>
    <col min="6153" max="6153" width="15.44140625" style="122" bestFit="1" customWidth="1"/>
    <col min="6154" max="6154" width="12.44140625" style="122" bestFit="1" customWidth="1"/>
    <col min="6155" max="6157" width="15.77734375" style="122" bestFit="1" customWidth="1"/>
    <col min="6158" max="6159" width="8.88671875" style="122"/>
    <col min="6160" max="6160" width="12.77734375" style="122" bestFit="1" customWidth="1"/>
    <col min="6161" max="6399" width="8.88671875" style="122"/>
    <col min="6400" max="6400" width="5.44140625" style="122" customWidth="1"/>
    <col min="6401" max="6401" width="67.5546875" style="122" customWidth="1"/>
    <col min="6402" max="6403" width="12.21875" style="122" customWidth="1"/>
    <col min="6404" max="6404" width="13.77734375" style="122" customWidth="1"/>
    <col min="6405" max="6405" width="12.77734375" style="122" customWidth="1"/>
    <col min="6406" max="6406" width="15.77734375" style="122" bestFit="1" customWidth="1"/>
    <col min="6407" max="6407" width="13" style="122" bestFit="1" customWidth="1"/>
    <col min="6408" max="6408" width="9" style="122" bestFit="1" customWidth="1"/>
    <col min="6409" max="6409" width="15.44140625" style="122" bestFit="1" customWidth="1"/>
    <col min="6410" max="6410" width="12.44140625" style="122" bestFit="1" customWidth="1"/>
    <col min="6411" max="6413" width="15.77734375" style="122" bestFit="1" customWidth="1"/>
    <col min="6414" max="6415" width="8.88671875" style="122"/>
    <col min="6416" max="6416" width="12.77734375" style="122" bestFit="1" customWidth="1"/>
    <col min="6417" max="6655" width="8.88671875" style="122"/>
    <col min="6656" max="6656" width="5.44140625" style="122" customWidth="1"/>
    <col min="6657" max="6657" width="67.5546875" style="122" customWidth="1"/>
    <col min="6658" max="6659" width="12.21875" style="122" customWidth="1"/>
    <col min="6660" max="6660" width="13.77734375" style="122" customWidth="1"/>
    <col min="6661" max="6661" width="12.77734375" style="122" customWidth="1"/>
    <col min="6662" max="6662" width="15.77734375" style="122" bestFit="1" customWidth="1"/>
    <col min="6663" max="6663" width="13" style="122" bestFit="1" customWidth="1"/>
    <col min="6664" max="6664" width="9" style="122" bestFit="1" customWidth="1"/>
    <col min="6665" max="6665" width="15.44140625" style="122" bestFit="1" customWidth="1"/>
    <col min="6666" max="6666" width="12.44140625" style="122" bestFit="1" customWidth="1"/>
    <col min="6667" max="6669" width="15.77734375" style="122" bestFit="1" customWidth="1"/>
    <col min="6670" max="6671" width="8.88671875" style="122"/>
    <col min="6672" max="6672" width="12.77734375" style="122" bestFit="1" customWidth="1"/>
    <col min="6673" max="6911" width="8.88671875" style="122"/>
    <col min="6912" max="6912" width="5.44140625" style="122" customWidth="1"/>
    <col min="6913" max="6913" width="67.5546875" style="122" customWidth="1"/>
    <col min="6914" max="6915" width="12.21875" style="122" customWidth="1"/>
    <col min="6916" max="6916" width="13.77734375" style="122" customWidth="1"/>
    <col min="6917" max="6917" width="12.77734375" style="122" customWidth="1"/>
    <col min="6918" max="6918" width="15.77734375" style="122" bestFit="1" customWidth="1"/>
    <col min="6919" max="6919" width="13" style="122" bestFit="1" customWidth="1"/>
    <col min="6920" max="6920" width="9" style="122" bestFit="1" customWidth="1"/>
    <col min="6921" max="6921" width="15.44140625" style="122" bestFit="1" customWidth="1"/>
    <col min="6922" max="6922" width="12.44140625" style="122" bestFit="1" customWidth="1"/>
    <col min="6923" max="6925" width="15.77734375" style="122" bestFit="1" customWidth="1"/>
    <col min="6926" max="6927" width="8.88671875" style="122"/>
    <col min="6928" max="6928" width="12.77734375" style="122" bestFit="1" customWidth="1"/>
    <col min="6929" max="7167" width="8.88671875" style="122"/>
    <col min="7168" max="7168" width="5.44140625" style="122" customWidth="1"/>
    <col min="7169" max="7169" width="67.5546875" style="122" customWidth="1"/>
    <col min="7170" max="7171" width="12.21875" style="122" customWidth="1"/>
    <col min="7172" max="7172" width="13.77734375" style="122" customWidth="1"/>
    <col min="7173" max="7173" width="12.77734375" style="122" customWidth="1"/>
    <col min="7174" max="7174" width="15.77734375" style="122" bestFit="1" customWidth="1"/>
    <col min="7175" max="7175" width="13" style="122" bestFit="1" customWidth="1"/>
    <col min="7176" max="7176" width="9" style="122" bestFit="1" customWidth="1"/>
    <col min="7177" max="7177" width="15.44140625" style="122" bestFit="1" customWidth="1"/>
    <col min="7178" max="7178" width="12.44140625" style="122" bestFit="1" customWidth="1"/>
    <col min="7179" max="7181" width="15.77734375" style="122" bestFit="1" customWidth="1"/>
    <col min="7182" max="7183" width="8.88671875" style="122"/>
    <col min="7184" max="7184" width="12.77734375" style="122" bestFit="1" customWidth="1"/>
    <col min="7185" max="7423" width="8.88671875" style="122"/>
    <col min="7424" max="7424" width="5.44140625" style="122" customWidth="1"/>
    <col min="7425" max="7425" width="67.5546875" style="122" customWidth="1"/>
    <col min="7426" max="7427" width="12.21875" style="122" customWidth="1"/>
    <col min="7428" max="7428" width="13.77734375" style="122" customWidth="1"/>
    <col min="7429" max="7429" width="12.77734375" style="122" customWidth="1"/>
    <col min="7430" max="7430" width="15.77734375" style="122" bestFit="1" customWidth="1"/>
    <col min="7431" max="7431" width="13" style="122" bestFit="1" customWidth="1"/>
    <col min="7432" max="7432" width="9" style="122" bestFit="1" customWidth="1"/>
    <col min="7433" max="7433" width="15.44140625" style="122" bestFit="1" customWidth="1"/>
    <col min="7434" max="7434" width="12.44140625" style="122" bestFit="1" customWidth="1"/>
    <col min="7435" max="7437" width="15.77734375" style="122" bestFit="1" customWidth="1"/>
    <col min="7438" max="7439" width="8.88671875" style="122"/>
    <col min="7440" max="7440" width="12.77734375" style="122" bestFit="1" customWidth="1"/>
    <col min="7441" max="7679" width="8.88671875" style="122"/>
    <col min="7680" max="7680" width="5.44140625" style="122" customWidth="1"/>
    <col min="7681" max="7681" width="67.5546875" style="122" customWidth="1"/>
    <col min="7682" max="7683" width="12.21875" style="122" customWidth="1"/>
    <col min="7684" max="7684" width="13.77734375" style="122" customWidth="1"/>
    <col min="7685" max="7685" width="12.77734375" style="122" customWidth="1"/>
    <col min="7686" max="7686" width="15.77734375" style="122" bestFit="1" customWidth="1"/>
    <col min="7687" max="7687" width="13" style="122" bestFit="1" customWidth="1"/>
    <col min="7688" max="7688" width="9" style="122" bestFit="1" customWidth="1"/>
    <col min="7689" max="7689" width="15.44140625" style="122" bestFit="1" customWidth="1"/>
    <col min="7690" max="7690" width="12.44140625" style="122" bestFit="1" customWidth="1"/>
    <col min="7691" max="7693" width="15.77734375" style="122" bestFit="1" customWidth="1"/>
    <col min="7694" max="7695" width="8.88671875" style="122"/>
    <col min="7696" max="7696" width="12.77734375" style="122" bestFit="1" customWidth="1"/>
    <col min="7697" max="7935" width="8.88671875" style="122"/>
    <col min="7936" max="7936" width="5.44140625" style="122" customWidth="1"/>
    <col min="7937" max="7937" width="67.5546875" style="122" customWidth="1"/>
    <col min="7938" max="7939" width="12.21875" style="122" customWidth="1"/>
    <col min="7940" max="7940" width="13.77734375" style="122" customWidth="1"/>
    <col min="7941" max="7941" width="12.77734375" style="122" customWidth="1"/>
    <col min="7942" max="7942" width="15.77734375" style="122" bestFit="1" customWidth="1"/>
    <col min="7943" max="7943" width="13" style="122" bestFit="1" customWidth="1"/>
    <col min="7944" max="7944" width="9" style="122" bestFit="1" customWidth="1"/>
    <col min="7945" max="7945" width="15.44140625" style="122" bestFit="1" customWidth="1"/>
    <col min="7946" max="7946" width="12.44140625" style="122" bestFit="1" customWidth="1"/>
    <col min="7947" max="7949" width="15.77734375" style="122" bestFit="1" customWidth="1"/>
    <col min="7950" max="7951" width="8.88671875" style="122"/>
    <col min="7952" max="7952" width="12.77734375" style="122" bestFit="1" customWidth="1"/>
    <col min="7953" max="8191" width="8.88671875" style="122"/>
    <col min="8192" max="8192" width="5.44140625" style="122" customWidth="1"/>
    <col min="8193" max="8193" width="67.5546875" style="122" customWidth="1"/>
    <col min="8194" max="8195" width="12.21875" style="122" customWidth="1"/>
    <col min="8196" max="8196" width="13.77734375" style="122" customWidth="1"/>
    <col min="8197" max="8197" width="12.77734375" style="122" customWidth="1"/>
    <col min="8198" max="8198" width="15.77734375" style="122" bestFit="1" customWidth="1"/>
    <col min="8199" max="8199" width="13" style="122" bestFit="1" customWidth="1"/>
    <col min="8200" max="8200" width="9" style="122" bestFit="1" customWidth="1"/>
    <col min="8201" max="8201" width="15.44140625" style="122" bestFit="1" customWidth="1"/>
    <col min="8202" max="8202" width="12.44140625" style="122" bestFit="1" customWidth="1"/>
    <col min="8203" max="8205" width="15.77734375" style="122" bestFit="1" customWidth="1"/>
    <col min="8206" max="8207" width="8.88671875" style="122"/>
    <col min="8208" max="8208" width="12.77734375" style="122" bestFit="1" customWidth="1"/>
    <col min="8209" max="8447" width="8.88671875" style="122"/>
    <col min="8448" max="8448" width="5.44140625" style="122" customWidth="1"/>
    <col min="8449" max="8449" width="67.5546875" style="122" customWidth="1"/>
    <col min="8450" max="8451" width="12.21875" style="122" customWidth="1"/>
    <col min="8452" max="8452" width="13.77734375" style="122" customWidth="1"/>
    <col min="8453" max="8453" width="12.77734375" style="122" customWidth="1"/>
    <col min="8454" max="8454" width="15.77734375" style="122" bestFit="1" customWidth="1"/>
    <col min="8455" max="8455" width="13" style="122" bestFit="1" customWidth="1"/>
    <col min="8456" max="8456" width="9" style="122" bestFit="1" customWidth="1"/>
    <col min="8457" max="8457" width="15.44140625" style="122" bestFit="1" customWidth="1"/>
    <col min="8458" max="8458" width="12.44140625" style="122" bestFit="1" customWidth="1"/>
    <col min="8459" max="8461" width="15.77734375" style="122" bestFit="1" customWidth="1"/>
    <col min="8462" max="8463" width="8.88671875" style="122"/>
    <col min="8464" max="8464" width="12.77734375" style="122" bestFit="1" customWidth="1"/>
    <col min="8465" max="8703" width="8.88671875" style="122"/>
    <col min="8704" max="8704" width="5.44140625" style="122" customWidth="1"/>
    <col min="8705" max="8705" width="67.5546875" style="122" customWidth="1"/>
    <col min="8706" max="8707" width="12.21875" style="122" customWidth="1"/>
    <col min="8708" max="8708" width="13.77734375" style="122" customWidth="1"/>
    <col min="8709" max="8709" width="12.77734375" style="122" customWidth="1"/>
    <col min="8710" max="8710" width="15.77734375" style="122" bestFit="1" customWidth="1"/>
    <col min="8711" max="8711" width="13" style="122" bestFit="1" customWidth="1"/>
    <col min="8712" max="8712" width="9" style="122" bestFit="1" customWidth="1"/>
    <col min="8713" max="8713" width="15.44140625" style="122" bestFit="1" customWidth="1"/>
    <col min="8714" max="8714" width="12.44140625" style="122" bestFit="1" customWidth="1"/>
    <col min="8715" max="8717" width="15.77734375" style="122" bestFit="1" customWidth="1"/>
    <col min="8718" max="8719" width="8.88671875" style="122"/>
    <col min="8720" max="8720" width="12.77734375" style="122" bestFit="1" customWidth="1"/>
    <col min="8721" max="8959" width="8.88671875" style="122"/>
    <col min="8960" max="8960" width="5.44140625" style="122" customWidth="1"/>
    <col min="8961" max="8961" width="67.5546875" style="122" customWidth="1"/>
    <col min="8962" max="8963" width="12.21875" style="122" customWidth="1"/>
    <col min="8964" max="8964" width="13.77734375" style="122" customWidth="1"/>
    <col min="8965" max="8965" width="12.77734375" style="122" customWidth="1"/>
    <col min="8966" max="8966" width="15.77734375" style="122" bestFit="1" customWidth="1"/>
    <col min="8967" max="8967" width="13" style="122" bestFit="1" customWidth="1"/>
    <col min="8968" max="8968" width="9" style="122" bestFit="1" customWidth="1"/>
    <col min="8969" max="8969" width="15.44140625" style="122" bestFit="1" customWidth="1"/>
    <col min="8970" max="8970" width="12.44140625" style="122" bestFit="1" customWidth="1"/>
    <col min="8971" max="8973" width="15.77734375" style="122" bestFit="1" customWidth="1"/>
    <col min="8974" max="8975" width="8.88671875" style="122"/>
    <col min="8976" max="8976" width="12.77734375" style="122" bestFit="1" customWidth="1"/>
    <col min="8977" max="9215" width="8.88671875" style="122"/>
    <col min="9216" max="9216" width="5.44140625" style="122" customWidth="1"/>
    <col min="9217" max="9217" width="67.5546875" style="122" customWidth="1"/>
    <col min="9218" max="9219" width="12.21875" style="122" customWidth="1"/>
    <col min="9220" max="9220" width="13.77734375" style="122" customWidth="1"/>
    <col min="9221" max="9221" width="12.77734375" style="122" customWidth="1"/>
    <col min="9222" max="9222" width="15.77734375" style="122" bestFit="1" customWidth="1"/>
    <col min="9223" max="9223" width="13" style="122" bestFit="1" customWidth="1"/>
    <col min="9224" max="9224" width="9" style="122" bestFit="1" customWidth="1"/>
    <col min="9225" max="9225" width="15.44140625" style="122" bestFit="1" customWidth="1"/>
    <col min="9226" max="9226" width="12.44140625" style="122" bestFit="1" customWidth="1"/>
    <col min="9227" max="9229" width="15.77734375" style="122" bestFit="1" customWidth="1"/>
    <col min="9230" max="9231" width="8.88671875" style="122"/>
    <col min="9232" max="9232" width="12.77734375" style="122" bestFit="1" customWidth="1"/>
    <col min="9233" max="9471" width="8.88671875" style="122"/>
    <col min="9472" max="9472" width="5.44140625" style="122" customWidth="1"/>
    <col min="9473" max="9473" width="67.5546875" style="122" customWidth="1"/>
    <col min="9474" max="9475" width="12.21875" style="122" customWidth="1"/>
    <col min="9476" max="9476" width="13.77734375" style="122" customWidth="1"/>
    <col min="9477" max="9477" width="12.77734375" style="122" customWidth="1"/>
    <col min="9478" max="9478" width="15.77734375" style="122" bestFit="1" customWidth="1"/>
    <col min="9479" max="9479" width="13" style="122" bestFit="1" customWidth="1"/>
    <col min="9480" max="9480" width="9" style="122" bestFit="1" customWidth="1"/>
    <col min="9481" max="9481" width="15.44140625" style="122" bestFit="1" customWidth="1"/>
    <col min="9482" max="9482" width="12.44140625" style="122" bestFit="1" customWidth="1"/>
    <col min="9483" max="9485" width="15.77734375" style="122" bestFit="1" customWidth="1"/>
    <col min="9486" max="9487" width="8.88671875" style="122"/>
    <col min="9488" max="9488" width="12.77734375" style="122" bestFit="1" customWidth="1"/>
    <col min="9489" max="9727" width="8.88671875" style="122"/>
    <col min="9728" max="9728" width="5.44140625" style="122" customWidth="1"/>
    <col min="9729" max="9729" width="67.5546875" style="122" customWidth="1"/>
    <col min="9730" max="9731" width="12.21875" style="122" customWidth="1"/>
    <col min="9732" max="9732" width="13.77734375" style="122" customWidth="1"/>
    <col min="9733" max="9733" width="12.77734375" style="122" customWidth="1"/>
    <col min="9734" max="9734" width="15.77734375" style="122" bestFit="1" customWidth="1"/>
    <col min="9735" max="9735" width="13" style="122" bestFit="1" customWidth="1"/>
    <col min="9736" max="9736" width="9" style="122" bestFit="1" customWidth="1"/>
    <col min="9737" max="9737" width="15.44140625" style="122" bestFit="1" customWidth="1"/>
    <col min="9738" max="9738" width="12.44140625" style="122" bestFit="1" customWidth="1"/>
    <col min="9739" max="9741" width="15.77734375" style="122" bestFit="1" customWidth="1"/>
    <col min="9742" max="9743" width="8.88671875" style="122"/>
    <col min="9744" max="9744" width="12.77734375" style="122" bestFit="1" customWidth="1"/>
    <col min="9745" max="9983" width="8.88671875" style="122"/>
    <col min="9984" max="9984" width="5.44140625" style="122" customWidth="1"/>
    <col min="9985" max="9985" width="67.5546875" style="122" customWidth="1"/>
    <col min="9986" max="9987" width="12.21875" style="122" customWidth="1"/>
    <col min="9988" max="9988" width="13.77734375" style="122" customWidth="1"/>
    <col min="9989" max="9989" width="12.77734375" style="122" customWidth="1"/>
    <col min="9990" max="9990" width="15.77734375" style="122" bestFit="1" customWidth="1"/>
    <col min="9991" max="9991" width="13" style="122" bestFit="1" customWidth="1"/>
    <col min="9992" max="9992" width="9" style="122" bestFit="1" customWidth="1"/>
    <col min="9993" max="9993" width="15.44140625" style="122" bestFit="1" customWidth="1"/>
    <col min="9994" max="9994" width="12.44140625" style="122" bestFit="1" customWidth="1"/>
    <col min="9995" max="9997" width="15.77734375" style="122" bestFit="1" customWidth="1"/>
    <col min="9998" max="9999" width="8.88671875" style="122"/>
    <col min="10000" max="10000" width="12.77734375" style="122" bestFit="1" customWidth="1"/>
    <col min="10001" max="10239" width="8.88671875" style="122"/>
    <col min="10240" max="10240" width="5.44140625" style="122" customWidth="1"/>
    <col min="10241" max="10241" width="67.5546875" style="122" customWidth="1"/>
    <col min="10242" max="10243" width="12.21875" style="122" customWidth="1"/>
    <col min="10244" max="10244" width="13.77734375" style="122" customWidth="1"/>
    <col min="10245" max="10245" width="12.77734375" style="122" customWidth="1"/>
    <col min="10246" max="10246" width="15.77734375" style="122" bestFit="1" customWidth="1"/>
    <col min="10247" max="10247" width="13" style="122" bestFit="1" customWidth="1"/>
    <col min="10248" max="10248" width="9" style="122" bestFit="1" customWidth="1"/>
    <col min="10249" max="10249" width="15.44140625" style="122" bestFit="1" customWidth="1"/>
    <col min="10250" max="10250" width="12.44140625" style="122" bestFit="1" customWidth="1"/>
    <col min="10251" max="10253" width="15.77734375" style="122" bestFit="1" customWidth="1"/>
    <col min="10254" max="10255" width="8.88671875" style="122"/>
    <col min="10256" max="10256" width="12.77734375" style="122" bestFit="1" customWidth="1"/>
    <col min="10257" max="10495" width="8.88671875" style="122"/>
    <col min="10496" max="10496" width="5.44140625" style="122" customWidth="1"/>
    <col min="10497" max="10497" width="67.5546875" style="122" customWidth="1"/>
    <col min="10498" max="10499" width="12.21875" style="122" customWidth="1"/>
    <col min="10500" max="10500" width="13.77734375" style="122" customWidth="1"/>
    <col min="10501" max="10501" width="12.77734375" style="122" customWidth="1"/>
    <col min="10502" max="10502" width="15.77734375" style="122" bestFit="1" customWidth="1"/>
    <col min="10503" max="10503" width="13" style="122" bestFit="1" customWidth="1"/>
    <col min="10504" max="10504" width="9" style="122" bestFit="1" customWidth="1"/>
    <col min="10505" max="10505" width="15.44140625" style="122" bestFit="1" customWidth="1"/>
    <col min="10506" max="10506" width="12.44140625" style="122" bestFit="1" customWidth="1"/>
    <col min="10507" max="10509" width="15.77734375" style="122" bestFit="1" customWidth="1"/>
    <col min="10510" max="10511" width="8.88671875" style="122"/>
    <col min="10512" max="10512" width="12.77734375" style="122" bestFit="1" customWidth="1"/>
    <col min="10513" max="10751" width="8.88671875" style="122"/>
    <col min="10752" max="10752" width="5.44140625" style="122" customWidth="1"/>
    <col min="10753" max="10753" width="67.5546875" style="122" customWidth="1"/>
    <col min="10754" max="10755" width="12.21875" style="122" customWidth="1"/>
    <col min="10756" max="10756" width="13.77734375" style="122" customWidth="1"/>
    <col min="10757" max="10757" width="12.77734375" style="122" customWidth="1"/>
    <col min="10758" max="10758" width="15.77734375" style="122" bestFit="1" customWidth="1"/>
    <col min="10759" max="10759" width="13" style="122" bestFit="1" customWidth="1"/>
    <col min="10760" max="10760" width="9" style="122" bestFit="1" customWidth="1"/>
    <col min="10761" max="10761" width="15.44140625" style="122" bestFit="1" customWidth="1"/>
    <col min="10762" max="10762" width="12.44140625" style="122" bestFit="1" customWidth="1"/>
    <col min="10763" max="10765" width="15.77734375" style="122" bestFit="1" customWidth="1"/>
    <col min="10766" max="10767" width="8.88671875" style="122"/>
    <col min="10768" max="10768" width="12.77734375" style="122" bestFit="1" customWidth="1"/>
    <col min="10769" max="11007" width="8.88671875" style="122"/>
    <col min="11008" max="11008" width="5.44140625" style="122" customWidth="1"/>
    <col min="11009" max="11009" width="67.5546875" style="122" customWidth="1"/>
    <col min="11010" max="11011" width="12.21875" style="122" customWidth="1"/>
    <col min="11012" max="11012" width="13.77734375" style="122" customWidth="1"/>
    <col min="11013" max="11013" width="12.77734375" style="122" customWidth="1"/>
    <col min="11014" max="11014" width="15.77734375" style="122" bestFit="1" customWidth="1"/>
    <col min="11015" max="11015" width="13" style="122" bestFit="1" customWidth="1"/>
    <col min="11016" max="11016" width="9" style="122" bestFit="1" customWidth="1"/>
    <col min="11017" max="11017" width="15.44140625" style="122" bestFit="1" customWidth="1"/>
    <col min="11018" max="11018" width="12.44140625" style="122" bestFit="1" customWidth="1"/>
    <col min="11019" max="11021" width="15.77734375" style="122" bestFit="1" customWidth="1"/>
    <col min="11022" max="11023" width="8.88671875" style="122"/>
    <col min="11024" max="11024" width="12.77734375" style="122" bestFit="1" customWidth="1"/>
    <col min="11025" max="11263" width="8.88671875" style="122"/>
    <col min="11264" max="11264" width="5.44140625" style="122" customWidth="1"/>
    <col min="11265" max="11265" width="67.5546875" style="122" customWidth="1"/>
    <col min="11266" max="11267" width="12.21875" style="122" customWidth="1"/>
    <col min="11268" max="11268" width="13.77734375" style="122" customWidth="1"/>
    <col min="11269" max="11269" width="12.77734375" style="122" customWidth="1"/>
    <col min="11270" max="11270" width="15.77734375" style="122" bestFit="1" customWidth="1"/>
    <col min="11271" max="11271" width="13" style="122" bestFit="1" customWidth="1"/>
    <col min="11272" max="11272" width="9" style="122" bestFit="1" customWidth="1"/>
    <col min="11273" max="11273" width="15.44140625" style="122" bestFit="1" customWidth="1"/>
    <col min="11274" max="11274" width="12.44140625" style="122" bestFit="1" customWidth="1"/>
    <col min="11275" max="11277" width="15.77734375" style="122" bestFit="1" customWidth="1"/>
    <col min="11278" max="11279" width="8.88671875" style="122"/>
    <col min="11280" max="11280" width="12.77734375" style="122" bestFit="1" customWidth="1"/>
    <col min="11281" max="11519" width="8.88671875" style="122"/>
    <col min="11520" max="11520" width="5.44140625" style="122" customWidth="1"/>
    <col min="11521" max="11521" width="67.5546875" style="122" customWidth="1"/>
    <col min="11522" max="11523" width="12.21875" style="122" customWidth="1"/>
    <col min="11524" max="11524" width="13.77734375" style="122" customWidth="1"/>
    <col min="11525" max="11525" width="12.77734375" style="122" customWidth="1"/>
    <col min="11526" max="11526" width="15.77734375" style="122" bestFit="1" customWidth="1"/>
    <col min="11527" max="11527" width="13" style="122" bestFit="1" customWidth="1"/>
    <col min="11528" max="11528" width="9" style="122" bestFit="1" customWidth="1"/>
    <col min="11529" max="11529" width="15.44140625" style="122" bestFit="1" customWidth="1"/>
    <col min="11530" max="11530" width="12.44140625" style="122" bestFit="1" customWidth="1"/>
    <col min="11531" max="11533" width="15.77734375" style="122" bestFit="1" customWidth="1"/>
    <col min="11534" max="11535" width="8.88671875" style="122"/>
    <col min="11536" max="11536" width="12.77734375" style="122" bestFit="1" customWidth="1"/>
    <col min="11537" max="11775" width="8.88671875" style="122"/>
    <col min="11776" max="11776" width="5.44140625" style="122" customWidth="1"/>
    <col min="11777" max="11777" width="67.5546875" style="122" customWidth="1"/>
    <col min="11778" max="11779" width="12.21875" style="122" customWidth="1"/>
    <col min="11780" max="11780" width="13.77734375" style="122" customWidth="1"/>
    <col min="11781" max="11781" width="12.77734375" style="122" customWidth="1"/>
    <col min="11782" max="11782" width="15.77734375" style="122" bestFit="1" customWidth="1"/>
    <col min="11783" max="11783" width="13" style="122" bestFit="1" customWidth="1"/>
    <col min="11784" max="11784" width="9" style="122" bestFit="1" customWidth="1"/>
    <col min="11785" max="11785" width="15.44140625" style="122" bestFit="1" customWidth="1"/>
    <col min="11786" max="11786" width="12.44140625" style="122" bestFit="1" customWidth="1"/>
    <col min="11787" max="11789" width="15.77734375" style="122" bestFit="1" customWidth="1"/>
    <col min="11790" max="11791" width="8.88671875" style="122"/>
    <col min="11792" max="11792" width="12.77734375" style="122" bestFit="1" customWidth="1"/>
    <col min="11793" max="12031" width="8.88671875" style="122"/>
    <col min="12032" max="12032" width="5.44140625" style="122" customWidth="1"/>
    <col min="12033" max="12033" width="67.5546875" style="122" customWidth="1"/>
    <col min="12034" max="12035" width="12.21875" style="122" customWidth="1"/>
    <col min="12036" max="12036" width="13.77734375" style="122" customWidth="1"/>
    <col min="12037" max="12037" width="12.77734375" style="122" customWidth="1"/>
    <col min="12038" max="12038" width="15.77734375" style="122" bestFit="1" customWidth="1"/>
    <col min="12039" max="12039" width="13" style="122" bestFit="1" customWidth="1"/>
    <col min="12040" max="12040" width="9" style="122" bestFit="1" customWidth="1"/>
    <col min="12041" max="12041" width="15.44140625" style="122" bestFit="1" customWidth="1"/>
    <col min="12042" max="12042" width="12.44140625" style="122" bestFit="1" customWidth="1"/>
    <col min="12043" max="12045" width="15.77734375" style="122" bestFit="1" customWidth="1"/>
    <col min="12046" max="12047" width="8.88671875" style="122"/>
    <col min="12048" max="12048" width="12.77734375" style="122" bestFit="1" customWidth="1"/>
    <col min="12049" max="12287" width="8.88671875" style="122"/>
    <col min="12288" max="12288" width="5.44140625" style="122" customWidth="1"/>
    <col min="12289" max="12289" width="67.5546875" style="122" customWidth="1"/>
    <col min="12290" max="12291" width="12.21875" style="122" customWidth="1"/>
    <col min="12292" max="12292" width="13.77734375" style="122" customWidth="1"/>
    <col min="12293" max="12293" width="12.77734375" style="122" customWidth="1"/>
    <col min="12294" max="12294" width="15.77734375" style="122" bestFit="1" customWidth="1"/>
    <col min="12295" max="12295" width="13" style="122" bestFit="1" customWidth="1"/>
    <col min="12296" max="12296" width="9" style="122" bestFit="1" customWidth="1"/>
    <col min="12297" max="12297" width="15.44140625" style="122" bestFit="1" customWidth="1"/>
    <col min="12298" max="12298" width="12.44140625" style="122" bestFit="1" customWidth="1"/>
    <col min="12299" max="12301" width="15.77734375" style="122" bestFit="1" customWidth="1"/>
    <col min="12302" max="12303" width="8.88671875" style="122"/>
    <col min="12304" max="12304" width="12.77734375" style="122" bestFit="1" customWidth="1"/>
    <col min="12305" max="12543" width="8.88671875" style="122"/>
    <col min="12544" max="12544" width="5.44140625" style="122" customWidth="1"/>
    <col min="12545" max="12545" width="67.5546875" style="122" customWidth="1"/>
    <col min="12546" max="12547" width="12.21875" style="122" customWidth="1"/>
    <col min="12548" max="12548" width="13.77734375" style="122" customWidth="1"/>
    <col min="12549" max="12549" width="12.77734375" style="122" customWidth="1"/>
    <col min="12550" max="12550" width="15.77734375" style="122" bestFit="1" customWidth="1"/>
    <col min="12551" max="12551" width="13" style="122" bestFit="1" customWidth="1"/>
    <col min="12552" max="12552" width="9" style="122" bestFit="1" customWidth="1"/>
    <col min="12553" max="12553" width="15.44140625" style="122" bestFit="1" customWidth="1"/>
    <col min="12554" max="12554" width="12.44140625" style="122" bestFit="1" customWidth="1"/>
    <col min="12555" max="12557" width="15.77734375" style="122" bestFit="1" customWidth="1"/>
    <col min="12558" max="12559" width="8.88671875" style="122"/>
    <col min="12560" max="12560" width="12.77734375" style="122" bestFit="1" customWidth="1"/>
    <col min="12561" max="12799" width="8.88671875" style="122"/>
    <col min="12800" max="12800" width="5.44140625" style="122" customWidth="1"/>
    <col min="12801" max="12801" width="67.5546875" style="122" customWidth="1"/>
    <col min="12802" max="12803" width="12.21875" style="122" customWidth="1"/>
    <col min="12804" max="12804" width="13.77734375" style="122" customWidth="1"/>
    <col min="12805" max="12805" width="12.77734375" style="122" customWidth="1"/>
    <col min="12806" max="12806" width="15.77734375" style="122" bestFit="1" customWidth="1"/>
    <col min="12807" max="12807" width="13" style="122" bestFit="1" customWidth="1"/>
    <col min="12808" max="12808" width="9" style="122" bestFit="1" customWidth="1"/>
    <col min="12809" max="12809" width="15.44140625" style="122" bestFit="1" customWidth="1"/>
    <col min="12810" max="12810" width="12.44140625" style="122" bestFit="1" customWidth="1"/>
    <col min="12811" max="12813" width="15.77734375" style="122" bestFit="1" customWidth="1"/>
    <col min="12814" max="12815" width="8.88671875" style="122"/>
    <col min="12816" max="12816" width="12.77734375" style="122" bestFit="1" customWidth="1"/>
    <col min="12817" max="13055" width="8.88671875" style="122"/>
    <col min="13056" max="13056" width="5.44140625" style="122" customWidth="1"/>
    <col min="13057" max="13057" width="67.5546875" style="122" customWidth="1"/>
    <col min="13058" max="13059" width="12.21875" style="122" customWidth="1"/>
    <col min="13060" max="13060" width="13.77734375" style="122" customWidth="1"/>
    <col min="13061" max="13061" width="12.77734375" style="122" customWidth="1"/>
    <col min="13062" max="13062" width="15.77734375" style="122" bestFit="1" customWidth="1"/>
    <col min="13063" max="13063" width="13" style="122" bestFit="1" customWidth="1"/>
    <col min="13064" max="13064" width="9" style="122" bestFit="1" customWidth="1"/>
    <col min="13065" max="13065" width="15.44140625" style="122" bestFit="1" customWidth="1"/>
    <col min="13066" max="13066" width="12.44140625" style="122" bestFit="1" customWidth="1"/>
    <col min="13067" max="13069" width="15.77734375" style="122" bestFit="1" customWidth="1"/>
    <col min="13070" max="13071" width="8.88671875" style="122"/>
    <col min="13072" max="13072" width="12.77734375" style="122" bestFit="1" customWidth="1"/>
    <col min="13073" max="13311" width="8.88671875" style="122"/>
    <col min="13312" max="13312" width="5.44140625" style="122" customWidth="1"/>
    <col min="13313" max="13313" width="67.5546875" style="122" customWidth="1"/>
    <col min="13314" max="13315" width="12.21875" style="122" customWidth="1"/>
    <col min="13316" max="13316" width="13.77734375" style="122" customWidth="1"/>
    <col min="13317" max="13317" width="12.77734375" style="122" customWidth="1"/>
    <col min="13318" max="13318" width="15.77734375" style="122" bestFit="1" customWidth="1"/>
    <col min="13319" max="13319" width="13" style="122" bestFit="1" customWidth="1"/>
    <col min="13320" max="13320" width="9" style="122" bestFit="1" customWidth="1"/>
    <col min="13321" max="13321" width="15.44140625" style="122" bestFit="1" customWidth="1"/>
    <col min="13322" max="13322" width="12.44140625" style="122" bestFit="1" customWidth="1"/>
    <col min="13323" max="13325" width="15.77734375" style="122" bestFit="1" customWidth="1"/>
    <col min="13326" max="13327" width="8.88671875" style="122"/>
    <col min="13328" max="13328" width="12.77734375" style="122" bestFit="1" customWidth="1"/>
    <col min="13329" max="13567" width="8.88671875" style="122"/>
    <col min="13568" max="13568" width="5.44140625" style="122" customWidth="1"/>
    <col min="13569" max="13569" width="67.5546875" style="122" customWidth="1"/>
    <col min="13570" max="13571" width="12.21875" style="122" customWidth="1"/>
    <col min="13572" max="13572" width="13.77734375" style="122" customWidth="1"/>
    <col min="13573" max="13573" width="12.77734375" style="122" customWidth="1"/>
    <col min="13574" max="13574" width="15.77734375" style="122" bestFit="1" customWidth="1"/>
    <col min="13575" max="13575" width="13" style="122" bestFit="1" customWidth="1"/>
    <col min="13576" max="13576" width="9" style="122" bestFit="1" customWidth="1"/>
    <col min="13577" max="13577" width="15.44140625" style="122" bestFit="1" customWidth="1"/>
    <col min="13578" max="13578" width="12.44140625" style="122" bestFit="1" customWidth="1"/>
    <col min="13579" max="13581" width="15.77734375" style="122" bestFit="1" customWidth="1"/>
    <col min="13582" max="13583" width="8.88671875" style="122"/>
    <col min="13584" max="13584" width="12.77734375" style="122" bestFit="1" customWidth="1"/>
    <col min="13585" max="13823" width="8.88671875" style="122"/>
    <col min="13824" max="13824" width="5.44140625" style="122" customWidth="1"/>
    <col min="13825" max="13825" width="67.5546875" style="122" customWidth="1"/>
    <col min="13826" max="13827" width="12.21875" style="122" customWidth="1"/>
    <col min="13828" max="13828" width="13.77734375" style="122" customWidth="1"/>
    <col min="13829" max="13829" width="12.77734375" style="122" customWidth="1"/>
    <col min="13830" max="13830" width="15.77734375" style="122" bestFit="1" customWidth="1"/>
    <col min="13831" max="13831" width="13" style="122" bestFit="1" customWidth="1"/>
    <col min="13832" max="13832" width="9" style="122" bestFit="1" customWidth="1"/>
    <col min="13833" max="13833" width="15.44140625" style="122" bestFit="1" customWidth="1"/>
    <col min="13834" max="13834" width="12.44140625" style="122" bestFit="1" customWidth="1"/>
    <col min="13835" max="13837" width="15.77734375" style="122" bestFit="1" customWidth="1"/>
    <col min="13838" max="13839" width="8.88671875" style="122"/>
    <col min="13840" max="13840" width="12.77734375" style="122" bestFit="1" customWidth="1"/>
    <col min="13841" max="14079" width="8.88671875" style="122"/>
    <col min="14080" max="14080" width="5.44140625" style="122" customWidth="1"/>
    <col min="14081" max="14081" width="67.5546875" style="122" customWidth="1"/>
    <col min="14082" max="14083" width="12.21875" style="122" customWidth="1"/>
    <col min="14084" max="14084" width="13.77734375" style="122" customWidth="1"/>
    <col min="14085" max="14085" width="12.77734375" style="122" customWidth="1"/>
    <col min="14086" max="14086" width="15.77734375" style="122" bestFit="1" customWidth="1"/>
    <col min="14087" max="14087" width="13" style="122" bestFit="1" customWidth="1"/>
    <col min="14088" max="14088" width="9" style="122" bestFit="1" customWidth="1"/>
    <col min="14089" max="14089" width="15.44140625" style="122" bestFit="1" customWidth="1"/>
    <col min="14090" max="14090" width="12.44140625" style="122" bestFit="1" customWidth="1"/>
    <col min="14091" max="14093" width="15.77734375" style="122" bestFit="1" customWidth="1"/>
    <col min="14094" max="14095" width="8.88671875" style="122"/>
    <col min="14096" max="14096" width="12.77734375" style="122" bestFit="1" customWidth="1"/>
    <col min="14097" max="14335" width="8.88671875" style="122"/>
    <col min="14336" max="14336" width="5.44140625" style="122" customWidth="1"/>
    <col min="14337" max="14337" width="67.5546875" style="122" customWidth="1"/>
    <col min="14338" max="14339" width="12.21875" style="122" customWidth="1"/>
    <col min="14340" max="14340" width="13.77734375" style="122" customWidth="1"/>
    <col min="14341" max="14341" width="12.77734375" style="122" customWidth="1"/>
    <col min="14342" max="14342" width="15.77734375" style="122" bestFit="1" customWidth="1"/>
    <col min="14343" max="14343" width="13" style="122" bestFit="1" customWidth="1"/>
    <col min="14344" max="14344" width="9" style="122" bestFit="1" customWidth="1"/>
    <col min="14345" max="14345" width="15.44140625" style="122" bestFit="1" customWidth="1"/>
    <col min="14346" max="14346" width="12.44140625" style="122" bestFit="1" customWidth="1"/>
    <col min="14347" max="14349" width="15.77734375" style="122" bestFit="1" customWidth="1"/>
    <col min="14350" max="14351" width="8.88671875" style="122"/>
    <col min="14352" max="14352" width="12.77734375" style="122" bestFit="1" customWidth="1"/>
    <col min="14353" max="14591" width="8.88671875" style="122"/>
    <col min="14592" max="14592" width="5.44140625" style="122" customWidth="1"/>
    <col min="14593" max="14593" width="67.5546875" style="122" customWidth="1"/>
    <col min="14594" max="14595" width="12.21875" style="122" customWidth="1"/>
    <col min="14596" max="14596" width="13.77734375" style="122" customWidth="1"/>
    <col min="14597" max="14597" width="12.77734375" style="122" customWidth="1"/>
    <col min="14598" max="14598" width="15.77734375" style="122" bestFit="1" customWidth="1"/>
    <col min="14599" max="14599" width="13" style="122" bestFit="1" customWidth="1"/>
    <col min="14600" max="14600" width="9" style="122" bestFit="1" customWidth="1"/>
    <col min="14601" max="14601" width="15.44140625" style="122" bestFit="1" customWidth="1"/>
    <col min="14602" max="14602" width="12.44140625" style="122" bestFit="1" customWidth="1"/>
    <col min="14603" max="14605" width="15.77734375" style="122" bestFit="1" customWidth="1"/>
    <col min="14606" max="14607" width="8.88671875" style="122"/>
    <col min="14608" max="14608" width="12.77734375" style="122" bestFit="1" customWidth="1"/>
    <col min="14609" max="14847" width="8.88671875" style="122"/>
    <col min="14848" max="14848" width="5.44140625" style="122" customWidth="1"/>
    <col min="14849" max="14849" width="67.5546875" style="122" customWidth="1"/>
    <col min="14850" max="14851" width="12.21875" style="122" customWidth="1"/>
    <col min="14852" max="14852" width="13.77734375" style="122" customWidth="1"/>
    <col min="14853" max="14853" width="12.77734375" style="122" customWidth="1"/>
    <col min="14854" max="14854" width="15.77734375" style="122" bestFit="1" customWidth="1"/>
    <col min="14855" max="14855" width="13" style="122" bestFit="1" customWidth="1"/>
    <col min="14856" max="14856" width="9" style="122" bestFit="1" customWidth="1"/>
    <col min="14857" max="14857" width="15.44140625" style="122" bestFit="1" customWidth="1"/>
    <col min="14858" max="14858" width="12.44140625" style="122" bestFit="1" customWidth="1"/>
    <col min="14859" max="14861" width="15.77734375" style="122" bestFit="1" customWidth="1"/>
    <col min="14862" max="14863" width="8.88671875" style="122"/>
    <col min="14864" max="14864" width="12.77734375" style="122" bestFit="1" customWidth="1"/>
    <col min="14865" max="15103" width="8.88671875" style="122"/>
    <col min="15104" max="15104" width="5.44140625" style="122" customWidth="1"/>
    <col min="15105" max="15105" width="67.5546875" style="122" customWidth="1"/>
    <col min="15106" max="15107" width="12.21875" style="122" customWidth="1"/>
    <col min="15108" max="15108" width="13.77734375" style="122" customWidth="1"/>
    <col min="15109" max="15109" width="12.77734375" style="122" customWidth="1"/>
    <col min="15110" max="15110" width="15.77734375" style="122" bestFit="1" customWidth="1"/>
    <col min="15111" max="15111" width="13" style="122" bestFit="1" customWidth="1"/>
    <col min="15112" max="15112" width="9" style="122" bestFit="1" customWidth="1"/>
    <col min="15113" max="15113" width="15.44140625" style="122" bestFit="1" customWidth="1"/>
    <col min="15114" max="15114" width="12.44140625" style="122" bestFit="1" customWidth="1"/>
    <col min="15115" max="15117" width="15.77734375" style="122" bestFit="1" customWidth="1"/>
    <col min="15118" max="15119" width="8.88671875" style="122"/>
    <col min="15120" max="15120" width="12.77734375" style="122" bestFit="1" customWidth="1"/>
    <col min="15121" max="15359" width="8.88671875" style="122"/>
    <col min="15360" max="15360" width="5.44140625" style="122" customWidth="1"/>
    <col min="15361" max="15361" width="67.5546875" style="122" customWidth="1"/>
    <col min="15362" max="15363" width="12.21875" style="122" customWidth="1"/>
    <col min="15364" max="15364" width="13.77734375" style="122" customWidth="1"/>
    <col min="15365" max="15365" width="12.77734375" style="122" customWidth="1"/>
    <col min="15366" max="15366" width="15.77734375" style="122" bestFit="1" customWidth="1"/>
    <col min="15367" max="15367" width="13" style="122" bestFit="1" customWidth="1"/>
    <col min="15368" max="15368" width="9" style="122" bestFit="1" customWidth="1"/>
    <col min="15369" max="15369" width="15.44140625" style="122" bestFit="1" customWidth="1"/>
    <col min="15370" max="15370" width="12.44140625" style="122" bestFit="1" customWidth="1"/>
    <col min="15371" max="15373" width="15.77734375" style="122" bestFit="1" customWidth="1"/>
    <col min="15374" max="15375" width="8.88671875" style="122"/>
    <col min="15376" max="15376" width="12.77734375" style="122" bestFit="1" customWidth="1"/>
    <col min="15377" max="15615" width="8.88671875" style="122"/>
    <col min="15616" max="15616" width="5.44140625" style="122" customWidth="1"/>
    <col min="15617" max="15617" width="67.5546875" style="122" customWidth="1"/>
    <col min="15618" max="15619" width="12.21875" style="122" customWidth="1"/>
    <col min="15620" max="15620" width="13.77734375" style="122" customWidth="1"/>
    <col min="15621" max="15621" width="12.77734375" style="122" customWidth="1"/>
    <col min="15622" max="15622" width="15.77734375" style="122" bestFit="1" customWidth="1"/>
    <col min="15623" max="15623" width="13" style="122" bestFit="1" customWidth="1"/>
    <col min="15624" max="15624" width="9" style="122" bestFit="1" customWidth="1"/>
    <col min="15625" max="15625" width="15.44140625" style="122" bestFit="1" customWidth="1"/>
    <col min="15626" max="15626" width="12.44140625" style="122" bestFit="1" customWidth="1"/>
    <col min="15627" max="15629" width="15.77734375" style="122" bestFit="1" customWidth="1"/>
    <col min="15630" max="15631" width="8.88671875" style="122"/>
    <col min="15632" max="15632" width="12.77734375" style="122" bestFit="1" customWidth="1"/>
    <col min="15633" max="15871" width="8.88671875" style="122"/>
    <col min="15872" max="15872" width="5.44140625" style="122" customWidth="1"/>
    <col min="15873" max="15873" width="67.5546875" style="122" customWidth="1"/>
    <col min="15874" max="15875" width="12.21875" style="122" customWidth="1"/>
    <col min="15876" max="15876" width="13.77734375" style="122" customWidth="1"/>
    <col min="15877" max="15877" width="12.77734375" style="122" customWidth="1"/>
    <col min="15878" max="15878" width="15.77734375" style="122" bestFit="1" customWidth="1"/>
    <col min="15879" max="15879" width="13" style="122" bestFit="1" customWidth="1"/>
    <col min="15880" max="15880" width="9" style="122" bestFit="1" customWidth="1"/>
    <col min="15881" max="15881" width="15.44140625" style="122" bestFit="1" customWidth="1"/>
    <col min="15882" max="15882" width="12.44140625" style="122" bestFit="1" customWidth="1"/>
    <col min="15883" max="15885" width="15.77734375" style="122" bestFit="1" customWidth="1"/>
    <col min="15886" max="15887" width="8.88671875" style="122"/>
    <col min="15888" max="15888" width="12.77734375" style="122" bestFit="1" customWidth="1"/>
    <col min="15889" max="16127" width="8.88671875" style="122"/>
    <col min="16128" max="16128" width="5.44140625" style="122" customWidth="1"/>
    <col min="16129" max="16129" width="67.5546875" style="122" customWidth="1"/>
    <col min="16130" max="16131" width="12.21875" style="122" customWidth="1"/>
    <col min="16132" max="16132" width="13.77734375" style="122" customWidth="1"/>
    <col min="16133" max="16133" width="12.77734375" style="122" customWidth="1"/>
    <col min="16134" max="16134" width="15.77734375" style="122" bestFit="1" customWidth="1"/>
    <col min="16135" max="16135" width="13" style="122" bestFit="1" customWidth="1"/>
    <col min="16136" max="16136" width="9" style="122" bestFit="1" customWidth="1"/>
    <col min="16137" max="16137" width="15.44140625" style="122" bestFit="1" customWidth="1"/>
    <col min="16138" max="16138" width="12.44140625" style="122" bestFit="1" customWidth="1"/>
    <col min="16139" max="16141" width="15.77734375" style="122" bestFit="1" customWidth="1"/>
    <col min="16142" max="16143" width="8.88671875" style="122"/>
    <col min="16144" max="16144" width="12.77734375" style="122" bestFit="1" customWidth="1"/>
    <col min="16145" max="16384" width="8.88671875" style="122"/>
  </cols>
  <sheetData>
    <row r="1" spans="1:15" s="117" customFormat="1" ht="12.75" customHeight="1">
      <c r="A1" s="155" t="str">
        <f>+[73]BS!A1</f>
        <v>1908 E-Ventures Private Limited</v>
      </c>
      <c r="G1" s="118"/>
      <c r="L1" s="118"/>
      <c r="M1" s="118"/>
      <c r="N1" s="118"/>
    </row>
    <row r="2" spans="1:15" s="117" customFormat="1" ht="12.75" customHeight="1">
      <c r="A2" s="155" t="s">
        <v>881</v>
      </c>
      <c r="G2" s="118"/>
      <c r="L2" s="118"/>
      <c r="M2" s="118"/>
      <c r="N2" s="118"/>
    </row>
    <row r="3" spans="1:15" s="117" customFormat="1" ht="12.75" customHeight="1">
      <c r="A3" s="8" t="str">
        <f>[73]BS!A3</f>
        <v>[Currency: Indian Rupees(Rs.'000)]</v>
      </c>
      <c r="G3" s="118"/>
      <c r="L3" s="118"/>
      <c r="M3" s="118"/>
      <c r="N3" s="118"/>
    </row>
    <row r="4" spans="1:15" s="117" customFormat="1" ht="12.75" customHeight="1">
      <c r="G4" s="118"/>
      <c r="L4" s="118"/>
      <c r="M4" s="118"/>
      <c r="N4" s="118"/>
    </row>
    <row r="5" spans="1:15" ht="12" customHeight="1">
      <c r="A5" s="119" t="s">
        <v>506</v>
      </c>
      <c r="B5" s="120"/>
      <c r="C5" s="120"/>
      <c r="D5" s="120"/>
      <c r="E5" s="120"/>
      <c r="F5" s="120"/>
      <c r="G5" s="121"/>
      <c r="H5" s="120"/>
      <c r="I5" s="120"/>
      <c r="J5" s="120"/>
      <c r="K5" s="120"/>
      <c r="L5" s="118"/>
      <c r="M5" s="118"/>
      <c r="N5" s="118"/>
    </row>
    <row r="6" spans="1:15" ht="7.5" customHeight="1">
      <c r="A6" s="117"/>
      <c r="B6" s="123"/>
      <c r="C6" s="123"/>
      <c r="D6" s="124"/>
      <c r="E6" s="124"/>
      <c r="F6" s="124"/>
      <c r="G6" s="125"/>
      <c r="H6" s="126"/>
      <c r="I6" s="127"/>
      <c r="J6" s="126"/>
      <c r="K6" s="128"/>
      <c r="L6" s="118"/>
      <c r="M6" s="129"/>
      <c r="N6" s="129"/>
    </row>
    <row r="7" spans="1:15" ht="14.4">
      <c r="A7" s="675"/>
      <c r="B7" s="1250" t="s">
        <v>70</v>
      </c>
      <c r="C7" s="1251"/>
      <c r="D7" s="1251"/>
      <c r="E7" s="1251"/>
      <c r="F7" s="1251"/>
      <c r="G7" s="1252"/>
      <c r="H7" s="1250" t="s">
        <v>71</v>
      </c>
      <c r="I7" s="1251"/>
      <c r="J7" s="1251"/>
      <c r="K7" s="1251"/>
      <c r="L7" s="1252"/>
      <c r="M7" s="459" t="s">
        <v>72</v>
      </c>
      <c r="N7" s="459" t="s">
        <v>72</v>
      </c>
    </row>
    <row r="8" spans="1:15" s="130" customFormat="1" ht="14.4">
      <c r="A8" s="675" t="s">
        <v>73</v>
      </c>
      <c r="B8" s="677" t="s">
        <v>74</v>
      </c>
      <c r="C8" s="677" t="s">
        <v>75</v>
      </c>
      <c r="D8" s="677"/>
      <c r="E8" s="676"/>
      <c r="F8" s="676"/>
      <c r="G8" s="677" t="s">
        <v>74</v>
      </c>
      <c r="H8" s="677" t="s">
        <v>74</v>
      </c>
      <c r="I8" s="676" t="s">
        <v>76</v>
      </c>
      <c r="J8" s="676"/>
      <c r="K8" s="676"/>
      <c r="L8" s="677" t="s">
        <v>74</v>
      </c>
      <c r="M8" s="677" t="s">
        <v>74</v>
      </c>
      <c r="N8" s="677" t="s">
        <v>74</v>
      </c>
    </row>
    <row r="9" spans="1:15" s="130" customFormat="1" ht="14.4">
      <c r="A9" s="461" t="s">
        <v>0</v>
      </c>
      <c r="B9" s="462" t="s">
        <v>1528</v>
      </c>
      <c r="C9" s="463" t="s">
        <v>77</v>
      </c>
      <c r="D9" s="464" t="s">
        <v>56</v>
      </c>
      <c r="E9" s="464" t="s">
        <v>78</v>
      </c>
      <c r="F9" s="464" t="s">
        <v>79</v>
      </c>
      <c r="G9" s="678" t="s">
        <v>1618</v>
      </c>
      <c r="H9" s="462" t="s">
        <v>1528</v>
      </c>
      <c r="I9" s="579" t="s">
        <v>1530</v>
      </c>
      <c r="J9" s="464" t="s">
        <v>78</v>
      </c>
      <c r="K9" s="464" t="s">
        <v>79</v>
      </c>
      <c r="L9" s="678" t="s">
        <v>1618</v>
      </c>
      <c r="M9" s="678" t="s">
        <v>1618</v>
      </c>
      <c r="N9" s="678" t="s">
        <v>1357</v>
      </c>
    </row>
    <row r="10" spans="1:15" s="130" customFormat="1" ht="14.25" customHeight="1">
      <c r="A10" s="465"/>
      <c r="B10" s="466"/>
      <c r="C10" s="467"/>
      <c r="D10" s="467"/>
      <c r="E10" s="467"/>
      <c r="F10" s="467"/>
      <c r="G10" s="467"/>
      <c r="H10" s="468"/>
      <c r="I10" s="469"/>
      <c r="J10" s="469"/>
      <c r="K10" s="470"/>
      <c r="L10" s="470"/>
      <c r="M10" s="470"/>
      <c r="N10" s="470"/>
    </row>
    <row r="11" spans="1:15" s="137" customFormat="1" ht="14.4">
      <c r="A11" s="131" t="s">
        <v>81</v>
      </c>
      <c r="B11" s="4"/>
      <c r="C11" s="132"/>
      <c r="D11" s="132"/>
      <c r="E11" s="132"/>
      <c r="F11" s="132"/>
      <c r="G11" s="133"/>
      <c r="H11" s="132"/>
      <c r="I11" s="134"/>
      <c r="J11" s="134"/>
      <c r="K11" s="135"/>
      <c r="L11" s="136"/>
      <c r="M11" s="136"/>
      <c r="N11" s="136"/>
    </row>
    <row r="12" spans="1:15" s="137" customFormat="1" ht="9" customHeight="1">
      <c r="A12" s="131"/>
      <c r="B12" s="4"/>
      <c r="C12" s="132"/>
      <c r="D12" s="132"/>
      <c r="E12" s="132"/>
      <c r="F12" s="132"/>
      <c r="G12" s="133"/>
      <c r="H12" s="132"/>
      <c r="I12" s="134"/>
      <c r="J12" s="134"/>
      <c r="K12" s="135"/>
      <c r="L12" s="136"/>
      <c r="M12" s="136"/>
      <c r="N12" s="136"/>
    </row>
    <row r="13" spans="1:15" s="137" customFormat="1" ht="14.4">
      <c r="A13" s="138" t="s">
        <v>86</v>
      </c>
      <c r="B13" s="528">
        <v>1890584</v>
      </c>
      <c r="C13" s="531"/>
      <c r="D13" s="969">
        <v>0</v>
      </c>
      <c r="E13" s="969">
        <v>0</v>
      </c>
      <c r="F13" s="531">
        <v>1221096.3500000001</v>
      </c>
      <c r="G13" s="529">
        <f>B13+D13-F13+E13</f>
        <v>669487.64999999991</v>
      </c>
      <c r="H13" s="531">
        <v>1259398</v>
      </c>
      <c r="I13" s="528">
        <v>285200</v>
      </c>
      <c r="J13" s="969">
        <v>0</v>
      </c>
      <c r="K13" s="528">
        <v>999368</v>
      </c>
      <c r="L13" s="529">
        <f>H13+I13+J13-K13</f>
        <v>545230</v>
      </c>
      <c r="M13" s="529">
        <f>G13-L13</f>
        <v>124257.64999999991</v>
      </c>
      <c r="N13" s="529">
        <f>B13-H13</f>
        <v>631186</v>
      </c>
      <c r="O13" s="543"/>
    </row>
    <row r="14" spans="1:15" s="137" customFormat="1" ht="14.4">
      <c r="A14" s="138"/>
      <c r="B14" s="528"/>
      <c r="C14" s="531"/>
      <c r="D14" s="969"/>
      <c r="E14" s="969"/>
      <c r="F14" s="531"/>
      <c r="G14" s="529"/>
      <c r="H14" s="531"/>
      <c r="I14" s="531"/>
      <c r="J14" s="969"/>
      <c r="K14" s="531"/>
      <c r="L14" s="529"/>
      <c r="M14" s="529"/>
      <c r="N14" s="529"/>
      <c r="O14" s="543"/>
    </row>
    <row r="15" spans="1:15" s="137" customFormat="1" ht="14.4">
      <c r="A15" s="138" t="s">
        <v>87</v>
      </c>
      <c r="B15" s="528">
        <v>1176372</v>
      </c>
      <c r="C15" s="528"/>
      <c r="D15" s="970">
        <v>0</v>
      </c>
      <c r="E15" s="969">
        <v>0</v>
      </c>
      <c r="F15" s="531">
        <v>1176372</v>
      </c>
      <c r="G15" s="529">
        <f t="shared" ref="G15:G19" si="0">B15+D15-F15+E15</f>
        <v>0</v>
      </c>
      <c r="H15" s="531">
        <v>1023543</v>
      </c>
      <c r="I15" s="531">
        <v>13981</v>
      </c>
      <c r="J15" s="969">
        <v>0</v>
      </c>
      <c r="K15" s="528">
        <v>1037524</v>
      </c>
      <c r="L15" s="529">
        <f t="shared" ref="L15:L19" si="1">H15+I15+J15-K15</f>
        <v>0</v>
      </c>
      <c r="M15" s="529">
        <f>G15-L15</f>
        <v>0</v>
      </c>
      <c r="N15" s="529">
        <f>B15-H15</f>
        <v>152829</v>
      </c>
      <c r="O15" s="543"/>
    </row>
    <row r="16" spans="1:15" s="137" customFormat="1" ht="14.4">
      <c r="A16" s="138"/>
      <c r="B16" s="528"/>
      <c r="C16" s="531"/>
      <c r="D16" s="969"/>
      <c r="E16" s="969"/>
      <c r="F16" s="969"/>
      <c r="G16" s="529"/>
      <c r="H16" s="531"/>
      <c r="I16" s="531"/>
      <c r="J16" s="969"/>
      <c r="K16" s="969"/>
      <c r="L16" s="529"/>
      <c r="M16" s="529"/>
      <c r="N16" s="529"/>
      <c r="O16" s="543"/>
    </row>
    <row r="17" spans="1:16" s="137" customFormat="1" ht="14.4">
      <c r="A17" s="138" t="s">
        <v>82</v>
      </c>
      <c r="B17" s="528">
        <v>187694</v>
      </c>
      <c r="C17" s="531"/>
      <c r="D17" s="971">
        <v>0</v>
      </c>
      <c r="E17" s="969">
        <v>0</v>
      </c>
      <c r="F17" s="531">
        <v>187694</v>
      </c>
      <c r="G17" s="529">
        <f t="shared" si="0"/>
        <v>0</v>
      </c>
      <c r="H17" s="531">
        <v>165213</v>
      </c>
      <c r="I17" s="531">
        <v>4401</v>
      </c>
      <c r="J17" s="969">
        <v>0</v>
      </c>
      <c r="K17" s="528">
        <v>169614</v>
      </c>
      <c r="L17" s="529">
        <f t="shared" si="1"/>
        <v>0</v>
      </c>
      <c r="M17" s="529">
        <f>G17-L17</f>
        <v>0</v>
      </c>
      <c r="N17" s="529">
        <f>B17-H17</f>
        <v>22481</v>
      </c>
      <c r="O17" s="543"/>
    </row>
    <row r="18" spans="1:16" s="137" customFormat="1" ht="14.4">
      <c r="A18" s="138"/>
      <c r="B18" s="528"/>
      <c r="C18" s="531"/>
      <c r="D18" s="969"/>
      <c r="E18" s="969"/>
      <c r="F18" s="531"/>
      <c r="G18" s="529"/>
      <c r="H18" s="531"/>
      <c r="I18" s="531"/>
      <c r="J18" s="969"/>
      <c r="K18" s="531"/>
      <c r="L18" s="529"/>
      <c r="M18" s="529"/>
      <c r="N18" s="529"/>
      <c r="O18" s="679">
        <f>K19-N19</f>
        <v>338401</v>
      </c>
    </row>
    <row r="19" spans="1:16" s="137" customFormat="1" ht="14.4">
      <c r="A19" s="138" t="s">
        <v>88</v>
      </c>
      <c r="B19" s="528">
        <v>889490</v>
      </c>
      <c r="C19" s="531"/>
      <c r="D19" s="969">
        <v>0</v>
      </c>
      <c r="E19" s="969">
        <v>0</v>
      </c>
      <c r="F19" s="531">
        <v>591089.6</v>
      </c>
      <c r="G19" s="529">
        <f t="shared" si="0"/>
        <v>298400.40000000002</v>
      </c>
      <c r="H19" s="531">
        <v>706718</v>
      </c>
      <c r="I19" s="531">
        <v>57423</v>
      </c>
      <c r="J19" s="969">
        <v>0</v>
      </c>
      <c r="K19" s="531">
        <v>521173</v>
      </c>
      <c r="L19" s="529">
        <f t="shared" si="1"/>
        <v>242968</v>
      </c>
      <c r="M19" s="529">
        <f>G19-L19</f>
        <v>55432.400000000023</v>
      </c>
      <c r="N19" s="529">
        <f>B19-H19</f>
        <v>182772</v>
      </c>
      <c r="O19" s="543">
        <v>15906</v>
      </c>
      <c r="P19" s="137" t="s">
        <v>977</v>
      </c>
    </row>
    <row r="20" spans="1:16" s="137" customFormat="1" ht="7.5" customHeight="1">
      <c r="A20" s="138"/>
      <c r="B20" s="528"/>
      <c r="C20" s="531"/>
      <c r="D20" s="531"/>
      <c r="E20" s="531"/>
      <c r="F20" s="531"/>
      <c r="G20" s="542"/>
      <c r="H20" s="531"/>
      <c r="I20" s="531"/>
      <c r="J20" s="531"/>
      <c r="K20" s="528"/>
      <c r="L20" s="529"/>
      <c r="M20" s="529"/>
      <c r="N20" s="529"/>
      <c r="O20" s="543"/>
    </row>
    <row r="21" spans="1:16" s="137" customFormat="1" ht="14.4">
      <c r="A21" s="139"/>
      <c r="B21" s="532"/>
      <c r="C21" s="545"/>
      <c r="D21" s="545"/>
      <c r="E21" s="545"/>
      <c r="F21" s="546"/>
      <c r="G21" s="547"/>
      <c r="H21" s="545"/>
      <c r="I21" s="545"/>
      <c r="J21" s="545"/>
      <c r="K21" s="532"/>
      <c r="L21" s="548"/>
      <c r="M21" s="548"/>
      <c r="N21" s="548"/>
      <c r="O21" s="543">
        <v>28000</v>
      </c>
      <c r="P21" s="137" t="s">
        <v>977</v>
      </c>
    </row>
    <row r="22" spans="1:16" s="137" customFormat="1" ht="8.25" customHeight="1">
      <c r="A22" s="680"/>
      <c r="B22" s="681"/>
      <c r="C22" s="682"/>
      <c r="D22" s="682"/>
      <c r="E22" s="682"/>
      <c r="F22" s="683"/>
      <c r="G22" s="684"/>
      <c r="H22" s="682"/>
      <c r="I22" s="682"/>
      <c r="J22" s="682"/>
      <c r="K22" s="681"/>
      <c r="L22" s="684"/>
      <c r="M22" s="684"/>
      <c r="N22" s="684"/>
      <c r="O22" s="543"/>
    </row>
    <row r="23" spans="1:16" s="144" customFormat="1" ht="14.25" customHeight="1">
      <c r="A23" s="143" t="s">
        <v>51</v>
      </c>
      <c r="B23" s="553">
        <f>SUM(B13:B20)-10</f>
        <v>4144130</v>
      </c>
      <c r="C23" s="553">
        <f t="shared" ref="C23:L23" si="2">SUM(C13:C20)</f>
        <v>0</v>
      </c>
      <c r="D23" s="553">
        <f t="shared" si="2"/>
        <v>0</v>
      </c>
      <c r="E23" s="553">
        <f t="shared" si="2"/>
        <v>0</v>
      </c>
      <c r="F23" s="553">
        <f t="shared" si="2"/>
        <v>3176251.95</v>
      </c>
      <c r="G23" s="553">
        <f>SUM(G13:G20)</f>
        <v>967888.04999999993</v>
      </c>
      <c r="H23" s="553">
        <f t="shared" si="2"/>
        <v>3154872</v>
      </c>
      <c r="I23" s="553">
        <f>SUM(I13:I20)-10</f>
        <v>360995</v>
      </c>
      <c r="J23" s="553">
        <f t="shared" si="2"/>
        <v>0</v>
      </c>
      <c r="K23" s="553">
        <f>SUM(K13:K20)-10</f>
        <v>2727669</v>
      </c>
      <c r="L23" s="553">
        <f t="shared" si="2"/>
        <v>788198</v>
      </c>
      <c r="M23" s="553">
        <f>SUM(M13:M20)</f>
        <v>179690.04999999993</v>
      </c>
      <c r="N23" s="553">
        <f>SUM(N13:N20)</f>
        <v>989268</v>
      </c>
      <c r="O23" s="555">
        <v>15467932</v>
      </c>
    </row>
    <row r="24" spans="1:16" ht="6" customHeight="1">
      <c r="A24" s="145"/>
      <c r="B24" s="556"/>
      <c r="C24" s="557"/>
      <c r="D24" s="558"/>
      <c r="E24" s="559"/>
      <c r="F24" s="558"/>
      <c r="G24" s="557"/>
      <c r="H24" s="560"/>
      <c r="I24" s="561"/>
      <c r="J24" s="562"/>
      <c r="K24" s="563"/>
      <c r="L24" s="557"/>
      <c r="M24" s="557"/>
      <c r="N24" s="557"/>
      <c r="O24" s="555"/>
    </row>
    <row r="25" spans="1:16" ht="14.4">
      <c r="A25" s="146"/>
      <c r="B25" s="564"/>
      <c r="C25" s="565"/>
      <c r="D25" s="566"/>
      <c r="E25" s="567"/>
      <c r="F25" s="566"/>
      <c r="G25" s="568"/>
      <c r="H25" s="569"/>
      <c r="I25" s="570"/>
      <c r="J25" s="571"/>
      <c r="K25" s="572"/>
      <c r="L25" s="568"/>
      <c r="M25" s="565"/>
      <c r="N25" s="565">
        <f>F23-F25</f>
        <v>3176251.95</v>
      </c>
      <c r="O25" s="679">
        <f>N23-O23</f>
        <v>-14478664</v>
      </c>
    </row>
    <row r="26" spans="1:16" ht="14.4" hidden="1">
      <c r="A26" s="675"/>
      <c r="B26" s="1253" t="s">
        <v>70</v>
      </c>
      <c r="C26" s="1254"/>
      <c r="D26" s="1254"/>
      <c r="E26" s="1254"/>
      <c r="F26" s="1254"/>
      <c r="G26" s="1255"/>
      <c r="H26" s="1253" t="s">
        <v>71</v>
      </c>
      <c r="I26" s="1254"/>
      <c r="J26" s="1254"/>
      <c r="K26" s="1254"/>
      <c r="L26" s="1255"/>
      <c r="M26" s="574" t="s">
        <v>72</v>
      </c>
      <c r="N26" s="574"/>
      <c r="O26" s="555"/>
    </row>
    <row r="27" spans="1:16" s="130" customFormat="1" ht="14.4" hidden="1">
      <c r="A27" s="675" t="s">
        <v>73</v>
      </c>
      <c r="B27" s="686" t="s">
        <v>74</v>
      </c>
      <c r="C27" s="686" t="s">
        <v>75</v>
      </c>
      <c r="D27" s="686"/>
      <c r="E27" s="685"/>
      <c r="F27" s="685"/>
      <c r="G27" s="686" t="s">
        <v>74</v>
      </c>
      <c r="H27" s="686" t="s">
        <v>74</v>
      </c>
      <c r="I27" s="685" t="s">
        <v>76</v>
      </c>
      <c r="J27" s="685"/>
      <c r="K27" s="685"/>
      <c r="L27" s="686" t="s">
        <v>74</v>
      </c>
      <c r="M27" s="686" t="s">
        <v>74</v>
      </c>
      <c r="N27" s="686"/>
      <c r="O27" s="576"/>
    </row>
    <row r="28" spans="1:16" s="130" customFormat="1" ht="14.4" hidden="1">
      <c r="A28" s="461" t="s">
        <v>0</v>
      </c>
      <c r="B28" s="577" t="s">
        <v>1356</v>
      </c>
      <c r="C28" s="578" t="s">
        <v>77</v>
      </c>
      <c r="D28" s="579" t="s">
        <v>56</v>
      </c>
      <c r="E28" s="579" t="s">
        <v>78</v>
      </c>
      <c r="F28" s="579" t="s">
        <v>79</v>
      </c>
      <c r="G28" s="577" t="s">
        <v>1357</v>
      </c>
      <c r="H28" s="577" t="s">
        <v>1356</v>
      </c>
      <c r="I28" s="579" t="s">
        <v>1530</v>
      </c>
      <c r="J28" s="579" t="s">
        <v>78</v>
      </c>
      <c r="K28" s="579" t="s">
        <v>79</v>
      </c>
      <c r="L28" s="577" t="s">
        <v>1357</v>
      </c>
      <c r="M28" s="577" t="s">
        <v>1357</v>
      </c>
      <c r="N28" s="577"/>
      <c r="O28" s="576"/>
    </row>
    <row r="29" spans="1:16" s="130" customFormat="1" ht="14.25" hidden="1" customHeight="1">
      <c r="A29" s="465"/>
      <c r="B29" s="556"/>
      <c r="C29" s="557"/>
      <c r="D29" s="557"/>
      <c r="E29" s="557"/>
      <c r="F29" s="557"/>
      <c r="G29" s="557"/>
      <c r="H29" s="560"/>
      <c r="I29" s="580"/>
      <c r="J29" s="580"/>
      <c r="K29" s="581"/>
      <c r="L29" s="581"/>
      <c r="M29" s="581"/>
      <c r="N29" s="581"/>
      <c r="O29" s="576"/>
    </row>
    <row r="30" spans="1:16" ht="26.25" hidden="1" customHeight="1">
      <c r="A30" s="147" t="s">
        <v>81</v>
      </c>
      <c r="B30" s="582"/>
      <c r="C30" s="583"/>
      <c r="D30" s="583"/>
      <c r="E30" s="583"/>
      <c r="F30" s="583"/>
      <c r="G30" s="568"/>
      <c r="H30" s="583"/>
      <c r="I30" s="584"/>
      <c r="J30" s="584"/>
      <c r="K30" s="585"/>
      <c r="L30" s="586"/>
      <c r="M30" s="586"/>
      <c r="N30" s="586"/>
      <c r="O30" s="555"/>
    </row>
    <row r="31" spans="1:16" ht="6" hidden="1" customHeight="1">
      <c r="A31" s="147"/>
      <c r="B31" s="582"/>
      <c r="C31" s="583"/>
      <c r="D31" s="583"/>
      <c r="E31" s="583"/>
      <c r="F31" s="583"/>
      <c r="G31" s="568"/>
      <c r="H31" s="583"/>
      <c r="I31" s="584"/>
      <c r="J31" s="584"/>
      <c r="K31" s="585"/>
      <c r="L31" s="586"/>
      <c r="M31" s="586"/>
      <c r="N31" s="586"/>
      <c r="O31" s="555"/>
    </row>
    <row r="32" spans="1:16" s="137" customFormat="1" ht="14.4" hidden="1">
      <c r="A32" s="138" t="s">
        <v>86</v>
      </c>
      <c r="B32" s="528">
        <v>1354117</v>
      </c>
      <c r="C32" s="531"/>
      <c r="D32" s="531">
        <v>705874</v>
      </c>
      <c r="E32" s="531">
        <v>0</v>
      </c>
      <c r="F32" s="531">
        <v>169407</v>
      </c>
      <c r="G32" s="542">
        <v>1890584</v>
      </c>
      <c r="H32" s="531">
        <v>781244</v>
      </c>
      <c r="I32" s="531">
        <v>604793</v>
      </c>
      <c r="J32" s="531">
        <v>0</v>
      </c>
      <c r="K32" s="528">
        <v>126639</v>
      </c>
      <c r="L32" s="529">
        <v>1259398</v>
      </c>
      <c r="M32" s="529">
        <v>631186</v>
      </c>
      <c r="N32" s="529"/>
      <c r="O32" s="543"/>
    </row>
    <row r="33" spans="1:16" s="137" customFormat="1" ht="5.25" hidden="1" customHeight="1">
      <c r="A33" s="138"/>
      <c r="B33" s="528"/>
      <c r="C33" s="531"/>
      <c r="D33" s="531"/>
      <c r="E33" s="531"/>
      <c r="F33" s="531"/>
      <c r="G33" s="542"/>
      <c r="H33" s="531"/>
      <c r="I33" s="531"/>
      <c r="J33" s="531"/>
      <c r="K33" s="531"/>
      <c r="L33" s="529"/>
      <c r="M33" s="529"/>
      <c r="N33" s="529"/>
      <c r="O33" s="543"/>
    </row>
    <row r="34" spans="1:16" s="137" customFormat="1" ht="14.4" hidden="1">
      <c r="A34" s="138" t="s">
        <v>87</v>
      </c>
      <c r="B34" s="528">
        <v>1065072</v>
      </c>
      <c r="C34" s="528"/>
      <c r="D34" s="528">
        <v>111300</v>
      </c>
      <c r="E34" s="531">
        <v>0</v>
      </c>
      <c r="F34" s="528">
        <v>0</v>
      </c>
      <c r="G34" s="542">
        <v>1176372</v>
      </c>
      <c r="H34" s="531">
        <v>888571</v>
      </c>
      <c r="I34" s="531">
        <v>134972</v>
      </c>
      <c r="J34" s="531">
        <v>0</v>
      </c>
      <c r="K34" s="531">
        <v>0</v>
      </c>
      <c r="L34" s="529">
        <v>1023543</v>
      </c>
      <c r="M34" s="529">
        <v>152829</v>
      </c>
      <c r="N34" s="529"/>
      <c r="O34" s="543"/>
    </row>
    <row r="35" spans="1:16" s="137" customFormat="1" ht="6.75" hidden="1" customHeight="1">
      <c r="A35" s="138"/>
      <c r="B35" s="528"/>
      <c r="C35" s="531"/>
      <c r="D35" s="531"/>
      <c r="E35" s="531"/>
      <c r="F35" s="531"/>
      <c r="G35" s="542"/>
      <c r="H35" s="531"/>
      <c r="I35" s="531"/>
      <c r="J35" s="531"/>
      <c r="K35" s="531"/>
      <c r="L35" s="529"/>
      <c r="M35" s="529"/>
      <c r="N35" s="529"/>
      <c r="O35" s="543"/>
    </row>
    <row r="36" spans="1:16" s="137" customFormat="1" ht="14.4" hidden="1">
      <c r="A36" s="138" t="s">
        <v>82</v>
      </c>
      <c r="B36" s="528">
        <v>187694</v>
      </c>
      <c r="C36" s="531"/>
      <c r="D36" s="531">
        <v>0</v>
      </c>
      <c r="E36" s="531">
        <v>0</v>
      </c>
      <c r="F36" s="531">
        <v>0</v>
      </c>
      <c r="G36" s="542">
        <v>187694</v>
      </c>
      <c r="H36" s="531">
        <v>157361</v>
      </c>
      <c r="I36" s="531">
        <v>7852</v>
      </c>
      <c r="J36" s="531">
        <v>0</v>
      </c>
      <c r="K36" s="531">
        <v>0</v>
      </c>
      <c r="L36" s="529">
        <v>165213</v>
      </c>
      <c r="M36" s="529">
        <v>22481</v>
      </c>
      <c r="N36" s="529"/>
      <c r="O36" s="543"/>
    </row>
    <row r="37" spans="1:16" s="137" customFormat="1" ht="9.75" hidden="1" customHeight="1">
      <c r="A37" s="138"/>
      <c r="B37" s="528"/>
      <c r="C37" s="531"/>
      <c r="D37" s="531"/>
      <c r="E37" s="531"/>
      <c r="F37" s="531"/>
      <c r="G37" s="542"/>
      <c r="H37" s="531"/>
      <c r="I37" s="531"/>
      <c r="J37" s="531"/>
      <c r="K37" s="531"/>
      <c r="L37" s="529"/>
      <c r="M37" s="529"/>
      <c r="N37" s="529"/>
      <c r="O37" s="543"/>
    </row>
    <row r="38" spans="1:16" s="137" customFormat="1" ht="14.4" hidden="1">
      <c r="A38" s="138" t="s">
        <v>88</v>
      </c>
      <c r="B38" s="528">
        <v>749321</v>
      </c>
      <c r="C38" s="531"/>
      <c r="D38" s="531">
        <v>140169</v>
      </c>
      <c r="E38" s="531">
        <v>0</v>
      </c>
      <c r="F38" s="531">
        <v>0</v>
      </c>
      <c r="G38" s="542">
        <v>889490</v>
      </c>
      <c r="H38" s="531">
        <v>567317</v>
      </c>
      <c r="I38" s="531">
        <v>139401</v>
      </c>
      <c r="J38" s="531">
        <v>0</v>
      </c>
      <c r="K38" s="531">
        <v>0</v>
      </c>
      <c r="L38" s="529">
        <v>706718</v>
      </c>
      <c r="M38" s="529">
        <v>182772</v>
      </c>
      <c r="N38" s="529"/>
      <c r="O38" s="543">
        <v>15906</v>
      </c>
      <c r="P38" s="137" t="s">
        <v>977</v>
      </c>
    </row>
    <row r="39" spans="1:16" s="137" customFormat="1" ht="3.75" hidden="1" customHeight="1">
      <c r="A39" s="138"/>
      <c r="B39" s="528"/>
      <c r="C39" s="531"/>
      <c r="D39" s="531"/>
      <c r="E39" s="531"/>
      <c r="F39" s="531"/>
      <c r="G39" s="542"/>
      <c r="H39" s="531"/>
      <c r="I39" s="531"/>
      <c r="J39" s="531"/>
      <c r="K39" s="528"/>
      <c r="L39" s="529"/>
      <c r="M39" s="529"/>
      <c r="N39" s="529"/>
      <c r="O39" s="543"/>
    </row>
    <row r="40" spans="1:16" s="137" customFormat="1" ht="11.25" hidden="1" customHeight="1">
      <c r="A40" s="139"/>
      <c r="B40" s="532"/>
      <c r="C40" s="545"/>
      <c r="D40" s="545"/>
      <c r="E40" s="545"/>
      <c r="F40" s="546"/>
      <c r="G40" s="547"/>
      <c r="H40" s="545"/>
      <c r="I40" s="545"/>
      <c r="J40" s="545"/>
      <c r="K40" s="532"/>
      <c r="L40" s="548"/>
      <c r="M40" s="548"/>
      <c r="N40" s="548"/>
      <c r="O40" s="543"/>
    </row>
    <row r="41" spans="1:16" s="137" customFormat="1" ht="8.25" hidden="1" customHeight="1">
      <c r="A41" s="680"/>
      <c r="B41" s="681"/>
      <c r="C41" s="682"/>
      <c r="D41" s="682"/>
      <c r="E41" s="682"/>
      <c r="F41" s="683"/>
      <c r="G41" s="684"/>
      <c r="H41" s="682"/>
      <c r="I41" s="682"/>
      <c r="J41" s="682"/>
      <c r="K41" s="681"/>
      <c r="L41" s="684"/>
      <c r="M41" s="684"/>
      <c r="N41" s="684"/>
      <c r="O41" s="543"/>
    </row>
    <row r="42" spans="1:16" s="144" customFormat="1" ht="12.75" hidden="1" customHeight="1">
      <c r="A42" s="143" t="s">
        <v>51</v>
      </c>
      <c r="B42" s="553">
        <f t="shared" ref="B42:H42" si="3">SUM(B32:B39)</f>
        <v>3356204</v>
      </c>
      <c r="C42" s="553">
        <f t="shared" si="3"/>
        <v>0</v>
      </c>
      <c r="D42" s="553">
        <f t="shared" si="3"/>
        <v>957343</v>
      </c>
      <c r="E42" s="553">
        <f t="shared" si="3"/>
        <v>0</v>
      </c>
      <c r="F42" s="553">
        <f t="shared" si="3"/>
        <v>169407</v>
      </c>
      <c r="G42" s="553">
        <f t="shared" si="3"/>
        <v>4144140</v>
      </c>
      <c r="H42" s="553">
        <f t="shared" si="3"/>
        <v>2394493</v>
      </c>
      <c r="I42" s="553">
        <f>SUM(I32:I39)</f>
        <v>887018</v>
      </c>
      <c r="J42" s="553">
        <f>SUM(J32:J39)</f>
        <v>0</v>
      </c>
      <c r="K42" s="553">
        <f>SUM(K32:K39)</f>
        <v>126639</v>
      </c>
      <c r="L42" s="553">
        <f>SUM(L32:L39)</f>
        <v>3154872</v>
      </c>
      <c r="M42" s="553">
        <f>SUM(M32:M39)</f>
        <v>989268</v>
      </c>
      <c r="N42" s="553"/>
      <c r="O42" s="554"/>
    </row>
    <row r="43" spans="1:16" s="137" customFormat="1" ht="4.5" hidden="1" customHeight="1">
      <c r="A43" s="148"/>
      <c r="B43" s="548"/>
      <c r="C43" s="547"/>
      <c r="D43" s="547"/>
      <c r="E43" s="547"/>
      <c r="F43" s="547"/>
      <c r="G43" s="547"/>
      <c r="H43" s="545"/>
      <c r="I43" s="547"/>
      <c r="J43" s="545"/>
      <c r="K43" s="532"/>
      <c r="L43" s="547"/>
      <c r="M43" s="547"/>
      <c r="N43" s="547"/>
      <c r="O43" s="543"/>
    </row>
    <row r="44" spans="1:16" s="137" customFormat="1" ht="14.4">
      <c r="A44" s="687"/>
      <c r="B44" s="1247" t="s">
        <v>70</v>
      </c>
      <c r="C44" s="1248"/>
      <c r="D44" s="1248"/>
      <c r="E44" s="1248"/>
      <c r="F44" s="1248"/>
      <c r="G44" s="1249"/>
      <c r="H44" s="1247" t="s">
        <v>71</v>
      </c>
      <c r="I44" s="1248"/>
      <c r="J44" s="1248"/>
      <c r="K44" s="1248"/>
      <c r="L44" s="1249"/>
      <c r="M44" s="588" t="s">
        <v>72</v>
      </c>
      <c r="N44" s="588" t="s">
        <v>72</v>
      </c>
      <c r="O44" s="543"/>
    </row>
    <row r="45" spans="1:16" s="144" customFormat="1" ht="14.4">
      <c r="A45" s="687" t="s">
        <v>73</v>
      </c>
      <c r="B45" s="689" t="s">
        <v>74</v>
      </c>
      <c r="C45" s="689" t="s">
        <v>75</v>
      </c>
      <c r="D45" s="688"/>
      <c r="E45" s="688"/>
      <c r="F45" s="688"/>
      <c r="G45" s="689" t="s">
        <v>74</v>
      </c>
      <c r="H45" s="689" t="s">
        <v>74</v>
      </c>
      <c r="I45" s="688" t="s">
        <v>76</v>
      </c>
      <c r="J45" s="688"/>
      <c r="K45" s="688"/>
      <c r="L45" s="689" t="s">
        <v>74</v>
      </c>
      <c r="M45" s="689" t="s">
        <v>74</v>
      </c>
      <c r="N45" s="856" t="str">
        <f>N8</f>
        <v>As at</v>
      </c>
      <c r="O45" s="554"/>
    </row>
    <row r="46" spans="1:16" s="861" customFormat="1" ht="14.4">
      <c r="A46" s="859" t="s">
        <v>0</v>
      </c>
      <c r="B46" s="856" t="str">
        <f>+B9</f>
        <v>1 April 2023</v>
      </c>
      <c r="C46" s="857" t="s">
        <v>77</v>
      </c>
      <c r="D46" s="858" t="s">
        <v>56</v>
      </c>
      <c r="E46" s="858" t="s">
        <v>78</v>
      </c>
      <c r="F46" s="858" t="s">
        <v>79</v>
      </c>
      <c r="G46" s="856" t="str">
        <f>+G9</f>
        <v>31 March 2024</v>
      </c>
      <c r="H46" s="856" t="str">
        <f>+H9</f>
        <v>1 April 2023</v>
      </c>
      <c r="I46" s="858" t="s">
        <v>80</v>
      </c>
      <c r="J46" s="858" t="s">
        <v>78</v>
      </c>
      <c r="K46" s="858" t="s">
        <v>79</v>
      </c>
      <c r="L46" s="856" t="str">
        <f>+L9</f>
        <v>31 March 2024</v>
      </c>
      <c r="M46" s="856" t="str">
        <f>+M9</f>
        <v>31 March 2024</v>
      </c>
      <c r="N46" s="856" t="str">
        <f>N9</f>
        <v>31 March 2023</v>
      </c>
      <c r="O46" s="860"/>
    </row>
    <row r="47" spans="1:16" s="144" customFormat="1" ht="14.25" customHeight="1">
      <c r="A47" s="473"/>
      <c r="B47" s="548"/>
      <c r="C47" s="547"/>
      <c r="D47" s="547"/>
      <c r="E47" s="547"/>
      <c r="F47" s="547"/>
      <c r="G47" s="547"/>
      <c r="H47" s="545"/>
      <c r="I47" s="593"/>
      <c r="J47" s="593"/>
      <c r="K47" s="594"/>
      <c r="L47" s="594"/>
      <c r="M47" s="594"/>
      <c r="N47" s="594"/>
      <c r="O47" s="554"/>
    </row>
    <row r="48" spans="1:16" s="137" customFormat="1" ht="9" customHeight="1">
      <c r="A48" s="138"/>
      <c r="B48" s="681"/>
      <c r="C48" s="681"/>
      <c r="D48" s="681"/>
      <c r="E48" s="681"/>
      <c r="F48" s="681"/>
      <c r="G48" s="690"/>
      <c r="H48" s="681"/>
      <c r="I48" s="681"/>
      <c r="J48" s="681"/>
      <c r="K48" s="681"/>
      <c r="L48" s="690"/>
      <c r="M48" s="690"/>
      <c r="N48" s="690"/>
      <c r="O48" s="543"/>
    </row>
    <row r="49" spans="1:18" s="137" customFormat="1" ht="14.4">
      <c r="A49" s="131" t="s">
        <v>83</v>
      </c>
      <c r="B49" s="528"/>
      <c r="C49" s="528"/>
      <c r="D49" s="528"/>
      <c r="E49" s="528"/>
      <c r="F49" s="528"/>
      <c r="G49" s="529"/>
      <c r="H49" s="528"/>
      <c r="I49" s="528"/>
      <c r="J49" s="528"/>
      <c r="K49" s="528"/>
      <c r="L49" s="529"/>
      <c r="M49" s="529"/>
      <c r="N49" s="529"/>
      <c r="O49" s="543"/>
    </row>
    <row r="50" spans="1:18" s="137" customFormat="1" ht="8.25" customHeight="1">
      <c r="A50" s="131"/>
      <c r="B50" s="528"/>
      <c r="C50" s="528"/>
      <c r="D50" s="528"/>
      <c r="E50" s="528"/>
      <c r="F50" s="528"/>
      <c r="G50" s="542"/>
      <c r="H50" s="528"/>
      <c r="I50" s="528"/>
      <c r="J50" s="528"/>
      <c r="K50" s="528"/>
      <c r="L50" s="596"/>
      <c r="M50" s="529"/>
      <c r="N50" s="529"/>
      <c r="O50" s="543"/>
    </row>
    <row r="51" spans="1:18" s="137" customFormat="1" ht="14.4">
      <c r="A51" s="138" t="s">
        <v>84</v>
      </c>
      <c r="B51" s="528">
        <v>420938</v>
      </c>
      <c r="C51" s="528" t="s">
        <v>1185</v>
      </c>
      <c r="D51" s="528">
        <v>0</v>
      </c>
      <c r="E51" s="528">
        <v>0</v>
      </c>
      <c r="F51" s="528">
        <v>0</v>
      </c>
      <c r="G51" s="542">
        <f>B51+D51+E51-F51</f>
        <v>420938</v>
      </c>
      <c r="H51" s="528">
        <v>298043</v>
      </c>
      <c r="I51" s="528">
        <v>20520</v>
      </c>
      <c r="J51" s="528">
        <v>0</v>
      </c>
      <c r="K51" s="528">
        <v>0</v>
      </c>
      <c r="L51" s="596">
        <f>H51+I51+J51-K51</f>
        <v>318563</v>
      </c>
      <c r="M51" s="529">
        <f>G51-L51</f>
        <v>102375</v>
      </c>
      <c r="N51" s="529">
        <f>B51-H51</f>
        <v>122895</v>
      </c>
      <c r="O51" s="543"/>
    </row>
    <row r="52" spans="1:18" s="137" customFormat="1" ht="9.75" customHeight="1">
      <c r="A52" s="138"/>
      <c r="B52" s="528"/>
      <c r="C52" s="528"/>
      <c r="D52" s="528"/>
      <c r="E52" s="528"/>
      <c r="F52" s="528"/>
      <c r="G52" s="542"/>
      <c r="H52" s="528"/>
      <c r="I52" s="528"/>
      <c r="J52" s="528"/>
      <c r="K52" s="528"/>
      <c r="L52" s="596"/>
      <c r="M52" s="529"/>
      <c r="N52" s="529"/>
      <c r="O52" s="543"/>
    </row>
    <row r="53" spans="1:18" s="137" customFormat="1" ht="14.4">
      <c r="A53" s="138" t="s">
        <v>1083</v>
      </c>
      <c r="B53" s="528">
        <v>18525600</v>
      </c>
      <c r="C53" s="528"/>
      <c r="D53" s="528">
        <v>0</v>
      </c>
      <c r="E53" s="528">
        <v>0</v>
      </c>
      <c r="F53" s="528">
        <v>0</v>
      </c>
      <c r="G53" s="542">
        <f>B53+D53+E53-F53</f>
        <v>18525600</v>
      </c>
      <c r="H53" s="528">
        <v>4003208</v>
      </c>
      <c r="I53" s="528">
        <v>1989019</v>
      </c>
      <c r="J53" s="528">
        <v>0</v>
      </c>
      <c r="K53" s="528">
        <v>0</v>
      </c>
      <c r="L53" s="596">
        <f>H53+I53+J53-K53</f>
        <v>5992227</v>
      </c>
      <c r="M53" s="529">
        <f>G53-L53</f>
        <v>12533373</v>
      </c>
      <c r="N53" s="529">
        <f>B53-H53</f>
        <v>14522392</v>
      </c>
      <c r="O53" s="543"/>
    </row>
    <row r="54" spans="1:18" s="137" customFormat="1" ht="14.4">
      <c r="A54" s="138"/>
      <c r="B54" s="528"/>
      <c r="C54" s="528"/>
      <c r="D54" s="528"/>
      <c r="E54" s="528"/>
      <c r="F54" s="528"/>
      <c r="G54" s="542"/>
      <c r="H54" s="528"/>
      <c r="I54" s="528"/>
      <c r="J54" s="528"/>
      <c r="K54" s="528"/>
      <c r="L54" s="596"/>
      <c r="M54" s="529"/>
      <c r="N54" s="529"/>
      <c r="O54" s="543"/>
    </row>
    <row r="55" spans="1:18" s="137" customFormat="1" ht="14.4">
      <c r="A55" s="138" t="s">
        <v>89</v>
      </c>
      <c r="B55" s="528">
        <v>927056</v>
      </c>
      <c r="C55" s="528" t="s">
        <v>1185</v>
      </c>
      <c r="D55" s="528">
        <v>0</v>
      </c>
      <c r="E55" s="528">
        <v>0</v>
      </c>
      <c r="F55" s="528">
        <v>0</v>
      </c>
      <c r="G55" s="542">
        <f>B55+D55+E55-F55</f>
        <v>927056</v>
      </c>
      <c r="H55" s="528">
        <v>927056</v>
      </c>
      <c r="I55" s="528">
        <v>0</v>
      </c>
      <c r="J55" s="528">
        <v>0</v>
      </c>
      <c r="K55" s="528">
        <v>0</v>
      </c>
      <c r="L55" s="596">
        <f>H55+I55+J55-K55</f>
        <v>927056</v>
      </c>
      <c r="M55" s="529">
        <f>G55-L55</f>
        <v>0</v>
      </c>
      <c r="N55" s="529">
        <f>B55-H55</f>
        <v>0</v>
      </c>
      <c r="O55" s="543"/>
    </row>
    <row r="56" spans="1:18" s="137" customFormat="1" ht="9.75" customHeight="1">
      <c r="A56" s="139"/>
      <c r="B56" s="532"/>
      <c r="C56" s="532"/>
      <c r="D56" s="532"/>
      <c r="E56" s="532"/>
      <c r="F56" s="532"/>
      <c r="G56" s="548"/>
      <c r="H56" s="532"/>
      <c r="I56" s="532"/>
      <c r="J56" s="532"/>
      <c r="K56" s="532"/>
      <c r="L56" s="548"/>
      <c r="M56" s="548"/>
      <c r="N56" s="548"/>
      <c r="O56" s="543"/>
    </row>
    <row r="57" spans="1:18" s="137" customFormat="1" ht="7.5" customHeight="1">
      <c r="A57" s="691"/>
      <c r="B57" s="681"/>
      <c r="C57" s="681"/>
      <c r="D57" s="681"/>
      <c r="E57" s="681"/>
      <c r="F57" s="681"/>
      <c r="G57" s="690"/>
      <c r="H57" s="681"/>
      <c r="I57" s="681"/>
      <c r="J57" s="681"/>
      <c r="K57" s="681"/>
      <c r="L57" s="690"/>
      <c r="M57" s="690"/>
      <c r="N57" s="690"/>
      <c r="O57" s="543"/>
    </row>
    <row r="58" spans="1:18" s="144" customFormat="1" ht="14.25" customHeight="1">
      <c r="A58" s="143" t="s">
        <v>51</v>
      </c>
      <c r="B58" s="529">
        <f>SUM(B51:B55)+10</f>
        <v>19873604</v>
      </c>
      <c r="C58" s="529">
        <f t="shared" ref="C58:L58" si="4">SUM(C51:C55)</f>
        <v>0</v>
      </c>
      <c r="D58" s="529">
        <f t="shared" si="4"/>
        <v>0</v>
      </c>
      <c r="E58" s="529">
        <f t="shared" si="4"/>
        <v>0</v>
      </c>
      <c r="F58" s="529">
        <f t="shared" si="4"/>
        <v>0</v>
      </c>
      <c r="G58" s="529">
        <f>SUM(G51:G55)+10</f>
        <v>19873604</v>
      </c>
      <c r="H58" s="529">
        <f t="shared" si="4"/>
        <v>5228307</v>
      </c>
      <c r="I58" s="529">
        <f t="shared" si="4"/>
        <v>2009539</v>
      </c>
      <c r="J58" s="529">
        <f t="shared" si="4"/>
        <v>0</v>
      </c>
      <c r="K58" s="529">
        <f t="shared" si="4"/>
        <v>0</v>
      </c>
      <c r="L58" s="529">
        <f t="shared" si="4"/>
        <v>7237846</v>
      </c>
      <c r="M58" s="529">
        <f>SUM(M51:M55)</f>
        <v>12635748</v>
      </c>
      <c r="N58" s="529">
        <f>SUM(N51:N55)</f>
        <v>14645287</v>
      </c>
      <c r="O58" s="554"/>
      <c r="R58" s="137"/>
    </row>
    <row r="59" spans="1:18" s="137" customFormat="1" ht="6.75" customHeight="1">
      <c r="A59" s="149"/>
      <c r="B59" s="532"/>
      <c r="C59" s="532"/>
      <c r="D59" s="532"/>
      <c r="E59" s="532"/>
      <c r="F59" s="532"/>
      <c r="G59" s="548"/>
      <c r="H59" s="532"/>
      <c r="I59" s="532"/>
      <c r="J59" s="532"/>
      <c r="K59" s="532"/>
      <c r="L59" s="548"/>
      <c r="M59" s="548"/>
      <c r="N59" s="548"/>
      <c r="O59" s="543"/>
    </row>
    <row r="60" spans="1:18" s="137" customFormat="1" ht="6.75" hidden="1" customHeight="1">
      <c r="A60" s="967"/>
      <c r="B60" s="968"/>
      <c r="C60" s="597"/>
      <c r="D60" s="597"/>
      <c r="E60" s="597"/>
      <c r="F60" s="597"/>
      <c r="G60" s="542"/>
      <c r="H60" s="968"/>
      <c r="I60" s="597"/>
      <c r="J60" s="597"/>
      <c r="K60" s="597"/>
      <c r="L60" s="542"/>
      <c r="M60" s="548"/>
      <c r="N60" s="548"/>
      <c r="O60" s="543"/>
    </row>
    <row r="61" spans="1:18" s="137" customFormat="1" ht="6.75" hidden="1" customHeight="1">
      <c r="A61" s="967"/>
      <c r="B61" s="968"/>
      <c r="C61" s="597"/>
      <c r="D61" s="597"/>
      <c r="E61" s="597"/>
      <c r="F61" s="597"/>
      <c r="G61" s="542"/>
      <c r="H61" s="968"/>
      <c r="I61" s="597"/>
      <c r="J61" s="597"/>
      <c r="K61" s="597"/>
      <c r="L61" s="542"/>
      <c r="M61" s="548"/>
      <c r="N61" s="548"/>
      <c r="O61" s="543"/>
    </row>
    <row r="62" spans="1:18" s="137" customFormat="1" ht="14.4" hidden="1">
      <c r="A62" s="687"/>
      <c r="B62" s="1247" t="s">
        <v>70</v>
      </c>
      <c r="C62" s="1248"/>
      <c r="D62" s="1248"/>
      <c r="E62" s="1248"/>
      <c r="F62" s="1248"/>
      <c r="G62" s="1249"/>
      <c r="H62" s="1247" t="s">
        <v>959</v>
      </c>
      <c r="I62" s="1248"/>
      <c r="J62" s="1248"/>
      <c r="K62" s="1248"/>
      <c r="L62" s="1249"/>
      <c r="M62" s="588" t="s">
        <v>72</v>
      </c>
      <c r="N62" s="588"/>
      <c r="O62" s="543"/>
    </row>
    <row r="63" spans="1:18" s="144" customFormat="1" ht="14.4" hidden="1">
      <c r="A63" s="687" t="s">
        <v>73</v>
      </c>
      <c r="B63" s="689" t="s">
        <v>74</v>
      </c>
      <c r="C63" s="689" t="s">
        <v>75</v>
      </c>
      <c r="D63" s="688"/>
      <c r="E63" s="688"/>
      <c r="F63" s="688"/>
      <c r="G63" s="689" t="s">
        <v>74</v>
      </c>
      <c r="H63" s="689" t="s">
        <v>74</v>
      </c>
      <c r="I63" s="688" t="s">
        <v>76</v>
      </c>
      <c r="J63" s="688"/>
      <c r="K63" s="688"/>
      <c r="L63" s="689" t="s">
        <v>74</v>
      </c>
      <c r="M63" s="689" t="s">
        <v>74</v>
      </c>
      <c r="N63" s="689"/>
      <c r="O63" s="554"/>
    </row>
    <row r="64" spans="1:18" s="144" customFormat="1" ht="14.4" hidden="1">
      <c r="A64" s="472" t="s">
        <v>0</v>
      </c>
      <c r="B64" s="590" t="str">
        <f>+B28</f>
        <v>1 April 2022</v>
      </c>
      <c r="C64" s="591" t="s">
        <v>77</v>
      </c>
      <c r="D64" s="592" t="s">
        <v>56</v>
      </c>
      <c r="E64" s="592" t="s">
        <v>78</v>
      </c>
      <c r="F64" s="592" t="s">
        <v>79</v>
      </c>
      <c r="G64" s="590" t="str">
        <f>+G28</f>
        <v>31 March 2023</v>
      </c>
      <c r="H64" s="590" t="str">
        <f>+H28</f>
        <v>1 April 2022</v>
      </c>
      <c r="I64" s="592" t="s">
        <v>80</v>
      </c>
      <c r="J64" s="592" t="s">
        <v>78</v>
      </c>
      <c r="K64" s="592" t="s">
        <v>79</v>
      </c>
      <c r="L64" s="590" t="str">
        <f>+L28</f>
        <v>31 March 2023</v>
      </c>
      <c r="M64" s="590" t="str">
        <f>+M28</f>
        <v>31 March 2023</v>
      </c>
      <c r="N64" s="590"/>
      <c r="O64" s="554"/>
    </row>
    <row r="65" spans="1:15" s="144" customFormat="1" ht="14.25" hidden="1" customHeight="1">
      <c r="A65" s="473"/>
      <c r="B65" s="548"/>
      <c r="C65" s="547"/>
      <c r="D65" s="547"/>
      <c r="E65" s="547"/>
      <c r="F65" s="547"/>
      <c r="G65" s="547"/>
      <c r="H65" s="545"/>
      <c r="I65" s="593"/>
      <c r="J65" s="593"/>
      <c r="K65" s="594"/>
      <c r="L65" s="594"/>
      <c r="M65" s="594"/>
      <c r="N65" s="594"/>
      <c r="O65" s="554"/>
    </row>
    <row r="66" spans="1:15" s="137" customFormat="1" ht="9" hidden="1" customHeight="1">
      <c r="A66" s="138"/>
      <c r="B66" s="681"/>
      <c r="C66" s="681"/>
      <c r="D66" s="681"/>
      <c r="E66" s="681"/>
      <c r="F66" s="681"/>
      <c r="G66" s="690"/>
      <c r="H66" s="681"/>
      <c r="I66" s="681"/>
      <c r="J66" s="681"/>
      <c r="K66" s="681"/>
      <c r="L66" s="690"/>
      <c r="M66" s="690"/>
      <c r="N66" s="690"/>
      <c r="O66" s="543"/>
    </row>
    <row r="67" spans="1:15" s="137" customFormat="1" ht="14.4" hidden="1">
      <c r="A67" s="131" t="s">
        <v>83</v>
      </c>
      <c r="B67" s="528"/>
      <c r="C67" s="528"/>
      <c r="D67" s="528"/>
      <c r="E67" s="528"/>
      <c r="F67" s="528"/>
      <c r="G67" s="529"/>
      <c r="H67" s="528"/>
      <c r="I67" s="528"/>
      <c r="J67" s="528"/>
      <c r="K67" s="528"/>
      <c r="L67" s="529"/>
      <c r="M67" s="529"/>
      <c r="N67" s="529"/>
      <c r="O67" s="543"/>
    </row>
    <row r="68" spans="1:15" s="137" customFormat="1" ht="6" hidden="1" customHeight="1">
      <c r="A68" s="131"/>
      <c r="B68" s="528"/>
      <c r="C68" s="528"/>
      <c r="D68" s="528"/>
      <c r="E68" s="528"/>
      <c r="F68" s="528"/>
      <c r="G68" s="542"/>
      <c r="H68" s="528"/>
      <c r="I68" s="528"/>
      <c r="J68" s="528"/>
      <c r="K68" s="528"/>
      <c r="L68" s="596"/>
      <c r="M68" s="529"/>
      <c r="N68" s="529"/>
      <c r="O68" s="543"/>
    </row>
    <row r="69" spans="1:15" s="137" customFormat="1" ht="14.4" hidden="1">
      <c r="A69" s="138" t="s">
        <v>84</v>
      </c>
      <c r="B69" s="528">
        <v>284438</v>
      </c>
      <c r="C69" s="528" t="s">
        <v>1185</v>
      </c>
      <c r="D69" s="528">
        <v>136500</v>
      </c>
      <c r="E69" s="528">
        <v>0</v>
      </c>
      <c r="F69" s="528">
        <v>0</v>
      </c>
      <c r="G69" s="542">
        <v>420938</v>
      </c>
      <c r="H69" s="528">
        <v>278349</v>
      </c>
      <c r="I69" s="528">
        <v>19694</v>
      </c>
      <c r="J69" s="528">
        <v>0</v>
      </c>
      <c r="K69" s="528">
        <v>0</v>
      </c>
      <c r="L69" s="596">
        <v>298043</v>
      </c>
      <c r="M69" s="529">
        <v>122895</v>
      </c>
      <c r="N69" s="529"/>
      <c r="O69" s="543"/>
    </row>
    <row r="70" spans="1:15" s="137" customFormat="1" ht="14.4" hidden="1">
      <c r="A70" s="138"/>
      <c r="B70" s="528"/>
      <c r="C70" s="528"/>
      <c r="D70" s="528"/>
      <c r="E70" s="528"/>
      <c r="F70" s="528"/>
      <c r="G70" s="542"/>
      <c r="H70" s="528"/>
      <c r="I70" s="528"/>
      <c r="J70" s="528"/>
      <c r="K70" s="528"/>
      <c r="L70" s="596"/>
      <c r="M70" s="529"/>
      <c r="N70" s="529"/>
      <c r="O70" s="543"/>
    </row>
    <row r="71" spans="1:15" s="137" customFormat="1" ht="14.4" hidden="1">
      <c r="A71" s="138" t="s">
        <v>1083</v>
      </c>
      <c r="B71" s="528">
        <v>18525600</v>
      </c>
      <c r="C71" s="528"/>
      <c r="D71" s="528">
        <v>0</v>
      </c>
      <c r="E71" s="528">
        <v>0</v>
      </c>
      <c r="F71" s="528">
        <v>0</v>
      </c>
      <c r="G71" s="542">
        <v>18525600</v>
      </c>
      <c r="H71" s="528">
        <v>1358428</v>
      </c>
      <c r="I71" s="528">
        <v>2644780</v>
      </c>
      <c r="J71" s="528">
        <v>0</v>
      </c>
      <c r="K71" s="528">
        <v>0</v>
      </c>
      <c r="L71" s="596">
        <v>4003208</v>
      </c>
      <c r="M71" s="529">
        <v>14522392</v>
      </c>
      <c r="N71" s="529"/>
      <c r="O71" s="543"/>
    </row>
    <row r="72" spans="1:15" s="137" customFormat="1" ht="8.25" hidden="1" customHeight="1">
      <c r="A72" s="138"/>
      <c r="B72" s="528"/>
      <c r="C72" s="528"/>
      <c r="D72" s="528"/>
      <c r="E72" s="528"/>
      <c r="F72" s="528"/>
      <c r="G72" s="542"/>
      <c r="H72" s="528"/>
      <c r="I72" s="528"/>
      <c r="J72" s="528"/>
      <c r="K72" s="528"/>
      <c r="L72" s="596"/>
      <c r="M72" s="529"/>
      <c r="N72" s="529"/>
      <c r="O72" s="543"/>
    </row>
    <row r="73" spans="1:15" s="137" customFormat="1" ht="14.4" hidden="1">
      <c r="A73" s="138" t="s">
        <v>89</v>
      </c>
      <c r="B73" s="528">
        <v>927056</v>
      </c>
      <c r="C73" s="528" t="s">
        <v>1185</v>
      </c>
      <c r="D73" s="528">
        <v>0</v>
      </c>
      <c r="E73" s="528">
        <v>0</v>
      </c>
      <c r="F73" s="528">
        <v>0</v>
      </c>
      <c r="G73" s="542">
        <v>927056</v>
      </c>
      <c r="H73" s="528">
        <v>927056</v>
      </c>
      <c r="I73" s="528">
        <v>0</v>
      </c>
      <c r="J73" s="528">
        <v>0</v>
      </c>
      <c r="K73" s="528">
        <v>0</v>
      </c>
      <c r="L73" s="596">
        <v>927056</v>
      </c>
      <c r="M73" s="529">
        <v>0</v>
      </c>
      <c r="N73" s="529"/>
      <c r="O73" s="543"/>
    </row>
    <row r="74" spans="1:15" s="137" customFormat="1" ht="14.4" hidden="1">
      <c r="A74" s="139"/>
      <c r="B74" s="532"/>
      <c r="C74" s="532"/>
      <c r="D74" s="532"/>
      <c r="E74" s="532"/>
      <c r="F74" s="532"/>
      <c r="G74" s="548"/>
      <c r="H74" s="532"/>
      <c r="I74" s="532"/>
      <c r="J74" s="532"/>
      <c r="K74" s="532"/>
      <c r="L74" s="548"/>
      <c r="M74" s="548"/>
      <c r="N74" s="548"/>
      <c r="O74" s="543"/>
    </row>
    <row r="75" spans="1:15" s="137" customFormat="1" ht="11.25" hidden="1" customHeight="1">
      <c r="A75" s="691"/>
      <c r="B75" s="681"/>
      <c r="C75" s="681"/>
      <c r="D75" s="681"/>
      <c r="E75" s="681"/>
      <c r="F75" s="681"/>
      <c r="G75" s="690"/>
      <c r="H75" s="681"/>
      <c r="I75" s="681"/>
      <c r="J75" s="681"/>
      <c r="K75" s="681"/>
      <c r="L75" s="690"/>
      <c r="M75" s="690"/>
      <c r="N75" s="690"/>
      <c r="O75" s="543"/>
    </row>
    <row r="76" spans="1:15" s="144" customFormat="1" ht="12.75" hidden="1" customHeight="1">
      <c r="A76" s="143" t="s">
        <v>51</v>
      </c>
      <c r="B76" s="529">
        <f t="shared" ref="B76:M76" si="5">SUM(B69:B73)</f>
        <v>19737094</v>
      </c>
      <c r="C76" s="529">
        <f t="shared" si="5"/>
        <v>0</v>
      </c>
      <c r="D76" s="529">
        <f t="shared" si="5"/>
        <v>136500</v>
      </c>
      <c r="E76" s="529">
        <f t="shared" si="5"/>
        <v>0</v>
      </c>
      <c r="F76" s="529">
        <f t="shared" si="5"/>
        <v>0</v>
      </c>
      <c r="G76" s="529">
        <f t="shared" si="5"/>
        <v>19873594</v>
      </c>
      <c r="H76" s="529">
        <f t="shared" si="5"/>
        <v>2563833</v>
      </c>
      <c r="I76" s="529">
        <f t="shared" si="5"/>
        <v>2664474</v>
      </c>
      <c r="J76" s="529">
        <f t="shared" si="5"/>
        <v>0</v>
      </c>
      <c r="K76" s="529">
        <f t="shared" si="5"/>
        <v>0</v>
      </c>
      <c r="L76" s="529">
        <f t="shared" si="5"/>
        <v>5228307</v>
      </c>
      <c r="M76" s="529">
        <f t="shared" si="5"/>
        <v>14645287</v>
      </c>
      <c r="N76" s="529"/>
      <c r="O76" s="554"/>
    </row>
    <row r="77" spans="1:15" s="137" customFormat="1" ht="5.25" hidden="1" customHeight="1">
      <c r="A77" s="149"/>
      <c r="B77" s="532"/>
      <c r="C77" s="532"/>
      <c r="D77" s="532"/>
      <c r="E77" s="532"/>
      <c r="F77" s="532"/>
      <c r="G77" s="548"/>
      <c r="H77" s="532"/>
      <c r="I77" s="532"/>
      <c r="J77" s="532"/>
      <c r="K77" s="532"/>
      <c r="L77" s="548"/>
      <c r="M77" s="548"/>
      <c r="N77" s="548"/>
      <c r="O77" s="543"/>
    </row>
    <row r="78" spans="1:15" s="137" customFormat="1" ht="14.4">
      <c r="A78" s="22"/>
      <c r="B78" s="597"/>
      <c r="C78" s="597"/>
      <c r="D78" s="597"/>
      <c r="E78" s="597"/>
      <c r="F78" s="597"/>
      <c r="G78" s="596"/>
      <c r="H78" s="597"/>
      <c r="I78" s="597"/>
      <c r="J78" s="597"/>
      <c r="K78" s="597"/>
      <c r="L78" s="597"/>
      <c r="M78" s="597"/>
      <c r="N78" s="597"/>
      <c r="O78" s="543"/>
    </row>
    <row r="79" spans="1:15" s="137" customFormat="1" ht="13.5" customHeight="1">
      <c r="A79" s="23"/>
      <c r="B79" s="533"/>
      <c r="C79" s="533"/>
      <c r="D79" s="533"/>
      <c r="E79" s="533"/>
      <c r="F79" s="533"/>
      <c r="G79" s="598"/>
      <c r="H79" s="533"/>
      <c r="I79" s="533"/>
      <c r="J79" s="533"/>
      <c r="K79" s="533"/>
      <c r="L79" s="598"/>
      <c r="M79" s="598"/>
      <c r="N79" s="598"/>
      <c r="O79" s="543"/>
    </row>
    <row r="80" spans="1:15" s="137" customFormat="1" ht="14.4">
      <c r="A80" s="23"/>
      <c r="B80" s="533"/>
      <c r="C80" s="533"/>
      <c r="D80" s="533"/>
      <c r="E80" s="533"/>
      <c r="F80" s="533"/>
      <c r="G80" s="598"/>
      <c r="H80" s="533"/>
      <c r="I80" s="533"/>
      <c r="J80" s="533"/>
      <c r="K80" s="533"/>
      <c r="L80" s="598"/>
      <c r="M80" s="598"/>
      <c r="N80" s="598"/>
      <c r="O80" s="543"/>
    </row>
    <row r="81" spans="1:15" s="137" customFormat="1" ht="14.4">
      <c r="A81" s="23"/>
      <c r="B81" s="533"/>
      <c r="C81" s="533"/>
      <c r="D81" s="533"/>
      <c r="E81" s="533"/>
      <c r="F81" s="533"/>
      <c r="G81" s="598"/>
      <c r="H81" s="533"/>
      <c r="I81" s="533"/>
      <c r="J81" s="533"/>
      <c r="K81" s="533"/>
      <c r="L81" s="598"/>
      <c r="M81" s="598"/>
      <c r="N81" s="598"/>
      <c r="O81" s="543"/>
    </row>
    <row r="82" spans="1:15" s="137" customFormat="1" ht="14.4">
      <c r="A82" s="23">
        <v>0</v>
      </c>
      <c r="B82" s="533"/>
      <c r="C82" s="533"/>
      <c r="D82" s="533"/>
      <c r="E82" s="533"/>
      <c r="F82" s="533"/>
      <c r="G82" s="598"/>
      <c r="H82" s="533"/>
      <c r="I82" s="533"/>
      <c r="J82" s="533"/>
      <c r="K82" s="533"/>
      <c r="L82" s="598"/>
      <c r="M82" s="598"/>
      <c r="N82" s="598"/>
      <c r="O82" s="543"/>
    </row>
    <row r="83" spans="1:15" s="137" customFormat="1" ht="14.4">
      <c r="A83" s="23" t="s">
        <v>85</v>
      </c>
      <c r="B83" s="533"/>
      <c r="C83" s="533"/>
      <c r="D83" s="533"/>
      <c r="E83" s="533"/>
      <c r="F83" s="533"/>
      <c r="G83" s="598"/>
      <c r="H83" s="533"/>
      <c r="I83" s="533"/>
      <c r="J83" s="533"/>
      <c r="K83" s="533"/>
      <c r="L83" s="598"/>
      <c r="M83" s="598"/>
      <c r="N83" s="598"/>
      <c r="O83" s="543"/>
    </row>
    <row r="84" spans="1:15" s="137" customFormat="1">
      <c r="B84" s="543"/>
      <c r="C84" s="543"/>
      <c r="D84" s="543"/>
      <c r="E84" s="543"/>
      <c r="F84" s="543"/>
      <c r="G84" s="554"/>
      <c r="H84" s="543"/>
      <c r="I84" s="543"/>
      <c r="J84" s="543"/>
      <c r="K84" s="543"/>
      <c r="L84" s="554"/>
      <c r="M84" s="554"/>
      <c r="N84" s="554"/>
      <c r="O84" s="543"/>
    </row>
    <row r="85" spans="1:15" s="137" customFormat="1">
      <c r="B85" s="543"/>
      <c r="C85" s="543"/>
      <c r="D85" s="543"/>
      <c r="E85" s="543"/>
      <c r="F85" s="543"/>
      <c r="G85" s="554"/>
      <c r="H85" s="543"/>
      <c r="I85" s="543"/>
      <c r="J85" s="543"/>
      <c r="K85" s="543"/>
      <c r="L85" s="554"/>
      <c r="M85" s="554"/>
      <c r="N85" s="554"/>
      <c r="O85" s="543"/>
    </row>
    <row r="86" spans="1:15" s="137" customFormat="1">
      <c r="B86" s="543"/>
      <c r="C86" s="543"/>
      <c r="D86" s="543"/>
      <c r="E86" s="543"/>
      <c r="F86" s="543"/>
      <c r="G86" s="554"/>
      <c r="H86" s="543"/>
      <c r="I86" s="543"/>
      <c r="J86" s="543"/>
      <c r="K86" s="543"/>
      <c r="L86" s="554"/>
      <c r="M86" s="554"/>
      <c r="N86" s="554"/>
      <c r="O86" s="543"/>
    </row>
    <row r="87" spans="1:15" s="137" customFormat="1">
      <c r="B87" s="543"/>
      <c r="C87" s="543"/>
      <c r="D87" s="543"/>
      <c r="E87" s="543"/>
      <c r="F87" s="543"/>
      <c r="G87" s="554"/>
      <c r="H87" s="543"/>
      <c r="I87" s="543"/>
      <c r="J87" s="543"/>
      <c r="K87" s="543"/>
      <c r="L87" s="554"/>
      <c r="M87" s="554"/>
      <c r="N87" s="554"/>
      <c r="O87" s="543"/>
    </row>
    <row r="88" spans="1:15" s="137" customFormat="1">
      <c r="B88" s="543"/>
      <c r="C88" s="543"/>
      <c r="D88" s="543"/>
      <c r="E88" s="543"/>
      <c r="F88" s="543"/>
      <c r="G88" s="554"/>
      <c r="H88" s="543"/>
      <c r="I88" s="543"/>
      <c r="J88" s="543"/>
      <c r="K88" s="543"/>
      <c r="L88" s="554"/>
      <c r="M88" s="554"/>
      <c r="N88" s="554"/>
      <c r="O88" s="543"/>
    </row>
    <row r="89" spans="1:15" s="137" customFormat="1">
      <c r="B89" s="543"/>
      <c r="C89" s="543"/>
      <c r="D89" s="543"/>
      <c r="E89" s="543"/>
      <c r="F89" s="543"/>
      <c r="G89" s="554"/>
      <c r="H89" s="543"/>
      <c r="I89" s="543"/>
      <c r="J89" s="543"/>
      <c r="K89" s="543"/>
      <c r="L89" s="554"/>
      <c r="M89" s="554"/>
      <c r="N89" s="554"/>
      <c r="O89" s="543"/>
    </row>
    <row r="90" spans="1:15" s="137" customFormat="1">
      <c r="B90" s="543"/>
      <c r="C90" s="543"/>
      <c r="D90" s="543"/>
      <c r="E90" s="543"/>
      <c r="F90" s="543"/>
      <c r="G90" s="554"/>
      <c r="H90" s="543"/>
      <c r="I90" s="543"/>
      <c r="J90" s="543"/>
      <c r="K90" s="543"/>
      <c r="L90" s="554"/>
      <c r="M90" s="554"/>
      <c r="N90" s="554"/>
      <c r="O90" s="543"/>
    </row>
    <row r="91" spans="1:15" s="137" customFormat="1">
      <c r="B91" s="543"/>
      <c r="C91" s="543"/>
      <c r="D91" s="543"/>
      <c r="E91" s="543"/>
      <c r="F91" s="543"/>
      <c r="G91" s="554"/>
      <c r="H91" s="543"/>
      <c r="I91" s="543"/>
      <c r="J91" s="543"/>
      <c r="K91" s="543"/>
      <c r="L91" s="554"/>
      <c r="M91" s="554"/>
      <c r="N91" s="554"/>
      <c r="O91" s="543"/>
    </row>
    <row r="92" spans="1:15">
      <c r="B92" s="555"/>
      <c r="C92" s="555"/>
      <c r="D92" s="555"/>
      <c r="E92" s="555"/>
      <c r="F92" s="555"/>
      <c r="G92" s="576"/>
      <c r="H92" s="555"/>
      <c r="I92" s="555"/>
      <c r="J92" s="555"/>
      <c r="K92" s="555"/>
      <c r="L92" s="576"/>
      <c r="M92" s="576">
        <f>M23+M58</f>
        <v>12815438.050000001</v>
      </c>
      <c r="N92" s="576"/>
      <c r="O92" s="555"/>
    </row>
    <row r="93" spans="1:15">
      <c r="B93" s="555"/>
      <c r="C93" s="555"/>
      <c r="D93" s="555"/>
      <c r="E93" s="555"/>
      <c r="F93" s="555"/>
      <c r="G93" s="576"/>
      <c r="H93" s="555"/>
      <c r="I93" s="679">
        <v>26645</v>
      </c>
      <c r="J93" s="555"/>
      <c r="K93" s="555"/>
      <c r="L93" s="576"/>
      <c r="M93" s="576"/>
      <c r="N93" s="576"/>
      <c r="O93" s="555"/>
    </row>
    <row r="94" spans="1:15">
      <c r="B94" s="966">
        <f>B23+B58</f>
        <v>24017734</v>
      </c>
      <c r="J94" s="966">
        <f>J23+J58</f>
        <v>0</v>
      </c>
      <c r="K94" s="966">
        <f>K23+K58</f>
        <v>2727669</v>
      </c>
      <c r="L94" s="130">
        <v>15392707.699999999</v>
      </c>
    </row>
    <row r="95" spans="1:15">
      <c r="B95" s="966">
        <f>H23+H58</f>
        <v>8383179</v>
      </c>
      <c r="I95" s="692">
        <f>I58+I23</f>
        <v>2370534</v>
      </c>
      <c r="L95" s="965">
        <f>I23+I58</f>
        <v>2370534</v>
      </c>
    </row>
    <row r="96" spans="1:15">
      <c r="B96" s="966">
        <f>B94-B95</f>
        <v>15634555</v>
      </c>
    </row>
    <row r="97" spans="2:2">
      <c r="B97" s="122">
        <v>15632799.559999999</v>
      </c>
    </row>
    <row r="98" spans="2:2">
      <c r="B98" s="966">
        <f>B96-B97</f>
        <v>1755.4400000013411</v>
      </c>
    </row>
  </sheetData>
  <mergeCells count="8">
    <mergeCell ref="B62:G62"/>
    <mergeCell ref="H62:L62"/>
    <mergeCell ref="B7:G7"/>
    <mergeCell ref="H7:L7"/>
    <mergeCell ref="B26:G26"/>
    <mergeCell ref="H26:L26"/>
    <mergeCell ref="B44:G44"/>
    <mergeCell ref="H44:L44"/>
  </mergeCells>
  <pageMargins left="0.31496062992125984" right="0.27559055118110237" top="0.15748031496062992" bottom="0.19685039370078741" header="0.23622047244094491" footer="0.15748031496062992"/>
  <pageSetup paperSize="9" scale="69"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92D050"/>
    <pageSetUpPr fitToPage="1"/>
  </sheetPr>
  <dimension ref="A1:R91"/>
  <sheetViews>
    <sheetView showGridLines="0" view="pageBreakPreview" zoomScaleNormal="90" zoomScaleSheetLayoutView="100" workbookViewId="0">
      <selection activeCell="F23" sqref="F23"/>
    </sheetView>
  </sheetViews>
  <sheetFormatPr defaultRowHeight="13.8"/>
  <cols>
    <col min="1" max="1" width="43" style="122" customWidth="1"/>
    <col min="2" max="2" width="14" style="122" bestFit="1" customWidth="1"/>
    <col min="3" max="3" width="15.44140625" style="122" hidden="1" customWidth="1"/>
    <col min="4" max="4" width="13" style="122" bestFit="1" customWidth="1"/>
    <col min="5" max="5" width="13.44140625" style="122" bestFit="1" customWidth="1"/>
    <col min="6" max="6" width="12" style="122" bestFit="1" customWidth="1"/>
    <col min="7" max="7" width="14.44140625" style="130" bestFit="1" customWidth="1"/>
    <col min="8" max="8" width="12.5546875" style="122" bestFit="1" customWidth="1"/>
    <col min="9" max="9" width="13.77734375" style="122" bestFit="1" customWidth="1"/>
    <col min="10" max="10" width="13.44140625" style="122" bestFit="1" customWidth="1"/>
    <col min="11" max="11" width="12" style="122" bestFit="1" customWidth="1"/>
    <col min="12" max="13" width="14.44140625" style="130" bestFit="1" customWidth="1"/>
    <col min="14" max="14" width="14.5546875" style="122" bestFit="1" customWidth="1"/>
    <col min="15" max="15" width="12.77734375" style="122" bestFit="1" customWidth="1"/>
    <col min="16" max="17" width="14.77734375" style="122" bestFit="1" customWidth="1"/>
    <col min="18" max="18" width="14.5546875" style="122" bestFit="1" customWidth="1"/>
    <col min="19" max="255" width="9.21875" style="122"/>
    <col min="256" max="256" width="5.44140625" style="122" customWidth="1"/>
    <col min="257" max="257" width="67.5546875" style="122" customWidth="1"/>
    <col min="258" max="259" width="12.21875" style="122" customWidth="1"/>
    <col min="260" max="260" width="13.77734375" style="122" customWidth="1"/>
    <col min="261" max="261" width="12.77734375" style="122" customWidth="1"/>
    <col min="262" max="262" width="15.77734375" style="122" bestFit="1" customWidth="1"/>
    <col min="263" max="263" width="13" style="122" bestFit="1" customWidth="1"/>
    <col min="264" max="264" width="9" style="122" bestFit="1" customWidth="1"/>
    <col min="265" max="265" width="15.44140625" style="122" bestFit="1" customWidth="1"/>
    <col min="266" max="266" width="12.44140625" style="122" bestFit="1" customWidth="1"/>
    <col min="267" max="269" width="15.77734375" style="122" bestFit="1" customWidth="1"/>
    <col min="270" max="271" width="9.21875" style="122"/>
    <col min="272" max="272" width="12.77734375" style="122" bestFit="1" customWidth="1"/>
    <col min="273" max="511" width="9.21875" style="122"/>
    <col min="512" max="512" width="5.44140625" style="122" customWidth="1"/>
    <col min="513" max="513" width="67.5546875" style="122" customWidth="1"/>
    <col min="514" max="515" width="12.21875" style="122" customWidth="1"/>
    <col min="516" max="516" width="13.77734375" style="122" customWidth="1"/>
    <col min="517" max="517" width="12.77734375" style="122" customWidth="1"/>
    <col min="518" max="518" width="15.77734375" style="122" bestFit="1" customWidth="1"/>
    <col min="519" max="519" width="13" style="122" bestFit="1" customWidth="1"/>
    <col min="520" max="520" width="9" style="122" bestFit="1" customWidth="1"/>
    <col min="521" max="521" width="15.44140625" style="122" bestFit="1" customWidth="1"/>
    <col min="522" max="522" width="12.44140625" style="122" bestFit="1" customWidth="1"/>
    <col min="523" max="525" width="15.77734375" style="122" bestFit="1" customWidth="1"/>
    <col min="526" max="527" width="9.21875" style="122"/>
    <col min="528" max="528" width="12.77734375" style="122" bestFit="1" customWidth="1"/>
    <col min="529" max="767" width="9.21875" style="122"/>
    <col min="768" max="768" width="5.44140625" style="122" customWidth="1"/>
    <col min="769" max="769" width="67.5546875" style="122" customWidth="1"/>
    <col min="770" max="771" width="12.21875" style="122" customWidth="1"/>
    <col min="772" max="772" width="13.77734375" style="122" customWidth="1"/>
    <col min="773" max="773" width="12.77734375" style="122" customWidth="1"/>
    <col min="774" max="774" width="15.77734375" style="122" bestFit="1" customWidth="1"/>
    <col min="775" max="775" width="13" style="122" bestFit="1" customWidth="1"/>
    <col min="776" max="776" width="9" style="122" bestFit="1" customWidth="1"/>
    <col min="777" max="777" width="15.44140625" style="122" bestFit="1" customWidth="1"/>
    <col min="778" max="778" width="12.44140625" style="122" bestFit="1" customWidth="1"/>
    <col min="779" max="781" width="15.77734375" style="122" bestFit="1" customWidth="1"/>
    <col min="782" max="783" width="9.21875" style="122"/>
    <col min="784" max="784" width="12.77734375" style="122" bestFit="1" customWidth="1"/>
    <col min="785" max="1023" width="9.21875" style="122"/>
    <col min="1024" max="1024" width="5.44140625" style="122" customWidth="1"/>
    <col min="1025" max="1025" width="67.5546875" style="122" customWidth="1"/>
    <col min="1026" max="1027" width="12.21875" style="122" customWidth="1"/>
    <col min="1028" max="1028" width="13.77734375" style="122" customWidth="1"/>
    <col min="1029" max="1029" width="12.77734375" style="122" customWidth="1"/>
    <col min="1030" max="1030" width="15.77734375" style="122" bestFit="1" customWidth="1"/>
    <col min="1031" max="1031" width="13" style="122" bestFit="1" customWidth="1"/>
    <col min="1032" max="1032" width="9" style="122" bestFit="1" customWidth="1"/>
    <col min="1033" max="1033" width="15.44140625" style="122" bestFit="1" customWidth="1"/>
    <col min="1034" max="1034" width="12.44140625" style="122" bestFit="1" customWidth="1"/>
    <col min="1035" max="1037" width="15.77734375" style="122" bestFit="1" customWidth="1"/>
    <col min="1038" max="1039" width="9.21875" style="122"/>
    <col min="1040" max="1040" width="12.77734375" style="122" bestFit="1" customWidth="1"/>
    <col min="1041" max="1279" width="9.21875" style="122"/>
    <col min="1280" max="1280" width="5.44140625" style="122" customWidth="1"/>
    <col min="1281" max="1281" width="67.5546875" style="122" customWidth="1"/>
    <col min="1282" max="1283" width="12.21875" style="122" customWidth="1"/>
    <col min="1284" max="1284" width="13.77734375" style="122" customWidth="1"/>
    <col min="1285" max="1285" width="12.77734375" style="122" customWidth="1"/>
    <col min="1286" max="1286" width="15.77734375" style="122" bestFit="1" customWidth="1"/>
    <col min="1287" max="1287" width="13" style="122" bestFit="1" customWidth="1"/>
    <col min="1288" max="1288" width="9" style="122" bestFit="1" customWidth="1"/>
    <col min="1289" max="1289" width="15.44140625" style="122" bestFit="1" customWidth="1"/>
    <col min="1290" max="1290" width="12.44140625" style="122" bestFit="1" customWidth="1"/>
    <col min="1291" max="1293" width="15.77734375" style="122" bestFit="1" customWidth="1"/>
    <col min="1294" max="1295" width="9.21875" style="122"/>
    <col min="1296" max="1296" width="12.77734375" style="122" bestFit="1" customWidth="1"/>
    <col min="1297" max="1535" width="9.21875" style="122"/>
    <col min="1536" max="1536" width="5.44140625" style="122" customWidth="1"/>
    <col min="1537" max="1537" width="67.5546875" style="122" customWidth="1"/>
    <col min="1538" max="1539" width="12.21875" style="122" customWidth="1"/>
    <col min="1540" max="1540" width="13.77734375" style="122" customWidth="1"/>
    <col min="1541" max="1541" width="12.77734375" style="122" customWidth="1"/>
    <col min="1542" max="1542" width="15.77734375" style="122" bestFit="1" customWidth="1"/>
    <col min="1543" max="1543" width="13" style="122" bestFit="1" customWidth="1"/>
    <col min="1544" max="1544" width="9" style="122" bestFit="1" customWidth="1"/>
    <col min="1545" max="1545" width="15.44140625" style="122" bestFit="1" customWidth="1"/>
    <col min="1546" max="1546" width="12.44140625" style="122" bestFit="1" customWidth="1"/>
    <col min="1547" max="1549" width="15.77734375" style="122" bestFit="1" customWidth="1"/>
    <col min="1550" max="1551" width="9.21875" style="122"/>
    <col min="1552" max="1552" width="12.77734375" style="122" bestFit="1" customWidth="1"/>
    <col min="1553" max="1791" width="9.21875" style="122"/>
    <col min="1792" max="1792" width="5.44140625" style="122" customWidth="1"/>
    <col min="1793" max="1793" width="67.5546875" style="122" customWidth="1"/>
    <col min="1794" max="1795" width="12.21875" style="122" customWidth="1"/>
    <col min="1796" max="1796" width="13.77734375" style="122" customWidth="1"/>
    <col min="1797" max="1797" width="12.77734375" style="122" customWidth="1"/>
    <col min="1798" max="1798" width="15.77734375" style="122" bestFit="1" customWidth="1"/>
    <col min="1799" max="1799" width="13" style="122" bestFit="1" customWidth="1"/>
    <col min="1800" max="1800" width="9" style="122" bestFit="1" customWidth="1"/>
    <col min="1801" max="1801" width="15.44140625" style="122" bestFit="1" customWidth="1"/>
    <col min="1802" max="1802" width="12.44140625" style="122" bestFit="1" customWidth="1"/>
    <col min="1803" max="1805" width="15.77734375" style="122" bestFit="1" customWidth="1"/>
    <col min="1806" max="1807" width="9.21875" style="122"/>
    <col min="1808" max="1808" width="12.77734375" style="122" bestFit="1" customWidth="1"/>
    <col min="1809" max="2047" width="9.21875" style="122"/>
    <col min="2048" max="2048" width="5.44140625" style="122" customWidth="1"/>
    <col min="2049" max="2049" width="67.5546875" style="122" customWidth="1"/>
    <col min="2050" max="2051" width="12.21875" style="122" customWidth="1"/>
    <col min="2052" max="2052" width="13.77734375" style="122" customWidth="1"/>
    <col min="2053" max="2053" width="12.77734375" style="122" customWidth="1"/>
    <col min="2054" max="2054" width="15.77734375" style="122" bestFit="1" customWidth="1"/>
    <col min="2055" max="2055" width="13" style="122" bestFit="1" customWidth="1"/>
    <col min="2056" max="2056" width="9" style="122" bestFit="1" customWidth="1"/>
    <col min="2057" max="2057" width="15.44140625" style="122" bestFit="1" customWidth="1"/>
    <col min="2058" max="2058" width="12.44140625" style="122" bestFit="1" customWidth="1"/>
    <col min="2059" max="2061" width="15.77734375" style="122" bestFit="1" customWidth="1"/>
    <col min="2062" max="2063" width="9.21875" style="122"/>
    <col min="2064" max="2064" width="12.77734375" style="122" bestFit="1" customWidth="1"/>
    <col min="2065" max="2303" width="9.21875" style="122"/>
    <col min="2304" max="2304" width="5.44140625" style="122" customWidth="1"/>
    <col min="2305" max="2305" width="67.5546875" style="122" customWidth="1"/>
    <col min="2306" max="2307" width="12.21875" style="122" customWidth="1"/>
    <col min="2308" max="2308" width="13.77734375" style="122" customWidth="1"/>
    <col min="2309" max="2309" width="12.77734375" style="122" customWidth="1"/>
    <col min="2310" max="2310" width="15.77734375" style="122" bestFit="1" customWidth="1"/>
    <col min="2311" max="2311" width="13" style="122" bestFit="1" customWidth="1"/>
    <col min="2312" max="2312" width="9" style="122" bestFit="1" customWidth="1"/>
    <col min="2313" max="2313" width="15.44140625" style="122" bestFit="1" customWidth="1"/>
    <col min="2314" max="2314" width="12.44140625" style="122" bestFit="1" customWidth="1"/>
    <col min="2315" max="2317" width="15.77734375" style="122" bestFit="1" customWidth="1"/>
    <col min="2318" max="2319" width="9.21875" style="122"/>
    <col min="2320" max="2320" width="12.77734375" style="122" bestFit="1" customWidth="1"/>
    <col min="2321" max="2559" width="9.21875" style="122"/>
    <col min="2560" max="2560" width="5.44140625" style="122" customWidth="1"/>
    <col min="2561" max="2561" width="67.5546875" style="122" customWidth="1"/>
    <col min="2562" max="2563" width="12.21875" style="122" customWidth="1"/>
    <col min="2564" max="2564" width="13.77734375" style="122" customWidth="1"/>
    <col min="2565" max="2565" width="12.77734375" style="122" customWidth="1"/>
    <col min="2566" max="2566" width="15.77734375" style="122" bestFit="1" customWidth="1"/>
    <col min="2567" max="2567" width="13" style="122" bestFit="1" customWidth="1"/>
    <col min="2568" max="2568" width="9" style="122" bestFit="1" customWidth="1"/>
    <col min="2569" max="2569" width="15.44140625" style="122" bestFit="1" customWidth="1"/>
    <col min="2570" max="2570" width="12.44140625" style="122" bestFit="1" customWidth="1"/>
    <col min="2571" max="2573" width="15.77734375" style="122" bestFit="1" customWidth="1"/>
    <col min="2574" max="2575" width="9.21875" style="122"/>
    <col min="2576" max="2576" width="12.77734375" style="122" bestFit="1" customWidth="1"/>
    <col min="2577" max="2815" width="9.21875" style="122"/>
    <col min="2816" max="2816" width="5.44140625" style="122" customWidth="1"/>
    <col min="2817" max="2817" width="67.5546875" style="122" customWidth="1"/>
    <col min="2818" max="2819" width="12.21875" style="122" customWidth="1"/>
    <col min="2820" max="2820" width="13.77734375" style="122" customWidth="1"/>
    <col min="2821" max="2821" width="12.77734375" style="122" customWidth="1"/>
    <col min="2822" max="2822" width="15.77734375" style="122" bestFit="1" customWidth="1"/>
    <col min="2823" max="2823" width="13" style="122" bestFit="1" customWidth="1"/>
    <col min="2824" max="2824" width="9" style="122" bestFit="1" customWidth="1"/>
    <col min="2825" max="2825" width="15.44140625" style="122" bestFit="1" customWidth="1"/>
    <col min="2826" max="2826" width="12.44140625" style="122" bestFit="1" customWidth="1"/>
    <col min="2827" max="2829" width="15.77734375" style="122" bestFit="1" customWidth="1"/>
    <col min="2830" max="2831" width="9.21875" style="122"/>
    <col min="2832" max="2832" width="12.77734375" style="122" bestFit="1" customWidth="1"/>
    <col min="2833" max="3071" width="9.21875" style="122"/>
    <col min="3072" max="3072" width="5.44140625" style="122" customWidth="1"/>
    <col min="3073" max="3073" width="67.5546875" style="122" customWidth="1"/>
    <col min="3074" max="3075" width="12.21875" style="122" customWidth="1"/>
    <col min="3076" max="3076" width="13.77734375" style="122" customWidth="1"/>
    <col min="3077" max="3077" width="12.77734375" style="122" customWidth="1"/>
    <col min="3078" max="3078" width="15.77734375" style="122" bestFit="1" customWidth="1"/>
    <col min="3079" max="3079" width="13" style="122" bestFit="1" customWidth="1"/>
    <col min="3080" max="3080" width="9" style="122" bestFit="1" customWidth="1"/>
    <col min="3081" max="3081" width="15.44140625" style="122" bestFit="1" customWidth="1"/>
    <col min="3082" max="3082" width="12.44140625" style="122" bestFit="1" customWidth="1"/>
    <col min="3083" max="3085" width="15.77734375" style="122" bestFit="1" customWidth="1"/>
    <col min="3086" max="3087" width="9.21875" style="122"/>
    <col min="3088" max="3088" width="12.77734375" style="122" bestFit="1" customWidth="1"/>
    <col min="3089" max="3327" width="9.21875" style="122"/>
    <col min="3328" max="3328" width="5.44140625" style="122" customWidth="1"/>
    <col min="3329" max="3329" width="67.5546875" style="122" customWidth="1"/>
    <col min="3330" max="3331" width="12.21875" style="122" customWidth="1"/>
    <col min="3332" max="3332" width="13.77734375" style="122" customWidth="1"/>
    <col min="3333" max="3333" width="12.77734375" style="122" customWidth="1"/>
    <col min="3334" max="3334" width="15.77734375" style="122" bestFit="1" customWidth="1"/>
    <col min="3335" max="3335" width="13" style="122" bestFit="1" customWidth="1"/>
    <col min="3336" max="3336" width="9" style="122" bestFit="1" customWidth="1"/>
    <col min="3337" max="3337" width="15.44140625" style="122" bestFit="1" customWidth="1"/>
    <col min="3338" max="3338" width="12.44140625" style="122" bestFit="1" customWidth="1"/>
    <col min="3339" max="3341" width="15.77734375" style="122" bestFit="1" customWidth="1"/>
    <col min="3342" max="3343" width="9.21875" style="122"/>
    <col min="3344" max="3344" width="12.77734375" style="122" bestFit="1" customWidth="1"/>
    <col min="3345" max="3583" width="9.21875" style="122"/>
    <col min="3584" max="3584" width="5.44140625" style="122" customWidth="1"/>
    <col min="3585" max="3585" width="67.5546875" style="122" customWidth="1"/>
    <col min="3586" max="3587" width="12.21875" style="122" customWidth="1"/>
    <col min="3588" max="3588" width="13.77734375" style="122" customWidth="1"/>
    <col min="3589" max="3589" width="12.77734375" style="122" customWidth="1"/>
    <col min="3590" max="3590" width="15.77734375" style="122" bestFit="1" customWidth="1"/>
    <col min="3591" max="3591" width="13" style="122" bestFit="1" customWidth="1"/>
    <col min="3592" max="3592" width="9" style="122" bestFit="1" customWidth="1"/>
    <col min="3593" max="3593" width="15.44140625" style="122" bestFit="1" customWidth="1"/>
    <col min="3594" max="3594" width="12.44140625" style="122" bestFit="1" customWidth="1"/>
    <col min="3595" max="3597" width="15.77734375" style="122" bestFit="1" customWidth="1"/>
    <col min="3598" max="3599" width="9.21875" style="122"/>
    <col min="3600" max="3600" width="12.77734375" style="122" bestFit="1" customWidth="1"/>
    <col min="3601" max="3839" width="9.21875" style="122"/>
    <col min="3840" max="3840" width="5.44140625" style="122" customWidth="1"/>
    <col min="3841" max="3841" width="67.5546875" style="122" customWidth="1"/>
    <col min="3842" max="3843" width="12.21875" style="122" customWidth="1"/>
    <col min="3844" max="3844" width="13.77734375" style="122" customWidth="1"/>
    <col min="3845" max="3845" width="12.77734375" style="122" customWidth="1"/>
    <col min="3846" max="3846" width="15.77734375" style="122" bestFit="1" customWidth="1"/>
    <col min="3847" max="3847" width="13" style="122" bestFit="1" customWidth="1"/>
    <col min="3848" max="3848" width="9" style="122" bestFit="1" customWidth="1"/>
    <col min="3849" max="3849" width="15.44140625" style="122" bestFit="1" customWidth="1"/>
    <col min="3850" max="3850" width="12.44140625" style="122" bestFit="1" customWidth="1"/>
    <col min="3851" max="3853" width="15.77734375" style="122" bestFit="1" customWidth="1"/>
    <col min="3854" max="3855" width="9.21875" style="122"/>
    <col min="3856" max="3856" width="12.77734375" style="122" bestFit="1" customWidth="1"/>
    <col min="3857" max="4095" width="9.21875" style="122"/>
    <col min="4096" max="4096" width="5.44140625" style="122" customWidth="1"/>
    <col min="4097" max="4097" width="67.5546875" style="122" customWidth="1"/>
    <col min="4098" max="4099" width="12.21875" style="122" customWidth="1"/>
    <col min="4100" max="4100" width="13.77734375" style="122" customWidth="1"/>
    <col min="4101" max="4101" width="12.77734375" style="122" customWidth="1"/>
    <col min="4102" max="4102" width="15.77734375" style="122" bestFit="1" customWidth="1"/>
    <col min="4103" max="4103" width="13" style="122" bestFit="1" customWidth="1"/>
    <col min="4104" max="4104" width="9" style="122" bestFit="1" customWidth="1"/>
    <col min="4105" max="4105" width="15.44140625" style="122" bestFit="1" customWidth="1"/>
    <col min="4106" max="4106" width="12.44140625" style="122" bestFit="1" customWidth="1"/>
    <col min="4107" max="4109" width="15.77734375" style="122" bestFit="1" customWidth="1"/>
    <col min="4110" max="4111" width="9.21875" style="122"/>
    <col min="4112" max="4112" width="12.77734375" style="122" bestFit="1" customWidth="1"/>
    <col min="4113" max="4351" width="9.21875" style="122"/>
    <col min="4352" max="4352" width="5.44140625" style="122" customWidth="1"/>
    <col min="4353" max="4353" width="67.5546875" style="122" customWidth="1"/>
    <col min="4354" max="4355" width="12.21875" style="122" customWidth="1"/>
    <col min="4356" max="4356" width="13.77734375" style="122" customWidth="1"/>
    <col min="4357" max="4357" width="12.77734375" style="122" customWidth="1"/>
    <col min="4358" max="4358" width="15.77734375" style="122" bestFit="1" customWidth="1"/>
    <col min="4359" max="4359" width="13" style="122" bestFit="1" customWidth="1"/>
    <col min="4360" max="4360" width="9" style="122" bestFit="1" customWidth="1"/>
    <col min="4361" max="4361" width="15.44140625" style="122" bestFit="1" customWidth="1"/>
    <col min="4362" max="4362" width="12.44140625" style="122" bestFit="1" customWidth="1"/>
    <col min="4363" max="4365" width="15.77734375" style="122" bestFit="1" customWidth="1"/>
    <col min="4366" max="4367" width="9.21875" style="122"/>
    <col min="4368" max="4368" width="12.77734375" style="122" bestFit="1" customWidth="1"/>
    <col min="4369" max="4607" width="9.21875" style="122"/>
    <col min="4608" max="4608" width="5.44140625" style="122" customWidth="1"/>
    <col min="4609" max="4609" width="67.5546875" style="122" customWidth="1"/>
    <col min="4610" max="4611" width="12.21875" style="122" customWidth="1"/>
    <col min="4612" max="4612" width="13.77734375" style="122" customWidth="1"/>
    <col min="4613" max="4613" width="12.77734375" style="122" customWidth="1"/>
    <col min="4614" max="4614" width="15.77734375" style="122" bestFit="1" customWidth="1"/>
    <col min="4615" max="4615" width="13" style="122" bestFit="1" customWidth="1"/>
    <col min="4616" max="4616" width="9" style="122" bestFit="1" customWidth="1"/>
    <col min="4617" max="4617" width="15.44140625" style="122" bestFit="1" customWidth="1"/>
    <col min="4618" max="4618" width="12.44140625" style="122" bestFit="1" customWidth="1"/>
    <col min="4619" max="4621" width="15.77734375" style="122" bestFit="1" customWidth="1"/>
    <col min="4622" max="4623" width="9.21875" style="122"/>
    <col min="4624" max="4624" width="12.77734375" style="122" bestFit="1" customWidth="1"/>
    <col min="4625" max="4863" width="9.21875" style="122"/>
    <col min="4864" max="4864" width="5.44140625" style="122" customWidth="1"/>
    <col min="4865" max="4865" width="67.5546875" style="122" customWidth="1"/>
    <col min="4866" max="4867" width="12.21875" style="122" customWidth="1"/>
    <col min="4868" max="4868" width="13.77734375" style="122" customWidth="1"/>
    <col min="4869" max="4869" width="12.77734375" style="122" customWidth="1"/>
    <col min="4870" max="4870" width="15.77734375" style="122" bestFit="1" customWidth="1"/>
    <col min="4871" max="4871" width="13" style="122" bestFit="1" customWidth="1"/>
    <col min="4872" max="4872" width="9" style="122" bestFit="1" customWidth="1"/>
    <col min="4873" max="4873" width="15.44140625" style="122" bestFit="1" customWidth="1"/>
    <col min="4874" max="4874" width="12.44140625" style="122" bestFit="1" customWidth="1"/>
    <col min="4875" max="4877" width="15.77734375" style="122" bestFit="1" customWidth="1"/>
    <col min="4878" max="4879" width="9.21875" style="122"/>
    <col min="4880" max="4880" width="12.77734375" style="122" bestFit="1" customWidth="1"/>
    <col min="4881" max="5119" width="9.21875" style="122"/>
    <col min="5120" max="5120" width="5.44140625" style="122" customWidth="1"/>
    <col min="5121" max="5121" width="67.5546875" style="122" customWidth="1"/>
    <col min="5122" max="5123" width="12.21875" style="122" customWidth="1"/>
    <col min="5124" max="5124" width="13.77734375" style="122" customWidth="1"/>
    <col min="5125" max="5125" width="12.77734375" style="122" customWidth="1"/>
    <col min="5126" max="5126" width="15.77734375" style="122" bestFit="1" customWidth="1"/>
    <col min="5127" max="5127" width="13" style="122" bestFit="1" customWidth="1"/>
    <col min="5128" max="5128" width="9" style="122" bestFit="1" customWidth="1"/>
    <col min="5129" max="5129" width="15.44140625" style="122" bestFit="1" customWidth="1"/>
    <col min="5130" max="5130" width="12.44140625" style="122" bestFit="1" customWidth="1"/>
    <col min="5131" max="5133" width="15.77734375" style="122" bestFit="1" customWidth="1"/>
    <col min="5134" max="5135" width="9.21875" style="122"/>
    <col min="5136" max="5136" width="12.77734375" style="122" bestFit="1" customWidth="1"/>
    <col min="5137" max="5375" width="9.21875" style="122"/>
    <col min="5376" max="5376" width="5.44140625" style="122" customWidth="1"/>
    <col min="5377" max="5377" width="67.5546875" style="122" customWidth="1"/>
    <col min="5378" max="5379" width="12.21875" style="122" customWidth="1"/>
    <col min="5380" max="5380" width="13.77734375" style="122" customWidth="1"/>
    <col min="5381" max="5381" width="12.77734375" style="122" customWidth="1"/>
    <col min="5382" max="5382" width="15.77734375" style="122" bestFit="1" customWidth="1"/>
    <col min="5383" max="5383" width="13" style="122" bestFit="1" customWidth="1"/>
    <col min="5384" max="5384" width="9" style="122" bestFit="1" customWidth="1"/>
    <col min="5385" max="5385" width="15.44140625" style="122" bestFit="1" customWidth="1"/>
    <col min="5386" max="5386" width="12.44140625" style="122" bestFit="1" customWidth="1"/>
    <col min="5387" max="5389" width="15.77734375" style="122" bestFit="1" customWidth="1"/>
    <col min="5390" max="5391" width="9.21875" style="122"/>
    <col min="5392" max="5392" width="12.77734375" style="122" bestFit="1" customWidth="1"/>
    <col min="5393" max="5631" width="9.21875" style="122"/>
    <col min="5632" max="5632" width="5.44140625" style="122" customWidth="1"/>
    <col min="5633" max="5633" width="67.5546875" style="122" customWidth="1"/>
    <col min="5634" max="5635" width="12.21875" style="122" customWidth="1"/>
    <col min="5636" max="5636" width="13.77734375" style="122" customWidth="1"/>
    <col min="5637" max="5637" width="12.77734375" style="122" customWidth="1"/>
    <col min="5638" max="5638" width="15.77734375" style="122" bestFit="1" customWidth="1"/>
    <col min="5639" max="5639" width="13" style="122" bestFit="1" customWidth="1"/>
    <col min="5640" max="5640" width="9" style="122" bestFit="1" customWidth="1"/>
    <col min="5641" max="5641" width="15.44140625" style="122" bestFit="1" customWidth="1"/>
    <col min="5642" max="5642" width="12.44140625" style="122" bestFit="1" customWidth="1"/>
    <col min="5643" max="5645" width="15.77734375" style="122" bestFit="1" customWidth="1"/>
    <col min="5646" max="5647" width="9.21875" style="122"/>
    <col min="5648" max="5648" width="12.77734375" style="122" bestFit="1" customWidth="1"/>
    <col min="5649" max="5887" width="9.21875" style="122"/>
    <col min="5888" max="5888" width="5.44140625" style="122" customWidth="1"/>
    <col min="5889" max="5889" width="67.5546875" style="122" customWidth="1"/>
    <col min="5890" max="5891" width="12.21875" style="122" customWidth="1"/>
    <col min="5892" max="5892" width="13.77734375" style="122" customWidth="1"/>
    <col min="5893" max="5893" width="12.77734375" style="122" customWidth="1"/>
    <col min="5894" max="5894" width="15.77734375" style="122" bestFit="1" customWidth="1"/>
    <col min="5895" max="5895" width="13" style="122" bestFit="1" customWidth="1"/>
    <col min="5896" max="5896" width="9" style="122" bestFit="1" customWidth="1"/>
    <col min="5897" max="5897" width="15.44140625" style="122" bestFit="1" customWidth="1"/>
    <col min="5898" max="5898" width="12.44140625" style="122" bestFit="1" customWidth="1"/>
    <col min="5899" max="5901" width="15.77734375" style="122" bestFit="1" customWidth="1"/>
    <col min="5902" max="5903" width="9.21875" style="122"/>
    <col min="5904" max="5904" width="12.77734375" style="122" bestFit="1" customWidth="1"/>
    <col min="5905" max="6143" width="9.21875" style="122"/>
    <col min="6144" max="6144" width="5.44140625" style="122" customWidth="1"/>
    <col min="6145" max="6145" width="67.5546875" style="122" customWidth="1"/>
    <col min="6146" max="6147" width="12.21875" style="122" customWidth="1"/>
    <col min="6148" max="6148" width="13.77734375" style="122" customWidth="1"/>
    <col min="6149" max="6149" width="12.77734375" style="122" customWidth="1"/>
    <col min="6150" max="6150" width="15.77734375" style="122" bestFit="1" customWidth="1"/>
    <col min="6151" max="6151" width="13" style="122" bestFit="1" customWidth="1"/>
    <col min="6152" max="6152" width="9" style="122" bestFit="1" customWidth="1"/>
    <col min="6153" max="6153" width="15.44140625" style="122" bestFit="1" customWidth="1"/>
    <col min="6154" max="6154" width="12.44140625" style="122" bestFit="1" customWidth="1"/>
    <col min="6155" max="6157" width="15.77734375" style="122" bestFit="1" customWidth="1"/>
    <col min="6158" max="6159" width="9.21875" style="122"/>
    <col min="6160" max="6160" width="12.77734375" style="122" bestFit="1" customWidth="1"/>
    <col min="6161" max="6399" width="9.21875" style="122"/>
    <col min="6400" max="6400" width="5.44140625" style="122" customWidth="1"/>
    <col min="6401" max="6401" width="67.5546875" style="122" customWidth="1"/>
    <col min="6402" max="6403" width="12.21875" style="122" customWidth="1"/>
    <col min="6404" max="6404" width="13.77734375" style="122" customWidth="1"/>
    <col min="6405" max="6405" width="12.77734375" style="122" customWidth="1"/>
    <col min="6406" max="6406" width="15.77734375" style="122" bestFit="1" customWidth="1"/>
    <col min="6407" max="6407" width="13" style="122" bestFit="1" customWidth="1"/>
    <col min="6408" max="6408" width="9" style="122" bestFit="1" customWidth="1"/>
    <col min="6409" max="6409" width="15.44140625" style="122" bestFit="1" customWidth="1"/>
    <col min="6410" max="6410" width="12.44140625" style="122" bestFit="1" customWidth="1"/>
    <col min="6411" max="6413" width="15.77734375" style="122" bestFit="1" customWidth="1"/>
    <col min="6414" max="6415" width="9.21875" style="122"/>
    <col min="6416" max="6416" width="12.77734375" style="122" bestFit="1" customWidth="1"/>
    <col min="6417" max="6655" width="9.21875" style="122"/>
    <col min="6656" max="6656" width="5.44140625" style="122" customWidth="1"/>
    <col min="6657" max="6657" width="67.5546875" style="122" customWidth="1"/>
    <col min="6658" max="6659" width="12.21875" style="122" customWidth="1"/>
    <col min="6660" max="6660" width="13.77734375" style="122" customWidth="1"/>
    <col min="6661" max="6661" width="12.77734375" style="122" customWidth="1"/>
    <col min="6662" max="6662" width="15.77734375" style="122" bestFit="1" customWidth="1"/>
    <col min="6663" max="6663" width="13" style="122" bestFit="1" customWidth="1"/>
    <col min="6664" max="6664" width="9" style="122" bestFit="1" customWidth="1"/>
    <col min="6665" max="6665" width="15.44140625" style="122" bestFit="1" customWidth="1"/>
    <col min="6666" max="6666" width="12.44140625" style="122" bestFit="1" customWidth="1"/>
    <col min="6667" max="6669" width="15.77734375" style="122" bestFit="1" customWidth="1"/>
    <col min="6670" max="6671" width="9.21875" style="122"/>
    <col min="6672" max="6672" width="12.77734375" style="122" bestFit="1" customWidth="1"/>
    <col min="6673" max="6911" width="9.21875" style="122"/>
    <col min="6912" max="6912" width="5.44140625" style="122" customWidth="1"/>
    <col min="6913" max="6913" width="67.5546875" style="122" customWidth="1"/>
    <col min="6914" max="6915" width="12.21875" style="122" customWidth="1"/>
    <col min="6916" max="6916" width="13.77734375" style="122" customWidth="1"/>
    <col min="6917" max="6917" width="12.77734375" style="122" customWidth="1"/>
    <col min="6918" max="6918" width="15.77734375" style="122" bestFit="1" customWidth="1"/>
    <col min="6919" max="6919" width="13" style="122" bestFit="1" customWidth="1"/>
    <col min="6920" max="6920" width="9" style="122" bestFit="1" customWidth="1"/>
    <col min="6921" max="6921" width="15.44140625" style="122" bestFit="1" customWidth="1"/>
    <col min="6922" max="6922" width="12.44140625" style="122" bestFit="1" customWidth="1"/>
    <col min="6923" max="6925" width="15.77734375" style="122" bestFit="1" customWidth="1"/>
    <col min="6926" max="6927" width="9.21875" style="122"/>
    <col min="6928" max="6928" width="12.77734375" style="122" bestFit="1" customWidth="1"/>
    <col min="6929" max="7167" width="9.21875" style="122"/>
    <col min="7168" max="7168" width="5.44140625" style="122" customWidth="1"/>
    <col min="7169" max="7169" width="67.5546875" style="122" customWidth="1"/>
    <col min="7170" max="7171" width="12.21875" style="122" customWidth="1"/>
    <col min="7172" max="7172" width="13.77734375" style="122" customWidth="1"/>
    <col min="7173" max="7173" width="12.77734375" style="122" customWidth="1"/>
    <col min="7174" max="7174" width="15.77734375" style="122" bestFit="1" customWidth="1"/>
    <col min="7175" max="7175" width="13" style="122" bestFit="1" customWidth="1"/>
    <col min="7176" max="7176" width="9" style="122" bestFit="1" customWidth="1"/>
    <col min="7177" max="7177" width="15.44140625" style="122" bestFit="1" customWidth="1"/>
    <col min="7178" max="7178" width="12.44140625" style="122" bestFit="1" customWidth="1"/>
    <col min="7179" max="7181" width="15.77734375" style="122" bestFit="1" customWidth="1"/>
    <col min="7182" max="7183" width="9.21875" style="122"/>
    <col min="7184" max="7184" width="12.77734375" style="122" bestFit="1" customWidth="1"/>
    <col min="7185" max="7423" width="9.21875" style="122"/>
    <col min="7424" max="7424" width="5.44140625" style="122" customWidth="1"/>
    <col min="7425" max="7425" width="67.5546875" style="122" customWidth="1"/>
    <col min="7426" max="7427" width="12.21875" style="122" customWidth="1"/>
    <col min="7428" max="7428" width="13.77734375" style="122" customWidth="1"/>
    <col min="7429" max="7429" width="12.77734375" style="122" customWidth="1"/>
    <col min="7430" max="7430" width="15.77734375" style="122" bestFit="1" customWidth="1"/>
    <col min="7431" max="7431" width="13" style="122" bestFit="1" customWidth="1"/>
    <col min="7432" max="7432" width="9" style="122" bestFit="1" customWidth="1"/>
    <col min="7433" max="7433" width="15.44140625" style="122" bestFit="1" customWidth="1"/>
    <col min="7434" max="7434" width="12.44140625" style="122" bestFit="1" customWidth="1"/>
    <col min="7435" max="7437" width="15.77734375" style="122" bestFit="1" customWidth="1"/>
    <col min="7438" max="7439" width="9.21875" style="122"/>
    <col min="7440" max="7440" width="12.77734375" style="122" bestFit="1" customWidth="1"/>
    <col min="7441" max="7679" width="9.21875" style="122"/>
    <col min="7680" max="7680" width="5.44140625" style="122" customWidth="1"/>
    <col min="7681" max="7681" width="67.5546875" style="122" customWidth="1"/>
    <col min="7682" max="7683" width="12.21875" style="122" customWidth="1"/>
    <col min="7684" max="7684" width="13.77734375" style="122" customWidth="1"/>
    <col min="7685" max="7685" width="12.77734375" style="122" customWidth="1"/>
    <col min="7686" max="7686" width="15.77734375" style="122" bestFit="1" customWidth="1"/>
    <col min="7687" max="7687" width="13" style="122" bestFit="1" customWidth="1"/>
    <col min="7688" max="7688" width="9" style="122" bestFit="1" customWidth="1"/>
    <col min="7689" max="7689" width="15.44140625" style="122" bestFit="1" customWidth="1"/>
    <col min="7690" max="7690" width="12.44140625" style="122" bestFit="1" customWidth="1"/>
    <col min="7691" max="7693" width="15.77734375" style="122" bestFit="1" customWidth="1"/>
    <col min="7694" max="7695" width="9.21875" style="122"/>
    <col min="7696" max="7696" width="12.77734375" style="122" bestFit="1" customWidth="1"/>
    <col min="7697" max="7935" width="9.21875" style="122"/>
    <col min="7936" max="7936" width="5.44140625" style="122" customWidth="1"/>
    <col min="7937" max="7937" width="67.5546875" style="122" customWidth="1"/>
    <col min="7938" max="7939" width="12.21875" style="122" customWidth="1"/>
    <col min="7940" max="7940" width="13.77734375" style="122" customWidth="1"/>
    <col min="7941" max="7941" width="12.77734375" style="122" customWidth="1"/>
    <col min="7942" max="7942" width="15.77734375" style="122" bestFit="1" customWidth="1"/>
    <col min="7943" max="7943" width="13" style="122" bestFit="1" customWidth="1"/>
    <col min="7944" max="7944" width="9" style="122" bestFit="1" customWidth="1"/>
    <col min="7945" max="7945" width="15.44140625" style="122" bestFit="1" customWidth="1"/>
    <col min="7946" max="7946" width="12.44140625" style="122" bestFit="1" customWidth="1"/>
    <col min="7947" max="7949" width="15.77734375" style="122" bestFit="1" customWidth="1"/>
    <col min="7950" max="7951" width="9.21875" style="122"/>
    <col min="7952" max="7952" width="12.77734375" style="122" bestFit="1" customWidth="1"/>
    <col min="7953" max="8191" width="9.21875" style="122"/>
    <col min="8192" max="8192" width="5.44140625" style="122" customWidth="1"/>
    <col min="8193" max="8193" width="67.5546875" style="122" customWidth="1"/>
    <col min="8194" max="8195" width="12.21875" style="122" customWidth="1"/>
    <col min="8196" max="8196" width="13.77734375" style="122" customWidth="1"/>
    <col min="8197" max="8197" width="12.77734375" style="122" customWidth="1"/>
    <col min="8198" max="8198" width="15.77734375" style="122" bestFit="1" customWidth="1"/>
    <col min="8199" max="8199" width="13" style="122" bestFit="1" customWidth="1"/>
    <col min="8200" max="8200" width="9" style="122" bestFit="1" customWidth="1"/>
    <col min="8201" max="8201" width="15.44140625" style="122" bestFit="1" customWidth="1"/>
    <col min="8202" max="8202" width="12.44140625" style="122" bestFit="1" customWidth="1"/>
    <col min="8203" max="8205" width="15.77734375" style="122" bestFit="1" customWidth="1"/>
    <col min="8206" max="8207" width="9.21875" style="122"/>
    <col min="8208" max="8208" width="12.77734375" style="122" bestFit="1" customWidth="1"/>
    <col min="8209" max="8447" width="9.21875" style="122"/>
    <col min="8448" max="8448" width="5.44140625" style="122" customWidth="1"/>
    <col min="8449" max="8449" width="67.5546875" style="122" customWidth="1"/>
    <col min="8450" max="8451" width="12.21875" style="122" customWidth="1"/>
    <col min="8452" max="8452" width="13.77734375" style="122" customWidth="1"/>
    <col min="8453" max="8453" width="12.77734375" style="122" customWidth="1"/>
    <col min="8454" max="8454" width="15.77734375" style="122" bestFit="1" customWidth="1"/>
    <col min="8455" max="8455" width="13" style="122" bestFit="1" customWidth="1"/>
    <col min="8456" max="8456" width="9" style="122" bestFit="1" customWidth="1"/>
    <col min="8457" max="8457" width="15.44140625" style="122" bestFit="1" customWidth="1"/>
    <col min="8458" max="8458" width="12.44140625" style="122" bestFit="1" customWidth="1"/>
    <col min="8459" max="8461" width="15.77734375" style="122" bestFit="1" customWidth="1"/>
    <col min="8462" max="8463" width="9.21875" style="122"/>
    <col min="8464" max="8464" width="12.77734375" style="122" bestFit="1" customWidth="1"/>
    <col min="8465" max="8703" width="9.21875" style="122"/>
    <col min="8704" max="8704" width="5.44140625" style="122" customWidth="1"/>
    <col min="8705" max="8705" width="67.5546875" style="122" customWidth="1"/>
    <col min="8706" max="8707" width="12.21875" style="122" customWidth="1"/>
    <col min="8708" max="8708" width="13.77734375" style="122" customWidth="1"/>
    <col min="8709" max="8709" width="12.77734375" style="122" customWidth="1"/>
    <col min="8710" max="8710" width="15.77734375" style="122" bestFit="1" customWidth="1"/>
    <col min="8711" max="8711" width="13" style="122" bestFit="1" customWidth="1"/>
    <col min="8712" max="8712" width="9" style="122" bestFit="1" customWidth="1"/>
    <col min="8713" max="8713" width="15.44140625" style="122" bestFit="1" customWidth="1"/>
    <col min="8714" max="8714" width="12.44140625" style="122" bestFit="1" customWidth="1"/>
    <col min="8715" max="8717" width="15.77734375" style="122" bestFit="1" customWidth="1"/>
    <col min="8718" max="8719" width="9.21875" style="122"/>
    <col min="8720" max="8720" width="12.77734375" style="122" bestFit="1" customWidth="1"/>
    <col min="8721" max="8959" width="9.21875" style="122"/>
    <col min="8960" max="8960" width="5.44140625" style="122" customWidth="1"/>
    <col min="8961" max="8961" width="67.5546875" style="122" customWidth="1"/>
    <col min="8962" max="8963" width="12.21875" style="122" customWidth="1"/>
    <col min="8964" max="8964" width="13.77734375" style="122" customWidth="1"/>
    <col min="8965" max="8965" width="12.77734375" style="122" customWidth="1"/>
    <col min="8966" max="8966" width="15.77734375" style="122" bestFit="1" customWidth="1"/>
    <col min="8967" max="8967" width="13" style="122" bestFit="1" customWidth="1"/>
    <col min="8968" max="8968" width="9" style="122" bestFit="1" customWidth="1"/>
    <col min="8969" max="8969" width="15.44140625" style="122" bestFit="1" customWidth="1"/>
    <col min="8970" max="8970" width="12.44140625" style="122" bestFit="1" customWidth="1"/>
    <col min="8971" max="8973" width="15.77734375" style="122" bestFit="1" customWidth="1"/>
    <col min="8974" max="8975" width="9.21875" style="122"/>
    <col min="8976" max="8976" width="12.77734375" style="122" bestFit="1" customWidth="1"/>
    <col min="8977" max="9215" width="9.21875" style="122"/>
    <col min="9216" max="9216" width="5.44140625" style="122" customWidth="1"/>
    <col min="9217" max="9217" width="67.5546875" style="122" customWidth="1"/>
    <col min="9218" max="9219" width="12.21875" style="122" customWidth="1"/>
    <col min="9220" max="9220" width="13.77734375" style="122" customWidth="1"/>
    <col min="9221" max="9221" width="12.77734375" style="122" customWidth="1"/>
    <col min="9222" max="9222" width="15.77734375" style="122" bestFit="1" customWidth="1"/>
    <col min="9223" max="9223" width="13" style="122" bestFit="1" customWidth="1"/>
    <col min="9224" max="9224" width="9" style="122" bestFit="1" customWidth="1"/>
    <col min="9225" max="9225" width="15.44140625" style="122" bestFit="1" customWidth="1"/>
    <col min="9226" max="9226" width="12.44140625" style="122" bestFit="1" customWidth="1"/>
    <col min="9227" max="9229" width="15.77734375" style="122" bestFit="1" customWidth="1"/>
    <col min="9230" max="9231" width="9.21875" style="122"/>
    <col min="9232" max="9232" width="12.77734375" style="122" bestFit="1" customWidth="1"/>
    <col min="9233" max="9471" width="9.21875" style="122"/>
    <col min="9472" max="9472" width="5.44140625" style="122" customWidth="1"/>
    <col min="9473" max="9473" width="67.5546875" style="122" customWidth="1"/>
    <col min="9474" max="9475" width="12.21875" style="122" customWidth="1"/>
    <col min="9476" max="9476" width="13.77734375" style="122" customWidth="1"/>
    <col min="9477" max="9477" width="12.77734375" style="122" customWidth="1"/>
    <col min="9478" max="9478" width="15.77734375" style="122" bestFit="1" customWidth="1"/>
    <col min="9479" max="9479" width="13" style="122" bestFit="1" customWidth="1"/>
    <col min="9480" max="9480" width="9" style="122" bestFit="1" customWidth="1"/>
    <col min="9481" max="9481" width="15.44140625" style="122" bestFit="1" customWidth="1"/>
    <col min="9482" max="9482" width="12.44140625" style="122" bestFit="1" customWidth="1"/>
    <col min="9483" max="9485" width="15.77734375" style="122" bestFit="1" customWidth="1"/>
    <col min="9486" max="9487" width="9.21875" style="122"/>
    <col min="9488" max="9488" width="12.77734375" style="122" bestFit="1" customWidth="1"/>
    <col min="9489" max="9727" width="9.21875" style="122"/>
    <col min="9728" max="9728" width="5.44140625" style="122" customWidth="1"/>
    <col min="9729" max="9729" width="67.5546875" style="122" customWidth="1"/>
    <col min="9730" max="9731" width="12.21875" style="122" customWidth="1"/>
    <col min="9732" max="9732" width="13.77734375" style="122" customWidth="1"/>
    <col min="9733" max="9733" width="12.77734375" style="122" customWidth="1"/>
    <col min="9734" max="9734" width="15.77734375" style="122" bestFit="1" customWidth="1"/>
    <col min="9735" max="9735" width="13" style="122" bestFit="1" customWidth="1"/>
    <col min="9736" max="9736" width="9" style="122" bestFit="1" customWidth="1"/>
    <col min="9737" max="9737" width="15.44140625" style="122" bestFit="1" customWidth="1"/>
    <col min="9738" max="9738" width="12.44140625" style="122" bestFit="1" customWidth="1"/>
    <col min="9739" max="9741" width="15.77734375" style="122" bestFit="1" customWidth="1"/>
    <col min="9742" max="9743" width="9.21875" style="122"/>
    <col min="9744" max="9744" width="12.77734375" style="122" bestFit="1" customWidth="1"/>
    <col min="9745" max="9983" width="9.21875" style="122"/>
    <col min="9984" max="9984" width="5.44140625" style="122" customWidth="1"/>
    <col min="9985" max="9985" width="67.5546875" style="122" customWidth="1"/>
    <col min="9986" max="9987" width="12.21875" style="122" customWidth="1"/>
    <col min="9988" max="9988" width="13.77734375" style="122" customWidth="1"/>
    <col min="9989" max="9989" width="12.77734375" style="122" customWidth="1"/>
    <col min="9990" max="9990" width="15.77734375" style="122" bestFit="1" customWidth="1"/>
    <col min="9991" max="9991" width="13" style="122" bestFit="1" customWidth="1"/>
    <col min="9992" max="9992" width="9" style="122" bestFit="1" customWidth="1"/>
    <col min="9993" max="9993" width="15.44140625" style="122" bestFit="1" customWidth="1"/>
    <col min="9994" max="9994" width="12.44140625" style="122" bestFit="1" customWidth="1"/>
    <col min="9995" max="9997" width="15.77734375" style="122" bestFit="1" customWidth="1"/>
    <col min="9998" max="9999" width="9.21875" style="122"/>
    <col min="10000" max="10000" width="12.77734375" style="122" bestFit="1" customWidth="1"/>
    <col min="10001" max="10239" width="9.21875" style="122"/>
    <col min="10240" max="10240" width="5.44140625" style="122" customWidth="1"/>
    <col min="10241" max="10241" width="67.5546875" style="122" customWidth="1"/>
    <col min="10242" max="10243" width="12.21875" style="122" customWidth="1"/>
    <col min="10244" max="10244" width="13.77734375" style="122" customWidth="1"/>
    <col min="10245" max="10245" width="12.77734375" style="122" customWidth="1"/>
    <col min="10246" max="10246" width="15.77734375" style="122" bestFit="1" customWidth="1"/>
    <col min="10247" max="10247" width="13" style="122" bestFit="1" customWidth="1"/>
    <col min="10248" max="10248" width="9" style="122" bestFit="1" customWidth="1"/>
    <col min="10249" max="10249" width="15.44140625" style="122" bestFit="1" customWidth="1"/>
    <col min="10250" max="10250" width="12.44140625" style="122" bestFit="1" customWidth="1"/>
    <col min="10251" max="10253" width="15.77734375" style="122" bestFit="1" customWidth="1"/>
    <col min="10254" max="10255" width="9.21875" style="122"/>
    <col min="10256" max="10256" width="12.77734375" style="122" bestFit="1" customWidth="1"/>
    <col min="10257" max="10495" width="9.21875" style="122"/>
    <col min="10496" max="10496" width="5.44140625" style="122" customWidth="1"/>
    <col min="10497" max="10497" width="67.5546875" style="122" customWidth="1"/>
    <col min="10498" max="10499" width="12.21875" style="122" customWidth="1"/>
    <col min="10500" max="10500" width="13.77734375" style="122" customWidth="1"/>
    <col min="10501" max="10501" width="12.77734375" style="122" customWidth="1"/>
    <col min="10502" max="10502" width="15.77734375" style="122" bestFit="1" customWidth="1"/>
    <col min="10503" max="10503" width="13" style="122" bestFit="1" customWidth="1"/>
    <col min="10504" max="10504" width="9" style="122" bestFit="1" customWidth="1"/>
    <col min="10505" max="10505" width="15.44140625" style="122" bestFit="1" customWidth="1"/>
    <col min="10506" max="10506" width="12.44140625" style="122" bestFit="1" customWidth="1"/>
    <col min="10507" max="10509" width="15.77734375" style="122" bestFit="1" customWidth="1"/>
    <col min="10510" max="10511" width="9.21875" style="122"/>
    <col min="10512" max="10512" width="12.77734375" style="122" bestFit="1" customWidth="1"/>
    <col min="10513" max="10751" width="9.21875" style="122"/>
    <col min="10752" max="10752" width="5.44140625" style="122" customWidth="1"/>
    <col min="10753" max="10753" width="67.5546875" style="122" customWidth="1"/>
    <col min="10754" max="10755" width="12.21875" style="122" customWidth="1"/>
    <col min="10756" max="10756" width="13.77734375" style="122" customWidth="1"/>
    <col min="10757" max="10757" width="12.77734375" style="122" customWidth="1"/>
    <col min="10758" max="10758" width="15.77734375" style="122" bestFit="1" customWidth="1"/>
    <col min="10759" max="10759" width="13" style="122" bestFit="1" customWidth="1"/>
    <col min="10760" max="10760" width="9" style="122" bestFit="1" customWidth="1"/>
    <col min="10761" max="10761" width="15.44140625" style="122" bestFit="1" customWidth="1"/>
    <col min="10762" max="10762" width="12.44140625" style="122" bestFit="1" customWidth="1"/>
    <col min="10763" max="10765" width="15.77734375" style="122" bestFit="1" customWidth="1"/>
    <col min="10766" max="10767" width="9.21875" style="122"/>
    <col min="10768" max="10768" width="12.77734375" style="122" bestFit="1" customWidth="1"/>
    <col min="10769" max="11007" width="9.21875" style="122"/>
    <col min="11008" max="11008" width="5.44140625" style="122" customWidth="1"/>
    <col min="11009" max="11009" width="67.5546875" style="122" customWidth="1"/>
    <col min="11010" max="11011" width="12.21875" style="122" customWidth="1"/>
    <col min="11012" max="11012" width="13.77734375" style="122" customWidth="1"/>
    <col min="11013" max="11013" width="12.77734375" style="122" customWidth="1"/>
    <col min="11014" max="11014" width="15.77734375" style="122" bestFit="1" customWidth="1"/>
    <col min="11015" max="11015" width="13" style="122" bestFit="1" customWidth="1"/>
    <col min="11016" max="11016" width="9" style="122" bestFit="1" customWidth="1"/>
    <col min="11017" max="11017" width="15.44140625" style="122" bestFit="1" customWidth="1"/>
    <col min="11018" max="11018" width="12.44140625" style="122" bestFit="1" customWidth="1"/>
    <col min="11019" max="11021" width="15.77734375" style="122" bestFit="1" customWidth="1"/>
    <col min="11022" max="11023" width="9.21875" style="122"/>
    <col min="11024" max="11024" width="12.77734375" style="122" bestFit="1" customWidth="1"/>
    <col min="11025" max="11263" width="9.21875" style="122"/>
    <col min="11264" max="11264" width="5.44140625" style="122" customWidth="1"/>
    <col min="11265" max="11265" width="67.5546875" style="122" customWidth="1"/>
    <col min="11266" max="11267" width="12.21875" style="122" customWidth="1"/>
    <col min="11268" max="11268" width="13.77734375" style="122" customWidth="1"/>
    <col min="11269" max="11269" width="12.77734375" style="122" customWidth="1"/>
    <col min="11270" max="11270" width="15.77734375" style="122" bestFit="1" customWidth="1"/>
    <col min="11271" max="11271" width="13" style="122" bestFit="1" customWidth="1"/>
    <col min="11272" max="11272" width="9" style="122" bestFit="1" customWidth="1"/>
    <col min="11273" max="11273" width="15.44140625" style="122" bestFit="1" customWidth="1"/>
    <col min="11274" max="11274" width="12.44140625" style="122" bestFit="1" customWidth="1"/>
    <col min="11275" max="11277" width="15.77734375" style="122" bestFit="1" customWidth="1"/>
    <col min="11278" max="11279" width="9.21875" style="122"/>
    <col min="11280" max="11280" width="12.77734375" style="122" bestFit="1" customWidth="1"/>
    <col min="11281" max="11519" width="9.21875" style="122"/>
    <col min="11520" max="11520" width="5.44140625" style="122" customWidth="1"/>
    <col min="11521" max="11521" width="67.5546875" style="122" customWidth="1"/>
    <col min="11522" max="11523" width="12.21875" style="122" customWidth="1"/>
    <col min="11524" max="11524" width="13.77734375" style="122" customWidth="1"/>
    <col min="11525" max="11525" width="12.77734375" style="122" customWidth="1"/>
    <col min="11526" max="11526" width="15.77734375" style="122" bestFit="1" customWidth="1"/>
    <col min="11527" max="11527" width="13" style="122" bestFit="1" customWidth="1"/>
    <col min="11528" max="11528" width="9" style="122" bestFit="1" customWidth="1"/>
    <col min="11529" max="11529" width="15.44140625" style="122" bestFit="1" customWidth="1"/>
    <col min="11530" max="11530" width="12.44140625" style="122" bestFit="1" customWidth="1"/>
    <col min="11531" max="11533" width="15.77734375" style="122" bestFit="1" customWidth="1"/>
    <col min="11534" max="11535" width="9.21875" style="122"/>
    <col min="11536" max="11536" width="12.77734375" style="122" bestFit="1" customWidth="1"/>
    <col min="11537" max="11775" width="9.21875" style="122"/>
    <col min="11776" max="11776" width="5.44140625" style="122" customWidth="1"/>
    <col min="11777" max="11777" width="67.5546875" style="122" customWidth="1"/>
    <col min="11778" max="11779" width="12.21875" style="122" customWidth="1"/>
    <col min="11780" max="11780" width="13.77734375" style="122" customWidth="1"/>
    <col min="11781" max="11781" width="12.77734375" style="122" customWidth="1"/>
    <col min="11782" max="11782" width="15.77734375" style="122" bestFit="1" customWidth="1"/>
    <col min="11783" max="11783" width="13" style="122" bestFit="1" customWidth="1"/>
    <col min="11784" max="11784" width="9" style="122" bestFit="1" customWidth="1"/>
    <col min="11785" max="11785" width="15.44140625" style="122" bestFit="1" customWidth="1"/>
    <col min="11786" max="11786" width="12.44140625" style="122" bestFit="1" customWidth="1"/>
    <col min="11787" max="11789" width="15.77734375" style="122" bestFit="1" customWidth="1"/>
    <col min="11790" max="11791" width="9.21875" style="122"/>
    <col min="11792" max="11792" width="12.77734375" style="122" bestFit="1" customWidth="1"/>
    <col min="11793" max="12031" width="9.21875" style="122"/>
    <col min="12032" max="12032" width="5.44140625" style="122" customWidth="1"/>
    <col min="12033" max="12033" width="67.5546875" style="122" customWidth="1"/>
    <col min="12034" max="12035" width="12.21875" style="122" customWidth="1"/>
    <col min="12036" max="12036" width="13.77734375" style="122" customWidth="1"/>
    <col min="12037" max="12037" width="12.77734375" style="122" customWidth="1"/>
    <col min="12038" max="12038" width="15.77734375" style="122" bestFit="1" customWidth="1"/>
    <col min="12039" max="12039" width="13" style="122" bestFit="1" customWidth="1"/>
    <col min="12040" max="12040" width="9" style="122" bestFit="1" customWidth="1"/>
    <col min="12041" max="12041" width="15.44140625" style="122" bestFit="1" customWidth="1"/>
    <col min="12042" max="12042" width="12.44140625" style="122" bestFit="1" customWidth="1"/>
    <col min="12043" max="12045" width="15.77734375" style="122" bestFit="1" customWidth="1"/>
    <col min="12046" max="12047" width="9.21875" style="122"/>
    <col min="12048" max="12048" width="12.77734375" style="122" bestFit="1" customWidth="1"/>
    <col min="12049" max="12287" width="9.21875" style="122"/>
    <col min="12288" max="12288" width="5.44140625" style="122" customWidth="1"/>
    <col min="12289" max="12289" width="67.5546875" style="122" customWidth="1"/>
    <col min="12290" max="12291" width="12.21875" style="122" customWidth="1"/>
    <col min="12292" max="12292" width="13.77734375" style="122" customWidth="1"/>
    <col min="12293" max="12293" width="12.77734375" style="122" customWidth="1"/>
    <col min="12294" max="12294" width="15.77734375" style="122" bestFit="1" customWidth="1"/>
    <col min="12295" max="12295" width="13" style="122" bestFit="1" customWidth="1"/>
    <col min="12296" max="12296" width="9" style="122" bestFit="1" customWidth="1"/>
    <col min="12297" max="12297" width="15.44140625" style="122" bestFit="1" customWidth="1"/>
    <col min="12298" max="12298" width="12.44140625" style="122" bestFit="1" customWidth="1"/>
    <col min="12299" max="12301" width="15.77734375" style="122" bestFit="1" customWidth="1"/>
    <col min="12302" max="12303" width="9.21875" style="122"/>
    <col min="12304" max="12304" width="12.77734375" style="122" bestFit="1" customWidth="1"/>
    <col min="12305" max="12543" width="9.21875" style="122"/>
    <col min="12544" max="12544" width="5.44140625" style="122" customWidth="1"/>
    <col min="12545" max="12545" width="67.5546875" style="122" customWidth="1"/>
    <col min="12546" max="12547" width="12.21875" style="122" customWidth="1"/>
    <col min="12548" max="12548" width="13.77734375" style="122" customWidth="1"/>
    <col min="12549" max="12549" width="12.77734375" style="122" customWidth="1"/>
    <col min="12550" max="12550" width="15.77734375" style="122" bestFit="1" customWidth="1"/>
    <col min="12551" max="12551" width="13" style="122" bestFit="1" customWidth="1"/>
    <col min="12552" max="12552" width="9" style="122" bestFit="1" customWidth="1"/>
    <col min="12553" max="12553" width="15.44140625" style="122" bestFit="1" customWidth="1"/>
    <col min="12554" max="12554" width="12.44140625" style="122" bestFit="1" customWidth="1"/>
    <col min="12555" max="12557" width="15.77734375" style="122" bestFit="1" customWidth="1"/>
    <col min="12558" max="12559" width="9.21875" style="122"/>
    <col min="12560" max="12560" width="12.77734375" style="122" bestFit="1" customWidth="1"/>
    <col min="12561" max="12799" width="9.21875" style="122"/>
    <col min="12800" max="12800" width="5.44140625" style="122" customWidth="1"/>
    <col min="12801" max="12801" width="67.5546875" style="122" customWidth="1"/>
    <col min="12802" max="12803" width="12.21875" style="122" customWidth="1"/>
    <col min="12804" max="12804" width="13.77734375" style="122" customWidth="1"/>
    <col min="12805" max="12805" width="12.77734375" style="122" customWidth="1"/>
    <col min="12806" max="12806" width="15.77734375" style="122" bestFit="1" customWidth="1"/>
    <col min="12807" max="12807" width="13" style="122" bestFit="1" customWidth="1"/>
    <col min="12808" max="12808" width="9" style="122" bestFit="1" customWidth="1"/>
    <col min="12809" max="12809" width="15.44140625" style="122" bestFit="1" customWidth="1"/>
    <col min="12810" max="12810" width="12.44140625" style="122" bestFit="1" customWidth="1"/>
    <col min="12811" max="12813" width="15.77734375" style="122" bestFit="1" customWidth="1"/>
    <col min="12814" max="12815" width="9.21875" style="122"/>
    <col min="12816" max="12816" width="12.77734375" style="122" bestFit="1" customWidth="1"/>
    <col min="12817" max="13055" width="9.21875" style="122"/>
    <col min="13056" max="13056" width="5.44140625" style="122" customWidth="1"/>
    <col min="13057" max="13057" width="67.5546875" style="122" customWidth="1"/>
    <col min="13058" max="13059" width="12.21875" style="122" customWidth="1"/>
    <col min="13060" max="13060" width="13.77734375" style="122" customWidth="1"/>
    <col min="13061" max="13061" width="12.77734375" style="122" customWidth="1"/>
    <col min="13062" max="13062" width="15.77734375" style="122" bestFit="1" customWidth="1"/>
    <col min="13063" max="13063" width="13" style="122" bestFit="1" customWidth="1"/>
    <col min="13064" max="13064" width="9" style="122" bestFit="1" customWidth="1"/>
    <col min="13065" max="13065" width="15.44140625" style="122" bestFit="1" customWidth="1"/>
    <col min="13066" max="13066" width="12.44140625" style="122" bestFit="1" customWidth="1"/>
    <col min="13067" max="13069" width="15.77734375" style="122" bestFit="1" customWidth="1"/>
    <col min="13070" max="13071" width="9.21875" style="122"/>
    <col min="13072" max="13072" width="12.77734375" style="122" bestFit="1" customWidth="1"/>
    <col min="13073" max="13311" width="9.21875" style="122"/>
    <col min="13312" max="13312" width="5.44140625" style="122" customWidth="1"/>
    <col min="13313" max="13313" width="67.5546875" style="122" customWidth="1"/>
    <col min="13314" max="13315" width="12.21875" style="122" customWidth="1"/>
    <col min="13316" max="13316" width="13.77734375" style="122" customWidth="1"/>
    <col min="13317" max="13317" width="12.77734375" style="122" customWidth="1"/>
    <col min="13318" max="13318" width="15.77734375" style="122" bestFit="1" customWidth="1"/>
    <col min="13319" max="13319" width="13" style="122" bestFit="1" customWidth="1"/>
    <col min="13320" max="13320" width="9" style="122" bestFit="1" customWidth="1"/>
    <col min="13321" max="13321" width="15.44140625" style="122" bestFit="1" customWidth="1"/>
    <col min="13322" max="13322" width="12.44140625" style="122" bestFit="1" customWidth="1"/>
    <col min="13323" max="13325" width="15.77734375" style="122" bestFit="1" customWidth="1"/>
    <col min="13326" max="13327" width="9.21875" style="122"/>
    <col min="13328" max="13328" width="12.77734375" style="122" bestFit="1" customWidth="1"/>
    <col min="13329" max="13567" width="9.21875" style="122"/>
    <col min="13568" max="13568" width="5.44140625" style="122" customWidth="1"/>
    <col min="13569" max="13569" width="67.5546875" style="122" customWidth="1"/>
    <col min="13570" max="13571" width="12.21875" style="122" customWidth="1"/>
    <col min="13572" max="13572" width="13.77734375" style="122" customWidth="1"/>
    <col min="13573" max="13573" width="12.77734375" style="122" customWidth="1"/>
    <col min="13574" max="13574" width="15.77734375" style="122" bestFit="1" customWidth="1"/>
    <col min="13575" max="13575" width="13" style="122" bestFit="1" customWidth="1"/>
    <col min="13576" max="13576" width="9" style="122" bestFit="1" customWidth="1"/>
    <col min="13577" max="13577" width="15.44140625" style="122" bestFit="1" customWidth="1"/>
    <col min="13578" max="13578" width="12.44140625" style="122" bestFit="1" customWidth="1"/>
    <col min="13579" max="13581" width="15.77734375" style="122" bestFit="1" customWidth="1"/>
    <col min="13582" max="13583" width="9.21875" style="122"/>
    <col min="13584" max="13584" width="12.77734375" style="122" bestFit="1" customWidth="1"/>
    <col min="13585" max="13823" width="9.21875" style="122"/>
    <col min="13824" max="13824" width="5.44140625" style="122" customWidth="1"/>
    <col min="13825" max="13825" width="67.5546875" style="122" customWidth="1"/>
    <col min="13826" max="13827" width="12.21875" style="122" customWidth="1"/>
    <col min="13828" max="13828" width="13.77734375" style="122" customWidth="1"/>
    <col min="13829" max="13829" width="12.77734375" style="122" customWidth="1"/>
    <col min="13830" max="13830" width="15.77734375" style="122" bestFit="1" customWidth="1"/>
    <col min="13831" max="13831" width="13" style="122" bestFit="1" customWidth="1"/>
    <col min="13832" max="13832" width="9" style="122" bestFit="1" customWidth="1"/>
    <col min="13833" max="13833" width="15.44140625" style="122" bestFit="1" customWidth="1"/>
    <col min="13834" max="13834" width="12.44140625" style="122" bestFit="1" customWidth="1"/>
    <col min="13835" max="13837" width="15.77734375" style="122" bestFit="1" customWidth="1"/>
    <col min="13838" max="13839" width="9.21875" style="122"/>
    <col min="13840" max="13840" width="12.77734375" style="122" bestFit="1" customWidth="1"/>
    <col min="13841" max="14079" width="9.21875" style="122"/>
    <col min="14080" max="14080" width="5.44140625" style="122" customWidth="1"/>
    <col min="14081" max="14081" width="67.5546875" style="122" customWidth="1"/>
    <col min="14082" max="14083" width="12.21875" style="122" customWidth="1"/>
    <col min="14084" max="14084" width="13.77734375" style="122" customWidth="1"/>
    <col min="14085" max="14085" width="12.77734375" style="122" customWidth="1"/>
    <col min="14086" max="14086" width="15.77734375" style="122" bestFit="1" customWidth="1"/>
    <col min="14087" max="14087" width="13" style="122" bestFit="1" customWidth="1"/>
    <col min="14088" max="14088" width="9" style="122" bestFit="1" customWidth="1"/>
    <col min="14089" max="14089" width="15.44140625" style="122" bestFit="1" customWidth="1"/>
    <col min="14090" max="14090" width="12.44140625" style="122" bestFit="1" customWidth="1"/>
    <col min="14091" max="14093" width="15.77734375" style="122" bestFit="1" customWidth="1"/>
    <col min="14094" max="14095" width="9.21875" style="122"/>
    <col min="14096" max="14096" width="12.77734375" style="122" bestFit="1" customWidth="1"/>
    <col min="14097" max="14335" width="9.21875" style="122"/>
    <col min="14336" max="14336" width="5.44140625" style="122" customWidth="1"/>
    <col min="14337" max="14337" width="67.5546875" style="122" customWidth="1"/>
    <col min="14338" max="14339" width="12.21875" style="122" customWidth="1"/>
    <col min="14340" max="14340" width="13.77734375" style="122" customWidth="1"/>
    <col min="14341" max="14341" width="12.77734375" style="122" customWidth="1"/>
    <col min="14342" max="14342" width="15.77734375" style="122" bestFit="1" customWidth="1"/>
    <col min="14343" max="14343" width="13" style="122" bestFit="1" customWidth="1"/>
    <col min="14344" max="14344" width="9" style="122" bestFit="1" customWidth="1"/>
    <col min="14345" max="14345" width="15.44140625" style="122" bestFit="1" customWidth="1"/>
    <col min="14346" max="14346" width="12.44140625" style="122" bestFit="1" customWidth="1"/>
    <col min="14347" max="14349" width="15.77734375" style="122" bestFit="1" customWidth="1"/>
    <col min="14350" max="14351" width="9.21875" style="122"/>
    <col min="14352" max="14352" width="12.77734375" style="122" bestFit="1" customWidth="1"/>
    <col min="14353" max="14591" width="9.21875" style="122"/>
    <col min="14592" max="14592" width="5.44140625" style="122" customWidth="1"/>
    <col min="14593" max="14593" width="67.5546875" style="122" customWidth="1"/>
    <col min="14594" max="14595" width="12.21875" style="122" customWidth="1"/>
    <col min="14596" max="14596" width="13.77734375" style="122" customWidth="1"/>
    <col min="14597" max="14597" width="12.77734375" style="122" customWidth="1"/>
    <col min="14598" max="14598" width="15.77734375" style="122" bestFit="1" customWidth="1"/>
    <col min="14599" max="14599" width="13" style="122" bestFit="1" customWidth="1"/>
    <col min="14600" max="14600" width="9" style="122" bestFit="1" customWidth="1"/>
    <col min="14601" max="14601" width="15.44140625" style="122" bestFit="1" customWidth="1"/>
    <col min="14602" max="14602" width="12.44140625" style="122" bestFit="1" customWidth="1"/>
    <col min="14603" max="14605" width="15.77734375" style="122" bestFit="1" customWidth="1"/>
    <col min="14606" max="14607" width="9.21875" style="122"/>
    <col min="14608" max="14608" width="12.77734375" style="122" bestFit="1" customWidth="1"/>
    <col min="14609" max="14847" width="9.21875" style="122"/>
    <col min="14848" max="14848" width="5.44140625" style="122" customWidth="1"/>
    <col min="14849" max="14849" width="67.5546875" style="122" customWidth="1"/>
    <col min="14850" max="14851" width="12.21875" style="122" customWidth="1"/>
    <col min="14852" max="14852" width="13.77734375" style="122" customWidth="1"/>
    <col min="14853" max="14853" width="12.77734375" style="122" customWidth="1"/>
    <col min="14854" max="14854" width="15.77734375" style="122" bestFit="1" customWidth="1"/>
    <col min="14855" max="14855" width="13" style="122" bestFit="1" customWidth="1"/>
    <col min="14856" max="14856" width="9" style="122" bestFit="1" customWidth="1"/>
    <col min="14857" max="14857" width="15.44140625" style="122" bestFit="1" customWidth="1"/>
    <col min="14858" max="14858" width="12.44140625" style="122" bestFit="1" customWidth="1"/>
    <col min="14859" max="14861" width="15.77734375" style="122" bestFit="1" customWidth="1"/>
    <col min="14862" max="14863" width="9.21875" style="122"/>
    <col min="14864" max="14864" width="12.77734375" style="122" bestFit="1" customWidth="1"/>
    <col min="14865" max="15103" width="9.21875" style="122"/>
    <col min="15104" max="15104" width="5.44140625" style="122" customWidth="1"/>
    <col min="15105" max="15105" width="67.5546875" style="122" customWidth="1"/>
    <col min="15106" max="15107" width="12.21875" style="122" customWidth="1"/>
    <col min="15108" max="15108" width="13.77734375" style="122" customWidth="1"/>
    <col min="15109" max="15109" width="12.77734375" style="122" customWidth="1"/>
    <col min="15110" max="15110" width="15.77734375" style="122" bestFit="1" customWidth="1"/>
    <col min="15111" max="15111" width="13" style="122" bestFit="1" customWidth="1"/>
    <col min="15112" max="15112" width="9" style="122" bestFit="1" customWidth="1"/>
    <col min="15113" max="15113" width="15.44140625" style="122" bestFit="1" customWidth="1"/>
    <col min="15114" max="15114" width="12.44140625" style="122" bestFit="1" customWidth="1"/>
    <col min="15115" max="15117" width="15.77734375" style="122" bestFit="1" customWidth="1"/>
    <col min="15118" max="15119" width="9.21875" style="122"/>
    <col min="15120" max="15120" width="12.77734375" style="122" bestFit="1" customWidth="1"/>
    <col min="15121" max="15359" width="9.21875" style="122"/>
    <col min="15360" max="15360" width="5.44140625" style="122" customWidth="1"/>
    <col min="15361" max="15361" width="67.5546875" style="122" customWidth="1"/>
    <col min="15362" max="15363" width="12.21875" style="122" customWidth="1"/>
    <col min="15364" max="15364" width="13.77734375" style="122" customWidth="1"/>
    <col min="15365" max="15365" width="12.77734375" style="122" customWidth="1"/>
    <col min="15366" max="15366" width="15.77734375" style="122" bestFit="1" customWidth="1"/>
    <col min="15367" max="15367" width="13" style="122" bestFit="1" customWidth="1"/>
    <col min="15368" max="15368" width="9" style="122" bestFit="1" customWidth="1"/>
    <col min="15369" max="15369" width="15.44140625" style="122" bestFit="1" customWidth="1"/>
    <col min="15370" max="15370" width="12.44140625" style="122" bestFit="1" customWidth="1"/>
    <col min="15371" max="15373" width="15.77734375" style="122" bestFit="1" customWidth="1"/>
    <col min="15374" max="15375" width="9.21875" style="122"/>
    <col min="15376" max="15376" width="12.77734375" style="122" bestFit="1" customWidth="1"/>
    <col min="15377" max="15615" width="9.21875" style="122"/>
    <col min="15616" max="15616" width="5.44140625" style="122" customWidth="1"/>
    <col min="15617" max="15617" width="67.5546875" style="122" customWidth="1"/>
    <col min="15618" max="15619" width="12.21875" style="122" customWidth="1"/>
    <col min="15620" max="15620" width="13.77734375" style="122" customWidth="1"/>
    <col min="15621" max="15621" width="12.77734375" style="122" customWidth="1"/>
    <col min="15622" max="15622" width="15.77734375" style="122" bestFit="1" customWidth="1"/>
    <col min="15623" max="15623" width="13" style="122" bestFit="1" customWidth="1"/>
    <col min="15624" max="15624" width="9" style="122" bestFit="1" customWidth="1"/>
    <col min="15625" max="15625" width="15.44140625" style="122" bestFit="1" customWidth="1"/>
    <col min="15626" max="15626" width="12.44140625" style="122" bestFit="1" customWidth="1"/>
    <col min="15627" max="15629" width="15.77734375" style="122" bestFit="1" customWidth="1"/>
    <col min="15630" max="15631" width="9.21875" style="122"/>
    <col min="15632" max="15632" width="12.77734375" style="122" bestFit="1" customWidth="1"/>
    <col min="15633" max="15871" width="9.21875" style="122"/>
    <col min="15872" max="15872" width="5.44140625" style="122" customWidth="1"/>
    <col min="15873" max="15873" width="67.5546875" style="122" customWidth="1"/>
    <col min="15874" max="15875" width="12.21875" style="122" customWidth="1"/>
    <col min="15876" max="15876" width="13.77734375" style="122" customWidth="1"/>
    <col min="15877" max="15877" width="12.77734375" style="122" customWidth="1"/>
    <col min="15878" max="15878" width="15.77734375" style="122" bestFit="1" customWidth="1"/>
    <col min="15879" max="15879" width="13" style="122" bestFit="1" customWidth="1"/>
    <col min="15880" max="15880" width="9" style="122" bestFit="1" customWidth="1"/>
    <col min="15881" max="15881" width="15.44140625" style="122" bestFit="1" customWidth="1"/>
    <col min="15882" max="15882" width="12.44140625" style="122" bestFit="1" customWidth="1"/>
    <col min="15883" max="15885" width="15.77734375" style="122" bestFit="1" customWidth="1"/>
    <col min="15886" max="15887" width="9.21875" style="122"/>
    <col min="15888" max="15888" width="12.77734375" style="122" bestFit="1" customWidth="1"/>
    <col min="15889" max="16127" width="9.21875" style="122"/>
    <col min="16128" max="16128" width="5.44140625" style="122" customWidth="1"/>
    <col min="16129" max="16129" width="67.5546875" style="122" customWidth="1"/>
    <col min="16130" max="16131" width="12.21875" style="122" customWidth="1"/>
    <col min="16132" max="16132" width="13.77734375" style="122" customWidth="1"/>
    <col min="16133" max="16133" width="12.77734375" style="122" customWidth="1"/>
    <col min="16134" max="16134" width="15.77734375" style="122" bestFit="1" customWidth="1"/>
    <col min="16135" max="16135" width="13" style="122" bestFit="1" customWidth="1"/>
    <col min="16136" max="16136" width="9" style="122" bestFit="1" customWidth="1"/>
    <col min="16137" max="16137" width="15.44140625" style="122" bestFit="1" customWidth="1"/>
    <col min="16138" max="16138" width="12.44140625" style="122" bestFit="1" customWidth="1"/>
    <col min="16139" max="16141" width="15.77734375" style="122" bestFit="1" customWidth="1"/>
    <col min="16142" max="16143" width="9.21875" style="122"/>
    <col min="16144" max="16144" width="12.77734375" style="122" bestFit="1" customWidth="1"/>
    <col min="16145" max="16384" width="9.21875" style="122"/>
  </cols>
  <sheetData>
    <row r="1" spans="1:15" s="117" customFormat="1" ht="12.75" customHeight="1">
      <c r="A1" s="155" t="str">
        <f>+BS!A1</f>
        <v>1908 E-Ventures Private Limited</v>
      </c>
      <c r="G1" s="118"/>
      <c r="L1" s="118"/>
      <c r="M1" s="118"/>
    </row>
    <row r="2" spans="1:15" s="117" customFormat="1" ht="12.75" customHeight="1">
      <c r="A2" s="155" t="s">
        <v>881</v>
      </c>
      <c r="G2" s="118"/>
      <c r="L2" s="118"/>
      <c r="M2" s="118"/>
    </row>
    <row r="3" spans="1:15" s="117" customFormat="1" ht="12.75" customHeight="1">
      <c r="A3" s="8" t="str">
        <f>BS!A3</f>
        <v>[Currency: Indian Rupees(Rs.'000)]</v>
      </c>
      <c r="G3" s="118"/>
      <c r="L3" s="118"/>
      <c r="M3" s="118"/>
    </row>
    <row r="4" spans="1:15" s="117" customFormat="1" ht="12.75" customHeight="1">
      <c r="G4" s="118"/>
      <c r="L4" s="118"/>
      <c r="M4" s="118"/>
    </row>
    <row r="5" spans="1:15" ht="12" customHeight="1">
      <c r="A5" s="119" t="s">
        <v>506</v>
      </c>
      <c r="B5" s="120"/>
      <c r="C5" s="120"/>
      <c r="D5" s="120"/>
      <c r="E5" s="120"/>
      <c r="F5" s="120"/>
      <c r="G5" s="121"/>
      <c r="H5" s="120"/>
      <c r="I5" s="120"/>
      <c r="J5" s="120"/>
      <c r="K5" s="120"/>
      <c r="L5" s="118"/>
      <c r="M5" s="118"/>
    </row>
    <row r="6" spans="1:15" ht="7.5" customHeight="1">
      <c r="A6" s="117"/>
      <c r="B6" s="123"/>
      <c r="C6" s="123"/>
      <c r="D6" s="124"/>
      <c r="E6" s="124"/>
      <c r="F6" s="124"/>
      <c r="G6" s="125"/>
      <c r="H6" s="126"/>
      <c r="I6" s="127"/>
      <c r="J6" s="126"/>
      <c r="K6" s="128"/>
      <c r="L6" s="118"/>
      <c r="M6" s="129"/>
    </row>
    <row r="7" spans="1:15" ht="14.4">
      <c r="A7" s="457"/>
      <c r="B7" s="1262" t="s">
        <v>70</v>
      </c>
      <c r="C7" s="1263"/>
      <c r="D7" s="1263"/>
      <c r="E7" s="1263"/>
      <c r="F7" s="1263"/>
      <c r="G7" s="1264"/>
      <c r="H7" s="1262" t="s">
        <v>71</v>
      </c>
      <c r="I7" s="1263"/>
      <c r="J7" s="1263"/>
      <c r="K7" s="1263"/>
      <c r="L7" s="1264"/>
      <c r="M7" s="459" t="s">
        <v>72</v>
      </c>
    </row>
    <row r="8" spans="1:15" s="130" customFormat="1" ht="14.4">
      <c r="A8" s="457" t="s">
        <v>73</v>
      </c>
      <c r="B8" s="460" t="s">
        <v>74</v>
      </c>
      <c r="C8" s="460" t="s">
        <v>75</v>
      </c>
      <c r="D8" s="460"/>
      <c r="E8" s="458"/>
      <c r="F8" s="458"/>
      <c r="G8" s="460" t="s">
        <v>74</v>
      </c>
      <c r="H8" s="460" t="s">
        <v>74</v>
      </c>
      <c r="I8" s="458" t="s">
        <v>76</v>
      </c>
      <c r="J8" s="458"/>
      <c r="K8" s="458"/>
      <c r="L8" s="460" t="s">
        <v>74</v>
      </c>
      <c r="M8" s="460" t="s">
        <v>74</v>
      </c>
    </row>
    <row r="9" spans="1:15" s="130" customFormat="1" ht="14.4">
      <c r="A9" s="461" t="s">
        <v>0</v>
      </c>
      <c r="B9" s="462" t="s">
        <v>1356</v>
      </c>
      <c r="C9" s="463" t="s">
        <v>77</v>
      </c>
      <c r="D9" s="464" t="s">
        <v>56</v>
      </c>
      <c r="E9" s="464" t="s">
        <v>78</v>
      </c>
      <c r="F9" s="464" t="s">
        <v>79</v>
      </c>
      <c r="G9" s="462" t="s">
        <v>1357</v>
      </c>
      <c r="H9" s="462" t="s">
        <v>1356</v>
      </c>
      <c r="I9" s="464" t="s">
        <v>80</v>
      </c>
      <c r="J9" s="464" t="s">
        <v>78</v>
      </c>
      <c r="K9" s="464" t="s">
        <v>79</v>
      </c>
      <c r="L9" s="462" t="s">
        <v>1357</v>
      </c>
      <c r="M9" s="462" t="s">
        <v>1357</v>
      </c>
    </row>
    <row r="10" spans="1:15" s="130" customFormat="1" ht="14.25" customHeight="1">
      <c r="A10" s="465"/>
      <c r="B10" s="466"/>
      <c r="C10" s="467"/>
      <c r="D10" s="467"/>
      <c r="E10" s="467"/>
      <c r="F10" s="467"/>
      <c r="G10" s="467"/>
      <c r="H10" s="468"/>
      <c r="I10" s="469"/>
      <c r="J10" s="469"/>
      <c r="K10" s="470"/>
      <c r="L10" s="470"/>
      <c r="M10" s="470"/>
    </row>
    <row r="11" spans="1:15" s="137" customFormat="1" ht="14.4">
      <c r="A11" s="131" t="s">
        <v>81</v>
      </c>
      <c r="B11" s="4"/>
      <c r="C11" s="132"/>
      <c r="D11" s="132"/>
      <c r="E11" s="132"/>
      <c r="F11" s="132"/>
      <c r="G11" s="133"/>
      <c r="H11" s="132"/>
      <c r="I11" s="134"/>
      <c r="J11" s="134"/>
      <c r="K11" s="135"/>
      <c r="L11" s="136"/>
      <c r="M11" s="136"/>
    </row>
    <row r="12" spans="1:15" s="137" customFormat="1" ht="9" customHeight="1">
      <c r="A12" s="131"/>
      <c r="B12" s="4"/>
      <c r="C12" s="132"/>
      <c r="D12" s="132"/>
      <c r="E12" s="132"/>
      <c r="F12" s="132"/>
      <c r="G12" s="133"/>
      <c r="H12" s="132"/>
      <c r="I12" s="134"/>
      <c r="J12" s="134"/>
      <c r="K12" s="135"/>
      <c r="L12" s="136"/>
      <c r="M12" s="136"/>
    </row>
    <row r="13" spans="1:15" s="137" customFormat="1" ht="14.4">
      <c r="A13" s="138" t="s">
        <v>86</v>
      </c>
      <c r="B13" s="528">
        <v>1354117</v>
      </c>
      <c r="C13" s="531"/>
      <c r="D13" s="531">
        <v>705874</v>
      </c>
      <c r="E13" s="531">
        <v>0</v>
      </c>
      <c r="F13" s="531">
        <v>169407</v>
      </c>
      <c r="G13" s="542">
        <f>ROUND(B13+D13+E13-F13-C13,0)</f>
        <v>1890584</v>
      </c>
      <c r="H13" s="531">
        <v>781244</v>
      </c>
      <c r="I13" s="528">
        <f>598163+6630</f>
        <v>604793</v>
      </c>
      <c r="J13" s="531">
        <f>6630*0</f>
        <v>0</v>
      </c>
      <c r="K13" s="528">
        <v>126639</v>
      </c>
      <c r="L13" s="529">
        <f>ROUND(H13+I13+J13-K13,0)</f>
        <v>1259398</v>
      </c>
      <c r="M13" s="529">
        <f>G13-L13</f>
        <v>631186</v>
      </c>
      <c r="N13" s="543"/>
      <c r="O13" s="543"/>
    </row>
    <row r="14" spans="1:15" s="137" customFormat="1" ht="14.4">
      <c r="A14" s="138"/>
      <c r="B14" s="528"/>
      <c r="C14" s="531"/>
      <c r="D14" s="531"/>
      <c r="E14" s="531"/>
      <c r="F14" s="531"/>
      <c r="G14" s="542"/>
      <c r="H14" s="531"/>
      <c r="I14" s="531"/>
      <c r="J14" s="531"/>
      <c r="K14" s="531"/>
      <c r="L14" s="529"/>
      <c r="M14" s="529"/>
      <c r="N14" s="543"/>
      <c r="O14" s="543"/>
    </row>
    <row r="15" spans="1:15" s="137" customFormat="1" ht="14.4">
      <c r="A15" s="138" t="s">
        <v>87</v>
      </c>
      <c r="B15" s="528">
        <v>1065072</v>
      </c>
      <c r="C15" s="528"/>
      <c r="D15" s="528">
        <v>111300</v>
      </c>
      <c r="E15" s="531">
        <v>0</v>
      </c>
      <c r="F15" s="528">
        <v>0</v>
      </c>
      <c r="G15" s="542">
        <f>ROUND(B15+D15+E15-F15-C15,0)</f>
        <v>1176372</v>
      </c>
      <c r="H15" s="531">
        <v>888571</v>
      </c>
      <c r="I15" s="531">
        <v>134972</v>
      </c>
      <c r="J15" s="531">
        <f>55507*0</f>
        <v>0</v>
      </c>
      <c r="K15" s="531">
        <v>0</v>
      </c>
      <c r="L15" s="529">
        <f>ROUND(H15+I15+J15-K15,0)</f>
        <v>1023543</v>
      </c>
      <c r="M15" s="529">
        <f>G15-L15</f>
        <v>152829</v>
      </c>
      <c r="N15" s="543"/>
      <c r="O15" s="543"/>
    </row>
    <row r="16" spans="1:15" s="137" customFormat="1" ht="14.4">
      <c r="A16" s="138"/>
      <c r="B16" s="528"/>
      <c r="C16" s="531"/>
      <c r="D16" s="531"/>
      <c r="E16" s="531"/>
      <c r="F16" s="531"/>
      <c r="G16" s="542"/>
      <c r="H16" s="531"/>
      <c r="I16" s="531"/>
      <c r="J16" s="531"/>
      <c r="K16" s="531"/>
      <c r="L16" s="529"/>
      <c r="M16" s="529"/>
      <c r="N16" s="543"/>
      <c r="O16" s="543"/>
    </row>
    <row r="17" spans="1:16" s="137" customFormat="1" ht="14.4">
      <c r="A17" s="138" t="s">
        <v>82</v>
      </c>
      <c r="B17" s="528">
        <v>187694</v>
      </c>
      <c r="C17" s="531"/>
      <c r="D17" s="544">
        <v>0</v>
      </c>
      <c r="E17" s="531">
        <v>0</v>
      </c>
      <c r="F17" s="531">
        <v>0</v>
      </c>
      <c r="G17" s="542">
        <f>ROUND(B17+D17+E17-F17-C17,0)</f>
        <v>187694</v>
      </c>
      <c r="H17" s="531">
        <v>157361</v>
      </c>
      <c r="I17" s="531">
        <v>7852</v>
      </c>
      <c r="J17" s="531">
        <v>0</v>
      </c>
      <c r="K17" s="531">
        <v>0</v>
      </c>
      <c r="L17" s="529">
        <f>ROUND(H17+I17+J17-K17,0)</f>
        <v>165213</v>
      </c>
      <c r="M17" s="529">
        <f>G17-L17</f>
        <v>22481</v>
      </c>
      <c r="N17" s="543"/>
      <c r="O17" s="543"/>
    </row>
    <row r="18" spans="1:16" s="137" customFormat="1" ht="14.4">
      <c r="A18" s="138"/>
      <c r="B18" s="528"/>
      <c r="C18" s="531"/>
      <c r="D18" s="531"/>
      <c r="E18" s="531"/>
      <c r="F18" s="531"/>
      <c r="G18" s="542"/>
      <c r="H18" s="531"/>
      <c r="I18" s="531"/>
      <c r="J18" s="531"/>
      <c r="K18" s="531"/>
      <c r="L18" s="529"/>
      <c r="M18" s="529"/>
      <c r="N18" s="543"/>
      <c r="O18" s="543"/>
    </row>
    <row r="19" spans="1:16" s="137" customFormat="1" ht="14.4">
      <c r="A19" s="138" t="s">
        <v>88</v>
      </c>
      <c r="B19" s="528">
        <v>749321</v>
      </c>
      <c r="C19" s="531"/>
      <c r="D19" s="531">
        <v>140169</v>
      </c>
      <c r="E19" s="531">
        <v>0</v>
      </c>
      <c r="F19" s="531">
        <v>0</v>
      </c>
      <c r="G19" s="542">
        <f>ROUND(B19+D19+E19-F19-C19,0)</f>
        <v>889490</v>
      </c>
      <c r="H19" s="531">
        <v>567317</v>
      </c>
      <c r="I19" s="531">
        <f>128288+11113</f>
        <v>139401</v>
      </c>
      <c r="J19" s="531">
        <f>11113*0</f>
        <v>0</v>
      </c>
      <c r="K19" s="531">
        <v>0</v>
      </c>
      <c r="L19" s="529">
        <f>ROUND(H19+I19+J19-K19,0)</f>
        <v>706718</v>
      </c>
      <c r="M19" s="529">
        <f>G19-L19</f>
        <v>182772</v>
      </c>
      <c r="N19" s="543"/>
      <c r="O19" s="543">
        <v>15906</v>
      </c>
      <c r="P19" s="137" t="s">
        <v>977</v>
      </c>
    </row>
    <row r="20" spans="1:16" s="137" customFormat="1" ht="7.5" customHeight="1">
      <c r="A20" s="138"/>
      <c r="B20" s="528"/>
      <c r="C20" s="531"/>
      <c r="D20" s="531"/>
      <c r="E20" s="531"/>
      <c r="F20" s="531"/>
      <c r="G20" s="542"/>
      <c r="H20" s="531"/>
      <c r="I20" s="531"/>
      <c r="J20" s="531"/>
      <c r="K20" s="528"/>
      <c r="L20" s="529"/>
      <c r="M20" s="529"/>
      <c r="N20" s="543"/>
      <c r="O20" s="543"/>
    </row>
    <row r="21" spans="1:16" s="137" customFormat="1" ht="14.4">
      <c r="A21" s="139"/>
      <c r="B21" s="532"/>
      <c r="C21" s="545"/>
      <c r="D21" s="545"/>
      <c r="E21" s="545"/>
      <c r="F21" s="546"/>
      <c r="G21" s="547"/>
      <c r="H21" s="545"/>
      <c r="I21" s="545"/>
      <c r="J21" s="545"/>
      <c r="K21" s="532"/>
      <c r="L21" s="548"/>
      <c r="M21" s="548"/>
      <c r="N21" s="543"/>
      <c r="O21" s="543">
        <v>28000</v>
      </c>
      <c r="P21" s="137" t="s">
        <v>977</v>
      </c>
    </row>
    <row r="22" spans="1:16" s="137" customFormat="1" ht="8.25" customHeight="1">
      <c r="A22" s="141"/>
      <c r="B22" s="549"/>
      <c r="C22" s="550"/>
      <c r="D22" s="550"/>
      <c r="E22" s="550"/>
      <c r="F22" s="551"/>
      <c r="G22" s="552"/>
      <c r="H22" s="550"/>
      <c r="I22" s="550"/>
      <c r="J22" s="550"/>
      <c r="K22" s="549"/>
      <c r="L22" s="552"/>
      <c r="M22" s="552"/>
      <c r="N22" s="543"/>
      <c r="O22" s="543"/>
    </row>
    <row r="23" spans="1:16" s="144" customFormat="1" ht="14.25" customHeight="1">
      <c r="A23" s="143" t="s">
        <v>51</v>
      </c>
      <c r="B23" s="553">
        <f t="shared" ref="B23:M23" si="0">SUM(B13:B20)</f>
        <v>3356204</v>
      </c>
      <c r="C23" s="553">
        <f t="shared" si="0"/>
        <v>0</v>
      </c>
      <c r="D23" s="553">
        <f t="shared" si="0"/>
        <v>957343</v>
      </c>
      <c r="E23" s="553">
        <f t="shared" si="0"/>
        <v>0</v>
      </c>
      <c r="F23" s="553">
        <f t="shared" si="0"/>
        <v>169407</v>
      </c>
      <c r="G23" s="553">
        <f t="shared" si="0"/>
        <v>4144140</v>
      </c>
      <c r="H23" s="553">
        <f t="shared" si="0"/>
        <v>2394493</v>
      </c>
      <c r="I23" s="553">
        <f t="shared" si="0"/>
        <v>887018</v>
      </c>
      <c r="J23" s="553">
        <f t="shared" si="0"/>
        <v>0</v>
      </c>
      <c r="K23" s="553">
        <f t="shared" si="0"/>
        <v>126639</v>
      </c>
      <c r="L23" s="553">
        <f t="shared" si="0"/>
        <v>3154872</v>
      </c>
      <c r="M23" s="553">
        <f t="shared" si="0"/>
        <v>989268</v>
      </c>
      <c r="N23" s="554"/>
      <c r="O23" s="555">
        <f>+M23+M58</f>
        <v>15634555</v>
      </c>
    </row>
    <row r="24" spans="1:16" ht="6" customHeight="1">
      <c r="A24" s="145"/>
      <c r="B24" s="556"/>
      <c r="C24" s="557"/>
      <c r="D24" s="558"/>
      <c r="E24" s="559"/>
      <c r="F24" s="558"/>
      <c r="G24" s="557"/>
      <c r="H24" s="560"/>
      <c r="I24" s="561"/>
      <c r="J24" s="562"/>
      <c r="K24" s="563"/>
      <c r="L24" s="557"/>
      <c r="M24" s="557"/>
      <c r="N24" s="555"/>
      <c r="O24" s="555"/>
    </row>
    <row r="25" spans="1:16" ht="14.4">
      <c r="A25" s="146"/>
      <c r="B25" s="564"/>
      <c r="C25" s="565"/>
      <c r="D25" s="566"/>
      <c r="E25" s="567"/>
      <c r="F25" s="566"/>
      <c r="G25" s="568"/>
      <c r="H25" s="569"/>
      <c r="I25" s="570"/>
      <c r="J25" s="571"/>
      <c r="K25" s="572"/>
      <c r="L25" s="568"/>
      <c r="M25" s="565"/>
      <c r="N25" s="555"/>
      <c r="O25" s="555"/>
    </row>
    <row r="26" spans="1:16" ht="14.4">
      <c r="A26" s="457"/>
      <c r="B26" s="1256" t="s">
        <v>70</v>
      </c>
      <c r="C26" s="1257"/>
      <c r="D26" s="1257"/>
      <c r="E26" s="1257"/>
      <c r="F26" s="1257"/>
      <c r="G26" s="1258"/>
      <c r="H26" s="1256" t="s">
        <v>71</v>
      </c>
      <c r="I26" s="1257"/>
      <c r="J26" s="1257"/>
      <c r="K26" s="1257"/>
      <c r="L26" s="1258"/>
      <c r="M26" s="574" t="s">
        <v>72</v>
      </c>
      <c r="N26" s="555"/>
      <c r="O26" s="555"/>
    </row>
    <row r="27" spans="1:16" s="130" customFormat="1" ht="14.4">
      <c r="A27" s="457" t="s">
        <v>73</v>
      </c>
      <c r="B27" s="575" t="s">
        <v>74</v>
      </c>
      <c r="C27" s="575" t="s">
        <v>75</v>
      </c>
      <c r="D27" s="575"/>
      <c r="E27" s="573"/>
      <c r="F27" s="573"/>
      <c r="G27" s="575" t="s">
        <v>74</v>
      </c>
      <c r="H27" s="575" t="s">
        <v>74</v>
      </c>
      <c r="I27" s="573" t="s">
        <v>76</v>
      </c>
      <c r="J27" s="573"/>
      <c r="K27" s="573"/>
      <c r="L27" s="575" t="s">
        <v>74</v>
      </c>
      <c r="M27" s="575" t="s">
        <v>74</v>
      </c>
      <c r="N27" s="576"/>
      <c r="O27" s="576"/>
    </row>
    <row r="28" spans="1:16" s="130" customFormat="1" ht="14.4">
      <c r="A28" s="461" t="s">
        <v>0</v>
      </c>
      <c r="B28" s="577" t="s">
        <v>1116</v>
      </c>
      <c r="C28" s="578" t="s">
        <v>77</v>
      </c>
      <c r="D28" s="579" t="s">
        <v>56</v>
      </c>
      <c r="E28" s="579" t="s">
        <v>78</v>
      </c>
      <c r="F28" s="579" t="s">
        <v>79</v>
      </c>
      <c r="G28" s="577" t="s">
        <v>1117</v>
      </c>
      <c r="H28" s="577" t="s">
        <v>1116</v>
      </c>
      <c r="I28" s="579" t="s">
        <v>80</v>
      </c>
      <c r="J28" s="579" t="s">
        <v>78</v>
      </c>
      <c r="K28" s="579" t="s">
        <v>79</v>
      </c>
      <c r="L28" s="577" t="s">
        <v>1117</v>
      </c>
      <c r="M28" s="577" t="s">
        <v>1117</v>
      </c>
      <c r="N28" s="576"/>
      <c r="O28" s="576"/>
    </row>
    <row r="29" spans="1:16" s="130" customFormat="1" ht="14.25" customHeight="1">
      <c r="A29" s="465"/>
      <c r="B29" s="556"/>
      <c r="C29" s="557"/>
      <c r="D29" s="557"/>
      <c r="E29" s="557"/>
      <c r="F29" s="557"/>
      <c r="G29" s="557"/>
      <c r="H29" s="560"/>
      <c r="I29" s="580"/>
      <c r="J29" s="580"/>
      <c r="K29" s="581"/>
      <c r="L29" s="581"/>
      <c r="M29" s="581"/>
      <c r="N29" s="576"/>
      <c r="O29" s="576"/>
    </row>
    <row r="30" spans="1:16" ht="26.25" customHeight="1">
      <c r="A30" s="147" t="s">
        <v>81</v>
      </c>
      <c r="B30" s="582"/>
      <c r="C30" s="583"/>
      <c r="D30" s="583"/>
      <c r="E30" s="583"/>
      <c r="F30" s="583"/>
      <c r="G30" s="568"/>
      <c r="H30" s="583"/>
      <c r="I30" s="584"/>
      <c r="J30" s="584"/>
      <c r="K30" s="585"/>
      <c r="L30" s="586"/>
      <c r="M30" s="586"/>
      <c r="N30" s="555"/>
      <c r="O30" s="555"/>
    </row>
    <row r="31" spans="1:16" ht="6" customHeight="1">
      <c r="A31" s="147"/>
      <c r="B31" s="582"/>
      <c r="C31" s="583"/>
      <c r="D31" s="583"/>
      <c r="E31" s="583"/>
      <c r="F31" s="583"/>
      <c r="G31" s="568"/>
      <c r="H31" s="583"/>
      <c r="I31" s="584"/>
      <c r="J31" s="584"/>
      <c r="K31" s="585"/>
      <c r="L31" s="586"/>
      <c r="M31" s="586"/>
      <c r="N31" s="555"/>
      <c r="O31" s="555"/>
    </row>
    <row r="32" spans="1:16" s="137" customFormat="1" ht="14.4">
      <c r="A32" s="138" t="s">
        <v>86</v>
      </c>
      <c r="B32" s="528">
        <v>803315</v>
      </c>
      <c r="C32" s="531"/>
      <c r="D32" s="531">
        <v>506281</v>
      </c>
      <c r="E32" s="531">
        <v>44521</v>
      </c>
      <c r="F32" s="531">
        <v>0</v>
      </c>
      <c r="G32" s="542">
        <f>ROUND(B32+D32+E32-F32-C32,0)</f>
        <v>1354117</v>
      </c>
      <c r="H32" s="531">
        <v>506141</v>
      </c>
      <c r="I32" s="531">
        <v>230582</v>
      </c>
      <c r="J32" s="531">
        <v>44521</v>
      </c>
      <c r="K32" s="528">
        <v>0</v>
      </c>
      <c r="L32" s="529">
        <f>ROUND(H32+I32+J32-K32,0)</f>
        <v>781244</v>
      </c>
      <c r="M32" s="529">
        <f>G32-L32</f>
        <v>572873</v>
      </c>
      <c r="N32" s="543"/>
      <c r="O32" s="543"/>
    </row>
    <row r="33" spans="1:16" s="137" customFormat="1" ht="5.25" customHeight="1">
      <c r="A33" s="138"/>
      <c r="B33" s="528"/>
      <c r="C33" s="531"/>
      <c r="D33" s="531"/>
      <c r="E33" s="531"/>
      <c r="F33" s="531"/>
      <c r="G33" s="542"/>
      <c r="H33" s="531"/>
      <c r="I33" s="531"/>
      <c r="J33" s="531"/>
      <c r="K33" s="531"/>
      <c r="L33" s="529"/>
      <c r="M33" s="529"/>
      <c r="N33" s="543"/>
      <c r="O33" s="543"/>
    </row>
    <row r="34" spans="1:16" s="137" customFormat="1" ht="14.4">
      <c r="A34" s="138" t="s">
        <v>87</v>
      </c>
      <c r="B34" s="528">
        <v>993947</v>
      </c>
      <c r="C34" s="528"/>
      <c r="D34" s="528">
        <v>0</v>
      </c>
      <c r="E34" s="531">
        <v>71125</v>
      </c>
      <c r="F34" s="528">
        <v>0</v>
      </c>
      <c r="G34" s="542">
        <f>ROUND(B34+D34+E34-F34-C34,0)</f>
        <v>1065072</v>
      </c>
      <c r="H34" s="531">
        <v>708852</v>
      </c>
      <c r="I34" s="531">
        <v>108594</v>
      </c>
      <c r="J34" s="531">
        <v>71125</v>
      </c>
      <c r="K34" s="531">
        <v>0</v>
      </c>
      <c r="L34" s="529">
        <f>ROUND(H34+I34+J34-K34,0)</f>
        <v>888571</v>
      </c>
      <c r="M34" s="529">
        <f>G34-L34</f>
        <v>176501</v>
      </c>
      <c r="N34" s="543"/>
      <c r="O34" s="543"/>
    </row>
    <row r="35" spans="1:16" s="137" customFormat="1" ht="6.75" customHeight="1">
      <c r="A35" s="138"/>
      <c r="B35" s="528"/>
      <c r="C35" s="531"/>
      <c r="D35" s="531"/>
      <c r="E35" s="531"/>
      <c r="F35" s="531"/>
      <c r="G35" s="542"/>
      <c r="H35" s="531"/>
      <c r="I35" s="531"/>
      <c r="J35" s="531"/>
      <c r="K35" s="531"/>
      <c r="L35" s="529"/>
      <c r="M35" s="529"/>
      <c r="N35" s="543"/>
      <c r="O35" s="543"/>
    </row>
    <row r="36" spans="1:16" s="137" customFormat="1" ht="14.4">
      <c r="A36" s="138" t="s">
        <v>82</v>
      </c>
      <c r="B36" s="528">
        <v>168499</v>
      </c>
      <c r="C36" s="531"/>
      <c r="D36" s="531">
        <v>0</v>
      </c>
      <c r="E36" s="531">
        <v>19195</v>
      </c>
      <c r="F36" s="531">
        <v>0</v>
      </c>
      <c r="G36" s="542">
        <f>ROUND(B36+D36+E36-F36-C36,0)</f>
        <v>187694</v>
      </c>
      <c r="H36" s="531">
        <v>127571</v>
      </c>
      <c r="I36" s="531">
        <v>10595</v>
      </c>
      <c r="J36" s="531">
        <v>19195</v>
      </c>
      <c r="K36" s="531">
        <v>0</v>
      </c>
      <c r="L36" s="529">
        <f>ROUND(H36+I36+J36-K36,0)</f>
        <v>157361</v>
      </c>
      <c r="M36" s="529">
        <f>G36-L36</f>
        <v>30333</v>
      </c>
      <c r="N36" s="543"/>
      <c r="O36" s="543"/>
    </row>
    <row r="37" spans="1:16" s="137" customFormat="1" ht="9.75" customHeight="1">
      <c r="A37" s="138"/>
      <c r="B37" s="528"/>
      <c r="C37" s="531"/>
      <c r="D37" s="531"/>
      <c r="E37" s="531"/>
      <c r="F37" s="531"/>
      <c r="G37" s="542"/>
      <c r="H37" s="531"/>
      <c r="I37" s="531"/>
      <c r="J37" s="531"/>
      <c r="K37" s="531"/>
      <c r="L37" s="529"/>
      <c r="M37" s="529"/>
      <c r="N37" s="543"/>
      <c r="O37" s="543"/>
    </row>
    <row r="38" spans="1:16" s="137" customFormat="1" ht="14.4">
      <c r="A38" s="138" t="s">
        <v>88</v>
      </c>
      <c r="B38" s="528">
        <v>634116</v>
      </c>
      <c r="C38" s="531"/>
      <c r="D38" s="531">
        <v>119246</v>
      </c>
      <c r="E38" s="531">
        <v>28259</v>
      </c>
      <c r="F38" s="531">
        <v>32300</v>
      </c>
      <c r="G38" s="542">
        <f>ROUND(B38+D38+E38-F38-C38,0)</f>
        <v>749321</v>
      </c>
      <c r="H38" s="531">
        <v>519061</v>
      </c>
      <c r="I38" s="531">
        <v>49732</v>
      </c>
      <c r="J38" s="531">
        <v>28259</v>
      </c>
      <c r="K38" s="531">
        <v>29735</v>
      </c>
      <c r="L38" s="529">
        <f>ROUND(H38+I38+J38-K38,0)</f>
        <v>567317</v>
      </c>
      <c r="M38" s="529">
        <f>G38-L38</f>
        <v>182004</v>
      </c>
      <c r="N38" s="543"/>
      <c r="O38" s="543">
        <v>15906</v>
      </c>
      <c r="P38" s="137" t="s">
        <v>977</v>
      </c>
    </row>
    <row r="39" spans="1:16" s="137" customFormat="1" ht="3.75" customHeight="1">
      <c r="A39" s="138"/>
      <c r="B39" s="528"/>
      <c r="C39" s="531"/>
      <c r="D39" s="531"/>
      <c r="E39" s="531"/>
      <c r="F39" s="531"/>
      <c r="G39" s="542"/>
      <c r="H39" s="531"/>
      <c r="I39" s="531"/>
      <c r="J39" s="531"/>
      <c r="K39" s="528"/>
      <c r="L39" s="529"/>
      <c r="M39" s="529"/>
      <c r="N39" s="543"/>
      <c r="O39" s="543"/>
    </row>
    <row r="40" spans="1:16" s="137" customFormat="1" ht="11.25" customHeight="1">
      <c r="A40" s="139"/>
      <c r="B40" s="532"/>
      <c r="C40" s="545"/>
      <c r="D40" s="545"/>
      <c r="E40" s="545"/>
      <c r="F40" s="546"/>
      <c r="G40" s="547"/>
      <c r="H40" s="545"/>
      <c r="I40" s="545"/>
      <c r="J40" s="545"/>
      <c r="K40" s="532"/>
      <c r="L40" s="548"/>
      <c r="M40" s="548"/>
      <c r="N40" s="543"/>
      <c r="O40" s="543"/>
    </row>
    <row r="41" spans="1:16" s="137" customFormat="1" ht="8.25" customHeight="1">
      <c r="A41" s="141"/>
      <c r="B41" s="549"/>
      <c r="C41" s="550"/>
      <c r="D41" s="550"/>
      <c r="E41" s="550"/>
      <c r="F41" s="551"/>
      <c r="G41" s="552"/>
      <c r="H41" s="550"/>
      <c r="I41" s="550"/>
      <c r="J41" s="550"/>
      <c r="K41" s="549"/>
      <c r="L41" s="552"/>
      <c r="M41" s="552"/>
      <c r="N41" s="543"/>
      <c r="O41" s="543"/>
    </row>
    <row r="42" spans="1:16" s="144" customFormat="1" ht="12.75" customHeight="1">
      <c r="A42" s="143" t="s">
        <v>51</v>
      </c>
      <c r="B42" s="553">
        <f t="shared" ref="B42:H42" si="1">SUM(B32:B39)</f>
        <v>2599877</v>
      </c>
      <c r="C42" s="553">
        <f t="shared" si="1"/>
        <v>0</v>
      </c>
      <c r="D42" s="553">
        <f t="shared" si="1"/>
        <v>625527</v>
      </c>
      <c r="E42" s="553">
        <f t="shared" si="1"/>
        <v>163100</v>
      </c>
      <c r="F42" s="553">
        <f t="shared" si="1"/>
        <v>32300</v>
      </c>
      <c r="G42" s="553">
        <f t="shared" si="1"/>
        <v>3356204</v>
      </c>
      <c r="H42" s="553">
        <f t="shared" si="1"/>
        <v>1861625</v>
      </c>
      <c r="I42" s="553">
        <f>SUM(I32:I39)</f>
        <v>399503</v>
      </c>
      <c r="J42" s="553">
        <f>SUM(J32:J39)</f>
        <v>163100</v>
      </c>
      <c r="K42" s="553">
        <f>SUM(K32:K39)</f>
        <v>29735</v>
      </c>
      <c r="L42" s="553">
        <f>SUM(L32:L39)</f>
        <v>2394493</v>
      </c>
      <c r="M42" s="553">
        <f>SUM(M32:M39)</f>
        <v>961711</v>
      </c>
      <c r="N42" s="554"/>
      <c r="O42" s="554"/>
    </row>
    <row r="43" spans="1:16" s="137" customFormat="1" ht="4.5" customHeight="1">
      <c r="A43" s="148"/>
      <c r="B43" s="548"/>
      <c r="C43" s="547"/>
      <c r="D43" s="547"/>
      <c r="E43" s="547"/>
      <c r="F43" s="547"/>
      <c r="G43" s="547"/>
      <c r="H43" s="545"/>
      <c r="I43" s="547"/>
      <c r="J43" s="545"/>
      <c r="K43" s="532"/>
      <c r="L43" s="547"/>
      <c r="M43" s="547"/>
      <c r="N43" s="543"/>
      <c r="O43" s="543"/>
    </row>
    <row r="44" spans="1:16" s="137" customFormat="1" ht="14.4">
      <c r="A44" s="471"/>
      <c r="B44" s="1259" t="s">
        <v>70</v>
      </c>
      <c r="C44" s="1260"/>
      <c r="D44" s="1260"/>
      <c r="E44" s="1260"/>
      <c r="F44" s="1260"/>
      <c r="G44" s="1261"/>
      <c r="H44" s="1259" t="s">
        <v>71</v>
      </c>
      <c r="I44" s="1260"/>
      <c r="J44" s="1260"/>
      <c r="K44" s="1260"/>
      <c r="L44" s="1261"/>
      <c r="M44" s="588" t="s">
        <v>72</v>
      </c>
      <c r="N44" s="543"/>
      <c r="O44" s="543"/>
    </row>
    <row r="45" spans="1:16" s="144" customFormat="1" ht="14.4">
      <c r="A45" s="471" t="s">
        <v>73</v>
      </c>
      <c r="B45" s="589" t="s">
        <v>74</v>
      </c>
      <c r="C45" s="589" t="s">
        <v>75</v>
      </c>
      <c r="D45" s="587"/>
      <c r="E45" s="587"/>
      <c r="F45" s="587"/>
      <c r="G45" s="589" t="s">
        <v>74</v>
      </c>
      <c r="H45" s="589" t="s">
        <v>74</v>
      </c>
      <c r="I45" s="587" t="s">
        <v>76</v>
      </c>
      <c r="J45" s="587"/>
      <c r="K45" s="587"/>
      <c r="L45" s="589" t="s">
        <v>74</v>
      </c>
      <c r="M45" s="589" t="s">
        <v>74</v>
      </c>
      <c r="N45" s="554"/>
      <c r="O45" s="554"/>
    </row>
    <row r="46" spans="1:16" s="144" customFormat="1" ht="14.4">
      <c r="A46" s="472" t="s">
        <v>0</v>
      </c>
      <c r="B46" s="590" t="str">
        <f>+B9</f>
        <v>1 April 2022</v>
      </c>
      <c r="C46" s="591" t="s">
        <v>77</v>
      </c>
      <c r="D46" s="592" t="s">
        <v>56</v>
      </c>
      <c r="E46" s="592" t="s">
        <v>78</v>
      </c>
      <c r="F46" s="592" t="s">
        <v>79</v>
      </c>
      <c r="G46" s="590" t="str">
        <f>+G9</f>
        <v>31 March 2023</v>
      </c>
      <c r="H46" s="590" t="str">
        <f>+H9</f>
        <v>1 April 2022</v>
      </c>
      <c r="I46" s="592" t="s">
        <v>80</v>
      </c>
      <c r="J46" s="592" t="s">
        <v>78</v>
      </c>
      <c r="K46" s="592" t="s">
        <v>79</v>
      </c>
      <c r="L46" s="590" t="str">
        <f>+L9</f>
        <v>31 March 2023</v>
      </c>
      <c r="M46" s="590" t="str">
        <f>+M9</f>
        <v>31 March 2023</v>
      </c>
      <c r="N46" s="554"/>
      <c r="O46" s="554"/>
    </row>
    <row r="47" spans="1:16" s="144" customFormat="1" ht="14.25" customHeight="1">
      <c r="A47" s="473"/>
      <c r="B47" s="548"/>
      <c r="C47" s="547"/>
      <c r="D47" s="547"/>
      <c r="E47" s="547"/>
      <c r="F47" s="547"/>
      <c r="G47" s="547"/>
      <c r="H47" s="545"/>
      <c r="I47" s="593"/>
      <c r="J47" s="593"/>
      <c r="K47" s="594"/>
      <c r="L47" s="594"/>
      <c r="M47" s="594"/>
      <c r="N47" s="554"/>
      <c r="O47" s="554"/>
    </row>
    <row r="48" spans="1:16" s="137" customFormat="1" ht="9" customHeight="1">
      <c r="A48" s="138"/>
      <c r="B48" s="549"/>
      <c r="C48" s="549"/>
      <c r="D48" s="549"/>
      <c r="E48" s="549"/>
      <c r="F48" s="549"/>
      <c r="G48" s="595"/>
      <c r="H48" s="549"/>
      <c r="I48" s="549"/>
      <c r="J48" s="549"/>
      <c r="K48" s="549"/>
      <c r="L48" s="595"/>
      <c r="M48" s="595"/>
      <c r="N48" s="543"/>
      <c r="O48" s="543"/>
    </row>
    <row r="49" spans="1:18" s="137" customFormat="1" ht="14.4">
      <c r="A49" s="131" t="s">
        <v>83</v>
      </c>
      <c r="B49" s="528"/>
      <c r="C49" s="528"/>
      <c r="D49" s="528"/>
      <c r="E49" s="528"/>
      <c r="F49" s="528"/>
      <c r="G49" s="529"/>
      <c r="H49" s="528"/>
      <c r="I49" s="528"/>
      <c r="J49" s="528"/>
      <c r="K49" s="528"/>
      <c r="L49" s="529"/>
      <c r="M49" s="529"/>
      <c r="N49" s="543"/>
      <c r="O49" s="543"/>
    </row>
    <row r="50" spans="1:18" s="137" customFormat="1" ht="8.25" customHeight="1">
      <c r="A50" s="131"/>
      <c r="B50" s="528"/>
      <c r="C50" s="528"/>
      <c r="D50" s="528"/>
      <c r="E50" s="528"/>
      <c r="F50" s="528"/>
      <c r="G50" s="542"/>
      <c r="H50" s="528"/>
      <c r="I50" s="528"/>
      <c r="J50" s="528"/>
      <c r="K50" s="528"/>
      <c r="L50" s="596"/>
      <c r="M50" s="529"/>
      <c r="N50" s="543"/>
      <c r="O50" s="543"/>
    </row>
    <row r="51" spans="1:18" s="137" customFormat="1" ht="14.4">
      <c r="A51" s="138" t="s">
        <v>84</v>
      </c>
      <c r="B51" s="528">
        <v>284438</v>
      </c>
      <c r="C51" s="528" t="s">
        <v>1185</v>
      </c>
      <c r="D51" s="528">
        <v>136500</v>
      </c>
      <c r="E51" s="528">
        <v>0</v>
      </c>
      <c r="F51" s="528">
        <v>0</v>
      </c>
      <c r="G51" s="542">
        <f>B51+D51+E51-F51</f>
        <v>420938</v>
      </c>
      <c r="H51" s="528">
        <v>278349</v>
      </c>
      <c r="I51" s="528">
        <v>19694</v>
      </c>
      <c r="J51" s="528">
        <v>0</v>
      </c>
      <c r="K51" s="528">
        <v>0</v>
      </c>
      <c r="L51" s="596">
        <f>H51+I51+J51-K51</f>
        <v>298043</v>
      </c>
      <c r="M51" s="529">
        <f>G51-L51</f>
        <v>122895</v>
      </c>
      <c r="N51" s="543"/>
      <c r="O51" s="543"/>
    </row>
    <row r="52" spans="1:18" s="137" customFormat="1" ht="9.75" customHeight="1">
      <c r="A52" s="138"/>
      <c r="B52" s="528"/>
      <c r="C52" s="528"/>
      <c r="D52" s="528"/>
      <c r="E52" s="528"/>
      <c r="F52" s="528"/>
      <c r="G52" s="542"/>
      <c r="H52" s="528"/>
      <c r="I52" s="528"/>
      <c r="J52" s="528"/>
      <c r="K52" s="528"/>
      <c r="L52" s="596"/>
      <c r="M52" s="529"/>
      <c r="N52" s="543"/>
      <c r="O52" s="543"/>
    </row>
    <row r="53" spans="1:18" s="137" customFormat="1" ht="14.4">
      <c r="A53" s="138" t="s">
        <v>1083</v>
      </c>
      <c r="B53" s="528">
        <v>18525600</v>
      </c>
      <c r="C53" s="528"/>
      <c r="D53" s="528">
        <v>0</v>
      </c>
      <c r="E53" s="528">
        <v>0</v>
      </c>
      <c r="F53" s="528">
        <v>0</v>
      </c>
      <c r="G53" s="542">
        <f>B53+D53+E53-F53</f>
        <v>18525600</v>
      </c>
      <c r="H53" s="528">
        <v>1358428</v>
      </c>
      <c r="I53" s="528">
        <v>2644780</v>
      </c>
      <c r="J53" s="528">
        <v>0</v>
      </c>
      <c r="K53" s="528">
        <v>0</v>
      </c>
      <c r="L53" s="596">
        <f>H53+I53+J53-K53</f>
        <v>4003208</v>
      </c>
      <c r="M53" s="529">
        <f>G53-L53</f>
        <v>14522392</v>
      </c>
      <c r="N53" s="543"/>
      <c r="O53" s="543"/>
    </row>
    <row r="54" spans="1:18" s="137" customFormat="1" ht="14.4">
      <c r="A54" s="138"/>
      <c r="B54" s="528"/>
      <c r="C54" s="528"/>
      <c r="D54" s="528"/>
      <c r="E54" s="528"/>
      <c r="F54" s="528"/>
      <c r="G54" s="542"/>
      <c r="H54" s="528"/>
      <c r="I54" s="528"/>
      <c r="J54" s="528"/>
      <c r="K54" s="528"/>
      <c r="L54" s="596"/>
      <c r="M54" s="529"/>
      <c r="N54" s="543"/>
      <c r="O54" s="543"/>
    </row>
    <row r="55" spans="1:18" s="137" customFormat="1" ht="14.4">
      <c r="A55" s="138" t="s">
        <v>89</v>
      </c>
      <c r="B55" s="528">
        <v>927056</v>
      </c>
      <c r="C55" s="528" t="s">
        <v>1185</v>
      </c>
      <c r="D55" s="528">
        <v>0</v>
      </c>
      <c r="E55" s="528">
        <v>0</v>
      </c>
      <c r="F55" s="528">
        <v>0</v>
      </c>
      <c r="G55" s="542">
        <f>B55+D55+E55-F55</f>
        <v>927056</v>
      </c>
      <c r="H55" s="528">
        <v>927056</v>
      </c>
      <c r="I55" s="528">
        <v>0</v>
      </c>
      <c r="J55" s="528">
        <v>0</v>
      </c>
      <c r="K55" s="528">
        <v>0</v>
      </c>
      <c r="L55" s="596">
        <f>H55+I55+J55-K55</f>
        <v>927056</v>
      </c>
      <c r="M55" s="529">
        <f>G55-L55</f>
        <v>0</v>
      </c>
      <c r="N55" s="543"/>
      <c r="O55" s="543"/>
    </row>
    <row r="56" spans="1:18" s="137" customFormat="1" ht="9.75" customHeight="1">
      <c r="A56" s="139"/>
      <c r="B56" s="532"/>
      <c r="C56" s="532"/>
      <c r="D56" s="532"/>
      <c r="E56" s="532"/>
      <c r="F56" s="532"/>
      <c r="G56" s="548"/>
      <c r="H56" s="532"/>
      <c r="I56" s="532"/>
      <c r="J56" s="532"/>
      <c r="K56" s="532"/>
      <c r="L56" s="548"/>
      <c r="M56" s="548"/>
      <c r="N56" s="543"/>
      <c r="O56" s="543"/>
    </row>
    <row r="57" spans="1:18" s="137" customFormat="1" ht="7.5" customHeight="1">
      <c r="A57" s="142"/>
      <c r="B57" s="549"/>
      <c r="C57" s="549"/>
      <c r="D57" s="549"/>
      <c r="E57" s="549"/>
      <c r="F57" s="549"/>
      <c r="G57" s="595"/>
      <c r="H57" s="549"/>
      <c r="I57" s="549"/>
      <c r="J57" s="549"/>
      <c r="K57" s="549"/>
      <c r="L57" s="595"/>
      <c r="M57" s="595"/>
      <c r="N57" s="543"/>
      <c r="O57" s="543"/>
    </row>
    <row r="58" spans="1:18" s="144" customFormat="1" ht="14.25" customHeight="1">
      <c r="A58" s="143" t="s">
        <v>51</v>
      </c>
      <c r="B58" s="529">
        <f>SUM(B51:B55)</f>
        <v>19737094</v>
      </c>
      <c r="C58" s="529">
        <f t="shared" ref="C58:M58" si="2">SUM(C51:C55)</f>
        <v>0</v>
      </c>
      <c r="D58" s="529">
        <f t="shared" si="2"/>
        <v>136500</v>
      </c>
      <c r="E58" s="529">
        <f t="shared" si="2"/>
        <v>0</v>
      </c>
      <c r="F58" s="529">
        <f t="shared" si="2"/>
        <v>0</v>
      </c>
      <c r="G58" s="529">
        <f t="shared" si="2"/>
        <v>19873594</v>
      </c>
      <c r="H58" s="529">
        <f t="shared" si="2"/>
        <v>2563833</v>
      </c>
      <c r="I58" s="529">
        <f t="shared" si="2"/>
        <v>2664474</v>
      </c>
      <c r="J58" s="529">
        <f t="shared" si="2"/>
        <v>0</v>
      </c>
      <c r="K58" s="529">
        <f t="shared" si="2"/>
        <v>0</v>
      </c>
      <c r="L58" s="529">
        <f t="shared" si="2"/>
        <v>5228307</v>
      </c>
      <c r="M58" s="529">
        <f t="shared" si="2"/>
        <v>14645287</v>
      </c>
      <c r="N58" s="554"/>
      <c r="O58" s="554"/>
      <c r="R58" s="137"/>
    </row>
    <row r="59" spans="1:18" s="137" customFormat="1" ht="6.75" customHeight="1">
      <c r="A59" s="149"/>
      <c r="B59" s="532"/>
      <c r="C59" s="532"/>
      <c r="D59" s="532"/>
      <c r="E59" s="532"/>
      <c r="F59" s="532"/>
      <c r="G59" s="548"/>
      <c r="H59" s="532"/>
      <c r="I59" s="532"/>
      <c r="J59" s="532"/>
      <c r="K59" s="532"/>
      <c r="L59" s="548"/>
      <c r="M59" s="548"/>
      <c r="N59" s="543"/>
      <c r="O59" s="543"/>
    </row>
    <row r="60" spans="1:18" s="137" customFormat="1" ht="14.4">
      <c r="A60" s="471"/>
      <c r="B60" s="1259" t="s">
        <v>70</v>
      </c>
      <c r="C60" s="1260"/>
      <c r="D60" s="1260"/>
      <c r="E60" s="1260"/>
      <c r="F60" s="1260"/>
      <c r="G60" s="1261"/>
      <c r="H60" s="1259" t="s">
        <v>959</v>
      </c>
      <c r="I60" s="1260"/>
      <c r="J60" s="1260"/>
      <c r="K60" s="1260"/>
      <c r="L60" s="1261"/>
      <c r="M60" s="588" t="s">
        <v>72</v>
      </c>
      <c r="N60" s="543"/>
      <c r="O60" s="543"/>
    </row>
    <row r="61" spans="1:18" s="144" customFormat="1" ht="14.4">
      <c r="A61" s="471" t="s">
        <v>73</v>
      </c>
      <c r="B61" s="589" t="s">
        <v>74</v>
      </c>
      <c r="C61" s="589" t="s">
        <v>75</v>
      </c>
      <c r="D61" s="587"/>
      <c r="E61" s="587"/>
      <c r="F61" s="587"/>
      <c r="G61" s="589" t="s">
        <v>74</v>
      </c>
      <c r="H61" s="589" t="s">
        <v>74</v>
      </c>
      <c r="I61" s="587" t="s">
        <v>76</v>
      </c>
      <c r="J61" s="587"/>
      <c r="K61" s="587"/>
      <c r="L61" s="589" t="s">
        <v>74</v>
      </c>
      <c r="M61" s="589" t="s">
        <v>74</v>
      </c>
      <c r="N61" s="554"/>
      <c r="O61" s="554"/>
    </row>
    <row r="62" spans="1:18" s="144" customFormat="1" ht="14.4">
      <c r="A62" s="472" t="s">
        <v>0</v>
      </c>
      <c r="B62" s="590" t="str">
        <f>+B28</f>
        <v>1 April 2021</v>
      </c>
      <c r="C62" s="591" t="s">
        <v>77</v>
      </c>
      <c r="D62" s="592" t="s">
        <v>56</v>
      </c>
      <c r="E62" s="592" t="s">
        <v>78</v>
      </c>
      <c r="F62" s="592" t="s">
        <v>79</v>
      </c>
      <c r="G62" s="590" t="str">
        <f>+G28</f>
        <v>31 March 2022</v>
      </c>
      <c r="H62" s="590" t="str">
        <f>+H28</f>
        <v>1 April 2021</v>
      </c>
      <c r="I62" s="592" t="s">
        <v>80</v>
      </c>
      <c r="J62" s="592" t="s">
        <v>78</v>
      </c>
      <c r="K62" s="592" t="s">
        <v>79</v>
      </c>
      <c r="L62" s="590" t="str">
        <f>+L28</f>
        <v>31 March 2022</v>
      </c>
      <c r="M62" s="590" t="str">
        <f>+M28</f>
        <v>31 March 2022</v>
      </c>
      <c r="N62" s="554"/>
      <c r="O62" s="554"/>
    </row>
    <row r="63" spans="1:18" s="144" customFormat="1" ht="14.25" customHeight="1">
      <c r="A63" s="473"/>
      <c r="B63" s="548"/>
      <c r="C63" s="547"/>
      <c r="D63" s="547"/>
      <c r="E63" s="547"/>
      <c r="F63" s="547"/>
      <c r="G63" s="547"/>
      <c r="H63" s="545"/>
      <c r="I63" s="593"/>
      <c r="J63" s="593"/>
      <c r="K63" s="594"/>
      <c r="L63" s="594"/>
      <c r="M63" s="594"/>
      <c r="N63" s="554"/>
      <c r="O63" s="554"/>
    </row>
    <row r="64" spans="1:18" s="137" customFormat="1" ht="9" customHeight="1">
      <c r="A64" s="138"/>
      <c r="B64" s="549"/>
      <c r="C64" s="549"/>
      <c r="D64" s="549"/>
      <c r="E64" s="549"/>
      <c r="F64" s="549"/>
      <c r="G64" s="595"/>
      <c r="H64" s="549"/>
      <c r="I64" s="549"/>
      <c r="J64" s="549"/>
      <c r="K64" s="549"/>
      <c r="L64" s="595"/>
      <c r="M64" s="595"/>
      <c r="N64" s="543"/>
      <c r="O64" s="543"/>
    </row>
    <row r="65" spans="1:15" s="137" customFormat="1" ht="14.4">
      <c r="A65" s="131" t="s">
        <v>83</v>
      </c>
      <c r="B65" s="528"/>
      <c r="C65" s="528"/>
      <c r="D65" s="528"/>
      <c r="E65" s="528"/>
      <c r="F65" s="528"/>
      <c r="G65" s="529"/>
      <c r="H65" s="528"/>
      <c r="I65" s="528"/>
      <c r="J65" s="528"/>
      <c r="K65" s="528"/>
      <c r="L65" s="529"/>
      <c r="M65" s="529"/>
      <c r="N65" s="543"/>
      <c r="O65" s="543"/>
    </row>
    <row r="66" spans="1:15" s="137" customFormat="1" ht="6" customHeight="1">
      <c r="A66" s="131"/>
      <c r="B66" s="528"/>
      <c r="C66" s="528"/>
      <c r="D66" s="528"/>
      <c r="E66" s="528"/>
      <c r="F66" s="528"/>
      <c r="G66" s="542"/>
      <c r="H66" s="528"/>
      <c r="I66" s="528"/>
      <c r="J66" s="528"/>
      <c r="K66" s="528"/>
      <c r="L66" s="596"/>
      <c r="M66" s="529"/>
      <c r="N66" s="543"/>
      <c r="O66" s="543"/>
    </row>
    <row r="67" spans="1:15" s="137" customFormat="1" ht="14.4">
      <c r="A67" s="138" t="s">
        <v>84</v>
      </c>
      <c r="B67" s="528">
        <v>284438</v>
      </c>
      <c r="C67" s="528">
        <v>0</v>
      </c>
      <c r="D67" s="528">
        <v>0</v>
      </c>
      <c r="E67" s="528">
        <v>0</v>
      </c>
      <c r="F67" s="528">
        <v>0</v>
      </c>
      <c r="G67" s="542">
        <f>B67+D67+E67-F67</f>
        <v>284438</v>
      </c>
      <c r="H67" s="528">
        <v>222560</v>
      </c>
      <c r="I67" s="528">
        <v>55789</v>
      </c>
      <c r="J67" s="528">
        <v>0</v>
      </c>
      <c r="K67" s="528">
        <v>0</v>
      </c>
      <c r="L67" s="596">
        <f>H67+I67+J67-K67</f>
        <v>278349</v>
      </c>
      <c r="M67" s="529">
        <f>G67-L67</f>
        <v>6089</v>
      </c>
      <c r="N67" s="543"/>
      <c r="O67" s="543"/>
    </row>
    <row r="68" spans="1:15" s="137" customFormat="1" ht="14.4">
      <c r="A68" s="138"/>
      <c r="B68" s="528"/>
      <c r="C68" s="528"/>
      <c r="D68" s="528"/>
      <c r="E68" s="528"/>
      <c r="F68" s="528"/>
      <c r="G68" s="542"/>
      <c r="H68" s="528"/>
      <c r="I68" s="528"/>
      <c r="J68" s="528"/>
      <c r="K68" s="528"/>
      <c r="L68" s="596"/>
      <c r="M68" s="529"/>
      <c r="N68" s="543"/>
      <c r="O68" s="543"/>
    </row>
    <row r="69" spans="1:15" s="137" customFormat="1" ht="14.4">
      <c r="A69" s="138" t="s">
        <v>1083</v>
      </c>
      <c r="B69" s="528">
        <v>6000000</v>
      </c>
      <c r="C69" s="528"/>
      <c r="D69" s="528">
        <v>12525600</v>
      </c>
      <c r="E69" s="528">
        <v>0</v>
      </c>
      <c r="F69" s="528"/>
      <c r="G69" s="542">
        <f>B69+D69+E69-F69</f>
        <v>18525600</v>
      </c>
      <c r="H69" s="528">
        <v>500000</v>
      </c>
      <c r="I69" s="528">
        <v>858428</v>
      </c>
      <c r="J69" s="528"/>
      <c r="K69" s="528"/>
      <c r="L69" s="596">
        <f>H69+I69+J69-K69</f>
        <v>1358428</v>
      </c>
      <c r="M69" s="529">
        <f>G69-L69</f>
        <v>17167172</v>
      </c>
      <c r="N69" s="543"/>
      <c r="O69" s="543"/>
    </row>
    <row r="70" spans="1:15" s="137" customFormat="1" ht="8.25" customHeight="1">
      <c r="A70" s="138"/>
      <c r="B70" s="528"/>
      <c r="C70" s="528"/>
      <c r="D70" s="528"/>
      <c r="E70" s="528"/>
      <c r="F70" s="528"/>
      <c r="G70" s="542"/>
      <c r="H70" s="528"/>
      <c r="I70" s="528"/>
      <c r="J70" s="528"/>
      <c r="K70" s="528"/>
      <c r="L70" s="596"/>
      <c r="M70" s="529"/>
      <c r="N70" s="543"/>
      <c r="O70" s="543"/>
    </row>
    <row r="71" spans="1:15" s="137" customFormat="1" ht="14.4">
      <c r="A71" s="138" t="s">
        <v>89</v>
      </c>
      <c r="B71" s="528">
        <v>927056</v>
      </c>
      <c r="C71" s="528"/>
      <c r="D71" s="528">
        <v>0</v>
      </c>
      <c r="E71" s="528">
        <v>0</v>
      </c>
      <c r="F71" s="528">
        <v>0</v>
      </c>
      <c r="G71" s="542">
        <f>B71+D71+E71-F71</f>
        <v>927056</v>
      </c>
      <c r="H71" s="528">
        <v>927056</v>
      </c>
      <c r="I71" s="528">
        <v>0</v>
      </c>
      <c r="J71" s="528">
        <v>0</v>
      </c>
      <c r="K71" s="528">
        <v>0</v>
      </c>
      <c r="L71" s="596">
        <f>H71+I71+J71-K71</f>
        <v>927056</v>
      </c>
      <c r="M71" s="529">
        <f>G71-L71</f>
        <v>0</v>
      </c>
      <c r="N71" s="543"/>
      <c r="O71" s="543"/>
    </row>
    <row r="72" spans="1:15" s="137" customFormat="1" ht="14.4">
      <c r="A72" s="139"/>
      <c r="B72" s="532"/>
      <c r="C72" s="532"/>
      <c r="D72" s="532"/>
      <c r="E72" s="532"/>
      <c r="F72" s="532"/>
      <c r="G72" s="548"/>
      <c r="H72" s="532"/>
      <c r="I72" s="532"/>
      <c r="J72" s="532"/>
      <c r="K72" s="532"/>
      <c r="L72" s="548"/>
      <c r="M72" s="548"/>
      <c r="N72" s="543"/>
      <c r="O72" s="543"/>
    </row>
    <row r="73" spans="1:15" s="137" customFormat="1" ht="11.25" customHeight="1">
      <c r="A73" s="142"/>
      <c r="B73" s="549"/>
      <c r="C73" s="549"/>
      <c r="D73" s="549"/>
      <c r="E73" s="549"/>
      <c r="F73" s="549"/>
      <c r="G73" s="595"/>
      <c r="H73" s="549"/>
      <c r="I73" s="549"/>
      <c r="J73" s="549"/>
      <c r="K73" s="549"/>
      <c r="L73" s="595"/>
      <c r="M73" s="595"/>
      <c r="N73" s="543"/>
      <c r="O73" s="543"/>
    </row>
    <row r="74" spans="1:15" s="144" customFormat="1" ht="12.75" customHeight="1">
      <c r="A74" s="143" t="s">
        <v>51</v>
      </c>
      <c r="B74" s="529">
        <f t="shared" ref="B74:M74" si="3">SUM(B67:B71)</f>
        <v>7211494</v>
      </c>
      <c r="C74" s="529">
        <f t="shared" si="3"/>
        <v>0</v>
      </c>
      <c r="D74" s="529">
        <f t="shared" si="3"/>
        <v>12525600</v>
      </c>
      <c r="E74" s="529">
        <f t="shared" si="3"/>
        <v>0</v>
      </c>
      <c r="F74" s="529">
        <f t="shared" si="3"/>
        <v>0</v>
      </c>
      <c r="G74" s="529">
        <f t="shared" si="3"/>
        <v>19737094</v>
      </c>
      <c r="H74" s="529">
        <f t="shared" si="3"/>
        <v>1649616</v>
      </c>
      <c r="I74" s="529">
        <f t="shared" si="3"/>
        <v>914217</v>
      </c>
      <c r="J74" s="529">
        <f t="shared" si="3"/>
        <v>0</v>
      </c>
      <c r="K74" s="529">
        <f t="shared" si="3"/>
        <v>0</v>
      </c>
      <c r="L74" s="529">
        <f t="shared" si="3"/>
        <v>2563833</v>
      </c>
      <c r="M74" s="529">
        <f t="shared" si="3"/>
        <v>17173261</v>
      </c>
      <c r="N74" s="554"/>
      <c r="O74" s="554"/>
    </row>
    <row r="75" spans="1:15" s="137" customFormat="1" ht="5.25" customHeight="1">
      <c r="A75" s="149"/>
      <c r="B75" s="532"/>
      <c r="C75" s="532"/>
      <c r="D75" s="532"/>
      <c r="E75" s="532"/>
      <c r="F75" s="532"/>
      <c r="G75" s="548"/>
      <c r="H75" s="532"/>
      <c r="I75" s="532"/>
      <c r="J75" s="532"/>
      <c r="K75" s="532"/>
      <c r="L75" s="548"/>
      <c r="M75" s="548"/>
      <c r="N75" s="543"/>
      <c r="O75" s="543"/>
    </row>
    <row r="76" spans="1:15" s="137" customFormat="1" ht="14.4">
      <c r="A76" s="22"/>
      <c r="B76" s="597"/>
      <c r="C76" s="597"/>
      <c r="D76" s="597"/>
      <c r="E76" s="597"/>
      <c r="F76" s="597"/>
      <c r="G76" s="596"/>
      <c r="H76" s="597"/>
      <c r="I76" s="597"/>
      <c r="J76" s="597"/>
      <c r="K76" s="597"/>
      <c r="L76" s="597"/>
      <c r="M76" s="597"/>
      <c r="N76" s="543"/>
      <c r="O76" s="543"/>
    </row>
    <row r="77" spans="1:15" s="137" customFormat="1" ht="13.5" customHeight="1">
      <c r="A77" s="23"/>
      <c r="B77" s="533"/>
      <c r="C77" s="533"/>
      <c r="D77" s="533"/>
      <c r="E77" s="533"/>
      <c r="F77" s="533"/>
      <c r="G77" s="598"/>
      <c r="H77" s="533"/>
      <c r="I77" s="533"/>
      <c r="J77" s="533"/>
      <c r="K77" s="533"/>
      <c r="L77" s="598"/>
      <c r="M77" s="598"/>
      <c r="N77" s="543"/>
      <c r="O77" s="543"/>
    </row>
    <row r="78" spans="1:15" s="137" customFormat="1" ht="14.4">
      <c r="A78" s="23"/>
      <c r="B78" s="533"/>
      <c r="C78" s="533"/>
      <c r="D78" s="533"/>
      <c r="E78" s="533"/>
      <c r="F78" s="533"/>
      <c r="G78" s="598"/>
      <c r="H78" s="533"/>
      <c r="I78" s="533"/>
      <c r="J78" s="533"/>
      <c r="K78" s="533"/>
      <c r="L78" s="598"/>
      <c r="M78" s="598"/>
      <c r="N78" s="543"/>
      <c r="O78" s="543"/>
    </row>
    <row r="79" spans="1:15" s="137" customFormat="1" ht="14.4">
      <c r="A79" s="23"/>
      <c r="B79" s="533"/>
      <c r="C79" s="533"/>
      <c r="D79" s="533"/>
      <c r="E79" s="533"/>
      <c r="F79" s="533"/>
      <c r="G79" s="598"/>
      <c r="H79" s="533"/>
      <c r="I79" s="533"/>
      <c r="J79" s="533"/>
      <c r="K79" s="533"/>
      <c r="L79" s="598"/>
      <c r="M79" s="598"/>
      <c r="N79" s="543"/>
      <c r="O79" s="543"/>
    </row>
    <row r="80" spans="1:15" s="137" customFormat="1" ht="14.4">
      <c r="A80" s="23">
        <v>0</v>
      </c>
      <c r="B80" s="533"/>
      <c r="C80" s="533"/>
      <c r="D80" s="533"/>
      <c r="E80" s="533"/>
      <c r="F80" s="533"/>
      <c r="G80" s="598"/>
      <c r="H80" s="533"/>
      <c r="I80" s="533"/>
      <c r="J80" s="533"/>
      <c r="K80" s="533"/>
      <c r="L80" s="598"/>
      <c r="M80" s="598"/>
      <c r="N80" s="543"/>
      <c r="O80" s="543"/>
    </row>
    <row r="81" spans="1:15" s="137" customFormat="1" ht="14.4">
      <c r="A81" s="23" t="s">
        <v>85</v>
      </c>
      <c r="B81" s="533"/>
      <c r="C81" s="533"/>
      <c r="D81" s="533"/>
      <c r="E81" s="533"/>
      <c r="F81" s="533"/>
      <c r="G81" s="598"/>
      <c r="H81" s="533"/>
      <c r="I81" s="533"/>
      <c r="J81" s="533"/>
      <c r="K81" s="533"/>
      <c r="L81" s="598"/>
      <c r="M81" s="598"/>
      <c r="N81" s="543"/>
      <c r="O81" s="543"/>
    </row>
    <row r="82" spans="1:15" s="137" customFormat="1">
      <c r="B82" s="543"/>
      <c r="C82" s="543"/>
      <c r="D82" s="543"/>
      <c r="E82" s="543"/>
      <c r="F82" s="543"/>
      <c r="G82" s="554"/>
      <c r="H82" s="543"/>
      <c r="I82" s="543"/>
      <c r="J82" s="543"/>
      <c r="K82" s="543"/>
      <c r="L82" s="554"/>
      <c r="M82" s="554"/>
      <c r="N82" s="543"/>
      <c r="O82" s="543"/>
    </row>
    <row r="83" spans="1:15" s="137" customFormat="1">
      <c r="B83" s="543"/>
      <c r="C83" s="543"/>
      <c r="D83" s="543"/>
      <c r="E83" s="543"/>
      <c r="F83" s="543"/>
      <c r="G83" s="554"/>
      <c r="H83" s="543"/>
      <c r="I83" s="543"/>
      <c r="J83" s="543"/>
      <c r="K83" s="543"/>
      <c r="L83" s="554"/>
      <c r="M83" s="554"/>
      <c r="N83" s="543"/>
      <c r="O83" s="543"/>
    </row>
    <row r="84" spans="1:15" s="137" customFormat="1">
      <c r="B84" s="543"/>
      <c r="C84" s="543"/>
      <c r="D84" s="543"/>
      <c r="E84" s="543"/>
      <c r="F84" s="543"/>
      <c r="G84" s="554"/>
      <c r="H84" s="543"/>
      <c r="I84" s="543"/>
      <c r="J84" s="543"/>
      <c r="K84" s="543"/>
      <c r="L84" s="554"/>
      <c r="M84" s="554"/>
      <c r="N84" s="543"/>
      <c r="O84" s="543"/>
    </row>
    <row r="85" spans="1:15" s="137" customFormat="1">
      <c r="B85" s="543"/>
      <c r="C85" s="543"/>
      <c r="D85" s="543"/>
      <c r="E85" s="543"/>
      <c r="F85" s="543"/>
      <c r="G85" s="554"/>
      <c r="H85" s="543"/>
      <c r="I85" s="543"/>
      <c r="J85" s="543"/>
      <c r="K85" s="543"/>
      <c r="L85" s="554"/>
      <c r="M85" s="554"/>
      <c r="N85" s="543"/>
      <c r="O85" s="543"/>
    </row>
    <row r="86" spans="1:15" s="137" customFormat="1">
      <c r="B86" s="543"/>
      <c r="C86" s="543"/>
      <c r="D86" s="543"/>
      <c r="E86" s="543"/>
      <c r="F86" s="543"/>
      <c r="G86" s="554"/>
      <c r="H86" s="543"/>
      <c r="I86" s="543"/>
      <c r="J86" s="543"/>
      <c r="K86" s="543"/>
      <c r="L86" s="554"/>
      <c r="M86" s="554"/>
      <c r="N86" s="543"/>
      <c r="O86" s="543"/>
    </row>
    <row r="87" spans="1:15" s="137" customFormat="1">
      <c r="B87" s="543"/>
      <c r="C87" s="543"/>
      <c r="D87" s="543"/>
      <c r="E87" s="543"/>
      <c r="F87" s="543"/>
      <c r="G87" s="554"/>
      <c r="H87" s="543"/>
      <c r="I87" s="543"/>
      <c r="J87" s="543"/>
      <c r="K87" s="543"/>
      <c r="L87" s="554"/>
      <c r="M87" s="554"/>
      <c r="N87" s="543"/>
      <c r="O87" s="543"/>
    </row>
    <row r="88" spans="1:15" s="137" customFormat="1">
      <c r="B88" s="543"/>
      <c r="C88" s="543"/>
      <c r="D88" s="543"/>
      <c r="E88" s="543"/>
      <c r="F88" s="543"/>
      <c r="G88" s="554"/>
      <c r="H88" s="543"/>
      <c r="I88" s="543"/>
      <c r="J88" s="543"/>
      <c r="K88" s="543"/>
      <c r="L88" s="554"/>
      <c r="M88" s="554"/>
      <c r="N88" s="543"/>
      <c r="O88" s="543"/>
    </row>
    <row r="89" spans="1:15" s="137" customFormat="1">
      <c r="B89" s="543"/>
      <c r="C89" s="543"/>
      <c r="D89" s="543"/>
      <c r="E89" s="543"/>
      <c r="F89" s="543"/>
      <c r="G89" s="554"/>
      <c r="H89" s="543"/>
      <c r="I89" s="543"/>
      <c r="J89" s="543"/>
      <c r="K89" s="543"/>
      <c r="L89" s="554"/>
      <c r="M89" s="554"/>
      <c r="N89" s="543"/>
      <c r="O89" s="543"/>
    </row>
    <row r="90" spans="1:15">
      <c r="B90" s="555"/>
      <c r="C90" s="555"/>
      <c r="D90" s="555"/>
      <c r="E90" s="555"/>
      <c r="F90" s="555"/>
      <c r="G90" s="576"/>
      <c r="H90" s="555"/>
      <c r="I90" s="555"/>
      <c r="J90" s="555"/>
      <c r="K90" s="555"/>
      <c r="L90" s="576"/>
      <c r="M90" s="576"/>
      <c r="N90" s="555"/>
      <c r="O90" s="555"/>
    </row>
    <row r="91" spans="1:15">
      <c r="B91" s="555"/>
      <c r="C91" s="555"/>
      <c r="D91" s="555"/>
      <c r="E91" s="555"/>
      <c r="F91" s="555"/>
      <c r="G91" s="576"/>
      <c r="H91" s="555"/>
      <c r="I91" s="555"/>
      <c r="J91" s="555"/>
      <c r="K91" s="555"/>
      <c r="L91" s="576"/>
      <c r="M91" s="576"/>
      <c r="N91" s="555"/>
      <c r="O91" s="555"/>
    </row>
  </sheetData>
  <mergeCells count="8">
    <mergeCell ref="B26:G26"/>
    <mergeCell ref="H26:L26"/>
    <mergeCell ref="B60:G60"/>
    <mergeCell ref="H60:L60"/>
    <mergeCell ref="B7:G7"/>
    <mergeCell ref="H7:L7"/>
    <mergeCell ref="B44:G44"/>
    <mergeCell ref="H44:L44"/>
  </mergeCells>
  <pageMargins left="0.31496062992125984" right="0.27559055118110237" top="0.15748031496062992" bottom="0.19685039370078741" header="0.23622047244094491" footer="0.15748031496062992"/>
  <pageSetup paperSize="9" scale="61"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0070C0"/>
  </sheetPr>
  <dimension ref="A1:U553"/>
  <sheetViews>
    <sheetView showGridLines="0" view="pageBreakPreview" topLeftCell="A542" zoomScaleNormal="100" zoomScaleSheetLayoutView="100" workbookViewId="0">
      <selection activeCell="C392" sqref="C392"/>
    </sheetView>
  </sheetViews>
  <sheetFormatPr defaultColWidth="9.21875" defaultRowHeight="14.4"/>
  <cols>
    <col min="1" max="1" width="6.5546875" style="693" customWidth="1"/>
    <col min="2" max="2" width="70.77734375" style="694" customWidth="1"/>
    <col min="3" max="3" width="15.44140625" style="695" customWidth="1"/>
    <col min="4" max="4" width="14.77734375" style="695" hidden="1" customWidth="1"/>
    <col min="5" max="5" width="15.44140625" style="695" bestFit="1" customWidth="1"/>
    <col min="6" max="6" width="14.21875" style="695" customWidth="1"/>
    <col min="7" max="7" width="15.77734375" style="695" customWidth="1"/>
    <col min="8" max="8" width="14.21875" style="694" customWidth="1"/>
    <col min="9" max="9" width="15.77734375" style="694" customWidth="1"/>
    <col min="10" max="10" width="12.21875" style="694" customWidth="1"/>
    <col min="11" max="11" width="10.5546875" style="694" customWidth="1"/>
    <col min="12" max="12" width="10" style="694" customWidth="1"/>
    <col min="13" max="14" width="9.21875" style="694" customWidth="1"/>
    <col min="15" max="15" width="12" style="694" bestFit="1" customWidth="1"/>
    <col min="16" max="16" width="12.21875" style="694" bestFit="1" customWidth="1"/>
    <col min="17" max="17" width="64.21875" style="694" bestFit="1" customWidth="1"/>
    <col min="18" max="18" width="11.5546875" style="694" bestFit="1" customWidth="1"/>
    <col min="19" max="16384" width="9.21875" style="694"/>
  </cols>
  <sheetData>
    <row r="1" spans="1:15">
      <c r="A1" s="693" t="str">
        <f>+BS!A1</f>
        <v>1908 E-Ventures Private Limited</v>
      </c>
    </row>
    <row r="2" spans="1:15">
      <c r="A2" s="693" t="s">
        <v>1562</v>
      </c>
    </row>
    <row r="3" spans="1:15">
      <c r="A3" s="696" t="str">
        <f>BS!A3</f>
        <v>[Currency: Indian Rupees(Rs.'000)]</v>
      </c>
    </row>
    <row r="5" spans="1:15" ht="15" thickBot="1">
      <c r="A5" s="693">
        <v>4</v>
      </c>
      <c r="B5" s="730" t="s">
        <v>1245</v>
      </c>
      <c r="G5" s="731"/>
    </row>
    <row r="6" spans="1:15" ht="28.8">
      <c r="B6" s="732" t="s">
        <v>0</v>
      </c>
      <c r="C6" s="733" t="s">
        <v>1563</v>
      </c>
      <c r="D6" s="733" t="s">
        <v>1504</v>
      </c>
      <c r="E6" s="733" t="s">
        <v>1351</v>
      </c>
      <c r="F6" s="733" t="s">
        <v>1111</v>
      </c>
      <c r="G6" s="700"/>
      <c r="H6" s="734"/>
      <c r="J6" s="708"/>
      <c r="K6" s="708"/>
      <c r="L6" s="708"/>
    </row>
    <row r="7" spans="1:15">
      <c r="B7" s="735" t="s">
        <v>1246</v>
      </c>
      <c r="C7" s="661"/>
      <c r="D7" s="661"/>
      <c r="E7" s="661"/>
      <c r="F7" s="736"/>
      <c r="G7" s="661"/>
    </row>
    <row r="8" spans="1:15">
      <c r="B8" s="706" t="s">
        <v>805</v>
      </c>
      <c r="C8" s="737">
        <f>E11</f>
        <v>909392</v>
      </c>
      <c r="D8" s="737">
        <f>E11</f>
        <v>909392</v>
      </c>
      <c r="E8" s="737">
        <f>F11</f>
        <v>909392</v>
      </c>
      <c r="F8" s="738">
        <v>0</v>
      </c>
      <c r="G8" s="661"/>
      <c r="H8" s="694" t="s">
        <v>454</v>
      </c>
      <c r="O8" s="694">
        <f>1/1000</f>
        <v>1E-3</v>
      </c>
    </row>
    <row r="9" spans="1:15">
      <c r="B9" s="706" t="s">
        <v>56</v>
      </c>
      <c r="C9" s="664">
        <v>0</v>
      </c>
      <c r="D9" s="664">
        <v>0</v>
      </c>
      <c r="E9" s="664">
        <v>0</v>
      </c>
      <c r="F9" s="737">
        <f>ROUND(909392.036063111,)</f>
        <v>909392</v>
      </c>
      <c r="G9" s="661"/>
      <c r="H9" s="694" t="s">
        <v>455</v>
      </c>
    </row>
    <row r="10" spans="1:15">
      <c r="B10" s="706" t="s">
        <v>1247</v>
      </c>
      <c r="C10" s="664">
        <f>C8</f>
        <v>909392</v>
      </c>
      <c r="D10" s="664">
        <f>D8</f>
        <v>909392</v>
      </c>
      <c r="E10" s="664">
        <v>0</v>
      </c>
      <c r="F10" s="737">
        <v>0</v>
      </c>
      <c r="G10" s="661"/>
      <c r="H10" s="694" t="s">
        <v>455</v>
      </c>
    </row>
    <row r="11" spans="1:15">
      <c r="B11" s="706" t="s">
        <v>1248</v>
      </c>
      <c r="C11" s="739">
        <f>SUM(C8+C9-C10)</f>
        <v>0</v>
      </c>
      <c r="D11" s="739">
        <f>SUM(D8+D9-D10)</f>
        <v>0</v>
      </c>
      <c r="E11" s="739">
        <f>SUM(E8+E9-E10)</f>
        <v>909392</v>
      </c>
      <c r="F11" s="739">
        <f>SUM(F8+F9-F10)</f>
        <v>909392</v>
      </c>
      <c r="G11" s="661"/>
      <c r="H11" s="694" t="s">
        <v>455</v>
      </c>
    </row>
    <row r="12" spans="1:15">
      <c r="B12" s="706"/>
      <c r="C12" s="664"/>
      <c r="D12" s="664"/>
      <c r="E12" s="664"/>
      <c r="F12" s="738"/>
      <c r="G12" s="661"/>
    </row>
    <row r="13" spans="1:15">
      <c r="B13" s="702" t="s">
        <v>1249</v>
      </c>
      <c r="C13" s="664"/>
      <c r="D13" s="664"/>
      <c r="E13" s="664"/>
      <c r="F13" s="737"/>
      <c r="G13" s="669"/>
      <c r="H13" s="694" t="s">
        <v>472</v>
      </c>
      <c r="I13" s="708"/>
      <c r="J13" s="708">
        <f>+F14-F13</f>
        <v>0</v>
      </c>
      <c r="K13" s="708">
        <f>+G14-G13</f>
        <v>0</v>
      </c>
    </row>
    <row r="14" spans="1:15">
      <c r="B14" s="706" t="s">
        <v>805</v>
      </c>
      <c r="C14" s="664">
        <f>E17</f>
        <v>339673</v>
      </c>
      <c r="D14" s="664">
        <f>E17</f>
        <v>339673</v>
      </c>
      <c r="E14" s="664">
        <f>F17</f>
        <v>36542</v>
      </c>
      <c r="F14" s="737">
        <v>0</v>
      </c>
      <c r="G14" s="661"/>
      <c r="I14" s="708"/>
      <c r="J14" s="740"/>
      <c r="K14" s="672"/>
    </row>
    <row r="15" spans="1:15">
      <c r="B15" s="706" t="s">
        <v>1250</v>
      </c>
      <c r="C15" s="664">
        <f>ROUND('PL Grouping'!K260,)</f>
        <v>0</v>
      </c>
      <c r="D15" s="664">
        <f>ROUND('PL Grouping'!AC260,)</f>
        <v>0</v>
      </c>
      <c r="E15" s="664">
        <f>ROUND('PL Grouping'!AL260,)</f>
        <v>303131</v>
      </c>
      <c r="F15" s="737">
        <v>36542</v>
      </c>
      <c r="G15" s="661"/>
    </row>
    <row r="16" spans="1:15">
      <c r="B16" s="706" t="s">
        <v>1247</v>
      </c>
      <c r="C16" s="664">
        <f>C14+C15</f>
        <v>339673</v>
      </c>
      <c r="D16" s="664">
        <f>D14</f>
        <v>339673</v>
      </c>
      <c r="E16" s="664">
        <v>0</v>
      </c>
      <c r="F16" s="737">
        <v>0</v>
      </c>
      <c r="G16" s="661"/>
      <c r="H16" s="694" t="s">
        <v>455</v>
      </c>
      <c r="J16" s="708">
        <f>+J13-F16</f>
        <v>0</v>
      </c>
      <c r="K16" s="708">
        <f>+K13-G16</f>
        <v>0</v>
      </c>
      <c r="L16" s="708">
        <f>+J16-K16</f>
        <v>0</v>
      </c>
      <c r="M16" s="694" t="s">
        <v>1555</v>
      </c>
      <c r="N16" s="756">
        <f>C8-C16</f>
        <v>569719</v>
      </c>
    </row>
    <row r="17" spans="1:15">
      <c r="B17" s="706" t="s">
        <v>818</v>
      </c>
      <c r="C17" s="739">
        <f>SUM(C14+C15-C16)</f>
        <v>0</v>
      </c>
      <c r="D17" s="739">
        <f>SUM(D14+D15-D16)</f>
        <v>0</v>
      </c>
      <c r="E17" s="739">
        <f>SUM(E14+E15-E16)</f>
        <v>339673</v>
      </c>
      <c r="F17" s="739">
        <f>SUM(F14+F15-F16)</f>
        <v>36542</v>
      </c>
      <c r="G17" s="661"/>
      <c r="J17" s="708"/>
      <c r="K17" s="708"/>
      <c r="L17" s="708"/>
    </row>
    <row r="18" spans="1:15" ht="15" thickBot="1">
      <c r="B18" s="741" t="s">
        <v>1248</v>
      </c>
      <c r="C18" s="742">
        <f>+C11-C17</f>
        <v>0</v>
      </c>
      <c r="D18" s="742">
        <f>+D11-D17</f>
        <v>0</v>
      </c>
      <c r="E18" s="742">
        <f>+E11-E17</f>
        <v>569719</v>
      </c>
      <c r="F18" s="742">
        <f>+F11-F17</f>
        <v>872850</v>
      </c>
      <c r="G18" s="743"/>
    </row>
    <row r="19" spans="1:15" ht="15" thickTop="1">
      <c r="B19" s="1054" t="s">
        <v>1634</v>
      </c>
      <c r="C19" s="744"/>
      <c r="D19" s="744"/>
      <c r="E19" s="744"/>
      <c r="F19" s="744"/>
      <c r="G19" s="744"/>
    </row>
    <row r="20" spans="1:15" ht="15" thickBot="1">
      <c r="A20" s="693">
        <f>+A5+1</f>
        <v>5</v>
      </c>
      <c r="B20" s="693" t="s">
        <v>148</v>
      </c>
      <c r="G20" s="731"/>
    </row>
    <row r="21" spans="1:15" ht="28.8">
      <c r="B21" s="732" t="s">
        <v>0</v>
      </c>
      <c r="C21" s="733" t="str">
        <f>C6</f>
        <v xml:space="preserve"> As at  31st March, 2024</v>
      </c>
      <c r="D21" s="733" t="str">
        <f>D6</f>
        <v xml:space="preserve"> As at  30th September, 2023</v>
      </c>
      <c r="E21" s="733" t="str">
        <f>E6</f>
        <v xml:space="preserve"> As at  31st March, 2023</v>
      </c>
      <c r="F21" s="733" t="str">
        <f>F6</f>
        <v xml:space="preserve"> As at  31st March, 2022</v>
      </c>
      <c r="G21" s="700"/>
      <c r="H21" s="734"/>
      <c r="J21" s="708"/>
      <c r="K21" s="708"/>
      <c r="L21" s="708"/>
    </row>
    <row r="22" spans="1:15">
      <c r="B22" s="735" t="s">
        <v>90</v>
      </c>
      <c r="C22" s="661"/>
      <c r="D22" s="661"/>
      <c r="E22" s="661"/>
      <c r="F22" s="736"/>
      <c r="G22" s="661"/>
    </row>
    <row r="23" spans="1:15">
      <c r="B23" s="706" t="s">
        <v>505</v>
      </c>
      <c r="C23" s="737">
        <f>+E33</f>
        <v>7416129</v>
      </c>
      <c r="D23" s="737">
        <f>+E33</f>
        <v>7416129</v>
      </c>
      <c r="E23" s="737">
        <f>+F33</f>
        <v>8165446</v>
      </c>
      <c r="F23" s="738">
        <v>8165446</v>
      </c>
      <c r="G23" s="661"/>
      <c r="H23" s="694" t="s">
        <v>454</v>
      </c>
      <c r="O23" s="694">
        <f>1/1000</f>
        <v>1E-3</v>
      </c>
    </row>
    <row r="24" spans="1:15">
      <c r="B24" s="745" t="s">
        <v>91</v>
      </c>
      <c r="C24" s="664">
        <f>ROUND(PL!D26,)</f>
        <v>-7416129</v>
      </c>
      <c r="D24" s="664">
        <f>ROUND(PL!E26,)</f>
        <v>-7416129</v>
      </c>
      <c r="E24" s="664">
        <f>ROUND(PL!F26,)</f>
        <v>-749317</v>
      </c>
      <c r="F24" s="737">
        <v>0</v>
      </c>
      <c r="G24" s="661"/>
      <c r="H24" s="694" t="s">
        <v>455</v>
      </c>
      <c r="M24" s="694" t="s">
        <v>1555</v>
      </c>
    </row>
    <row r="25" spans="1:15" hidden="1">
      <c r="B25" s="706" t="s">
        <v>92</v>
      </c>
      <c r="C25" s="664">
        <v>0</v>
      </c>
      <c r="D25" s="664">
        <v>0</v>
      </c>
      <c r="E25" s="664">
        <v>0</v>
      </c>
      <c r="F25" s="737">
        <v>0</v>
      </c>
      <c r="G25" s="661"/>
      <c r="H25" s="694" t="s">
        <v>455</v>
      </c>
    </row>
    <row r="26" spans="1:15" hidden="1">
      <c r="B26" s="706" t="s">
        <v>943</v>
      </c>
      <c r="C26" s="664">
        <v>0</v>
      </c>
      <c r="D26" s="664">
        <v>0</v>
      </c>
      <c r="E26" s="664">
        <v>0</v>
      </c>
      <c r="F26" s="737">
        <v>0</v>
      </c>
      <c r="G26" s="661"/>
      <c r="H26" s="694" t="s">
        <v>455</v>
      </c>
    </row>
    <row r="27" spans="1:15" hidden="1">
      <c r="B27" s="706" t="s">
        <v>954</v>
      </c>
      <c r="C27" s="664">
        <f>+'Deferred tax 19-20'!E22*0</f>
        <v>0</v>
      </c>
      <c r="D27" s="664">
        <f>+'Deferred tax 19-20'!F22*0</f>
        <v>0</v>
      </c>
      <c r="E27" s="664">
        <f>+'Deferred tax 19-20'!G22*0</f>
        <v>0</v>
      </c>
      <c r="F27" s="738">
        <v>0</v>
      </c>
      <c r="G27" s="661"/>
    </row>
    <row r="28" spans="1:15" hidden="1">
      <c r="B28" s="706" t="s">
        <v>330</v>
      </c>
      <c r="C28" s="670">
        <f>+PL!C32</f>
        <v>0</v>
      </c>
      <c r="D28" s="670">
        <f>+PL!E32</f>
        <v>0</v>
      </c>
      <c r="E28" s="670">
        <f>+PL!F32</f>
        <v>0</v>
      </c>
      <c r="F28" s="670">
        <v>0</v>
      </c>
      <c r="G28" s="669"/>
      <c r="H28" s="694" t="s">
        <v>472</v>
      </c>
      <c r="I28" s="708"/>
      <c r="J28" s="708">
        <f>+F29-F28</f>
        <v>8165446</v>
      </c>
      <c r="K28" s="708">
        <f>+G29-G28</f>
        <v>0</v>
      </c>
    </row>
    <row r="29" spans="1:15">
      <c r="B29" s="706"/>
      <c r="C29" s="664">
        <f>SUM(C23:C28)</f>
        <v>0</v>
      </c>
      <c r="D29" s="664">
        <f>SUM(D23:D28)</f>
        <v>0</v>
      </c>
      <c r="E29" s="664">
        <f>SUM(E23:E28)</f>
        <v>7416129</v>
      </c>
      <c r="F29" s="664">
        <f>SUM(F23:F28)</f>
        <v>8165446</v>
      </c>
      <c r="G29" s="661"/>
      <c r="I29" s="708"/>
      <c r="J29" s="740"/>
      <c r="K29" s="672"/>
    </row>
    <row r="30" spans="1:15">
      <c r="B30" s="702" t="s">
        <v>93</v>
      </c>
      <c r="C30" s="664"/>
      <c r="D30" s="664"/>
      <c r="E30" s="664"/>
      <c r="F30" s="737"/>
      <c r="G30" s="661"/>
    </row>
    <row r="31" spans="1:15" hidden="1">
      <c r="B31" s="706" t="s">
        <v>330</v>
      </c>
      <c r="C31" s="664">
        <f>C29</f>
        <v>0</v>
      </c>
      <c r="D31" s="664">
        <v>0</v>
      </c>
      <c r="E31" s="664">
        <v>0</v>
      </c>
      <c r="F31" s="737">
        <v>0</v>
      </c>
      <c r="G31" s="661"/>
      <c r="H31" s="694" t="s">
        <v>455</v>
      </c>
      <c r="J31" s="708">
        <f>+J28-F31</f>
        <v>8165446</v>
      </c>
      <c r="K31" s="708">
        <f>+K28-G31</f>
        <v>0</v>
      </c>
      <c r="L31" s="708">
        <f>+J31-K31</f>
        <v>8165446</v>
      </c>
    </row>
    <row r="32" spans="1:15">
      <c r="B32" s="706"/>
      <c r="C32" s="664"/>
      <c r="D32" s="664"/>
      <c r="E32" s="664"/>
      <c r="F32" s="737"/>
      <c r="G32" s="661"/>
    </row>
    <row r="33" spans="1:16" ht="15" thickBot="1">
      <c r="B33" s="741" t="s">
        <v>51</v>
      </c>
      <c r="C33" s="742">
        <f>C29-SUM(C31:C31)</f>
        <v>0</v>
      </c>
      <c r="D33" s="742">
        <f>D29-SUM(D31:D31)</f>
        <v>0</v>
      </c>
      <c r="E33" s="742">
        <f>E29-SUM(E31:E31)</f>
        <v>7416129</v>
      </c>
      <c r="F33" s="742">
        <f>F29-SUM(F31:F31)</f>
        <v>8165446</v>
      </c>
      <c r="G33" s="743"/>
    </row>
    <row r="34" spans="1:16" ht="15" thickTop="1"/>
    <row r="35" spans="1:16" ht="87" customHeight="1" thickBot="1">
      <c r="B35" s="1265" t="s">
        <v>1531</v>
      </c>
      <c r="C35" s="1265"/>
      <c r="D35" s="1265"/>
      <c r="E35" s="1265"/>
      <c r="F35" s="746"/>
      <c r="G35" s="747"/>
    </row>
    <row r="36" spans="1:16" ht="28.8">
      <c r="B36" s="732" t="s">
        <v>0</v>
      </c>
      <c r="C36" s="733" t="str">
        <f>+C21</f>
        <v xml:space="preserve"> As at  31st March, 2024</v>
      </c>
      <c r="D36" s="733" t="str">
        <f>+D21</f>
        <v xml:space="preserve"> As at  30th September, 2023</v>
      </c>
      <c r="E36" s="733" t="str">
        <f>+E21</f>
        <v xml:space="preserve"> As at  31st March, 2023</v>
      </c>
      <c r="F36" s="733" t="str">
        <f>+F21</f>
        <v xml:space="preserve"> As at  31st March, 2022</v>
      </c>
      <c r="G36" s="700"/>
      <c r="H36" s="734"/>
      <c r="J36" s="708"/>
      <c r="K36" s="708"/>
      <c r="L36" s="708"/>
      <c r="O36" s="694" t="s">
        <v>1094</v>
      </c>
    </row>
    <row r="37" spans="1:16">
      <c r="B37" s="735" t="s">
        <v>90</v>
      </c>
      <c r="C37" s="661"/>
      <c r="D37" s="661"/>
      <c r="E37" s="661"/>
      <c r="F37" s="736"/>
      <c r="G37" s="661"/>
    </row>
    <row r="38" spans="1:16">
      <c r="B38" s="703" t="s">
        <v>1043</v>
      </c>
      <c r="C38" s="737">
        <f>ROUND('Deferred tax 23-24'!F14,)*0</f>
        <v>0</v>
      </c>
      <c r="D38" s="737">
        <f>ROUND(E38-'Deferred tax 21-22'!E14,)</f>
        <v>-220856</v>
      </c>
      <c r="E38" s="737">
        <f>ROUND(F38-'Deferred tax 21-22'!F14,)</f>
        <v>61414</v>
      </c>
      <c r="F38" s="737">
        <f>'Deferred tax 21-22'!E14</f>
        <v>282270</v>
      </c>
      <c r="G38" s="661"/>
      <c r="H38" s="694" t="s">
        <v>454</v>
      </c>
      <c r="O38" s="694">
        <v>-1038850</v>
      </c>
    </row>
    <row r="39" spans="1:16">
      <c r="B39" s="703" t="s">
        <v>1042</v>
      </c>
      <c r="C39" s="664">
        <f>ROUND('Deferred tax 23-24'!E52,)</f>
        <v>52551623</v>
      </c>
      <c r="D39" s="664">
        <f>ROUND('Deferred tax 22-23'!D52,)</f>
        <v>246193109</v>
      </c>
      <c r="E39" s="664">
        <f>ROUND('Deferred tax 22-23'!E52,)</f>
        <v>56378222</v>
      </c>
      <c r="F39" s="737">
        <f>'Deferred tax 21-22'!E50</f>
        <v>39313744</v>
      </c>
      <c r="G39" s="661"/>
      <c r="H39" s="694" t="s">
        <v>455</v>
      </c>
      <c r="O39" s="694">
        <v>17539614</v>
      </c>
      <c r="P39" s="706"/>
    </row>
    <row r="40" spans="1:16">
      <c r="B40" s="703" t="s">
        <v>1044</v>
      </c>
      <c r="C40" s="664">
        <f>ROUND('Deferred tax 23-24'!E27,0)</f>
        <v>0</v>
      </c>
      <c r="D40" s="664">
        <f>ROUND('Deferred tax 22-23'!D27,0)</f>
        <v>2392387</v>
      </c>
      <c r="E40" s="664">
        <f>ROUND('Deferred tax 22-23'!E27,0)</f>
        <v>547857</v>
      </c>
      <c r="F40" s="737">
        <f>'Deferred tax 21-22'!E27</f>
        <v>409978</v>
      </c>
      <c r="G40" s="661"/>
      <c r="H40" s="694" t="s">
        <v>455</v>
      </c>
      <c r="O40" s="694">
        <v>250872</v>
      </c>
    </row>
    <row r="41" spans="1:16">
      <c r="B41" s="748" t="s">
        <v>1048</v>
      </c>
      <c r="C41" s="664">
        <f>-ROUND(PL!E31*'Deferred tax 19-20'!$J$15%,0)*0</f>
        <v>0</v>
      </c>
      <c r="D41" s="664">
        <f>-ROUND(PL!E31*'Deferred tax 19-20'!$J$15%,0)*0</f>
        <v>0</v>
      </c>
      <c r="E41" s="664">
        <f>-ROUND(PL!F31*'Deferred tax 19-20'!$J$15%,0)*0</f>
        <v>0</v>
      </c>
      <c r="F41" s="664">
        <f>-ROUND(PL!G31*'Deferred tax 19-20'!$J$15%,0)*0</f>
        <v>0</v>
      </c>
      <c r="G41" s="661"/>
      <c r="O41" s="694">
        <v>-8388</v>
      </c>
      <c r="P41" s="749"/>
    </row>
    <row r="42" spans="1:16">
      <c r="B42" s="703"/>
      <c r="C42" s="664"/>
      <c r="D42" s="664"/>
      <c r="E42" s="664"/>
      <c r="F42" s="737"/>
      <c r="G42" s="661"/>
    </row>
    <row r="43" spans="1:16" ht="15" thickBot="1">
      <c r="B43" s="741" t="s">
        <v>51</v>
      </c>
      <c r="C43" s="742">
        <f>SUM(C38:C42)</f>
        <v>52551623</v>
      </c>
      <c r="D43" s="742">
        <f>SUM(D38:D42)</f>
        <v>248364640</v>
      </c>
      <c r="E43" s="742">
        <f>SUM(E38:E42)</f>
        <v>56987493</v>
      </c>
      <c r="F43" s="742">
        <f>SUM(F38:F42)</f>
        <v>40005992</v>
      </c>
      <c r="G43" s="743"/>
    </row>
    <row r="44" spans="1:16" ht="15" thickTop="1">
      <c r="B44" s="695" t="s">
        <v>1045</v>
      </c>
      <c r="C44" s="744"/>
      <c r="D44" s="744"/>
      <c r="E44" s="744"/>
      <c r="F44" s="744"/>
      <c r="G44" s="744"/>
    </row>
    <row r="45" spans="1:16">
      <c r="B45" s="695" t="s">
        <v>1340</v>
      </c>
      <c r="C45" s="744"/>
      <c r="D45" s="744"/>
      <c r="E45" s="744"/>
      <c r="F45" s="744"/>
      <c r="G45" s="744"/>
    </row>
    <row r="47" spans="1:16" ht="15" thickBot="1">
      <c r="A47" s="693">
        <f>A20+1</f>
        <v>6</v>
      </c>
      <c r="B47" s="693" t="s">
        <v>1364</v>
      </c>
      <c r="G47" s="731"/>
    </row>
    <row r="48" spans="1:16" ht="28.8">
      <c r="B48" s="732" t="s">
        <v>0</v>
      </c>
      <c r="C48" s="733" t="str">
        <f>C36</f>
        <v xml:space="preserve"> As at  31st March, 2024</v>
      </c>
      <c r="D48" s="733" t="str">
        <f>D36</f>
        <v xml:space="preserve"> As at  30th September, 2023</v>
      </c>
      <c r="E48" s="733" t="str">
        <f>E36</f>
        <v xml:space="preserve"> As at  31st March, 2023</v>
      </c>
      <c r="F48" s="733" t="str">
        <f>F36</f>
        <v xml:space="preserve"> As at  31st March, 2022</v>
      </c>
      <c r="G48" s="700"/>
    </row>
    <row r="49" spans="1:10">
      <c r="B49" s="735" t="s">
        <v>1460</v>
      </c>
      <c r="C49" s="661"/>
      <c r="D49" s="661"/>
      <c r="E49" s="661"/>
      <c r="F49" s="736"/>
      <c r="G49" s="661"/>
    </row>
    <row r="50" spans="1:10">
      <c r="B50" s="703" t="s">
        <v>1470</v>
      </c>
      <c r="C50" s="736"/>
      <c r="D50" s="736"/>
      <c r="E50" s="736"/>
      <c r="F50" s="736"/>
      <c r="G50" s="661"/>
    </row>
    <row r="51" spans="1:10">
      <c r="B51" s="703" t="s">
        <v>1461</v>
      </c>
      <c r="C51" s="736"/>
      <c r="D51" s="736"/>
      <c r="E51" s="736"/>
      <c r="F51" s="736"/>
      <c r="G51" s="661"/>
    </row>
    <row r="52" spans="1:10">
      <c r="B52" s="706" t="s">
        <v>1452</v>
      </c>
      <c r="C52" s="737">
        <f>ROUND('BS Grouping'!K124,)</f>
        <v>0</v>
      </c>
      <c r="D52" s="737">
        <f>ROUND('BS Grouping'!AC124,)</f>
        <v>0</v>
      </c>
      <c r="E52" s="737">
        <f>ROUND('BS Grouping'!AL124,)</f>
        <v>40000</v>
      </c>
      <c r="F52" s="737">
        <v>0</v>
      </c>
      <c r="G52" s="661"/>
      <c r="H52" s="694" t="s">
        <v>340</v>
      </c>
      <c r="J52" s="694" t="str">
        <f>PROPER(B52)</f>
        <v>Boofootel Private Limited</v>
      </c>
    </row>
    <row r="53" spans="1:10">
      <c r="B53" s="706" t="s">
        <v>1659</v>
      </c>
      <c r="C53" s="737"/>
      <c r="D53" s="737"/>
      <c r="E53" s="737"/>
      <c r="F53" s="737"/>
      <c r="G53" s="661"/>
    </row>
    <row r="54" spans="1:10">
      <c r="B54" s="706"/>
      <c r="C54" s="737"/>
      <c r="D54" s="737"/>
      <c r="E54" s="737"/>
      <c r="F54" s="737"/>
      <c r="G54" s="661"/>
    </row>
    <row r="55" spans="1:10" ht="15" thickBot="1">
      <c r="B55" s="741" t="s">
        <v>51</v>
      </c>
      <c r="C55" s="742">
        <f>SUM(C50:C54)</f>
        <v>0</v>
      </c>
      <c r="D55" s="742">
        <f>SUM(D50:D54)</f>
        <v>0</v>
      </c>
      <c r="E55" s="742">
        <f>SUM(E50:E54)</f>
        <v>40000</v>
      </c>
      <c r="F55" s="742">
        <f>SUM(F50:F54)</f>
        <v>0</v>
      </c>
      <c r="G55" s="750"/>
    </row>
    <row r="56" spans="1:10" ht="15" hidden="1" thickTop="1">
      <c r="B56" s="751"/>
      <c r="C56" s="752"/>
      <c r="D56" s="752"/>
      <c r="E56" s="752"/>
      <c r="F56" s="752"/>
      <c r="G56" s="752"/>
    </row>
    <row r="57" spans="1:10" ht="15" thickTop="1">
      <c r="B57" s="693"/>
      <c r="C57" s="744"/>
      <c r="D57" s="744"/>
      <c r="E57" s="744"/>
      <c r="F57" s="744"/>
      <c r="G57" s="744"/>
    </row>
    <row r="58" spans="1:10" ht="15" thickBot="1">
      <c r="A58" s="693">
        <f>A47+1</f>
        <v>7</v>
      </c>
      <c r="B58" s="693" t="s">
        <v>537</v>
      </c>
      <c r="G58" s="731"/>
    </row>
    <row r="59" spans="1:10" ht="28.8">
      <c r="B59" s="732" t="s">
        <v>0</v>
      </c>
      <c r="C59" s="733" t="str">
        <f>+C21</f>
        <v xml:space="preserve"> As at  31st March, 2024</v>
      </c>
      <c r="D59" s="733" t="str">
        <f>+D21</f>
        <v xml:space="preserve"> As at  30th September, 2023</v>
      </c>
      <c r="E59" s="733" t="str">
        <f>+E21</f>
        <v xml:space="preserve"> As at  31st March, 2023</v>
      </c>
      <c r="F59" s="733" t="str">
        <f>+F21</f>
        <v xml:space="preserve"> As at  31st March, 2022</v>
      </c>
      <c r="G59" s="700"/>
    </row>
    <row r="60" spans="1:10">
      <c r="B60" s="735"/>
      <c r="C60" s="661"/>
      <c r="D60" s="661"/>
      <c r="E60" s="661"/>
      <c r="F60" s="736"/>
      <c r="G60" s="661"/>
    </row>
    <row r="61" spans="1:10">
      <c r="B61" s="703" t="s">
        <v>365</v>
      </c>
      <c r="C61" s="737">
        <f>ROUND('BS Grouping'!K128,0)</f>
        <v>0</v>
      </c>
      <c r="D61" s="737">
        <f>ROUND('BS Grouping'!AC128,0)</f>
        <v>100000</v>
      </c>
      <c r="E61" s="737">
        <f>ROUND('BS Grouping'!AL128,0)</f>
        <v>100000</v>
      </c>
      <c r="F61" s="737">
        <f>ROUND('BS Grouping'!AU128,0)</f>
        <v>100000</v>
      </c>
      <c r="G61" s="661"/>
    </row>
    <row r="62" spans="1:10">
      <c r="B62" s="703" t="s">
        <v>538</v>
      </c>
      <c r="C62" s="737">
        <f>ROUND('BS Grouping'!K133,0)</f>
        <v>0</v>
      </c>
      <c r="D62" s="737">
        <f>ROUND('BS Grouping'!AC133,0)</f>
        <v>40335</v>
      </c>
      <c r="E62" s="737">
        <f>ROUND('BS Grouping'!AL133,0)</f>
        <v>29044</v>
      </c>
      <c r="F62" s="737">
        <f>ROUND('BS Grouping'!AU133,0)</f>
        <v>25000</v>
      </c>
      <c r="G62" s="661"/>
    </row>
    <row r="63" spans="1:10">
      <c r="B63" s="706" t="s">
        <v>473</v>
      </c>
      <c r="C63" s="737">
        <f>ROUND('BS Grouping'!K137,0)</f>
        <v>0</v>
      </c>
      <c r="D63" s="737">
        <f>ROUND('BS Grouping'!AC137,0)+3</f>
        <v>3</v>
      </c>
      <c r="E63" s="737">
        <f>ROUND('BS Grouping'!AL137,0)+3</f>
        <v>275926</v>
      </c>
      <c r="F63" s="737">
        <f>ROUND('BS Grouping'!AU137,0)</f>
        <v>132339</v>
      </c>
      <c r="G63" s="661"/>
      <c r="H63" s="694" t="s">
        <v>340</v>
      </c>
    </row>
    <row r="64" spans="1:10">
      <c r="B64" s="706"/>
      <c r="C64" s="737"/>
      <c r="D64" s="737"/>
      <c r="E64" s="737"/>
      <c r="F64" s="737"/>
      <c r="G64" s="661"/>
    </row>
    <row r="65" spans="1:16" ht="15" thickBot="1">
      <c r="B65" s="702" t="s">
        <v>51</v>
      </c>
      <c r="C65" s="742">
        <f>SUM(C61:C64)</f>
        <v>0</v>
      </c>
      <c r="D65" s="742">
        <f>SUM(D61:D64)</f>
        <v>140338</v>
      </c>
      <c r="E65" s="742">
        <f>SUM(E61:E64)</f>
        <v>404970</v>
      </c>
      <c r="F65" s="742">
        <f>SUM(F61:F64)</f>
        <v>257339</v>
      </c>
      <c r="G65" s="750"/>
    </row>
    <row r="66" spans="1:16" ht="29.4" thickTop="1">
      <c r="B66" s="751" t="s">
        <v>474</v>
      </c>
      <c r="C66" s="753">
        <f>'SDS JBA'!C6</f>
        <v>0</v>
      </c>
      <c r="D66" s="753">
        <f>'SDS JBA'!D6</f>
        <v>0</v>
      </c>
      <c r="E66" s="753">
        <f>'SDS JBA'!E6</f>
        <v>174000</v>
      </c>
      <c r="F66" s="753">
        <f>E66</f>
        <v>174000</v>
      </c>
      <c r="G66" s="752"/>
    </row>
    <row r="67" spans="1:16">
      <c r="B67" s="693"/>
      <c r="C67" s="744"/>
      <c r="D67" s="744"/>
      <c r="E67" s="744"/>
      <c r="F67" s="744"/>
      <c r="G67" s="744"/>
    </row>
    <row r="68" spans="1:16" ht="15" thickBot="1">
      <c r="A68" s="693">
        <f>+A58+1</f>
        <v>8</v>
      </c>
      <c r="B68" s="693" t="s">
        <v>351</v>
      </c>
      <c r="G68" s="731"/>
    </row>
    <row r="69" spans="1:16" ht="28.8">
      <c r="B69" s="732" t="s">
        <v>0</v>
      </c>
      <c r="C69" s="733" t="str">
        <f>+C59</f>
        <v xml:space="preserve"> As at  31st March, 2024</v>
      </c>
      <c r="D69" s="733" t="str">
        <f>+D59</f>
        <v xml:space="preserve"> As at  30th September, 2023</v>
      </c>
      <c r="E69" s="733" t="str">
        <f>+E59</f>
        <v xml:space="preserve"> As at  31st March, 2023</v>
      </c>
      <c r="F69" s="733" t="str">
        <f>+F59</f>
        <v xml:space="preserve"> As at  31st March, 2022</v>
      </c>
      <c r="G69" s="700"/>
    </row>
    <row r="70" spans="1:16">
      <c r="B70" s="735"/>
      <c r="C70" s="661"/>
      <c r="D70" s="661"/>
      <c r="E70" s="661"/>
      <c r="F70" s="736"/>
      <c r="G70" s="661"/>
    </row>
    <row r="71" spans="1:16">
      <c r="B71" s="706" t="s">
        <v>225</v>
      </c>
      <c r="C71" s="737">
        <f>ROUND('BS Grouping'!K149,0)</f>
        <v>44148</v>
      </c>
      <c r="D71" s="737">
        <f>ROUND('BS Grouping'!AC149,0)</f>
        <v>159162</v>
      </c>
      <c r="E71" s="737">
        <f>ROUND('BS Grouping'!AL149,0)</f>
        <v>164666</v>
      </c>
      <c r="F71" s="737">
        <f>ROUND('BS Grouping'!AU149,0)</f>
        <v>51405</v>
      </c>
      <c r="G71" s="661"/>
      <c r="H71" s="694" t="s">
        <v>449</v>
      </c>
    </row>
    <row r="72" spans="1:16">
      <c r="B72" s="706"/>
      <c r="C72" s="664"/>
      <c r="D72" s="664"/>
      <c r="E72" s="664"/>
      <c r="F72" s="737"/>
      <c r="G72" s="661"/>
    </row>
    <row r="73" spans="1:16" ht="15" thickBot="1">
      <c r="B73" s="741" t="s">
        <v>51</v>
      </c>
      <c r="C73" s="742">
        <f>SUM(C71:C72)</f>
        <v>44148</v>
      </c>
      <c r="D73" s="742">
        <f>SUM(D71:D72)</f>
        <v>159162</v>
      </c>
      <c r="E73" s="742">
        <f>SUM(E71:E72)</f>
        <v>164666</v>
      </c>
      <c r="F73" s="742">
        <f>SUM(F71:F72)</f>
        <v>51405</v>
      </c>
      <c r="G73" s="743"/>
    </row>
    <row r="74" spans="1:16" ht="15" thickTop="1">
      <c r="B74" s="693"/>
      <c r="C74" s="744"/>
      <c r="D74" s="744"/>
      <c r="E74" s="744"/>
      <c r="F74" s="744"/>
      <c r="G74" s="744"/>
    </row>
    <row r="75" spans="1:16" ht="15" thickBot="1">
      <c r="A75" s="693">
        <f>+A68+1</f>
        <v>9</v>
      </c>
      <c r="B75" s="693" t="s">
        <v>352</v>
      </c>
      <c r="G75" s="731"/>
    </row>
    <row r="76" spans="1:16" ht="28.8">
      <c r="B76" s="732" t="s">
        <v>0</v>
      </c>
      <c r="C76" s="733" t="str">
        <f>+C69</f>
        <v xml:space="preserve"> As at  31st March, 2024</v>
      </c>
      <c r="D76" s="733" t="str">
        <f>+D69</f>
        <v xml:space="preserve"> As at  30th September, 2023</v>
      </c>
      <c r="E76" s="733" t="str">
        <f>+E69</f>
        <v xml:space="preserve"> As at  31st March, 2023</v>
      </c>
      <c r="F76" s="733" t="str">
        <f>+F69</f>
        <v xml:space="preserve"> As at  31st March, 2022</v>
      </c>
      <c r="G76" s="700"/>
    </row>
    <row r="77" spans="1:16">
      <c r="B77" s="735" t="s">
        <v>475</v>
      </c>
      <c r="C77" s="661"/>
      <c r="D77" s="661"/>
      <c r="E77" s="661"/>
      <c r="F77" s="736"/>
      <c r="G77" s="661"/>
    </row>
    <row r="78" spans="1:16">
      <c r="B78" s="706" t="s">
        <v>337</v>
      </c>
      <c r="C78" s="737">
        <f>ROUND('BS Grouping'!K153,0)</f>
        <v>0</v>
      </c>
      <c r="D78" s="737">
        <f>ROUND('BS Grouping'!AC153,0)</f>
        <v>0</v>
      </c>
      <c r="E78" s="737">
        <f>ROUND('BS Grouping'!AL153,0)</f>
        <v>12351</v>
      </c>
      <c r="F78" s="737">
        <f>ROUND('BS Grouping'!AU153,0)</f>
        <v>27088</v>
      </c>
      <c r="G78" s="661"/>
      <c r="H78" s="694" t="s">
        <v>456</v>
      </c>
      <c r="I78" s="708"/>
      <c r="J78" s="708"/>
      <c r="P78" s="708"/>
    </row>
    <row r="79" spans="1:16">
      <c r="B79" s="706"/>
      <c r="C79" s="737"/>
      <c r="D79" s="737"/>
      <c r="E79" s="737"/>
      <c r="F79" s="737"/>
      <c r="G79" s="661"/>
      <c r="I79" s="708"/>
    </row>
    <row r="80" spans="1:16" ht="15" thickBot="1">
      <c r="B80" s="741" t="s">
        <v>51</v>
      </c>
      <c r="C80" s="742">
        <f>SUM(C78:C79)</f>
        <v>0</v>
      </c>
      <c r="D80" s="742">
        <f>SUM(D78:D79)</f>
        <v>0</v>
      </c>
      <c r="E80" s="742">
        <f>SUM(E78:E79)</f>
        <v>12351</v>
      </c>
      <c r="F80" s="742">
        <f>SUM(F78:F79)</f>
        <v>27088</v>
      </c>
      <c r="G80" s="743"/>
    </row>
    <row r="81" spans="1:17" ht="15" thickTop="1">
      <c r="B81" s="693"/>
      <c r="C81" s="744"/>
      <c r="D81" s="744"/>
      <c r="E81" s="744"/>
      <c r="F81" s="744"/>
      <c r="G81" s="744"/>
    </row>
    <row r="82" spans="1:17" ht="15" thickBot="1">
      <c r="A82" s="693">
        <f>+A75+1</f>
        <v>10</v>
      </c>
      <c r="B82" s="693" t="s">
        <v>130</v>
      </c>
      <c r="G82" s="731"/>
    </row>
    <row r="83" spans="1:17" ht="28.8">
      <c r="B83" s="732" t="s">
        <v>0</v>
      </c>
      <c r="C83" s="700" t="str">
        <f>+C76</f>
        <v xml:space="preserve"> As at  31st March, 2024</v>
      </c>
      <c r="D83" s="700" t="str">
        <f>+D76</f>
        <v xml:space="preserve"> As at  30th September, 2023</v>
      </c>
      <c r="E83" s="700" t="str">
        <f>+E76</f>
        <v xml:space="preserve"> As at  31st March, 2023</v>
      </c>
      <c r="F83" s="700" t="str">
        <f>+F76</f>
        <v xml:space="preserve"> As at  31st March, 2022</v>
      </c>
      <c r="G83" s="700"/>
    </row>
    <row r="84" spans="1:17">
      <c r="B84" s="735"/>
      <c r="C84" s="661"/>
      <c r="D84" s="661"/>
      <c r="E84" s="661"/>
      <c r="F84" s="736"/>
      <c r="G84" s="661"/>
    </row>
    <row r="85" spans="1:17">
      <c r="B85" s="706" t="s">
        <v>131</v>
      </c>
      <c r="C85" s="737">
        <f>+C451</f>
        <v>0</v>
      </c>
      <c r="D85" s="737">
        <f>+D451</f>
        <v>12662643</v>
      </c>
      <c r="E85" s="737">
        <f>+E451</f>
        <v>28060951</v>
      </c>
      <c r="F85" s="737">
        <f>ROUND('BS Grouping'!AU157,0)</f>
        <v>26273701</v>
      </c>
      <c r="G85" s="661"/>
      <c r="H85" s="694" t="s">
        <v>457</v>
      </c>
      <c r="Q85" s="708"/>
    </row>
    <row r="86" spans="1:17">
      <c r="B86" s="706"/>
      <c r="C86" s="664"/>
      <c r="D86" s="664"/>
      <c r="E86" s="664"/>
      <c r="F86" s="737"/>
      <c r="G86" s="661"/>
    </row>
    <row r="87" spans="1:17" ht="15" thickBot="1">
      <c r="B87" s="741" t="s">
        <v>51</v>
      </c>
      <c r="C87" s="742">
        <f>SUM(C85:C86)</f>
        <v>0</v>
      </c>
      <c r="D87" s="742">
        <f>SUM(D85:D86)</f>
        <v>12662643</v>
      </c>
      <c r="E87" s="742">
        <f>SUM(E85:E86)</f>
        <v>28060951</v>
      </c>
      <c r="F87" s="742">
        <f>SUM(F85:F86)</f>
        <v>26273701</v>
      </c>
      <c r="G87" s="743"/>
    </row>
    <row r="88" spans="1:17" ht="15" thickTop="1"/>
    <row r="90" spans="1:17" ht="15" thickBot="1">
      <c r="A90" s="693">
        <f>+A82+1</f>
        <v>11</v>
      </c>
      <c r="B90" s="693" t="s">
        <v>395</v>
      </c>
      <c r="G90" s="731"/>
    </row>
    <row r="91" spans="1:17" ht="28.8">
      <c r="B91" s="732" t="s">
        <v>0</v>
      </c>
      <c r="C91" s="733" t="str">
        <f>+C83</f>
        <v xml:space="preserve"> As at  31st March, 2024</v>
      </c>
      <c r="D91" s="733" t="str">
        <f>+D83</f>
        <v xml:space="preserve"> As at  30th September, 2023</v>
      </c>
      <c r="E91" s="733" t="str">
        <f>+E83</f>
        <v xml:space="preserve"> As at  31st March, 2023</v>
      </c>
      <c r="F91" s="733" t="str">
        <f>+F83</f>
        <v xml:space="preserve"> As at  31st March, 2022</v>
      </c>
      <c r="G91" s="700"/>
    </row>
    <row r="92" spans="1:17">
      <c r="B92" s="754"/>
      <c r="C92" s="661"/>
      <c r="D92" s="661"/>
      <c r="E92" s="661"/>
      <c r="F92" s="736"/>
      <c r="G92" s="661"/>
    </row>
    <row r="93" spans="1:17">
      <c r="B93" s="703" t="s">
        <v>58</v>
      </c>
      <c r="C93" s="737">
        <f>'BS Grouping'!K166</f>
        <v>16201.600000000035</v>
      </c>
      <c r="D93" s="737">
        <f>D109</f>
        <v>3072116.1400000006</v>
      </c>
      <c r="E93" s="737">
        <f>E109</f>
        <v>2662259</v>
      </c>
      <c r="F93" s="737">
        <f>ROUND('BS Grouping'!AU166,0)</f>
        <v>4706908</v>
      </c>
      <c r="G93" s="661"/>
      <c r="H93" s="694" t="s">
        <v>449</v>
      </c>
      <c r="I93" s="694">
        <f>ROUND('BS Grouping'!AL166,0)</f>
        <v>2708704</v>
      </c>
    </row>
    <row r="94" spans="1:17">
      <c r="B94" s="706" t="s">
        <v>59</v>
      </c>
      <c r="C94" s="670">
        <v>0</v>
      </c>
      <c r="D94" s="670">
        <f>D116</f>
        <v>0</v>
      </c>
      <c r="E94" s="670">
        <f>E116</f>
        <v>46444</v>
      </c>
      <c r="F94" s="755">
        <v>0</v>
      </c>
      <c r="G94" s="669"/>
    </row>
    <row r="95" spans="1:17">
      <c r="B95" s="706"/>
      <c r="C95" s="737">
        <f>SUM(C93:C94)</f>
        <v>16201.600000000035</v>
      </c>
      <c r="D95" s="737">
        <f>SUM(D93:D94)</f>
        <v>3072116.1400000006</v>
      </c>
      <c r="E95" s="737">
        <f>SUM(E93:E94)</f>
        <v>2708703</v>
      </c>
      <c r="F95" s="737">
        <f>SUM(F93:F94)</f>
        <v>4706908</v>
      </c>
      <c r="G95" s="736"/>
    </row>
    <row r="96" spans="1:17">
      <c r="B96" s="706" t="s">
        <v>60</v>
      </c>
      <c r="C96" s="737">
        <f>-C94</f>
        <v>0</v>
      </c>
      <c r="D96" s="737">
        <f>-D94</f>
        <v>0</v>
      </c>
      <c r="E96" s="737">
        <f>-E94</f>
        <v>-46444</v>
      </c>
      <c r="F96" s="737">
        <v>0</v>
      </c>
      <c r="G96" s="661"/>
    </row>
    <row r="97" spans="2:19">
      <c r="B97" s="706"/>
      <c r="C97" s="664"/>
      <c r="D97" s="664"/>
      <c r="E97" s="664"/>
      <c r="F97" s="737"/>
      <c r="G97" s="661"/>
    </row>
    <row r="98" spans="2:19" ht="15" thickBot="1">
      <c r="B98" s="741" t="s">
        <v>51</v>
      </c>
      <c r="C98" s="729">
        <f>+C95+C96</f>
        <v>16201.600000000035</v>
      </c>
      <c r="D98" s="729">
        <f>+D95+D96</f>
        <v>3072116.1400000006</v>
      </c>
      <c r="E98" s="729">
        <f>+E95+E96</f>
        <v>2662259</v>
      </c>
      <c r="F98" s="729">
        <f>+F95+F96</f>
        <v>4706908</v>
      </c>
      <c r="G98" s="743"/>
      <c r="H98" s="694">
        <f>'BS Grouping'!AC160</f>
        <v>3072116.1400000006</v>
      </c>
      <c r="I98" s="756">
        <f>D98-H98</f>
        <v>0</v>
      </c>
      <c r="S98" s="708"/>
    </row>
    <row r="99" spans="2:19" ht="15" thickTop="1">
      <c r="B99" s="952"/>
      <c r="C99" s="744"/>
      <c r="D99" s="744"/>
      <c r="E99" s="744"/>
      <c r="F99" s="744"/>
      <c r="G99" s="744"/>
      <c r="S99" s="708"/>
    </row>
    <row r="100" spans="2:19">
      <c r="B100" s="694" t="s">
        <v>1291</v>
      </c>
      <c r="G100" s="744"/>
      <c r="S100" s="708"/>
    </row>
    <row r="101" spans="2:19" ht="28.8">
      <c r="B101" s="732" t="s">
        <v>0</v>
      </c>
      <c r="C101" s="733" t="str">
        <f>+C91</f>
        <v xml:space="preserve"> As at  31st March, 2024</v>
      </c>
      <c r="D101" s="733" t="str">
        <f>+D91</f>
        <v xml:space="preserve"> As at  30th September, 2023</v>
      </c>
      <c r="E101" s="733" t="str">
        <f>+E91</f>
        <v xml:space="preserve"> As at  31st March, 2023</v>
      </c>
      <c r="F101" s="733" t="str">
        <f>+F91</f>
        <v xml:space="preserve"> As at  31st March, 2022</v>
      </c>
      <c r="G101" s="744"/>
      <c r="I101" s="694" t="s">
        <v>1462</v>
      </c>
      <c r="S101" s="708"/>
    </row>
    <row r="102" spans="2:19">
      <c r="B102" s="757" t="s">
        <v>1292</v>
      </c>
      <c r="C102" s="661"/>
      <c r="D102" s="661"/>
      <c r="E102" s="661"/>
      <c r="F102" s="736"/>
      <c r="G102" s="744"/>
      <c r="I102" s="694" t="s">
        <v>1293</v>
      </c>
      <c r="S102" s="708"/>
    </row>
    <row r="103" spans="2:19">
      <c r="B103" s="703" t="s">
        <v>1293</v>
      </c>
      <c r="C103" s="736"/>
      <c r="D103" s="736"/>
      <c r="E103" s="736"/>
      <c r="F103" s="736"/>
      <c r="G103" s="744"/>
      <c r="I103" s="694" t="s">
        <v>1294</v>
      </c>
      <c r="J103" s="694">
        <v>1551628.48</v>
      </c>
      <c r="S103" s="708"/>
    </row>
    <row r="104" spans="2:19">
      <c r="B104" s="758" t="s">
        <v>1294</v>
      </c>
      <c r="C104" s="737">
        <f>C98</f>
        <v>16201.600000000035</v>
      </c>
      <c r="D104" s="737">
        <f>'BS Grouping'!AC160</f>
        <v>3072116.1400000006</v>
      </c>
      <c r="E104" s="737">
        <f t="shared" ref="E104:E107" si="0">ROUND(J103,)</f>
        <v>1551628</v>
      </c>
      <c r="F104" s="737">
        <v>3842313.1399999992</v>
      </c>
      <c r="G104" s="744"/>
      <c r="I104" s="694" t="s">
        <v>1295</v>
      </c>
      <c r="J104" s="694">
        <v>87258.04</v>
      </c>
      <c r="S104" s="708"/>
    </row>
    <row r="105" spans="2:19">
      <c r="B105" s="758" t="s">
        <v>1295</v>
      </c>
      <c r="C105" s="737">
        <v>0</v>
      </c>
      <c r="D105" s="737">
        <v>0</v>
      </c>
      <c r="E105" s="737">
        <f t="shared" si="0"/>
        <v>87258</v>
      </c>
      <c r="F105" s="737">
        <v>727737.53</v>
      </c>
      <c r="G105" s="744"/>
      <c r="I105" s="694" t="s">
        <v>1285</v>
      </c>
      <c r="J105" s="694">
        <v>628832.69999999995</v>
      </c>
      <c r="S105" s="708"/>
    </row>
    <row r="106" spans="2:19">
      <c r="B106" s="758" t="s">
        <v>1285</v>
      </c>
      <c r="C106" s="737">
        <v>0</v>
      </c>
      <c r="D106" s="737">
        <v>0</v>
      </c>
      <c r="E106" s="737">
        <f t="shared" si="0"/>
        <v>628833</v>
      </c>
      <c r="F106" s="737">
        <v>116734.49000000002</v>
      </c>
      <c r="G106" s="744"/>
      <c r="I106" s="694" t="s">
        <v>1296</v>
      </c>
      <c r="J106" s="694">
        <v>394539.54</v>
      </c>
      <c r="S106" s="708"/>
    </row>
    <row r="107" spans="2:19">
      <c r="B107" s="759" t="s">
        <v>1296</v>
      </c>
      <c r="C107" s="737">
        <v>0</v>
      </c>
      <c r="D107" s="737">
        <v>0</v>
      </c>
      <c r="E107" s="737">
        <f t="shared" si="0"/>
        <v>394540</v>
      </c>
      <c r="F107" s="737">
        <v>20123</v>
      </c>
      <c r="G107" s="744"/>
      <c r="I107" s="694" t="s">
        <v>1286</v>
      </c>
      <c r="J107" s="694">
        <v>0</v>
      </c>
      <c r="S107" s="708"/>
    </row>
    <row r="108" spans="2:19">
      <c r="B108" s="759" t="s">
        <v>1286</v>
      </c>
      <c r="C108" s="737">
        <v>0</v>
      </c>
      <c r="D108" s="737">
        <v>0</v>
      </c>
      <c r="E108" s="737">
        <f>J107</f>
        <v>0</v>
      </c>
      <c r="F108" s="737"/>
      <c r="G108" s="744"/>
      <c r="I108" s="694" t="s">
        <v>51</v>
      </c>
      <c r="J108" s="694">
        <v>2662258.7599999998</v>
      </c>
      <c r="S108" s="708"/>
    </row>
    <row r="109" spans="2:19">
      <c r="B109" s="760" t="s">
        <v>51</v>
      </c>
      <c r="C109" s="761">
        <f>SUM(C104:C108)</f>
        <v>16201.600000000035</v>
      </c>
      <c r="D109" s="761">
        <f>SUM(D104:D108)</f>
        <v>3072116.1400000006</v>
      </c>
      <c r="E109" s="761">
        <f>SUM(E104:E108)</f>
        <v>2662259</v>
      </c>
      <c r="F109" s="761">
        <f>SUM(F104:F108)</f>
        <v>4706908.1599999992</v>
      </c>
      <c r="G109" s="744"/>
      <c r="I109" s="694" t="s">
        <v>1297</v>
      </c>
      <c r="S109" s="708"/>
    </row>
    <row r="110" spans="2:19">
      <c r="B110" s="703" t="s">
        <v>1297</v>
      </c>
      <c r="C110" s="737"/>
      <c r="D110" s="737"/>
      <c r="E110" s="737"/>
      <c r="F110" s="737"/>
      <c r="G110" s="744"/>
      <c r="I110" s="694" t="s">
        <v>1294</v>
      </c>
      <c r="S110" s="708"/>
    </row>
    <row r="111" spans="2:19">
      <c r="B111" s="758" t="s">
        <v>1294</v>
      </c>
      <c r="C111" s="737">
        <f>C93</f>
        <v>16201.600000000035</v>
      </c>
      <c r="D111" s="737">
        <v>0</v>
      </c>
      <c r="E111" s="737">
        <v>0</v>
      </c>
      <c r="F111" s="737">
        <v>0</v>
      </c>
      <c r="G111" s="744"/>
      <c r="I111" s="694" t="s">
        <v>1295</v>
      </c>
      <c r="S111" s="708"/>
    </row>
    <row r="112" spans="2:19">
      <c r="B112" s="758" t="s">
        <v>1295</v>
      </c>
      <c r="C112" s="737">
        <v>0</v>
      </c>
      <c r="D112" s="737">
        <v>0</v>
      </c>
      <c r="E112" s="737">
        <v>0</v>
      </c>
      <c r="F112" s="737">
        <v>0</v>
      </c>
      <c r="G112" s="744"/>
      <c r="I112" s="694" t="s">
        <v>1285</v>
      </c>
      <c r="S112" s="708"/>
    </row>
    <row r="113" spans="2:19">
      <c r="B113" s="758" t="s">
        <v>1285</v>
      </c>
      <c r="C113" s="737">
        <v>0</v>
      </c>
      <c r="D113" s="737">
        <v>0</v>
      </c>
      <c r="E113" s="737">
        <v>0</v>
      </c>
      <c r="F113" s="737">
        <v>0</v>
      </c>
      <c r="G113" s="744"/>
      <c r="I113" s="694" t="s">
        <v>1296</v>
      </c>
      <c r="J113" s="694">
        <v>46444</v>
      </c>
      <c r="S113" s="708"/>
    </row>
    <row r="114" spans="2:19">
      <c r="B114" s="759" t="s">
        <v>1296</v>
      </c>
      <c r="C114" s="737">
        <v>0</v>
      </c>
      <c r="D114" s="737">
        <v>0</v>
      </c>
      <c r="E114" s="737">
        <f>ROUND(J113,)</f>
        <v>46444</v>
      </c>
      <c r="F114" s="737">
        <v>0</v>
      </c>
      <c r="G114" s="744"/>
      <c r="I114" s="694" t="s">
        <v>1286</v>
      </c>
      <c r="S114" s="708"/>
    </row>
    <row r="115" spans="2:19">
      <c r="B115" s="759" t="s">
        <v>1286</v>
      </c>
      <c r="C115" s="737">
        <v>0</v>
      </c>
      <c r="D115" s="737">
        <v>0</v>
      </c>
      <c r="E115" s="737">
        <v>0</v>
      </c>
      <c r="F115" s="737">
        <v>0</v>
      </c>
      <c r="G115" s="744"/>
      <c r="I115" s="694" t="s">
        <v>51</v>
      </c>
      <c r="J115" s="694">
        <v>46444</v>
      </c>
      <c r="S115" s="708"/>
    </row>
    <row r="116" spans="2:19">
      <c r="B116" s="760" t="s">
        <v>51</v>
      </c>
      <c r="C116" s="761">
        <f>SUM(C111:C115)</f>
        <v>16201.600000000035</v>
      </c>
      <c r="D116" s="761">
        <f>SUM(D111:D115)</f>
        <v>0</v>
      </c>
      <c r="E116" s="761">
        <f>SUM(E111:E115)</f>
        <v>46444</v>
      </c>
      <c r="F116" s="761">
        <f>SUM(F111:F115)</f>
        <v>0</v>
      </c>
      <c r="G116" s="744"/>
      <c r="S116" s="708"/>
    </row>
    <row r="117" spans="2:19">
      <c r="B117" s="703" t="s">
        <v>1298</v>
      </c>
      <c r="C117" s="737"/>
      <c r="D117" s="737"/>
      <c r="E117" s="737"/>
      <c r="F117" s="737"/>
      <c r="G117" s="744"/>
      <c r="J117" s="694">
        <v>2708702.76</v>
      </c>
      <c r="S117" s="708"/>
    </row>
    <row r="118" spans="2:19">
      <c r="B118" s="758" t="s">
        <v>1294</v>
      </c>
      <c r="C118" s="737">
        <v>0</v>
      </c>
      <c r="D118" s="737">
        <v>0</v>
      </c>
      <c r="E118" s="737">
        <v>0</v>
      </c>
      <c r="F118" s="737">
        <v>0</v>
      </c>
      <c r="G118" s="744"/>
      <c r="S118" s="708"/>
    </row>
    <row r="119" spans="2:19">
      <c r="B119" s="758" t="s">
        <v>1295</v>
      </c>
      <c r="C119" s="737">
        <v>0</v>
      </c>
      <c r="D119" s="737">
        <v>0</v>
      </c>
      <c r="E119" s="737">
        <v>0</v>
      </c>
      <c r="F119" s="737">
        <v>0</v>
      </c>
      <c r="G119" s="744"/>
      <c r="J119" s="694">
        <f>'BS Grouping'!AL166</f>
        <v>2708703.6500000004</v>
      </c>
      <c r="S119" s="708"/>
    </row>
    <row r="120" spans="2:19">
      <c r="B120" s="758" t="s">
        <v>1285</v>
      </c>
      <c r="C120" s="737">
        <v>0</v>
      </c>
      <c r="D120" s="737">
        <v>0</v>
      </c>
      <c r="E120" s="737">
        <v>0</v>
      </c>
      <c r="F120" s="737">
        <v>0</v>
      </c>
      <c r="G120" s="744"/>
      <c r="J120" s="694">
        <f>J117-J119</f>
        <v>-0.89000000059604645</v>
      </c>
      <c r="S120" s="708"/>
    </row>
    <row r="121" spans="2:19">
      <c r="B121" s="759" t="s">
        <v>1296</v>
      </c>
      <c r="C121" s="737">
        <v>0</v>
      </c>
      <c r="D121" s="737">
        <v>0</v>
      </c>
      <c r="E121" s="737">
        <v>0</v>
      </c>
      <c r="F121" s="737">
        <v>0</v>
      </c>
      <c r="G121" s="744"/>
      <c r="S121" s="708"/>
    </row>
    <row r="122" spans="2:19">
      <c r="B122" s="759" t="s">
        <v>1286</v>
      </c>
      <c r="C122" s="737">
        <v>0</v>
      </c>
      <c r="D122" s="737">
        <v>0</v>
      </c>
      <c r="E122" s="737">
        <v>0</v>
      </c>
      <c r="F122" s="737">
        <v>0</v>
      </c>
      <c r="G122" s="744"/>
      <c r="S122" s="708"/>
    </row>
    <row r="123" spans="2:19">
      <c r="B123" s="760" t="s">
        <v>51</v>
      </c>
      <c r="C123" s="761">
        <f>SUM(C118:C122)</f>
        <v>0</v>
      </c>
      <c r="D123" s="761">
        <f>SUM(D118:D122)</f>
        <v>0</v>
      </c>
      <c r="E123" s="761">
        <f>SUM(E118:E122)</f>
        <v>0</v>
      </c>
      <c r="F123" s="761">
        <f>SUM(F118:F122)</f>
        <v>0</v>
      </c>
      <c r="G123" s="744"/>
      <c r="S123" s="708"/>
    </row>
    <row r="124" spans="2:19">
      <c r="B124" s="703" t="s">
        <v>1299</v>
      </c>
      <c r="C124" s="737"/>
      <c r="D124" s="737"/>
      <c r="E124" s="737"/>
      <c r="F124" s="737"/>
      <c r="G124" s="744"/>
      <c r="S124" s="708"/>
    </row>
    <row r="125" spans="2:19">
      <c r="B125" s="758" t="s">
        <v>1294</v>
      </c>
      <c r="C125" s="737">
        <v>0</v>
      </c>
      <c r="D125" s="737">
        <v>0</v>
      </c>
      <c r="E125" s="737">
        <v>0</v>
      </c>
      <c r="F125" s="737">
        <v>0</v>
      </c>
      <c r="G125" s="744"/>
      <c r="S125" s="708"/>
    </row>
    <row r="126" spans="2:19">
      <c r="B126" s="758" t="s">
        <v>1295</v>
      </c>
      <c r="C126" s="737">
        <v>0</v>
      </c>
      <c r="D126" s="737">
        <v>0</v>
      </c>
      <c r="E126" s="737">
        <v>0</v>
      </c>
      <c r="F126" s="737">
        <v>0</v>
      </c>
      <c r="G126" s="744"/>
      <c r="S126" s="708"/>
    </row>
    <row r="127" spans="2:19">
      <c r="B127" s="758" t="s">
        <v>1285</v>
      </c>
      <c r="C127" s="737">
        <v>0</v>
      </c>
      <c r="D127" s="737">
        <v>0</v>
      </c>
      <c r="E127" s="737">
        <v>0</v>
      </c>
      <c r="F127" s="737">
        <v>0</v>
      </c>
      <c r="G127" s="744"/>
      <c r="S127" s="708"/>
    </row>
    <row r="128" spans="2:19">
      <c r="B128" s="759" t="s">
        <v>1296</v>
      </c>
      <c r="C128" s="737">
        <v>0</v>
      </c>
      <c r="D128" s="737">
        <v>0</v>
      </c>
      <c r="E128" s="737">
        <v>0</v>
      </c>
      <c r="F128" s="737">
        <v>0</v>
      </c>
      <c r="G128" s="744"/>
      <c r="S128" s="708"/>
    </row>
    <row r="129" spans="1:19">
      <c r="B129" s="759" t="s">
        <v>1286</v>
      </c>
      <c r="C129" s="737">
        <v>0</v>
      </c>
      <c r="D129" s="737">
        <v>0</v>
      </c>
      <c r="E129" s="737">
        <v>0</v>
      </c>
      <c r="F129" s="737">
        <v>0</v>
      </c>
      <c r="G129" s="744"/>
      <c r="S129" s="708"/>
    </row>
    <row r="130" spans="1:19">
      <c r="B130" s="762" t="s">
        <v>51</v>
      </c>
      <c r="C130" s="761">
        <f>SUM(C125:C129)</f>
        <v>0</v>
      </c>
      <c r="D130" s="761">
        <f>SUM(D125:D129)</f>
        <v>0</v>
      </c>
      <c r="E130" s="761">
        <f>SUM(E125:E129)</f>
        <v>0</v>
      </c>
      <c r="F130" s="761">
        <f>SUM(F125:F129)</f>
        <v>0</v>
      </c>
      <c r="G130" s="744"/>
      <c r="S130" s="708"/>
    </row>
    <row r="131" spans="1:19">
      <c r="B131" s="763" t="s">
        <v>51</v>
      </c>
      <c r="C131" s="761">
        <f>C130+C123+C116+C109</f>
        <v>32403.20000000007</v>
      </c>
      <c r="D131" s="761">
        <f>D130+D123+D116+D109</f>
        <v>3072116.1400000006</v>
      </c>
      <c r="E131" s="761">
        <f>E130+E123+E116+E109</f>
        <v>2708703</v>
      </c>
      <c r="F131" s="761">
        <f>F130+F123+F116+F109</f>
        <v>4706908.1599999992</v>
      </c>
      <c r="G131" s="744"/>
      <c r="S131" s="708"/>
    </row>
    <row r="132" spans="1:19">
      <c r="B132" s="693"/>
      <c r="C132" s="744"/>
      <c r="D132" s="744"/>
      <c r="E132" s="744"/>
      <c r="F132" s="744"/>
      <c r="G132" s="744"/>
      <c r="S132" s="708"/>
    </row>
    <row r="133" spans="1:19" ht="15" thickBot="1">
      <c r="A133" s="693">
        <f>+A90+1</f>
        <v>12</v>
      </c>
      <c r="B133" s="693" t="s">
        <v>144</v>
      </c>
      <c r="G133" s="731"/>
    </row>
    <row r="134" spans="1:19" ht="28.8">
      <c r="B134" s="732" t="s">
        <v>0</v>
      </c>
      <c r="C134" s="733" t="str">
        <f>+C91</f>
        <v xml:space="preserve"> As at  31st March, 2024</v>
      </c>
      <c r="D134" s="733" t="str">
        <f>+D91</f>
        <v xml:space="preserve"> As at  30th September, 2023</v>
      </c>
      <c r="E134" s="733" t="str">
        <f>+E91</f>
        <v xml:space="preserve"> As at  31st March, 2023</v>
      </c>
      <c r="F134" s="733" t="str">
        <f>+F91</f>
        <v xml:space="preserve"> As at  31st March, 2022</v>
      </c>
      <c r="G134" s="700"/>
    </row>
    <row r="135" spans="1:19">
      <c r="B135" s="702" t="s">
        <v>61</v>
      </c>
      <c r="C135" s="736"/>
      <c r="D135" s="736"/>
      <c r="E135" s="736"/>
      <c r="F135" s="736"/>
      <c r="G135" s="661"/>
    </row>
    <row r="136" spans="1:19">
      <c r="B136" s="703" t="s">
        <v>62</v>
      </c>
      <c r="C136" s="736"/>
      <c r="D136" s="736"/>
      <c r="E136" s="736"/>
      <c r="F136" s="736"/>
      <c r="G136" s="661"/>
    </row>
    <row r="137" spans="1:19">
      <c r="B137" s="703" t="s">
        <v>63</v>
      </c>
      <c r="C137" s="737">
        <f>ROUND('BS Grouping'!K173,0)+ROUND('BS Grouping'!K50,)</f>
        <v>328208</v>
      </c>
      <c r="D137" s="737">
        <f>ROUND('BS Grouping'!AC173,0)+'BS Grouping'!AC50*-1</f>
        <v>2784126</v>
      </c>
      <c r="E137" s="737">
        <f>ROUND('BS Grouping'!AL173,0)</f>
        <v>31401</v>
      </c>
      <c r="F137" s="737">
        <f>ROUND('BS Grouping'!AU173,0)</f>
        <v>41091901</v>
      </c>
      <c r="G137" s="661"/>
      <c r="H137" s="694" t="s">
        <v>449</v>
      </c>
    </row>
    <row r="138" spans="1:19">
      <c r="B138" s="703" t="s">
        <v>64</v>
      </c>
      <c r="C138" s="737">
        <f>ROUND('BS Grouping'!K177,0)</f>
        <v>143666</v>
      </c>
      <c r="D138" s="737">
        <f>ROUND('BS Grouping'!AC177,0)</f>
        <v>9085</v>
      </c>
      <c r="E138" s="737">
        <f>ROUND('BS Grouping'!AL177,0)</f>
        <v>11768</v>
      </c>
      <c r="F138" s="737">
        <f>ROUND('BS Grouping'!AU177,0)</f>
        <v>10191</v>
      </c>
      <c r="G138" s="661"/>
    </row>
    <row r="139" spans="1:19">
      <c r="B139" s="703"/>
      <c r="C139" s="739">
        <f>SUM(C137:C138)+10</f>
        <v>471884</v>
      </c>
      <c r="D139" s="739">
        <f>SUM(D137:D138)+10</f>
        <v>2793221</v>
      </c>
      <c r="E139" s="739">
        <f>SUM(E137:E138)</f>
        <v>43169</v>
      </c>
      <c r="F139" s="739">
        <f>SUM(F137:F138)</f>
        <v>41102092</v>
      </c>
      <c r="G139" s="764"/>
    </row>
    <row r="140" spans="1:19" hidden="1">
      <c r="B140" s="702" t="s">
        <v>65</v>
      </c>
      <c r="C140" s="737"/>
      <c r="D140" s="737"/>
      <c r="E140" s="737"/>
      <c r="F140" s="737"/>
      <c r="G140" s="661"/>
    </row>
    <row r="141" spans="1:19" ht="30.6" hidden="1" customHeight="1">
      <c r="B141" s="765" t="s">
        <v>220</v>
      </c>
      <c r="C141" s="737">
        <f>ROUND('BS Grouping'!K181,0)</f>
        <v>0</v>
      </c>
      <c r="D141" s="737">
        <f>ROUND('BS Grouping'!AC181,0)</f>
        <v>0</v>
      </c>
      <c r="E141" s="737">
        <f>ROUND('BS Grouping'!AL181,0)</f>
        <v>0</v>
      </c>
      <c r="F141" s="737">
        <f>ROUND('BS Grouping'!AU181,0)</f>
        <v>0</v>
      </c>
      <c r="G141" s="661"/>
    </row>
    <row r="142" spans="1:19" hidden="1">
      <c r="B142" s="703"/>
      <c r="C142" s="739">
        <f>SUM(C141)</f>
        <v>0</v>
      </c>
      <c r="D142" s="739">
        <f>SUM(D141)</f>
        <v>0</v>
      </c>
      <c r="E142" s="739">
        <f>SUM(E141)</f>
        <v>0</v>
      </c>
      <c r="F142" s="739">
        <f>SUM(F141)</f>
        <v>0</v>
      </c>
      <c r="G142" s="764"/>
    </row>
    <row r="143" spans="1:19">
      <c r="B143" s="706"/>
      <c r="C143" s="664"/>
      <c r="D143" s="664"/>
      <c r="E143" s="664"/>
      <c r="F143" s="737"/>
      <c r="G143" s="661"/>
    </row>
    <row r="144" spans="1:19" ht="15" thickBot="1">
      <c r="B144" s="741" t="s">
        <v>51</v>
      </c>
      <c r="C144" s="742">
        <f>+C139+C142</f>
        <v>471884</v>
      </c>
      <c r="D144" s="742">
        <f>+D139+D142</f>
        <v>2793221</v>
      </c>
      <c r="E144" s="742">
        <f>+E139+E142</f>
        <v>43169</v>
      </c>
      <c r="F144" s="742">
        <f>+F139+F142</f>
        <v>41102092</v>
      </c>
      <c r="G144" s="743"/>
    </row>
    <row r="145" spans="1:9" ht="15" thickTop="1"/>
    <row r="146" spans="1:9" ht="15" thickBot="1">
      <c r="A146" s="693">
        <f>+A133+1</f>
        <v>13</v>
      </c>
      <c r="B146" s="693" t="s">
        <v>353</v>
      </c>
      <c r="G146" s="731"/>
    </row>
    <row r="147" spans="1:9" ht="28.8">
      <c r="B147" s="732" t="s">
        <v>0</v>
      </c>
      <c r="C147" s="733" t="str">
        <f>+C134</f>
        <v xml:space="preserve"> As at  31st March, 2024</v>
      </c>
      <c r="D147" s="733" t="str">
        <f>+D134</f>
        <v xml:space="preserve"> As at  30th September, 2023</v>
      </c>
      <c r="E147" s="733" t="str">
        <f>+E134</f>
        <v xml:space="preserve"> As at  31st March, 2023</v>
      </c>
      <c r="F147" s="733" t="str">
        <f>+F134</f>
        <v xml:space="preserve"> As at  31st March, 2022</v>
      </c>
      <c r="G147" s="700"/>
    </row>
    <row r="148" spans="1:9">
      <c r="B148" s="754"/>
      <c r="C148" s="661"/>
      <c r="D148" s="661"/>
      <c r="E148" s="661"/>
      <c r="F148" s="736"/>
      <c r="G148" s="661"/>
    </row>
    <row r="149" spans="1:9">
      <c r="B149" s="703" t="s">
        <v>120</v>
      </c>
      <c r="C149" s="737">
        <f>ROUND('BS Grouping'!K185,0)</f>
        <v>0</v>
      </c>
      <c r="D149" s="737">
        <f>ROUND('BS Grouping'!AC185,0)</f>
        <v>3679</v>
      </c>
      <c r="E149" s="737">
        <f>ROUND('BS Grouping'!AL185,0)</f>
        <v>3679</v>
      </c>
      <c r="F149" s="737">
        <f>ROUND('BS Grouping'!AU185,0)</f>
        <v>3710</v>
      </c>
      <c r="G149" s="661"/>
      <c r="H149" s="694" t="s">
        <v>449</v>
      </c>
    </row>
    <row r="150" spans="1:9" hidden="1">
      <c r="B150" s="703" t="s">
        <v>222</v>
      </c>
      <c r="C150" s="737">
        <f>ROUND('BS Grouping'!AB189,0)</f>
        <v>0</v>
      </c>
      <c r="D150" s="737">
        <f>ROUND('BS Grouping'!AC189,0)</f>
        <v>0</v>
      </c>
      <c r="E150" s="737">
        <f>ROUND('BS Grouping'!AL189,0)</f>
        <v>0</v>
      </c>
      <c r="F150" s="737">
        <f>ROUND('BS Grouping'!AU189,0)</f>
        <v>90000</v>
      </c>
      <c r="G150" s="661"/>
      <c r="H150" s="694" t="s">
        <v>449</v>
      </c>
      <c r="I150" s="694" t="s">
        <v>223</v>
      </c>
    </row>
    <row r="151" spans="1:9">
      <c r="B151" s="706" t="s">
        <v>330</v>
      </c>
      <c r="C151" s="737">
        <f>'BS Grouping'!K189</f>
        <v>25019</v>
      </c>
      <c r="D151" s="737">
        <f>82730*0-37114*0</f>
        <v>0</v>
      </c>
      <c r="E151" s="737">
        <f>82730*0-37114*0</f>
        <v>0</v>
      </c>
      <c r="F151" s="737">
        <v>0</v>
      </c>
      <c r="G151" s="661"/>
      <c r="H151" s="694" t="s">
        <v>449</v>
      </c>
    </row>
    <row r="152" spans="1:9">
      <c r="B152" s="706"/>
      <c r="C152" s="664"/>
      <c r="D152" s="664"/>
      <c r="E152" s="664"/>
      <c r="F152" s="737"/>
      <c r="G152" s="661"/>
    </row>
    <row r="153" spans="1:9" ht="15" thickBot="1">
      <c r="B153" s="741" t="s">
        <v>51</v>
      </c>
      <c r="C153" s="742">
        <f>SUM(C149:C151)</f>
        <v>25019</v>
      </c>
      <c r="D153" s="742">
        <f>SUM(D149:D151)</f>
        <v>3679</v>
      </c>
      <c r="E153" s="742">
        <f>SUM(E149:E151)</f>
        <v>3679</v>
      </c>
      <c r="F153" s="742">
        <f>SUM(F149:F151)</f>
        <v>93710</v>
      </c>
      <c r="G153" s="743"/>
    </row>
    <row r="154" spans="1:9" ht="15" thickTop="1">
      <c r="C154" s="766"/>
      <c r="D154" s="766"/>
      <c r="E154" s="766"/>
      <c r="F154" s="766"/>
    </row>
    <row r="155" spans="1:9" ht="15" thickBot="1">
      <c r="A155" s="693">
        <f>+A146+1</f>
        <v>14</v>
      </c>
      <c r="B155" s="693" t="s">
        <v>354</v>
      </c>
      <c r="G155" s="731"/>
    </row>
    <row r="156" spans="1:9" ht="28.8">
      <c r="B156" s="732" t="s">
        <v>0</v>
      </c>
      <c r="C156" s="733" t="str">
        <f>+C147</f>
        <v xml:space="preserve"> As at  31st March, 2024</v>
      </c>
      <c r="D156" s="733" t="str">
        <f>+D147</f>
        <v xml:space="preserve"> As at  30th September, 2023</v>
      </c>
      <c r="E156" s="733" t="str">
        <f>+E147</f>
        <v xml:space="preserve"> As at  31st March, 2023</v>
      </c>
      <c r="F156" s="733" t="str">
        <f>+F147</f>
        <v xml:space="preserve"> As at  31st March, 2022</v>
      </c>
      <c r="G156" s="700"/>
    </row>
    <row r="157" spans="1:9">
      <c r="B157" s="754"/>
      <c r="C157" s="661"/>
      <c r="D157" s="661"/>
      <c r="E157" s="661"/>
      <c r="F157" s="736"/>
      <c r="G157" s="661"/>
    </row>
    <row r="158" spans="1:9">
      <c r="B158" s="703" t="s">
        <v>224</v>
      </c>
      <c r="C158" s="737">
        <f>ROUND('BS Grouping'!K193,0)</f>
        <v>0</v>
      </c>
      <c r="D158" s="737">
        <f>ROUND('BS Grouping'!AC193,0)</f>
        <v>0</v>
      </c>
      <c r="E158" s="737">
        <f>ROUND('BS Grouping'!AL193,0)-10</f>
        <v>904223</v>
      </c>
      <c r="F158" s="737">
        <f>ROUND('BS Grouping'!AU193,0)</f>
        <v>896597</v>
      </c>
      <c r="G158" s="661"/>
      <c r="H158" s="694" t="s">
        <v>449</v>
      </c>
    </row>
    <row r="159" spans="1:9">
      <c r="B159" s="703" t="s">
        <v>1472</v>
      </c>
      <c r="C159" s="737">
        <f>ROUND('BS Grouping'!K200-C160,0)</f>
        <v>19057717</v>
      </c>
      <c r="D159" s="737">
        <f>ROUND('BS Grouping'!AC200-D160,0)</f>
        <v>21374051</v>
      </c>
      <c r="E159" s="737">
        <f>ROUND('BS Grouping'!AL200-E160,0)</f>
        <v>23196062</v>
      </c>
      <c r="F159" s="737">
        <f>ROUND('BS Grouping'!AU200-F160,0)</f>
        <v>17466978</v>
      </c>
      <c r="G159" s="661"/>
      <c r="H159" s="694" t="s">
        <v>449</v>
      </c>
    </row>
    <row r="160" spans="1:9">
      <c r="B160" s="703" t="s">
        <v>221</v>
      </c>
      <c r="C160" s="737">
        <f>ROUND('BS Grouping'!K199,0)</f>
        <v>5250</v>
      </c>
      <c r="D160" s="737">
        <f>ROUND('BS Grouping'!AC199,0)</f>
        <v>1581093</v>
      </c>
      <c r="E160" s="737">
        <f>ROUND('BS Grouping'!AL199,0)</f>
        <v>822539</v>
      </c>
      <c r="F160" s="737">
        <f>ROUND('BS Grouping'!AU199,0)</f>
        <v>274205</v>
      </c>
      <c r="G160" s="736"/>
    </row>
    <row r="161" spans="1:21">
      <c r="B161" s="706" t="s">
        <v>339</v>
      </c>
      <c r="C161" s="737">
        <f>ROUND('BS Grouping'!K204,0)</f>
        <v>0</v>
      </c>
      <c r="D161" s="737">
        <f>ROUND('BS Grouping'!AC204,0)</f>
        <v>0</v>
      </c>
      <c r="E161" s="737">
        <f>ROUND('BS Grouping'!AL204,0)</f>
        <v>14557</v>
      </c>
      <c r="F161" s="737">
        <f>ROUND('BS Grouping'!AU204,0)</f>
        <v>14412</v>
      </c>
      <c r="G161" s="736"/>
      <c r="H161" s="694" t="s">
        <v>450</v>
      </c>
      <c r="U161" s="694">
        <f>+T159+S159</f>
        <v>0</v>
      </c>
    </row>
    <row r="162" spans="1:21" ht="15" thickBot="1">
      <c r="B162" s="741" t="s">
        <v>51</v>
      </c>
      <c r="C162" s="742">
        <f>SUM(C158:C161)</f>
        <v>19062967</v>
      </c>
      <c r="D162" s="742">
        <f>SUM(D158:D161)</f>
        <v>22955144</v>
      </c>
      <c r="E162" s="742">
        <f>SUM(E158:E161)</f>
        <v>24937381</v>
      </c>
      <c r="F162" s="742">
        <f>SUM(F158:F161)</f>
        <v>18652192</v>
      </c>
      <c r="G162" s="743"/>
    </row>
    <row r="163" spans="1:21" ht="15" thickTop="1"/>
    <row r="164" spans="1:21">
      <c r="A164" s="693">
        <f>+A155+1</f>
        <v>15</v>
      </c>
      <c r="B164" s="719" t="s">
        <v>336</v>
      </c>
      <c r="C164" s="720"/>
      <c r="D164" s="720"/>
      <c r="E164" s="720"/>
      <c r="F164" s="720"/>
      <c r="G164" s="720"/>
    </row>
    <row r="165" spans="1:21">
      <c r="B165" s="719" t="s">
        <v>66</v>
      </c>
      <c r="C165" s="720"/>
      <c r="D165" s="720"/>
      <c r="E165" s="720"/>
      <c r="F165" s="720"/>
      <c r="G165" s="720"/>
    </row>
    <row r="166" spans="1:21" ht="43.2">
      <c r="B166" s="767" t="s">
        <v>0</v>
      </c>
      <c r="C166" s="768" t="s">
        <v>67</v>
      </c>
      <c r="D166" s="768" t="s">
        <v>67</v>
      </c>
      <c r="E166" s="768" t="s">
        <v>67</v>
      </c>
      <c r="F166" s="768" t="s">
        <v>1660</v>
      </c>
      <c r="G166" s="768"/>
    </row>
    <row r="167" spans="1:21">
      <c r="B167" s="769" t="s">
        <v>226</v>
      </c>
      <c r="C167" s="770"/>
      <c r="D167" s="770"/>
      <c r="E167" s="770"/>
      <c r="F167" s="770"/>
      <c r="G167" s="770"/>
    </row>
    <row r="168" spans="1:21">
      <c r="B168" s="771" t="s">
        <v>1526</v>
      </c>
      <c r="C168" s="772">
        <f>C174</f>
        <v>6500000</v>
      </c>
      <c r="D168" s="772">
        <f>D174</f>
        <v>6500000</v>
      </c>
      <c r="E168" s="772">
        <f>E174</f>
        <v>6500000</v>
      </c>
      <c r="F168" s="772" t="e">
        <f>+#REF!</f>
        <v>#REF!</v>
      </c>
      <c r="G168" s="773"/>
      <c r="H168" s="694" t="s">
        <v>451</v>
      </c>
    </row>
    <row r="169" spans="1:21">
      <c r="B169" s="771" t="s">
        <v>68</v>
      </c>
      <c r="C169" s="773">
        <v>0</v>
      </c>
      <c r="D169" s="773">
        <v>0</v>
      </c>
      <c r="E169" s="773">
        <v>0</v>
      </c>
      <c r="F169" s="773">
        <f>E169*10</f>
        <v>0</v>
      </c>
      <c r="G169" s="773"/>
    </row>
    <row r="170" spans="1:21" ht="15" thickBot="1">
      <c r="B170" s="774" t="s">
        <v>1560</v>
      </c>
      <c r="C170" s="729">
        <f>SUM(C167:C169)</f>
        <v>6500000</v>
      </c>
      <c r="D170" s="729">
        <f>SUM(D167:D169)</f>
        <v>6500000</v>
      </c>
      <c r="E170" s="729">
        <f>SUM(E167:E169)</f>
        <v>6500000</v>
      </c>
      <c r="F170" s="729" t="e">
        <f>SUM(F167:F169)</f>
        <v>#REF!</v>
      </c>
      <c r="G170" s="668"/>
    </row>
    <row r="171" spans="1:21" ht="15" thickTop="1">
      <c r="B171" s="774"/>
      <c r="C171" s="775"/>
      <c r="D171" s="775"/>
      <c r="E171" s="775"/>
      <c r="F171" s="775"/>
      <c r="G171" s="776"/>
    </row>
    <row r="172" spans="1:21" ht="43.2">
      <c r="B172" s="767" t="s">
        <v>0</v>
      </c>
      <c r="C172" s="768" t="s">
        <v>67</v>
      </c>
      <c r="D172" s="768" t="s">
        <v>67</v>
      </c>
      <c r="E172" s="768" t="s">
        <v>67</v>
      </c>
      <c r="F172" s="768" t="s">
        <v>1660</v>
      </c>
      <c r="G172" s="768"/>
    </row>
    <row r="173" spans="1:21">
      <c r="B173" s="769" t="s">
        <v>226</v>
      </c>
      <c r="C173" s="770"/>
      <c r="D173" s="770"/>
      <c r="E173" s="770"/>
      <c r="F173" s="770"/>
      <c r="G173" s="770"/>
    </row>
    <row r="174" spans="1:21">
      <c r="B174" s="771" t="s">
        <v>1352</v>
      </c>
      <c r="C174" s="772">
        <f>+C181</f>
        <v>6500000</v>
      </c>
      <c r="D174" s="772">
        <f>+D181</f>
        <v>6500000</v>
      </c>
      <c r="E174" s="772">
        <f>+E181</f>
        <v>6500000</v>
      </c>
      <c r="F174" s="772">
        <f>+F181</f>
        <v>65000000</v>
      </c>
      <c r="G174" s="773"/>
      <c r="H174" s="694" t="s">
        <v>451</v>
      </c>
    </row>
    <row r="175" spans="1:21">
      <c r="B175" s="771" t="s">
        <v>68</v>
      </c>
      <c r="C175" s="773">
        <v>0</v>
      </c>
      <c r="D175" s="773">
        <v>0</v>
      </c>
      <c r="E175" s="773">
        <v>0</v>
      </c>
      <c r="F175" s="773">
        <f>E175*10</f>
        <v>0</v>
      </c>
      <c r="G175" s="773"/>
    </row>
    <row r="176" spans="1:21" ht="15" thickBot="1">
      <c r="B176" s="774" t="s">
        <v>1353</v>
      </c>
      <c r="C176" s="729">
        <f>SUM(C173:C175)</f>
        <v>6500000</v>
      </c>
      <c r="D176" s="729">
        <f>SUM(D173:D175)</f>
        <v>6500000</v>
      </c>
      <c r="E176" s="729">
        <f>SUM(E173:E175)</f>
        <v>6500000</v>
      </c>
      <c r="F176" s="729">
        <f>SUM(F173:F175)</f>
        <v>65000000</v>
      </c>
      <c r="G176" s="668"/>
    </row>
    <row r="177" spans="2:8" ht="43.2" hidden="1">
      <c r="B177" s="767" t="s">
        <v>0</v>
      </c>
      <c r="C177" s="768" t="s">
        <v>67</v>
      </c>
      <c r="D177" s="768" t="s">
        <v>67</v>
      </c>
      <c r="E177" s="768" t="s">
        <v>67</v>
      </c>
      <c r="F177" s="768" t="s">
        <v>1660</v>
      </c>
      <c r="G177" s="768"/>
    </row>
    <row r="178" spans="2:8" hidden="1">
      <c r="B178" s="769" t="s">
        <v>226</v>
      </c>
      <c r="C178" s="770"/>
      <c r="D178" s="770"/>
      <c r="E178" s="770"/>
      <c r="F178" s="770"/>
      <c r="G178" s="770"/>
    </row>
    <row r="179" spans="2:8" hidden="1">
      <c r="B179" s="771" t="s">
        <v>1114</v>
      </c>
      <c r="C179" s="772">
        <v>5000000</v>
      </c>
      <c r="D179" s="772">
        <v>5000000</v>
      </c>
      <c r="E179" s="772">
        <v>5000000</v>
      </c>
      <c r="F179" s="772">
        <v>50000000</v>
      </c>
      <c r="G179" s="773"/>
      <c r="H179" s="694" t="s">
        <v>451</v>
      </c>
    </row>
    <row r="180" spans="2:8" hidden="1">
      <c r="B180" s="771" t="s">
        <v>68</v>
      </c>
      <c r="C180" s="772">
        <v>1500000</v>
      </c>
      <c r="D180" s="772">
        <v>1500000</v>
      </c>
      <c r="E180" s="772">
        <v>1500000</v>
      </c>
      <c r="F180" s="772">
        <f>E180*10</f>
        <v>15000000</v>
      </c>
      <c r="G180" s="773"/>
      <c r="H180" s="694" t="s">
        <v>451</v>
      </c>
    </row>
    <row r="181" spans="2:8" ht="15" hidden="1" thickBot="1">
      <c r="B181" s="774" t="s">
        <v>1115</v>
      </c>
      <c r="C181" s="729">
        <f>SUM(C178:C180)</f>
        <v>6500000</v>
      </c>
      <c r="D181" s="729">
        <f>SUM(D178:D180)</f>
        <v>6500000</v>
      </c>
      <c r="E181" s="729">
        <f>SUM(E178:E180)</f>
        <v>6500000</v>
      </c>
      <c r="F181" s="729">
        <f>SUM(F178:F180)</f>
        <v>65000000</v>
      </c>
      <c r="G181" s="668"/>
    </row>
    <row r="182" spans="2:8" ht="9.75" customHeight="1" thickTop="1"/>
    <row r="183" spans="2:8">
      <c r="B183" s="777" t="s">
        <v>325</v>
      </c>
      <c r="C183" s="778"/>
      <c r="D183" s="778"/>
      <c r="E183" s="778"/>
      <c r="F183" s="778"/>
      <c r="G183" s="778"/>
    </row>
    <row r="184" spans="2:8" ht="43.2">
      <c r="B184" s="767" t="s">
        <v>0</v>
      </c>
      <c r="C184" s="768" t="s">
        <v>67</v>
      </c>
      <c r="D184" s="768" t="s">
        <v>67</v>
      </c>
      <c r="E184" s="768" t="s">
        <v>1660</v>
      </c>
      <c r="F184" s="768" t="s">
        <v>1660</v>
      </c>
      <c r="G184" s="768"/>
    </row>
    <row r="185" spans="2:8">
      <c r="B185" s="769" t="s">
        <v>226</v>
      </c>
      <c r="C185" s="770"/>
      <c r="D185" s="770"/>
      <c r="E185" s="770"/>
      <c r="F185" s="770"/>
      <c r="G185" s="770"/>
    </row>
    <row r="186" spans="2:8">
      <c r="B186" s="771" t="s">
        <v>1526</v>
      </c>
      <c r="C186" s="772">
        <f>C193</f>
        <v>5994514</v>
      </c>
      <c r="D186" s="772">
        <f>D193</f>
        <v>5994514</v>
      </c>
      <c r="E186" s="772">
        <f>E193</f>
        <v>59945140</v>
      </c>
      <c r="F186" s="772">
        <f>+F194</f>
        <v>0</v>
      </c>
      <c r="G186" s="773"/>
      <c r="H186" s="694" t="s">
        <v>451</v>
      </c>
    </row>
    <row r="187" spans="2:8">
      <c r="B187" s="771" t="s">
        <v>68</v>
      </c>
      <c r="C187" s="772">
        <f>SOCE!D11</f>
        <v>25125</v>
      </c>
      <c r="D187" s="772">
        <f>SUM(SOCE!D10:D13)</f>
        <v>25125</v>
      </c>
      <c r="E187" s="772">
        <f>SOCE!E11</f>
        <v>251250</v>
      </c>
      <c r="F187" s="772">
        <f>+E187*10</f>
        <v>2512500</v>
      </c>
      <c r="G187" s="773"/>
    </row>
    <row r="188" spans="2:8" ht="15" thickBot="1">
      <c r="B188" s="774" t="str">
        <f>+B170</f>
        <v>As at 31st March 2024</v>
      </c>
      <c r="C188" s="729">
        <f>SUM(C185:C187)</f>
        <v>6019639</v>
      </c>
      <c r="D188" s="729">
        <f>SUM(D185:D187)</f>
        <v>6019639</v>
      </c>
      <c r="E188" s="729">
        <f>SUM(E185:E187)</f>
        <v>60196390</v>
      </c>
      <c r="F188" s="729">
        <f>SUM(F185:F187)</f>
        <v>2512500</v>
      </c>
      <c r="G188" s="668"/>
    </row>
    <row r="189" spans="2:8" ht="43.8" thickTop="1">
      <c r="B189" s="767" t="s">
        <v>0</v>
      </c>
      <c r="C189" s="768" t="s">
        <v>67</v>
      </c>
      <c r="D189" s="768" t="s">
        <v>67</v>
      </c>
      <c r="E189" s="768" t="s">
        <v>1660</v>
      </c>
      <c r="F189" s="768" t="s">
        <v>1660</v>
      </c>
      <c r="G189" s="768"/>
    </row>
    <row r="190" spans="2:8">
      <c r="B190" s="769" t="s">
        <v>226</v>
      </c>
      <c r="C190" s="770"/>
      <c r="D190" s="770"/>
      <c r="E190" s="770"/>
      <c r="F190" s="770"/>
      <c r="G190" s="770"/>
    </row>
    <row r="191" spans="2:8">
      <c r="B191" s="771" t="s">
        <v>1352</v>
      </c>
      <c r="C191" s="772">
        <f>SOCE!F9</f>
        <v>5944263</v>
      </c>
      <c r="D191" s="772">
        <f>SOCE!F9</f>
        <v>5944263</v>
      </c>
      <c r="E191" s="772">
        <f>SOCE!G9</f>
        <v>59442630</v>
      </c>
      <c r="F191" s="772">
        <f>+F199</f>
        <v>59442630</v>
      </c>
      <c r="G191" s="773"/>
      <c r="H191" s="694" t="s">
        <v>451</v>
      </c>
    </row>
    <row r="192" spans="2:8">
      <c r="B192" s="771" t="s">
        <v>68</v>
      </c>
      <c r="C192" s="772">
        <f>SOCE!F11</f>
        <v>50251</v>
      </c>
      <c r="D192" s="772">
        <f>SUM(SOCE!F10:F13)</f>
        <v>50251</v>
      </c>
      <c r="E192" s="772">
        <f>SUM(SOCE!G10:G13)</f>
        <v>502510</v>
      </c>
      <c r="F192" s="772">
        <f>+E192*10</f>
        <v>5025100</v>
      </c>
      <c r="G192" s="773"/>
    </row>
    <row r="193" spans="2:9" ht="15" thickBot="1">
      <c r="B193" s="774" t="s">
        <v>1353</v>
      </c>
      <c r="C193" s="729">
        <f>SUM(C190:C192)</f>
        <v>5994514</v>
      </c>
      <c r="D193" s="729">
        <f>SUM(D190:D192)</f>
        <v>5994514</v>
      </c>
      <c r="E193" s="729">
        <f>SUM(E190:E192)</f>
        <v>59945140</v>
      </c>
      <c r="F193" s="729">
        <f>SUM(F190:F192)</f>
        <v>64467730</v>
      </c>
      <c r="G193" s="668"/>
    </row>
    <row r="194" spans="2:9" ht="10.5" customHeight="1" thickTop="1"/>
    <row r="195" spans="2:9" ht="43.2" hidden="1">
      <c r="B195" s="767" t="s">
        <v>0</v>
      </c>
      <c r="C195" s="768" t="s">
        <v>67</v>
      </c>
      <c r="D195" s="768" t="s">
        <v>67</v>
      </c>
      <c r="E195" s="768" t="s">
        <v>1660</v>
      </c>
      <c r="F195" s="768" t="s">
        <v>1660</v>
      </c>
      <c r="G195" s="768"/>
    </row>
    <row r="196" spans="2:9" hidden="1">
      <c r="B196" s="769" t="s">
        <v>226</v>
      </c>
      <c r="C196" s="770"/>
      <c r="D196" s="770"/>
      <c r="E196" s="770"/>
      <c r="F196" s="770"/>
      <c r="G196" s="770"/>
    </row>
    <row r="197" spans="2:9" hidden="1">
      <c r="B197" s="771" t="s">
        <v>1114</v>
      </c>
      <c r="C197" s="772">
        <f>SOCE!F9</f>
        <v>5944263</v>
      </c>
      <c r="D197" s="772">
        <f>SOCE!G9</f>
        <v>59442630</v>
      </c>
      <c r="E197" s="772">
        <f>SOCE!H9</f>
        <v>3199329</v>
      </c>
      <c r="F197" s="772">
        <f>E197*10</f>
        <v>31993290</v>
      </c>
      <c r="G197" s="773"/>
      <c r="H197" s="694" t="s">
        <v>451</v>
      </c>
    </row>
    <row r="198" spans="2:9" hidden="1">
      <c r="B198" s="771" t="s">
        <v>68</v>
      </c>
      <c r="C198" s="772">
        <f>SOCE!F10+SOCE!F11+SOCE!F12+SOCE!F13</f>
        <v>50251</v>
      </c>
      <c r="D198" s="772">
        <f>SOCE!G10+SOCE!G11+SOCE!G12+SOCE!G13</f>
        <v>502510</v>
      </c>
      <c r="E198" s="772">
        <f>SOCE!H10+SOCE!H11+SOCE!H12+SOCE!H13</f>
        <v>2744934</v>
      </c>
      <c r="F198" s="772">
        <f>E198*10</f>
        <v>27449340</v>
      </c>
      <c r="G198" s="773"/>
    </row>
    <row r="199" spans="2:9" ht="15" hidden="1" thickBot="1">
      <c r="B199" s="774" t="s">
        <v>1115</v>
      </c>
      <c r="C199" s="729">
        <f>SUM(C196:C198)</f>
        <v>5994514</v>
      </c>
      <c r="D199" s="729">
        <f>SUM(D196:D198)</f>
        <v>59945140</v>
      </c>
      <c r="E199" s="729">
        <f>SUM(E196:E198)</f>
        <v>5944263</v>
      </c>
      <c r="F199" s="729">
        <f>SUM(F196:F198)</f>
        <v>59442630</v>
      </c>
      <c r="G199" s="668"/>
    </row>
    <row r="200" spans="2:9" ht="4.5" customHeight="1"/>
    <row r="201" spans="2:9">
      <c r="B201" s="693" t="s">
        <v>326</v>
      </c>
    </row>
    <row r="202" spans="2:9" ht="7.5" customHeight="1"/>
    <row r="203" spans="2:9" ht="48" customHeight="1">
      <c r="B203" s="767" t="s">
        <v>0</v>
      </c>
      <c r="C203" s="768" t="s">
        <v>67</v>
      </c>
      <c r="D203" s="768" t="s">
        <v>67</v>
      </c>
      <c r="E203" s="768" t="s">
        <v>1660</v>
      </c>
      <c r="F203" s="768" t="s">
        <v>1660</v>
      </c>
      <c r="G203" s="768"/>
    </row>
    <row r="204" spans="2:9">
      <c r="B204" s="769" t="s">
        <v>226</v>
      </c>
      <c r="C204" s="770"/>
      <c r="D204" s="770"/>
      <c r="E204" s="770"/>
      <c r="F204" s="770"/>
      <c r="G204" s="770"/>
    </row>
    <row r="205" spans="2:9">
      <c r="B205" s="771" t="s">
        <v>1526</v>
      </c>
      <c r="C205" s="772">
        <f>C193</f>
        <v>5994514</v>
      </c>
      <c r="D205" s="772">
        <f>+D221</f>
        <v>5994514</v>
      </c>
      <c r="E205" s="772">
        <f>+E221</f>
        <v>59945140</v>
      </c>
      <c r="F205" s="772">
        <f>+F221</f>
        <v>599451400</v>
      </c>
      <c r="G205" s="773"/>
      <c r="H205" s="694" t="s">
        <v>451</v>
      </c>
      <c r="I205" s="694">
        <f>'BS Grouping'!U7</f>
        <v>60196390</v>
      </c>
    </row>
    <row r="206" spans="2:9">
      <c r="B206" s="779" t="s">
        <v>68</v>
      </c>
      <c r="C206" s="772"/>
      <c r="D206" s="772"/>
      <c r="E206" s="772"/>
      <c r="F206" s="772"/>
      <c r="G206" s="773"/>
    </row>
    <row r="207" spans="2:9">
      <c r="B207" s="771" t="s">
        <v>999</v>
      </c>
      <c r="C207" s="772">
        <v>0</v>
      </c>
      <c r="D207" s="772">
        <v>0</v>
      </c>
      <c r="E207" s="772">
        <f>+SOCE!F10</f>
        <v>0</v>
      </c>
      <c r="F207" s="772">
        <f>E207*10</f>
        <v>0</v>
      </c>
      <c r="G207" s="773"/>
    </row>
    <row r="208" spans="2:9">
      <c r="B208" s="771" t="s">
        <v>1199</v>
      </c>
      <c r="C208" s="772">
        <f>SOCE!D11</f>
        <v>25125</v>
      </c>
      <c r="D208" s="772">
        <f>SOCE!D11</f>
        <v>25125</v>
      </c>
      <c r="E208" s="772">
        <f>D208*10</f>
        <v>251250</v>
      </c>
      <c r="F208" s="772">
        <f>E208*10</f>
        <v>2512500</v>
      </c>
      <c r="G208" s="773"/>
    </row>
    <row r="209" spans="2:14" hidden="1">
      <c r="B209" s="771" t="s">
        <v>1000</v>
      </c>
      <c r="C209" s="772">
        <v>0</v>
      </c>
      <c r="D209" s="772">
        <v>0</v>
      </c>
      <c r="E209" s="772">
        <f>+SOCE!F12</f>
        <v>0</v>
      </c>
      <c r="F209" s="772">
        <f>E209*10</f>
        <v>0</v>
      </c>
      <c r="G209" s="773"/>
    </row>
    <row r="210" spans="2:14" hidden="1">
      <c r="B210" s="771" t="s">
        <v>1198</v>
      </c>
      <c r="C210" s="772">
        <v>0</v>
      </c>
      <c r="D210" s="772">
        <v>0</v>
      </c>
      <c r="E210" s="772">
        <f>+SOCE!F13</f>
        <v>0</v>
      </c>
      <c r="F210" s="772">
        <f>E210*10</f>
        <v>0</v>
      </c>
      <c r="G210" s="773"/>
    </row>
    <row r="211" spans="2:14" ht="15" thickBot="1">
      <c r="B211" s="774" t="s">
        <v>1560</v>
      </c>
      <c r="C211" s="729">
        <f>SUM(C205:C210)</f>
        <v>6019639</v>
      </c>
      <c r="D211" s="729">
        <f>SUM(D205:D210)</f>
        <v>6019639</v>
      </c>
      <c r="E211" s="729">
        <f>SUM(E205:E210)</f>
        <v>60196390</v>
      </c>
      <c r="F211" s="729">
        <f>SUM(F205:F210)</f>
        <v>601963900</v>
      </c>
      <c r="G211" s="668"/>
    </row>
    <row r="212" spans="2:14" ht="9" customHeight="1" thickTop="1"/>
    <row r="213" spans="2:14" ht="49.8" customHeight="1">
      <c r="B213" s="767" t="s">
        <v>0</v>
      </c>
      <c r="C213" s="768" t="s">
        <v>67</v>
      </c>
      <c r="D213" s="768" t="s">
        <v>67</v>
      </c>
      <c r="E213" s="768" t="s">
        <v>1660</v>
      </c>
      <c r="F213" s="768" t="s">
        <v>1660</v>
      </c>
      <c r="G213" s="768"/>
    </row>
    <row r="214" spans="2:14">
      <c r="B214" s="769" t="s">
        <v>226</v>
      </c>
      <c r="C214" s="770"/>
      <c r="D214" s="770"/>
      <c r="E214" s="770"/>
      <c r="F214" s="770"/>
      <c r="G214" s="770"/>
    </row>
    <row r="215" spans="2:14">
      <c r="B215" s="771" t="s">
        <v>1352</v>
      </c>
      <c r="C215" s="772">
        <f>SOCE!F9</f>
        <v>5944263</v>
      </c>
      <c r="D215" s="772">
        <f>SOCE!F9</f>
        <v>5944263</v>
      </c>
      <c r="E215" s="772">
        <f>SOCE!G9</f>
        <v>59442630</v>
      </c>
      <c r="F215" s="772">
        <f>+E215*10</f>
        <v>594426300</v>
      </c>
      <c r="G215" s="773"/>
      <c r="H215" s="694" t="s">
        <v>451</v>
      </c>
    </row>
    <row r="216" spans="2:14">
      <c r="B216" s="779" t="s">
        <v>68</v>
      </c>
      <c r="C216" s="772"/>
      <c r="D216" s="772"/>
      <c r="E216" s="772"/>
      <c r="F216" s="772"/>
      <c r="G216" s="773"/>
    </row>
    <row r="217" spans="2:14" hidden="1">
      <c r="B217" s="771" t="s">
        <v>999</v>
      </c>
      <c r="C217" s="772">
        <f>SOCE!E10</f>
        <v>0</v>
      </c>
      <c r="D217" s="772">
        <f>SOCE!F10</f>
        <v>0</v>
      </c>
      <c r="E217" s="772">
        <f>SOCE!G10</f>
        <v>0</v>
      </c>
      <c r="F217" s="772">
        <f>E217*10</f>
        <v>0</v>
      </c>
      <c r="G217" s="773"/>
    </row>
    <row r="218" spans="2:14">
      <c r="B218" s="771" t="s">
        <v>1199</v>
      </c>
      <c r="C218" s="772">
        <f>SOCE!F11</f>
        <v>50251</v>
      </c>
      <c r="D218" s="772">
        <f>SOCE!F11</f>
        <v>50251</v>
      </c>
      <c r="E218" s="772">
        <f>SOCE!G11</f>
        <v>502510</v>
      </c>
      <c r="F218" s="772">
        <f>E218*10</f>
        <v>5025100</v>
      </c>
      <c r="G218" s="773"/>
    </row>
    <row r="219" spans="2:14" hidden="1">
      <c r="B219" s="771" t="s">
        <v>1000</v>
      </c>
      <c r="C219" s="772">
        <f>SOCE!E12</f>
        <v>0</v>
      </c>
      <c r="D219" s="772">
        <f>SOCE!F12</f>
        <v>0</v>
      </c>
      <c r="E219" s="772">
        <f>SOCE!G12</f>
        <v>0</v>
      </c>
      <c r="F219" s="772">
        <f>E219*10</f>
        <v>0</v>
      </c>
      <c r="G219" s="773"/>
    </row>
    <row r="220" spans="2:14" hidden="1">
      <c r="B220" s="771" t="s">
        <v>1200</v>
      </c>
      <c r="C220" s="772">
        <f>SOCE!E13</f>
        <v>0</v>
      </c>
      <c r="D220" s="772">
        <f>SOCE!F13</f>
        <v>0</v>
      </c>
      <c r="E220" s="772">
        <f>SOCE!G13</f>
        <v>0</v>
      </c>
      <c r="F220" s="772">
        <f>E220*10</f>
        <v>0</v>
      </c>
      <c r="G220" s="773"/>
    </row>
    <row r="221" spans="2:14" ht="15" thickBot="1">
      <c r="B221" s="774" t="s">
        <v>1353</v>
      </c>
      <c r="C221" s="729">
        <f>SUM(C215:C220)</f>
        <v>5994514</v>
      </c>
      <c r="D221" s="729">
        <f>SUM(D215:D220)</f>
        <v>5994514</v>
      </c>
      <c r="E221" s="729">
        <f>SUM(E215:E220)</f>
        <v>59945140</v>
      </c>
      <c r="F221" s="729">
        <f>SUM(F215:F220)</f>
        <v>599451400</v>
      </c>
      <c r="G221" s="668"/>
      <c r="H221" s="694">
        <f>'BS Grouping'!AD7</f>
        <v>59945140</v>
      </c>
      <c r="N221" s="694">
        <v>6019639</v>
      </c>
    </row>
    <row r="222" spans="2:14" ht="6" customHeight="1" thickTop="1"/>
    <row r="223" spans="2:14">
      <c r="B223" s="719" t="s">
        <v>327</v>
      </c>
    </row>
    <row r="224" spans="2:14" ht="48.75" customHeight="1">
      <c r="B224" s="1269" t="s">
        <v>328</v>
      </c>
      <c r="C224" s="1269"/>
      <c r="D224" s="1269"/>
      <c r="E224" s="1270"/>
      <c r="F224" s="1270"/>
      <c r="G224" s="747"/>
    </row>
    <row r="225" spans="2:15" ht="49.5" customHeight="1">
      <c r="B225" s="1271" t="s">
        <v>1661</v>
      </c>
      <c r="C225" s="1271"/>
      <c r="D225" s="1271"/>
      <c r="E225" s="1272"/>
      <c r="F225" s="1272"/>
      <c r="G225" s="747"/>
    </row>
    <row r="226" spans="2:15" ht="15" thickBot="1">
      <c r="B226" s="693" t="s">
        <v>329</v>
      </c>
    </row>
    <row r="227" spans="2:15" ht="28.8">
      <c r="B227" s="780" t="s">
        <v>0</v>
      </c>
      <c r="C227" s="781" t="str">
        <f>+C156</f>
        <v xml:space="preserve"> As at  31st March, 2024</v>
      </c>
      <c r="D227" s="781" t="str">
        <f>+D156</f>
        <v xml:space="preserve"> As at  30th September, 2023</v>
      </c>
      <c r="E227" s="781" t="str">
        <f>+E156</f>
        <v xml:space="preserve"> As at  31st March, 2023</v>
      </c>
      <c r="F227" s="781" t="str">
        <f>+F156</f>
        <v xml:space="preserve"> As at  31st March, 2022</v>
      </c>
      <c r="G227" s="700"/>
      <c r="O227" s="694" t="s">
        <v>1095</v>
      </c>
    </row>
    <row r="228" spans="2:15">
      <c r="B228" s="782" t="s">
        <v>369</v>
      </c>
      <c r="C228" s="783"/>
      <c r="D228" s="783"/>
      <c r="E228" s="783"/>
      <c r="F228" s="783"/>
      <c r="G228" s="736"/>
    </row>
    <row r="229" spans="2:15" s="693" customFormat="1">
      <c r="B229" s="702" t="s">
        <v>371</v>
      </c>
      <c r="C229" s="784"/>
      <c r="D229" s="784"/>
      <c r="E229" s="784"/>
      <c r="F229" s="784"/>
      <c r="G229" s="784"/>
    </row>
    <row r="230" spans="2:15">
      <c r="B230" s="758" t="s">
        <v>372</v>
      </c>
      <c r="C230" s="785">
        <v>3175122</v>
      </c>
      <c r="D230" s="785">
        <v>3175122</v>
      </c>
      <c r="E230" s="736">
        <v>3175122</v>
      </c>
      <c r="F230" s="737">
        <v>3175122</v>
      </c>
      <c r="G230" s="736"/>
    </row>
    <row r="231" spans="2:15">
      <c r="B231" s="758" t="s">
        <v>373</v>
      </c>
      <c r="C231" s="786">
        <f>C230/C211</f>
        <v>0.52746053376290503</v>
      </c>
      <c r="D231" s="786">
        <f>+D230/D211</f>
        <v>0.52746053376290503</v>
      </c>
      <c r="E231" s="786">
        <f>+E230/D221</f>
        <v>0.52967129612175401</v>
      </c>
      <c r="F231" s="786">
        <f>+F230/E221</f>
        <v>5.2967129612175402E-2</v>
      </c>
      <c r="G231" s="787"/>
    </row>
    <row r="232" spans="2:15">
      <c r="B232" s="702" t="s">
        <v>370</v>
      </c>
      <c r="C232" s="736"/>
      <c r="D232" s="736"/>
      <c r="E232" s="736"/>
      <c r="F232" s="736"/>
      <c r="G232" s="736"/>
    </row>
    <row r="233" spans="2:15">
      <c r="B233" s="758" t="s">
        <v>372</v>
      </c>
      <c r="C233" s="785">
        <v>600000</v>
      </c>
      <c r="D233" s="785">
        <v>600000</v>
      </c>
      <c r="E233" s="785">
        <v>600000</v>
      </c>
      <c r="F233" s="737">
        <v>600000</v>
      </c>
      <c r="G233" s="736"/>
      <c r="M233" s="694">
        <v>600000</v>
      </c>
    </row>
    <row r="234" spans="2:15">
      <c r="B234" s="788" t="s">
        <v>373</v>
      </c>
      <c r="C234" s="787">
        <f>C233/C211</f>
        <v>9.9673751200030428E-2</v>
      </c>
      <c r="D234" s="787">
        <f>+D233/D211</f>
        <v>9.9673751200030428E-2</v>
      </c>
      <c r="E234" s="787">
        <f>+E233/D221</f>
        <v>0.1000915170103865</v>
      </c>
      <c r="F234" s="787">
        <f>+F233/E221</f>
        <v>1.000915170103865E-2</v>
      </c>
      <c r="G234" s="786"/>
      <c r="M234" s="694">
        <v>60196390</v>
      </c>
      <c r="N234" s="972">
        <f>M233/M234</f>
        <v>9.9673751200030428E-3</v>
      </c>
    </row>
    <row r="235" spans="2:15" ht="10.5" customHeight="1">
      <c r="B235" s="693"/>
    </row>
    <row r="236" spans="2:15" ht="15" thickBot="1">
      <c r="B236" s="693" t="s">
        <v>1202</v>
      </c>
    </row>
    <row r="237" spans="2:15" ht="28.8">
      <c r="B237" s="732" t="s">
        <v>1203</v>
      </c>
      <c r="C237" s="700" t="str">
        <f>+C227</f>
        <v xml:space="preserve"> As at  31st March, 2024</v>
      </c>
      <c r="D237" s="700" t="str">
        <f>+D227</f>
        <v xml:space="preserve"> As at  30th September, 2023</v>
      </c>
      <c r="E237" s="700" t="str">
        <f>+E227</f>
        <v xml:space="preserve"> As at  31st March, 2023</v>
      </c>
      <c r="F237" s="700" t="str">
        <f>+F227</f>
        <v xml:space="preserve"> As at  31st March, 2022</v>
      </c>
      <c r="G237" s="700"/>
    </row>
    <row r="238" spans="2:15" ht="18.75" customHeight="1">
      <c r="B238" s="789" t="s">
        <v>1662</v>
      </c>
      <c r="C238" s="661"/>
      <c r="D238" s="661"/>
      <c r="E238" s="661"/>
      <c r="F238" s="736"/>
      <c r="G238" s="661"/>
    </row>
    <row r="239" spans="2:15">
      <c r="B239" s="702" t="s">
        <v>371</v>
      </c>
      <c r="C239" s="736"/>
      <c r="D239" s="736"/>
      <c r="E239" s="736"/>
      <c r="F239" s="736"/>
      <c r="G239" s="661"/>
    </row>
    <row r="240" spans="2:15">
      <c r="B240" s="758" t="s">
        <v>1204</v>
      </c>
      <c r="C240" s="737">
        <f>3175122</f>
        <v>3175122</v>
      </c>
      <c r="D240" s="737">
        <f>3175122</f>
        <v>3175122</v>
      </c>
      <c r="E240" s="737">
        <f>3175122</f>
        <v>3175122</v>
      </c>
      <c r="F240" s="737">
        <v>3175122</v>
      </c>
      <c r="G240" s="736"/>
    </row>
    <row r="241" spans="2:7">
      <c r="B241" s="758" t="s">
        <v>1205</v>
      </c>
      <c r="C241" s="786">
        <f>C240/C211</f>
        <v>0.52746053376290503</v>
      </c>
      <c r="D241" s="786">
        <f>D240/D211</f>
        <v>0.52746053376290503</v>
      </c>
      <c r="E241" s="786">
        <f>E240/D221</f>
        <v>0.52967129612175401</v>
      </c>
      <c r="F241" s="786">
        <f>(F240/E221)</f>
        <v>5.2967129612175402E-2</v>
      </c>
      <c r="G241" s="786"/>
    </row>
    <row r="242" spans="2:7">
      <c r="B242" s="758" t="s">
        <v>1206</v>
      </c>
      <c r="C242" s="736"/>
      <c r="D242" s="736"/>
      <c r="E242" s="736"/>
      <c r="F242" s="736"/>
      <c r="G242" s="786"/>
    </row>
    <row r="243" spans="2:7">
      <c r="B243" s="790" t="s">
        <v>370</v>
      </c>
      <c r="C243" s="736"/>
      <c r="D243" s="736"/>
      <c r="E243" s="736"/>
      <c r="F243" s="736"/>
      <c r="G243" s="786"/>
    </row>
    <row r="244" spans="2:7" s="693" customFormat="1">
      <c r="B244" s="758" t="s">
        <v>1204</v>
      </c>
      <c r="C244" s="737">
        <f>600000</f>
        <v>600000</v>
      </c>
      <c r="D244" s="737">
        <f>600000</f>
        <v>600000</v>
      </c>
      <c r="E244" s="737">
        <f>600000</f>
        <v>600000</v>
      </c>
      <c r="F244" s="737">
        <f>600000</f>
        <v>600000</v>
      </c>
      <c r="G244" s="784"/>
    </row>
    <row r="245" spans="2:7">
      <c r="B245" s="758" t="s">
        <v>1205</v>
      </c>
      <c r="C245" s="786">
        <f>C244/C211</f>
        <v>9.9673751200030428E-2</v>
      </c>
      <c r="D245" s="786">
        <f>D244/D211</f>
        <v>9.9673751200030428E-2</v>
      </c>
      <c r="E245" s="786">
        <f>E244/D221</f>
        <v>0.1000915170103865</v>
      </c>
      <c r="F245" s="786">
        <f>F244/E221</f>
        <v>1.000915170103865E-2</v>
      </c>
      <c r="G245" s="736"/>
    </row>
    <row r="246" spans="2:7">
      <c r="B246" s="758" t="s">
        <v>1206</v>
      </c>
      <c r="C246" s="736"/>
      <c r="D246" s="736"/>
      <c r="E246" s="736"/>
      <c r="F246" s="736"/>
      <c r="G246" s="736"/>
    </row>
    <row r="247" spans="2:7">
      <c r="B247" s="758"/>
      <c r="C247" s="736"/>
      <c r="D247" s="736"/>
      <c r="E247" s="736"/>
      <c r="F247" s="736"/>
      <c r="G247" s="736"/>
    </row>
    <row r="248" spans="2:7">
      <c r="B248" s="790" t="s">
        <v>140</v>
      </c>
      <c r="C248" s="736"/>
      <c r="D248" s="736"/>
      <c r="E248" s="736"/>
      <c r="F248" s="736"/>
      <c r="G248" s="736"/>
    </row>
    <row r="249" spans="2:7">
      <c r="B249" s="758" t="s">
        <v>1204</v>
      </c>
      <c r="C249" s="737">
        <v>151110</v>
      </c>
      <c r="D249" s="737">
        <v>151110</v>
      </c>
      <c r="E249" s="737">
        <v>151110</v>
      </c>
      <c r="F249" s="737">
        <v>110909</v>
      </c>
      <c r="G249" s="736"/>
    </row>
    <row r="250" spans="2:7">
      <c r="B250" s="758" t="s">
        <v>1205</v>
      </c>
      <c r="C250" s="786">
        <f>C249/C211</f>
        <v>2.5102834239727666E-2</v>
      </c>
      <c r="D250" s="786">
        <f>D249/D211</f>
        <v>2.5102834239727666E-2</v>
      </c>
      <c r="E250" s="786">
        <f>E249/D221</f>
        <v>2.5208048559065839E-2</v>
      </c>
      <c r="F250" s="786">
        <f>F249/E221</f>
        <v>1.8501750100174926E-3</v>
      </c>
      <c r="G250" s="736"/>
    </row>
    <row r="251" spans="2:7">
      <c r="B251" s="758" t="s">
        <v>1206</v>
      </c>
      <c r="C251" s="736"/>
      <c r="D251" s="736"/>
      <c r="E251" s="736"/>
      <c r="F251" s="736"/>
      <c r="G251" s="736"/>
    </row>
    <row r="252" spans="2:7">
      <c r="B252" s="758"/>
      <c r="C252" s="736"/>
      <c r="D252" s="736"/>
      <c r="E252" s="736"/>
      <c r="F252" s="736"/>
      <c r="G252" s="736"/>
    </row>
    <row r="253" spans="2:7">
      <c r="B253" s="790" t="s">
        <v>1015</v>
      </c>
      <c r="C253" s="736"/>
      <c r="D253" s="736"/>
      <c r="E253" s="736"/>
      <c r="F253" s="736"/>
      <c r="G253" s="736"/>
    </row>
    <row r="254" spans="2:7">
      <c r="B254" s="758" t="s">
        <v>1204</v>
      </c>
      <c r="C254" s="737">
        <f>15152</f>
        <v>15152</v>
      </c>
      <c r="D254" s="737">
        <f>15152</f>
        <v>15152</v>
      </c>
      <c r="E254" s="737">
        <f>15152</f>
        <v>15152</v>
      </c>
      <c r="F254" s="737">
        <f>15152</f>
        <v>15152</v>
      </c>
      <c r="G254" s="736"/>
    </row>
    <row r="255" spans="2:7">
      <c r="B255" s="758" t="s">
        <v>1205</v>
      </c>
      <c r="C255" s="786">
        <f>C254/C211</f>
        <v>2.517094463638102E-3</v>
      </c>
      <c r="D255" s="786">
        <f>D254/D211</f>
        <v>2.517094463638102E-3</v>
      </c>
      <c r="E255" s="786">
        <f>E254/D221</f>
        <v>2.5276444429022937E-3</v>
      </c>
      <c r="F255" s="786">
        <f>F254/E221</f>
        <v>2.5276444429022938E-4</v>
      </c>
      <c r="G255" s="736"/>
    </row>
    <row r="256" spans="2:7">
      <c r="B256" s="758" t="s">
        <v>1206</v>
      </c>
      <c r="C256" s="736"/>
      <c r="D256" s="736"/>
      <c r="E256" s="736"/>
      <c r="F256" s="736"/>
      <c r="G256" s="736"/>
    </row>
    <row r="257" spans="2:7">
      <c r="B257" s="790" t="s">
        <v>51</v>
      </c>
      <c r="C257" s="736"/>
      <c r="D257" s="736"/>
      <c r="E257" s="736"/>
      <c r="F257" s="736"/>
      <c r="G257" s="736"/>
    </row>
    <row r="258" spans="2:7">
      <c r="B258" s="758" t="s">
        <v>1204</v>
      </c>
      <c r="C258" s="737">
        <f>C240+C244+C249+C254</f>
        <v>3941384</v>
      </c>
      <c r="D258" s="737">
        <f>D240+D244+D249+D254</f>
        <v>3941384</v>
      </c>
      <c r="E258" s="737">
        <f>E240+E244+E249+E254</f>
        <v>3941384</v>
      </c>
      <c r="F258" s="737">
        <f>F240+F244+F249+F254</f>
        <v>3901183</v>
      </c>
      <c r="G258" s="736"/>
    </row>
    <row r="259" spans="2:7">
      <c r="B259" s="758" t="s">
        <v>1205</v>
      </c>
      <c r="C259" s="786">
        <f>C258/C211</f>
        <v>0.65475421366630127</v>
      </c>
      <c r="D259" s="786">
        <f>D258/D211</f>
        <v>0.65475421366630127</v>
      </c>
      <c r="E259" s="786">
        <f>E258/D221</f>
        <v>0.65749850613410865</v>
      </c>
      <c r="F259" s="786">
        <f>F258/E221</f>
        <v>6.5079220767521775E-2</v>
      </c>
      <c r="G259" s="736"/>
    </row>
    <row r="260" spans="2:7">
      <c r="B260" s="758" t="s">
        <v>1206</v>
      </c>
      <c r="C260" s="736"/>
      <c r="D260" s="736"/>
      <c r="E260" s="736"/>
      <c r="F260" s="736"/>
      <c r="G260" s="736"/>
    </row>
    <row r="261" spans="2:7">
      <c r="B261" s="758"/>
      <c r="C261" s="736"/>
      <c r="D261" s="736"/>
      <c r="E261" s="736"/>
      <c r="F261" s="736"/>
      <c r="G261" s="736"/>
    </row>
    <row r="262" spans="2:7">
      <c r="B262" s="788"/>
      <c r="C262" s="791"/>
      <c r="D262" s="791"/>
      <c r="E262" s="791"/>
      <c r="F262" s="791"/>
      <c r="G262" s="736"/>
    </row>
    <row r="263" spans="2:7">
      <c r="B263" s="792"/>
      <c r="C263" s="793"/>
      <c r="D263" s="793"/>
      <c r="E263" s="793"/>
      <c r="F263" s="793"/>
      <c r="G263" s="744"/>
    </row>
    <row r="264" spans="2:7" hidden="1">
      <c r="B264" s="693" t="s">
        <v>1201</v>
      </c>
    </row>
    <row r="265" spans="2:7" ht="28.8" hidden="1">
      <c r="B265" s="732" t="s">
        <v>0</v>
      </c>
      <c r="C265" s="700" t="str">
        <f>+C227</f>
        <v xml:space="preserve"> As at  31st March, 2024</v>
      </c>
      <c r="D265" s="700" t="str">
        <f>+D227</f>
        <v xml:space="preserve"> As at  30th September, 2023</v>
      </c>
      <c r="E265" s="700" t="str">
        <f>+E227</f>
        <v xml:space="preserve"> As at  31st March, 2023</v>
      </c>
      <c r="F265" s="700" t="str">
        <f>+F227</f>
        <v xml:space="preserve"> As at  31st March, 2022</v>
      </c>
      <c r="G265" s="700"/>
    </row>
    <row r="266" spans="2:7" ht="7.5" hidden="1" customHeight="1">
      <c r="B266" s="735"/>
      <c r="C266" s="661"/>
      <c r="D266" s="661"/>
      <c r="E266" s="661"/>
      <c r="F266" s="736"/>
      <c r="G266" s="661"/>
    </row>
    <row r="267" spans="2:7" hidden="1">
      <c r="B267" s="702" t="s">
        <v>540</v>
      </c>
      <c r="C267" s="736"/>
      <c r="D267" s="736"/>
      <c r="E267" s="736"/>
      <c r="F267" s="736"/>
      <c r="G267" s="661"/>
    </row>
    <row r="268" spans="2:7" hidden="1">
      <c r="B268" s="758" t="s">
        <v>372</v>
      </c>
      <c r="C268" s="736">
        <f>C285</f>
        <v>0</v>
      </c>
      <c r="D268" s="736">
        <f>D285</f>
        <v>0</v>
      </c>
      <c r="E268" s="736">
        <f>E285</f>
        <v>0</v>
      </c>
      <c r="F268" s="736">
        <f>F285</f>
        <v>0</v>
      </c>
      <c r="G268" s="736"/>
    </row>
    <row r="269" spans="2:7" hidden="1">
      <c r="B269" s="758" t="s">
        <v>542</v>
      </c>
      <c r="C269" s="736">
        <f>+C268*10</f>
        <v>0</v>
      </c>
      <c r="D269" s="736">
        <f>+D268*10</f>
        <v>0</v>
      </c>
      <c r="E269" s="736">
        <f>+E268*10</f>
        <v>0</v>
      </c>
      <c r="F269" s="736">
        <f>+F268*10</f>
        <v>0</v>
      </c>
      <c r="G269" s="786"/>
    </row>
    <row r="270" spans="2:7" s="693" customFormat="1" hidden="1">
      <c r="B270" s="702" t="s">
        <v>760</v>
      </c>
      <c r="C270" s="784"/>
      <c r="D270" s="784"/>
      <c r="E270" s="784"/>
      <c r="F270" s="784"/>
      <c r="G270" s="784"/>
    </row>
    <row r="271" spans="2:7" hidden="1">
      <c r="B271" s="758" t="s">
        <v>543</v>
      </c>
      <c r="C271" s="736">
        <v>0</v>
      </c>
      <c r="D271" s="736">
        <v>0</v>
      </c>
      <c r="E271" s="736">
        <v>0</v>
      </c>
      <c r="F271" s="736">
        <f>ROUND(16000000/35,0)</f>
        <v>457143</v>
      </c>
      <c r="G271" s="736"/>
    </row>
    <row r="272" spans="2:7" hidden="1">
      <c r="B272" s="788" t="s">
        <v>541</v>
      </c>
      <c r="C272" s="791">
        <f>+C271*10</f>
        <v>0</v>
      </c>
      <c r="D272" s="791">
        <f>+D271*10</f>
        <v>0</v>
      </c>
      <c r="E272" s="791">
        <f>+E271*10</f>
        <v>0</v>
      </c>
      <c r="F272" s="791">
        <f>+F271*10</f>
        <v>4571430</v>
      </c>
      <c r="G272" s="787"/>
    </row>
    <row r="273" spans="1:7" ht="7.5" customHeight="1">
      <c r="B273" s="794"/>
      <c r="C273" s="795"/>
      <c r="D273" s="795"/>
      <c r="E273" s="795"/>
      <c r="F273" s="795"/>
      <c r="G273" s="795"/>
    </row>
    <row r="274" spans="1:7" hidden="1">
      <c r="B274" s="693" t="s">
        <v>545</v>
      </c>
      <c r="C274" s="795"/>
      <c r="D274" s="795"/>
      <c r="E274" s="795"/>
      <c r="F274" s="795"/>
      <c r="G274" s="795"/>
    </row>
    <row r="275" spans="1:7" hidden="1">
      <c r="B275" s="695" t="s">
        <v>546</v>
      </c>
      <c r="C275" s="795"/>
      <c r="D275" s="795"/>
      <c r="E275" s="795"/>
      <c r="F275" s="795"/>
      <c r="G275" s="795"/>
    </row>
    <row r="276" spans="1:7" ht="88.5" hidden="1" customHeight="1">
      <c r="B276" s="1274" t="s">
        <v>1501</v>
      </c>
      <c r="C276" s="1274"/>
      <c r="D276" s="1274"/>
      <c r="E276" s="1270"/>
      <c r="F276" s="1270"/>
      <c r="G276" s="795"/>
    </row>
    <row r="277" spans="1:7" ht="28.8" hidden="1">
      <c r="B277" s="767" t="s">
        <v>0</v>
      </c>
      <c r="C277" s="733" t="str">
        <f>+C265</f>
        <v xml:space="preserve"> As at  31st March, 2024</v>
      </c>
      <c r="D277" s="733" t="str">
        <f>+D265</f>
        <v xml:space="preserve"> As at  30th September, 2023</v>
      </c>
      <c r="E277" s="733" t="str">
        <f>+E265</f>
        <v xml:space="preserve"> As at  31st March, 2023</v>
      </c>
      <c r="F277" s="699" t="str">
        <f>+F265</f>
        <v xml:space="preserve"> As at  31st March, 2022</v>
      </c>
      <c r="G277" s="795"/>
    </row>
    <row r="278" spans="1:7" hidden="1">
      <c r="B278" s="796" t="s">
        <v>1663</v>
      </c>
      <c r="C278" s="1281" t="s">
        <v>1148</v>
      </c>
      <c r="D278" s="1281" t="s">
        <v>1148</v>
      </c>
      <c r="E278" s="1281" t="s">
        <v>1148</v>
      </c>
      <c r="F278" s="770">
        <v>10</v>
      </c>
      <c r="G278" s="795"/>
    </row>
    <row r="279" spans="1:7" hidden="1">
      <c r="B279" s="771" t="s">
        <v>789</v>
      </c>
      <c r="C279" s="1282"/>
      <c r="D279" s="1282"/>
      <c r="E279" s="1282"/>
      <c r="F279" s="797">
        <v>43525</v>
      </c>
      <c r="G279" s="795"/>
    </row>
    <row r="280" spans="1:7" ht="28.8" hidden="1">
      <c r="B280" s="798" t="s">
        <v>526</v>
      </c>
      <c r="C280" s="1282"/>
      <c r="D280" s="1282"/>
      <c r="E280" s="1282"/>
      <c r="F280" s="799" t="s">
        <v>1289</v>
      </c>
      <c r="G280" s="795"/>
    </row>
    <row r="281" spans="1:7" s="695" customFormat="1" hidden="1">
      <c r="A281" s="693"/>
      <c r="B281" s="800" t="s">
        <v>1003</v>
      </c>
      <c r="C281" s="1282"/>
      <c r="D281" s="1282"/>
      <c r="E281" s="1282"/>
      <c r="F281" s="772">
        <v>50000</v>
      </c>
      <c r="G281" s="795"/>
    </row>
    <row r="282" spans="1:7" s="695" customFormat="1" hidden="1">
      <c r="A282" s="693"/>
      <c r="B282" s="800" t="s">
        <v>1004</v>
      </c>
      <c r="C282" s="1282"/>
      <c r="D282" s="1282"/>
      <c r="E282" s="1282"/>
      <c r="F282" s="773">
        <v>0</v>
      </c>
      <c r="G282" s="795"/>
    </row>
    <row r="283" spans="1:7" s="695" customFormat="1" hidden="1">
      <c r="A283" s="693"/>
      <c r="B283" s="800" t="s">
        <v>527</v>
      </c>
      <c r="C283" s="1282"/>
      <c r="D283" s="1282"/>
      <c r="E283" s="1282"/>
      <c r="F283" s="772">
        <v>37000</v>
      </c>
      <c r="G283" s="795"/>
    </row>
    <row r="284" spans="1:7" s="695" customFormat="1" hidden="1">
      <c r="A284" s="693"/>
      <c r="B284" s="800" t="s">
        <v>1005</v>
      </c>
      <c r="C284" s="1282"/>
      <c r="D284" s="1282"/>
      <c r="E284" s="1282"/>
      <c r="F284" s="772">
        <v>13000</v>
      </c>
      <c r="G284" s="795"/>
    </row>
    <row r="285" spans="1:7" hidden="1">
      <c r="B285" s="800" t="s">
        <v>790</v>
      </c>
      <c r="C285" s="1282"/>
      <c r="D285" s="1282"/>
      <c r="E285" s="1282"/>
      <c r="F285" s="773">
        <v>0</v>
      </c>
      <c r="G285" s="793">
        <v>100000</v>
      </c>
    </row>
    <row r="286" spans="1:7" hidden="1">
      <c r="B286" s="771" t="s">
        <v>528</v>
      </c>
      <c r="C286" s="1282"/>
      <c r="D286" s="1282"/>
      <c r="E286" s="1282"/>
      <c r="F286" s="773"/>
      <c r="G286" s="795"/>
    </row>
    <row r="287" spans="1:7" hidden="1">
      <c r="B287" s="771" t="s">
        <v>791</v>
      </c>
      <c r="C287" s="1282"/>
      <c r="D287" s="1282"/>
      <c r="E287" s="1282"/>
      <c r="F287" s="773">
        <v>0</v>
      </c>
      <c r="G287" s="795"/>
    </row>
    <row r="288" spans="1:7" hidden="1">
      <c r="B288" s="771" t="s">
        <v>970</v>
      </c>
      <c r="C288" s="1282"/>
      <c r="D288" s="1282"/>
      <c r="E288" s="1282"/>
      <c r="F288" s="773">
        <v>0</v>
      </c>
      <c r="G288" s="795"/>
    </row>
    <row r="289" spans="1:16" hidden="1">
      <c r="B289" s="774"/>
      <c r="C289" s="1283"/>
      <c r="D289" s="1283"/>
      <c r="E289" s="1283"/>
      <c r="F289" s="774"/>
      <c r="G289" s="795"/>
    </row>
    <row r="290" spans="1:16" ht="86.25" hidden="1" customHeight="1">
      <c r="B290" s="1275" t="s">
        <v>1473</v>
      </c>
      <c r="C290" s="1276"/>
      <c r="D290" s="1276"/>
      <c r="E290" s="1275"/>
      <c r="F290" s="1275"/>
      <c r="G290" s="795"/>
    </row>
    <row r="291" spans="1:16" ht="36.75" hidden="1" customHeight="1">
      <c r="B291" s="1274" t="s">
        <v>965</v>
      </c>
      <c r="C291" s="1274"/>
      <c r="D291" s="1274"/>
      <c r="E291" s="1274"/>
      <c r="F291" s="1274"/>
      <c r="G291" s="795"/>
    </row>
    <row r="292" spans="1:16" ht="28.8" hidden="1">
      <c r="B292" s="767" t="s">
        <v>0</v>
      </c>
      <c r="C292" s="699" t="str">
        <f>+C277</f>
        <v xml:space="preserve"> As at  31st March, 2024</v>
      </c>
      <c r="D292" s="699" t="str">
        <f>+D277</f>
        <v xml:space="preserve"> As at  30th September, 2023</v>
      </c>
      <c r="E292" s="699" t="str">
        <f>+E277</f>
        <v xml:space="preserve"> As at  31st March, 2023</v>
      </c>
      <c r="F292" s="699" t="str">
        <f>+F277</f>
        <v xml:space="preserve"> As at  31st March, 2022</v>
      </c>
      <c r="G292" s="795"/>
    </row>
    <row r="293" spans="1:16" hidden="1">
      <c r="B293" s="801" t="s">
        <v>966</v>
      </c>
      <c r="C293" s="1278" t="s">
        <v>1148</v>
      </c>
      <c r="D293" s="1278" t="s">
        <v>1148</v>
      </c>
      <c r="E293" s="1278" t="s">
        <v>1148</v>
      </c>
      <c r="F293" s="802">
        <v>6.8000000000000005E-2</v>
      </c>
      <c r="G293" s="795"/>
    </row>
    <row r="294" spans="1:16" hidden="1">
      <c r="B294" s="748" t="s">
        <v>974</v>
      </c>
      <c r="C294" s="1279"/>
      <c r="D294" s="1279"/>
      <c r="E294" s="1279"/>
      <c r="F294" s="803" t="s">
        <v>1096</v>
      </c>
      <c r="G294" s="795"/>
    </row>
    <row r="295" spans="1:16" hidden="1">
      <c r="B295" s="748" t="s">
        <v>971</v>
      </c>
      <c r="C295" s="1279"/>
      <c r="D295" s="1279"/>
      <c r="E295" s="1279"/>
      <c r="F295" s="804">
        <v>0.36919999999999997</v>
      </c>
      <c r="G295" s="795"/>
    </row>
    <row r="296" spans="1:16" hidden="1">
      <c r="B296" s="748" t="s">
        <v>972</v>
      </c>
      <c r="C296" s="1279"/>
      <c r="D296" s="1279"/>
      <c r="E296" s="1279"/>
      <c r="F296" s="805" t="s">
        <v>967</v>
      </c>
      <c r="G296" s="795"/>
    </row>
    <row r="297" spans="1:16" hidden="1">
      <c r="B297" s="748" t="s">
        <v>1664</v>
      </c>
      <c r="C297" s="1279"/>
      <c r="D297" s="1279"/>
      <c r="E297" s="1279"/>
      <c r="F297" s="806">
        <v>66</v>
      </c>
      <c r="G297" s="795"/>
    </row>
    <row r="298" spans="1:16" hidden="1">
      <c r="B298" s="748" t="s">
        <v>973</v>
      </c>
      <c r="C298" s="1280"/>
      <c r="D298" s="1280"/>
      <c r="E298" s="1280"/>
      <c r="F298" s="773">
        <v>10</v>
      </c>
      <c r="G298" s="795"/>
    </row>
    <row r="299" spans="1:16" ht="104.55" hidden="1" customHeight="1">
      <c r="B299" s="807" t="s">
        <v>968</v>
      </c>
      <c r="C299" s="807"/>
      <c r="D299" s="807"/>
      <c r="E299" s="1277" t="s">
        <v>1474</v>
      </c>
      <c r="F299" s="1277"/>
      <c r="G299" s="795"/>
    </row>
    <row r="300" spans="1:16" hidden="1">
      <c r="B300" s="808"/>
      <c r="C300" s="808"/>
      <c r="D300" s="808"/>
      <c r="E300" s="808"/>
      <c r="F300" s="808"/>
      <c r="G300" s="795"/>
    </row>
    <row r="301" spans="1:16">
      <c r="A301" s="693">
        <f>+A164+1</f>
        <v>16</v>
      </c>
      <c r="B301" s="693" t="s">
        <v>361</v>
      </c>
      <c r="G301" s="795"/>
    </row>
    <row r="302" spans="1:16" ht="29.4" thickBot="1">
      <c r="A302" s="694"/>
      <c r="B302" s="809" t="s">
        <v>0</v>
      </c>
      <c r="C302" s="733" t="str">
        <f>+C227</f>
        <v xml:space="preserve"> As at  31st March, 2024</v>
      </c>
      <c r="D302" s="733" t="str">
        <f>+D227</f>
        <v xml:space="preserve"> As at  30th September, 2023</v>
      </c>
      <c r="E302" s="733" t="str">
        <f>+E227</f>
        <v xml:space="preserve"> As at  31st March, 2023</v>
      </c>
      <c r="F302" s="733" t="str">
        <f>+F227</f>
        <v xml:space="preserve"> As at  31st March, 2022</v>
      </c>
    </row>
    <row r="303" spans="1:16">
      <c r="B303" s="769" t="s">
        <v>362</v>
      </c>
      <c r="C303" s="770"/>
      <c r="D303" s="770"/>
      <c r="E303" s="770"/>
      <c r="F303" s="810"/>
      <c r="G303" s="700"/>
    </row>
    <row r="304" spans="1:16">
      <c r="B304" s="748" t="s">
        <v>1100</v>
      </c>
      <c r="C304" s="772">
        <f>E309</f>
        <v>-48821040</v>
      </c>
      <c r="D304" s="772">
        <f>E309</f>
        <v>-48821040</v>
      </c>
      <c r="E304" s="772">
        <v>16790451</v>
      </c>
      <c r="F304" s="772">
        <v>-62640902</v>
      </c>
      <c r="G304" s="770"/>
      <c r="O304" s="811">
        <f>F304/1000</f>
        <v>-62640.902000000002</v>
      </c>
      <c r="P304" s="708"/>
    </row>
    <row r="305" spans="1:17">
      <c r="B305" s="812" t="s">
        <v>68</v>
      </c>
      <c r="C305" s="772"/>
      <c r="D305" s="772"/>
      <c r="E305" s="772"/>
      <c r="F305" s="772"/>
      <c r="G305" s="773"/>
      <c r="H305" s="694" t="s">
        <v>452</v>
      </c>
    </row>
    <row r="306" spans="1:17">
      <c r="B306" s="771" t="s">
        <v>792</v>
      </c>
      <c r="C306" s="772">
        <f>PL!D27</f>
        <v>11743076</v>
      </c>
      <c r="D306" s="772">
        <f>PL!E27</f>
        <v>-16923010.5</v>
      </c>
      <c r="E306" s="772">
        <f>PL!F27</f>
        <v>-70108956</v>
      </c>
      <c r="F306" s="772">
        <f>PL!G27</f>
        <v>-60115399</v>
      </c>
      <c r="G306" s="773"/>
      <c r="H306" s="694" t="s">
        <v>453</v>
      </c>
      <c r="O306" s="811">
        <f t="shared" ref="O306:O313" si="1">F306/1000</f>
        <v>-60115.398999999998</v>
      </c>
      <c r="P306" s="708"/>
    </row>
    <row r="307" spans="1:17">
      <c r="B307" s="771" t="s">
        <v>994</v>
      </c>
      <c r="C307" s="772">
        <f>+SOCE!E23</f>
        <v>2248680</v>
      </c>
      <c r="D307" s="772">
        <f>+SOCE!E35</f>
        <v>2248687</v>
      </c>
      <c r="E307" s="772">
        <f>+SOCE!E48</f>
        <v>4497465</v>
      </c>
      <c r="F307" s="772">
        <f>SOCE!G58</f>
        <v>137472902</v>
      </c>
      <c r="G307" s="773"/>
      <c r="O307" s="811">
        <f t="shared" si="1"/>
        <v>137472.902</v>
      </c>
    </row>
    <row r="308" spans="1:17" hidden="1">
      <c r="B308" s="748" t="s">
        <v>793</v>
      </c>
      <c r="C308" s="772">
        <v>0</v>
      </c>
      <c r="D308" s="772">
        <v>0</v>
      </c>
      <c r="E308" s="772">
        <f>-42449*0</f>
        <v>0</v>
      </c>
      <c r="F308" s="813">
        <f>SOCE!G60</f>
        <v>2073850</v>
      </c>
      <c r="G308" s="773"/>
      <c r="O308" s="811">
        <f t="shared" si="1"/>
        <v>2073.85</v>
      </c>
    </row>
    <row r="309" spans="1:17">
      <c r="B309" s="812"/>
      <c r="C309" s="814">
        <f>SUM(C304:C308)</f>
        <v>-34829284</v>
      </c>
      <c r="D309" s="814">
        <f>SUM(D304:D308)</f>
        <v>-63495363.5</v>
      </c>
      <c r="E309" s="814">
        <f>SUM(E304:E308)</f>
        <v>-48821040</v>
      </c>
      <c r="F309" s="814">
        <f>SUM(F304:F308)</f>
        <v>16790451</v>
      </c>
      <c r="G309" s="773"/>
      <c r="O309" s="811">
        <f>SUM(O304:O308)</f>
        <v>16790.450999999994</v>
      </c>
    </row>
    <row r="310" spans="1:17">
      <c r="B310" s="812" t="s">
        <v>363</v>
      </c>
      <c r="C310" s="772"/>
      <c r="D310" s="772"/>
      <c r="E310" s="772"/>
      <c r="F310" s="772"/>
      <c r="G310" s="815"/>
      <c r="O310" s="811">
        <f t="shared" si="1"/>
        <v>0</v>
      </c>
    </row>
    <row r="311" spans="1:17">
      <c r="B311" s="748" t="s">
        <v>1100</v>
      </c>
      <c r="C311" s="772">
        <f>+E314</f>
        <v>-197132</v>
      </c>
      <c r="D311" s="772">
        <f>+E314</f>
        <v>-197132</v>
      </c>
      <c r="E311" s="772">
        <f>+F314</f>
        <v>-154683</v>
      </c>
      <c r="F311" s="772">
        <f>-ROUND(153024,)</f>
        <v>-153024</v>
      </c>
      <c r="G311" s="773"/>
      <c r="O311" s="811">
        <f t="shared" si="1"/>
        <v>-153.024</v>
      </c>
    </row>
    <row r="312" spans="1:17">
      <c r="B312" s="771" t="s">
        <v>794</v>
      </c>
      <c r="C312" s="772">
        <f>(PL!C31+PL!C32)</f>
        <v>0</v>
      </c>
      <c r="D312" s="772">
        <f>(PL!E31+PL!E32)</f>
        <v>0</v>
      </c>
      <c r="E312" s="772">
        <f>(PL!F31+PL!F32)</f>
        <v>-42449</v>
      </c>
      <c r="F312" s="772">
        <f>+PL!G31+PL!G32</f>
        <v>-1661</v>
      </c>
      <c r="G312" s="773"/>
      <c r="O312" s="811">
        <f t="shared" si="1"/>
        <v>-1.661</v>
      </c>
    </row>
    <row r="313" spans="1:17">
      <c r="B313" s="771"/>
      <c r="C313" s="772"/>
      <c r="D313" s="772"/>
      <c r="E313" s="772"/>
      <c r="F313" s="813"/>
      <c r="G313" s="773"/>
      <c r="O313" s="811">
        <f t="shared" si="1"/>
        <v>0</v>
      </c>
      <c r="P313" s="708"/>
    </row>
    <row r="314" spans="1:17">
      <c r="B314" s="771"/>
      <c r="C314" s="814">
        <f>SUM(C311:C312)</f>
        <v>-197132</v>
      </c>
      <c r="D314" s="814">
        <f>SUM(D311:D312)</f>
        <v>-197132</v>
      </c>
      <c r="E314" s="814">
        <f>SUM(E311:E312)</f>
        <v>-197132</v>
      </c>
      <c r="F314" s="814">
        <f>SUM(F311:F312)+2</f>
        <v>-154683</v>
      </c>
      <c r="G314" s="773"/>
      <c r="O314" s="811">
        <f>SUM(O310:O313)</f>
        <v>-154.685</v>
      </c>
    </row>
    <row r="315" spans="1:17">
      <c r="B315" s="771"/>
      <c r="C315" s="772"/>
      <c r="D315" s="772"/>
      <c r="E315" s="772"/>
      <c r="F315" s="772"/>
      <c r="G315" s="815"/>
    </row>
    <row r="316" spans="1:17" ht="15" thickBot="1">
      <c r="B316" s="774" t="s">
        <v>51</v>
      </c>
      <c r="C316" s="729">
        <f>+C309+C314</f>
        <v>-35026416</v>
      </c>
      <c r="D316" s="729">
        <f>+D309+D314</f>
        <v>-63692495.5</v>
      </c>
      <c r="E316" s="729">
        <f>+E309+E314</f>
        <v>-49018172</v>
      </c>
      <c r="F316" s="729">
        <f>+F309+F314</f>
        <v>16635768</v>
      </c>
      <c r="G316" s="773"/>
      <c r="H316" s="672">
        <f>SOCE!G29</f>
        <v>-35026408</v>
      </c>
      <c r="I316" s="694">
        <f>SOCE!G54</f>
        <v>-49018174</v>
      </c>
      <c r="O316" s="708">
        <f>O309+O314</f>
        <v>16635.765999999992</v>
      </c>
      <c r="P316" s="708"/>
      <c r="Q316" s="708"/>
    </row>
    <row r="317" spans="1:17" ht="15.6" thickTop="1" thickBot="1">
      <c r="G317" s="668"/>
      <c r="H317" s="672">
        <f>C316-H316</f>
        <v>-8</v>
      </c>
      <c r="I317" s="672">
        <f>E316-I316</f>
        <v>2</v>
      </c>
    </row>
    <row r="318" spans="1:17" ht="15" thickTop="1">
      <c r="A318" s="693">
        <f>+A301+1</f>
        <v>17</v>
      </c>
      <c r="B318" s="693" t="s">
        <v>1258</v>
      </c>
    </row>
    <row r="319" spans="1:17" ht="29.4" thickBot="1">
      <c r="B319" s="732" t="s">
        <v>0</v>
      </c>
      <c r="C319" s="733" t="str">
        <f>+C302</f>
        <v xml:space="preserve"> As at  31st March, 2024</v>
      </c>
      <c r="D319" s="733" t="str">
        <f>+D302</f>
        <v xml:space="preserve"> As at  30th September, 2023</v>
      </c>
      <c r="E319" s="733" t="str">
        <f>+E302</f>
        <v xml:space="preserve"> As at  31st March, 2023</v>
      </c>
      <c r="F319" s="733" t="str">
        <f>+F302</f>
        <v xml:space="preserve"> As at  31st March, 2022</v>
      </c>
      <c r="G319" s="731"/>
    </row>
    <row r="320" spans="1:17">
      <c r="B320" s="702"/>
      <c r="C320" s="661"/>
      <c r="D320" s="661"/>
      <c r="E320" s="661"/>
      <c r="F320" s="736"/>
      <c r="G320" s="700"/>
      <c r="P320" s="708"/>
    </row>
    <row r="321" spans="1:18">
      <c r="B321" s="702" t="s">
        <v>1438</v>
      </c>
      <c r="C321" s="737">
        <f>ROUND('BS Grouping'!K21,)</f>
        <v>0</v>
      </c>
      <c r="D321" s="737">
        <f>ROUND('BS Grouping'!AC21,)</f>
        <v>0</v>
      </c>
      <c r="E321" s="737">
        <f>ROUND('BS Grouping'!AL21,)</f>
        <v>275494</v>
      </c>
      <c r="F321" s="737">
        <f>ROU!G51</f>
        <v>601531.54565215239</v>
      </c>
      <c r="G321" s="816"/>
    </row>
    <row r="322" spans="1:18">
      <c r="B322" s="702" t="s">
        <v>1439</v>
      </c>
      <c r="C322" s="737">
        <f>ROUND('BS Grouping'!K58,)</f>
        <v>0</v>
      </c>
      <c r="D322" s="737">
        <f>ROUND('BS Grouping'!AC58,)</f>
        <v>0</v>
      </c>
      <c r="E322" s="737">
        <f>ROUND('BS Grouping'!AL58,)</f>
        <v>326038</v>
      </c>
      <c r="F322" s="737">
        <f>ROU!F51</f>
        <v>274741</v>
      </c>
      <c r="G322" s="816"/>
    </row>
    <row r="323" spans="1:18">
      <c r="B323" s="706"/>
      <c r="C323" s="664"/>
      <c r="D323" s="664"/>
      <c r="E323" s="664"/>
      <c r="F323" s="737"/>
      <c r="G323" s="661"/>
      <c r="H323" s="694" t="s">
        <v>449</v>
      </c>
    </row>
    <row r="324" spans="1:18" ht="15" thickBot="1">
      <c r="B324" s="741" t="s">
        <v>51</v>
      </c>
      <c r="C324" s="742">
        <f>SUM(C321:C323)</f>
        <v>0</v>
      </c>
      <c r="D324" s="742">
        <f>SUM(D321:D323)</f>
        <v>0</v>
      </c>
      <c r="E324" s="742">
        <f>SUM(E321:E323)</f>
        <v>601532</v>
      </c>
      <c r="F324" s="742">
        <f>SUM(F321:F323)</f>
        <v>876272.54565215239</v>
      </c>
      <c r="G324" s="661"/>
      <c r="H324" s="708"/>
    </row>
    <row r="325" spans="1:18" ht="15" thickTop="1">
      <c r="B325" s="693"/>
      <c r="C325" s="744"/>
      <c r="D325" s="744"/>
      <c r="E325" s="744"/>
      <c r="F325" s="744"/>
      <c r="G325" s="744"/>
      <c r="H325" s="708"/>
    </row>
    <row r="326" spans="1:18">
      <c r="A326" s="693">
        <f>A318+1</f>
        <v>18</v>
      </c>
      <c r="B326" s="693" t="s">
        <v>1256</v>
      </c>
    </row>
    <row r="327" spans="1:18" ht="29.4" thickBot="1">
      <c r="B327" s="732" t="s">
        <v>0</v>
      </c>
      <c r="C327" s="733" t="str">
        <f>C319</f>
        <v xml:space="preserve"> As at  31st March, 2024</v>
      </c>
      <c r="D327" s="733" t="str">
        <f>D319</f>
        <v xml:space="preserve"> As at  30th September, 2023</v>
      </c>
      <c r="E327" s="733" t="str">
        <f>E319</f>
        <v xml:space="preserve"> As at  31st March, 2023</v>
      </c>
      <c r="F327" s="733">
        <f>F312</f>
        <v>-1661</v>
      </c>
      <c r="G327" s="731"/>
    </row>
    <row r="328" spans="1:18">
      <c r="B328" s="754"/>
      <c r="C328" s="661"/>
      <c r="D328" s="661"/>
      <c r="E328" s="661"/>
      <c r="F328" s="736"/>
      <c r="G328" s="700"/>
    </row>
    <row r="329" spans="1:18">
      <c r="B329" s="702" t="s">
        <v>1532</v>
      </c>
      <c r="C329" s="737"/>
      <c r="D329" s="737"/>
      <c r="E329" s="737"/>
      <c r="F329" s="737">
        <f>ROUND('BS Grouping'!AU31,0)</f>
        <v>0</v>
      </c>
      <c r="G329" s="661"/>
    </row>
    <row r="330" spans="1:18">
      <c r="B330" s="706" t="s">
        <v>370</v>
      </c>
      <c r="C330" s="737">
        <f>'BS Grouping'!K27</f>
        <v>0</v>
      </c>
      <c r="D330" s="737">
        <f>'BS Grouping'!AC27</f>
        <v>25500000</v>
      </c>
      <c r="E330" s="737">
        <f>ROUND('BS Grouping'!AL35,0)</f>
        <v>0</v>
      </c>
      <c r="F330" s="737">
        <f>ROUND('BS Grouping'!AU35,0)</f>
        <v>0</v>
      </c>
      <c r="G330" s="661"/>
      <c r="H330" s="694" t="s">
        <v>364</v>
      </c>
    </row>
    <row r="331" spans="1:18">
      <c r="B331" s="706"/>
      <c r="C331" s="664"/>
      <c r="D331" s="664"/>
      <c r="E331" s="664"/>
      <c r="F331" s="737"/>
      <c r="G331" s="661"/>
      <c r="H331" s="694" t="s">
        <v>364</v>
      </c>
    </row>
    <row r="332" spans="1:18" ht="15" thickBot="1">
      <c r="B332" s="741" t="s">
        <v>51</v>
      </c>
      <c r="C332" s="742">
        <f>SUM(C329:C331)</f>
        <v>0</v>
      </c>
      <c r="D332" s="742">
        <f>SUM(D329:D331)</f>
        <v>25500000</v>
      </c>
      <c r="E332" s="742">
        <f>SUM(E329:E331)+1</f>
        <v>1</v>
      </c>
      <c r="F332" s="742">
        <f>SUM(F329:F331)</f>
        <v>0</v>
      </c>
      <c r="G332" s="661"/>
      <c r="R332" s="708"/>
    </row>
    <row r="333" spans="1:18" ht="15" thickTop="1">
      <c r="B333" s="693"/>
      <c r="C333" s="817"/>
      <c r="D333" s="817"/>
      <c r="E333" s="817"/>
      <c r="F333" s="817"/>
      <c r="G333" s="744"/>
      <c r="R333" s="708"/>
    </row>
    <row r="334" spans="1:18">
      <c r="A334" s="693">
        <f>A326+1</f>
        <v>19</v>
      </c>
      <c r="B334" s="693" t="s">
        <v>355</v>
      </c>
    </row>
    <row r="335" spans="1:18" ht="29.4" thickBot="1">
      <c r="B335" s="732" t="s">
        <v>0</v>
      </c>
      <c r="C335" s="733" t="str">
        <f>C319</f>
        <v xml:space="preserve"> As at  31st March, 2024</v>
      </c>
      <c r="D335" s="733" t="str">
        <f>D319</f>
        <v xml:space="preserve"> As at  30th September, 2023</v>
      </c>
      <c r="E335" s="733" t="str">
        <f>E319</f>
        <v xml:space="preserve"> As at  31st March, 2023</v>
      </c>
      <c r="F335" s="733" t="str">
        <f>F319</f>
        <v xml:space="preserve"> As at  31st March, 2022</v>
      </c>
      <c r="G335" s="731"/>
    </row>
    <row r="336" spans="1:18">
      <c r="B336" s="754"/>
      <c r="C336" s="661"/>
      <c r="D336" s="661"/>
      <c r="E336" s="661"/>
      <c r="F336" s="736"/>
      <c r="G336" s="700"/>
    </row>
    <row r="337" spans="1:18">
      <c r="B337" s="706" t="s">
        <v>227</v>
      </c>
      <c r="C337" s="737">
        <f>ROUND('BS Grouping'!K38,0)</f>
        <v>0</v>
      </c>
      <c r="D337" s="737">
        <f>ROUND('BS Grouping'!AC38,0)</f>
        <v>455694</v>
      </c>
      <c r="E337" s="737">
        <f>ROUND('BS Grouping'!AL38,0)</f>
        <v>709507</v>
      </c>
      <c r="F337" s="737">
        <f>ROUND('BS Grouping'!AU38,0)</f>
        <v>468247</v>
      </c>
      <c r="G337" s="661"/>
    </row>
    <row r="338" spans="1:18">
      <c r="B338" s="706" t="s">
        <v>228</v>
      </c>
      <c r="C338" s="737">
        <f>ROUND('BS Grouping'!K42,0)</f>
        <v>0</v>
      </c>
      <c r="D338" s="737">
        <f>ROUND('BS Grouping'!AC42,0)</f>
        <v>991337</v>
      </c>
      <c r="E338" s="737">
        <f>ROUND('BS Grouping'!AL42,0)</f>
        <v>1504017</v>
      </c>
      <c r="F338" s="737">
        <f>ROUND('BS Grouping'!AU42,0)</f>
        <v>1188838</v>
      </c>
      <c r="G338" s="661"/>
      <c r="H338" s="694" t="s">
        <v>364</v>
      </c>
    </row>
    <row r="339" spans="1:18">
      <c r="B339" s="706"/>
      <c r="C339" s="664"/>
      <c r="D339" s="664"/>
      <c r="E339" s="664"/>
      <c r="F339" s="737"/>
      <c r="G339" s="661"/>
      <c r="H339" s="694" t="s">
        <v>364</v>
      </c>
    </row>
    <row r="340" spans="1:18" ht="15" thickBot="1">
      <c r="B340" s="741" t="s">
        <v>51</v>
      </c>
      <c r="C340" s="742">
        <f>SUM(C337:C339)</f>
        <v>0</v>
      </c>
      <c r="D340" s="742">
        <f>SUM(D337:D339)</f>
        <v>1447031</v>
      </c>
      <c r="E340" s="742">
        <f>SUM(E337:E339)+1</f>
        <v>2213525</v>
      </c>
      <c r="F340" s="742">
        <f>SUM(F337:F339)</f>
        <v>1657085</v>
      </c>
      <c r="G340" s="661"/>
      <c r="R340" s="708"/>
    </row>
    <row r="341" spans="1:18" ht="15.6" thickTop="1" thickBot="1">
      <c r="G341" s="743"/>
      <c r="K341" s="708">
        <f>F340-E340</f>
        <v>-556440</v>
      </c>
    </row>
    <row r="342" spans="1:18" ht="15" thickTop="1">
      <c r="A342" s="693">
        <f>A334+1</f>
        <v>20</v>
      </c>
      <c r="B342" s="719" t="s">
        <v>356</v>
      </c>
      <c r="G342" s="744"/>
    </row>
    <row r="343" spans="1:18" ht="29.4" thickBot="1">
      <c r="B343" s="732" t="s">
        <v>0</v>
      </c>
      <c r="C343" s="733" t="str">
        <f>+C335</f>
        <v xml:space="preserve"> As at  31st March, 2024</v>
      </c>
      <c r="D343" s="733" t="str">
        <f>+D335</f>
        <v xml:space="preserve"> As at  30th September, 2023</v>
      </c>
      <c r="E343" s="733" t="str">
        <f>+E335</f>
        <v xml:space="preserve"> As at  31st March, 2023</v>
      </c>
      <c r="F343" s="733" t="str">
        <f>+F335</f>
        <v xml:space="preserve"> As at  31st March, 2022</v>
      </c>
      <c r="G343" s="731"/>
    </row>
    <row r="344" spans="1:18">
      <c r="B344" s="735" t="s">
        <v>986</v>
      </c>
      <c r="C344" s="661"/>
      <c r="D344" s="661"/>
      <c r="E344" s="661"/>
      <c r="F344" s="736"/>
      <c r="G344" s="700"/>
      <c r="I344" s="694" t="s">
        <v>229</v>
      </c>
    </row>
    <row r="345" spans="1:18">
      <c r="B345" s="702" t="s">
        <v>448</v>
      </c>
      <c r="C345" s="736"/>
      <c r="D345" s="736"/>
      <c r="E345" s="736"/>
      <c r="F345" s="736"/>
      <c r="G345" s="816"/>
    </row>
    <row r="346" spans="1:18">
      <c r="B346" s="706" t="s">
        <v>1010</v>
      </c>
      <c r="C346" s="737">
        <f>ROUND('BS Grouping'!K50,0)</f>
        <v>0</v>
      </c>
      <c r="D346" s="737">
        <f>ROUND('BS Grouping'!AC50,0)*0</f>
        <v>0</v>
      </c>
      <c r="E346" s="737">
        <f>ROUND('BS Grouping'!AL50,0)-1</f>
        <v>9604114</v>
      </c>
      <c r="F346" s="737">
        <f>ROUND('BS Grouping'!AM50,0)</f>
        <v>0</v>
      </c>
      <c r="G346" s="661"/>
    </row>
    <row r="347" spans="1:18">
      <c r="B347" s="706"/>
      <c r="C347" s="737"/>
      <c r="D347" s="737"/>
      <c r="E347" s="737"/>
      <c r="F347" s="737"/>
      <c r="G347" s="661"/>
    </row>
    <row r="348" spans="1:18">
      <c r="B348" s="702" t="s">
        <v>987</v>
      </c>
      <c r="C348" s="664"/>
      <c r="D348" s="664"/>
      <c r="E348" s="664"/>
      <c r="F348" s="737"/>
      <c r="G348" s="661"/>
      <c r="H348" s="694" t="s">
        <v>449</v>
      </c>
    </row>
    <row r="349" spans="1:18">
      <c r="B349" s="702" t="s">
        <v>448</v>
      </c>
      <c r="C349" s="664"/>
      <c r="D349" s="664"/>
      <c r="E349" s="664"/>
      <c r="F349" s="737"/>
      <c r="G349" s="661"/>
    </row>
    <row r="350" spans="1:18">
      <c r="B350" s="702" t="s">
        <v>988</v>
      </c>
      <c r="C350" s="664"/>
      <c r="D350" s="664"/>
      <c r="E350" s="664"/>
      <c r="F350" s="737"/>
      <c r="G350" s="661"/>
    </row>
    <row r="351" spans="1:18">
      <c r="B351" s="706" t="s">
        <v>989</v>
      </c>
      <c r="C351" s="664"/>
      <c r="D351" s="664"/>
      <c r="E351" s="664"/>
      <c r="F351" s="737"/>
      <c r="G351" s="661"/>
      <c r="O351" s="694" t="s">
        <v>1146</v>
      </c>
    </row>
    <row r="352" spans="1:18">
      <c r="B352" s="702" t="s">
        <v>1192</v>
      </c>
      <c r="C352" s="664">
        <f>ROUND('BS Grouping'!K55,0)</f>
        <v>0</v>
      </c>
      <c r="D352" s="664">
        <f>ROUND('BS Grouping'!AC55,0)</f>
        <v>592864</v>
      </c>
      <c r="E352" s="664">
        <f>ROUND('BS Grouping'!AL55,0)</f>
        <v>5707495</v>
      </c>
      <c r="F352" s="664">
        <f>ROUND('BS Grouping'!AU55,0)</f>
        <v>2843006</v>
      </c>
      <c r="G352" s="661"/>
    </row>
    <row r="353" spans="1:16">
      <c r="B353" s="706"/>
      <c r="C353" s="664"/>
      <c r="D353" s="664"/>
      <c r="E353" s="664"/>
      <c r="F353" s="737"/>
      <c r="G353" s="661"/>
    </row>
    <row r="354" spans="1:16">
      <c r="B354" s="706"/>
      <c r="C354" s="664"/>
      <c r="D354" s="664"/>
      <c r="E354" s="664"/>
      <c r="F354" s="737"/>
      <c r="G354" s="661"/>
    </row>
    <row r="355" spans="1:16" ht="15" thickBot="1">
      <c r="B355" s="741" t="s">
        <v>51</v>
      </c>
      <c r="C355" s="742">
        <f>SUM(C346:C353)</f>
        <v>0</v>
      </c>
      <c r="D355" s="742">
        <f>SUM(D346:D353)</f>
        <v>592864</v>
      </c>
      <c r="E355" s="742">
        <f>SUM(E346:E353)</f>
        <v>15311609</v>
      </c>
      <c r="F355" s="742">
        <f>SUM(F346:F353)</f>
        <v>2843006</v>
      </c>
      <c r="G355" s="661"/>
    </row>
    <row r="356" spans="1:16" ht="15.6" thickTop="1" thickBot="1">
      <c r="G356" s="743"/>
    </row>
    <row r="357" spans="1:16" ht="106.05" customHeight="1" thickTop="1">
      <c r="B357" s="1266" t="s">
        <v>1680</v>
      </c>
      <c r="C357" s="1266"/>
      <c r="D357" s="1266"/>
      <c r="E357" s="1266"/>
      <c r="F357" s="1056"/>
      <c r="G357" s="695" t="s">
        <v>1463</v>
      </c>
    </row>
    <row r="358" spans="1:16">
      <c r="G358" s="747"/>
      <c r="I358" s="818" t="s">
        <v>357</v>
      </c>
    </row>
    <row r="359" spans="1:16">
      <c r="A359" s="693">
        <f>A342+1</f>
        <v>21</v>
      </c>
      <c r="B359" s="719" t="s">
        <v>112</v>
      </c>
    </row>
    <row r="360" spans="1:16" ht="29.4" thickBot="1">
      <c r="B360" s="732" t="s">
        <v>0</v>
      </c>
      <c r="C360" s="733" t="str">
        <f>+C343</f>
        <v xml:space="preserve"> As at  31st March, 2024</v>
      </c>
      <c r="D360" s="733" t="str">
        <f>+D343</f>
        <v xml:space="preserve"> As at  30th September, 2023</v>
      </c>
      <c r="E360" s="733" t="str">
        <f>+E343</f>
        <v xml:space="preserve"> As at  31st March, 2023</v>
      </c>
      <c r="F360" s="733" t="str">
        <f>+F343</f>
        <v xml:space="preserve"> As at  31st March, 2022</v>
      </c>
      <c r="G360" s="731"/>
    </row>
    <row r="361" spans="1:16">
      <c r="B361" s="735"/>
      <c r="C361" s="661"/>
      <c r="D361" s="661"/>
      <c r="E361" s="661"/>
      <c r="F361" s="736"/>
      <c r="G361" s="700"/>
      <c r="I361" s="694" t="s">
        <v>231</v>
      </c>
    </row>
    <row r="362" spans="1:16">
      <c r="B362" s="706" t="s">
        <v>230</v>
      </c>
      <c r="C362" s="737">
        <f>C375</f>
        <v>212179</v>
      </c>
      <c r="D362" s="737">
        <f>D375</f>
        <v>0</v>
      </c>
      <c r="E362" s="737">
        <f>E375</f>
        <v>21277182</v>
      </c>
      <c r="F362" s="737">
        <f>ROUND('BS Grouping'!AU63,0)</f>
        <v>5514596</v>
      </c>
      <c r="G362" s="661"/>
      <c r="I362" s="694">
        <f>ROUND('BS Grouping'!AL63,0)</f>
        <v>19954301</v>
      </c>
    </row>
    <row r="363" spans="1:16">
      <c r="B363" s="706" t="s">
        <v>69</v>
      </c>
      <c r="C363" s="737">
        <f>C381</f>
        <v>6767567</v>
      </c>
      <c r="D363" s="737">
        <f>D381</f>
        <v>31111996</v>
      </c>
      <c r="E363" s="737">
        <f>E381</f>
        <v>27088910</v>
      </c>
      <c r="F363" s="737">
        <f>ROUND('BS Grouping'!AU67,0)</f>
        <v>29121860</v>
      </c>
      <c r="G363" s="661"/>
      <c r="I363" s="694">
        <f>ROUND('BS Grouping'!AL67,0)</f>
        <v>28411779</v>
      </c>
    </row>
    <row r="364" spans="1:16">
      <c r="B364" s="706"/>
      <c r="C364" s="664"/>
      <c r="D364" s="664"/>
      <c r="E364" s="664"/>
      <c r="F364" s="737"/>
      <c r="G364" s="661"/>
      <c r="H364" s="694" t="s">
        <v>449</v>
      </c>
      <c r="P364" s="708"/>
    </row>
    <row r="365" spans="1:16" ht="15" thickBot="1">
      <c r="B365" s="741" t="s">
        <v>51</v>
      </c>
      <c r="C365" s="742">
        <f>SUM(C362:C364)</f>
        <v>6979746</v>
      </c>
      <c r="D365" s="742">
        <f>SUM(D362:D364)</f>
        <v>31111996</v>
      </c>
      <c r="E365" s="742">
        <f>SUM(E362:E364)</f>
        <v>48366092</v>
      </c>
      <c r="F365" s="742">
        <f>SUM(F362:F364)</f>
        <v>34636456</v>
      </c>
      <c r="G365" s="661"/>
      <c r="I365" s="694">
        <f>SUM(I362:I364)</f>
        <v>48366080</v>
      </c>
      <c r="J365" s="708">
        <f>E365-I365</f>
        <v>12</v>
      </c>
    </row>
    <row r="366" spans="1:16" ht="15" thickTop="1">
      <c r="B366" s="693"/>
      <c r="C366" s="744"/>
      <c r="D366" s="744"/>
      <c r="E366" s="744"/>
      <c r="F366" s="744"/>
      <c r="G366" s="661"/>
    </row>
    <row r="367" spans="1:16">
      <c r="B367" s="693" t="s">
        <v>1282</v>
      </c>
      <c r="C367" s="744"/>
      <c r="D367" s="744"/>
      <c r="E367" s="744"/>
      <c r="F367" s="744"/>
      <c r="G367" s="661"/>
    </row>
    <row r="368" spans="1:16" ht="28.8">
      <c r="B368" s="732" t="s">
        <v>0</v>
      </c>
      <c r="C368" s="733" t="str">
        <f>+C360</f>
        <v xml:space="preserve"> As at  31st March, 2024</v>
      </c>
      <c r="D368" s="733" t="str">
        <f>+D360</f>
        <v xml:space="preserve"> As at  30th September, 2023</v>
      </c>
      <c r="E368" s="733" t="str">
        <f>+E360</f>
        <v xml:space="preserve"> As at  31st March, 2023</v>
      </c>
      <c r="F368" s="733" t="str">
        <f>+F360</f>
        <v xml:space="preserve"> As at  31st March, 2022</v>
      </c>
      <c r="G368" s="661"/>
    </row>
    <row r="369" spans="2:15">
      <c r="B369" s="789"/>
      <c r="C369" s="1034"/>
      <c r="D369" s="1034"/>
      <c r="E369" s="1034"/>
      <c r="F369" s="819"/>
      <c r="G369" s="661"/>
    </row>
    <row r="370" spans="2:15">
      <c r="B370" s="703" t="s">
        <v>1283</v>
      </c>
      <c r="C370" s="736"/>
      <c r="D370" s="736"/>
      <c r="E370" s="736"/>
      <c r="F370" s="736"/>
      <c r="G370" s="661"/>
      <c r="I370" s="694" t="s">
        <v>1283</v>
      </c>
    </row>
    <row r="371" spans="2:15">
      <c r="B371" s="758" t="s">
        <v>1284</v>
      </c>
      <c r="C371" s="737">
        <v>60183</v>
      </c>
      <c r="D371" s="737">
        <v>0</v>
      </c>
      <c r="E371" s="737">
        <f>ROUND(21276622,)+6</f>
        <v>21276628</v>
      </c>
      <c r="F371" s="737">
        <v>5514595.9000000004</v>
      </c>
      <c r="G371" s="661"/>
      <c r="I371" s="694" t="s">
        <v>1284</v>
      </c>
      <c r="J371" s="694">
        <v>21276622.300000001</v>
      </c>
      <c r="L371" s="694">
        <v>4485626</v>
      </c>
    </row>
    <row r="372" spans="2:15">
      <c r="B372" s="758" t="s">
        <v>1285</v>
      </c>
      <c r="C372" s="737">
        <f>151986+10</f>
        <v>151996</v>
      </c>
      <c r="D372" s="737">
        <v>0</v>
      </c>
      <c r="E372" s="737">
        <v>554</v>
      </c>
      <c r="F372" s="737">
        <v>0</v>
      </c>
      <c r="G372" s="661"/>
      <c r="I372" s="694" t="s">
        <v>1285</v>
      </c>
      <c r="J372" s="694">
        <v>554</v>
      </c>
      <c r="L372" s="694">
        <v>15468675</v>
      </c>
    </row>
    <row r="373" spans="2:15">
      <c r="B373" s="758" t="s">
        <v>1296</v>
      </c>
      <c r="C373" s="737">
        <v>0</v>
      </c>
      <c r="D373" s="737"/>
      <c r="E373" s="737">
        <v>0</v>
      </c>
      <c r="F373" s="737">
        <v>0</v>
      </c>
      <c r="G373" s="661"/>
      <c r="I373" s="694" t="s">
        <v>1296</v>
      </c>
      <c r="L373" s="694">
        <f>SUM(L371:L372)</f>
        <v>19954301</v>
      </c>
    </row>
    <row r="374" spans="2:15">
      <c r="B374" s="758" t="s">
        <v>1286</v>
      </c>
      <c r="C374" s="737">
        <v>0</v>
      </c>
      <c r="D374" s="737"/>
      <c r="E374" s="737">
        <v>0</v>
      </c>
      <c r="F374" s="737">
        <v>0</v>
      </c>
      <c r="G374" s="661"/>
      <c r="I374" s="694" t="s">
        <v>1286</v>
      </c>
    </row>
    <row r="375" spans="2:15" ht="15" thickBot="1">
      <c r="B375" s="760" t="s">
        <v>51</v>
      </c>
      <c r="C375" s="742">
        <f>SUM(C371:C374)</f>
        <v>212179</v>
      </c>
      <c r="D375" s="742">
        <f>SUM(D371:D374)</f>
        <v>0</v>
      </c>
      <c r="E375" s="742">
        <f>SUM(E371:E374)</f>
        <v>21277182</v>
      </c>
      <c r="F375" s="742">
        <f>SUM(F371:F374)</f>
        <v>5514595.9000000004</v>
      </c>
      <c r="G375" s="661"/>
      <c r="I375" s="694" t="s">
        <v>51</v>
      </c>
      <c r="J375" s="694">
        <v>21277176.300000001</v>
      </c>
    </row>
    <row r="376" spans="2:15" ht="15" thickTop="1">
      <c r="B376" s="703" t="s">
        <v>1287</v>
      </c>
      <c r="C376" s="737"/>
      <c r="D376" s="737"/>
      <c r="E376" s="737"/>
      <c r="F376" s="737"/>
      <c r="G376" s="661"/>
    </row>
    <row r="377" spans="2:15">
      <c r="B377" s="758" t="s">
        <v>1284</v>
      </c>
      <c r="C377" s="737">
        <v>0</v>
      </c>
      <c r="D377" s="737">
        <f>ROUND('BS Grouping'!AC67,)</f>
        <v>31111996</v>
      </c>
      <c r="E377" s="737">
        <f>ROUND(26028210.44+'PL Grouping'!AK180,)</f>
        <v>25680511</v>
      </c>
      <c r="F377" s="737">
        <v>27413964.459999993</v>
      </c>
      <c r="G377" s="661"/>
      <c r="I377" s="694" t="s">
        <v>1287</v>
      </c>
      <c r="M377" s="694">
        <v>60183</v>
      </c>
    </row>
    <row r="378" spans="2:15">
      <c r="B378" s="758" t="s">
        <v>1285</v>
      </c>
      <c r="C378" s="737">
        <f>5511154-151986</f>
        <v>5359168</v>
      </c>
      <c r="D378" s="737">
        <v>0</v>
      </c>
      <c r="E378" s="737">
        <v>1408399</v>
      </c>
      <c r="F378" s="737">
        <v>1707895.2399999998</v>
      </c>
      <c r="G378" s="661"/>
      <c r="I378" s="694" t="s">
        <v>1284</v>
      </c>
      <c r="J378" s="694">
        <v>26028210.439999998</v>
      </c>
      <c r="M378" s="694">
        <v>3679108</v>
      </c>
    </row>
    <row r="379" spans="2:15">
      <c r="B379" s="758" t="s">
        <v>1296</v>
      </c>
      <c r="C379" s="737">
        <v>1408399</v>
      </c>
      <c r="D379" s="737"/>
      <c r="E379" s="737">
        <v>0</v>
      </c>
      <c r="F379" s="737">
        <v>0</v>
      </c>
      <c r="G379" s="661"/>
      <c r="I379" s="694" t="s">
        <v>1285</v>
      </c>
      <c r="J379" s="694">
        <v>1408399.17</v>
      </c>
      <c r="M379" s="694">
        <v>2522709</v>
      </c>
    </row>
    <row r="380" spans="2:15">
      <c r="B380" s="758" t="s">
        <v>1286</v>
      </c>
      <c r="C380" s="737">
        <v>0</v>
      </c>
      <c r="D380" s="737"/>
      <c r="E380" s="737">
        <v>0</v>
      </c>
      <c r="F380" s="737">
        <v>0</v>
      </c>
      <c r="G380" s="661"/>
      <c r="I380" s="694" t="s">
        <v>1296</v>
      </c>
      <c r="M380" s="694">
        <v>717736</v>
      </c>
    </row>
    <row r="381" spans="2:15" ht="15" thickBot="1">
      <c r="B381" s="760" t="s">
        <v>51</v>
      </c>
      <c r="C381" s="742">
        <f>SUM(C377:C380)</f>
        <v>6767567</v>
      </c>
      <c r="D381" s="742">
        <f>SUM(D377:D380)</f>
        <v>31111996</v>
      </c>
      <c r="E381" s="742">
        <f>SUM(E377:E380)</f>
        <v>27088910</v>
      </c>
      <c r="F381" s="742">
        <f>SUM(F377:F380)</f>
        <v>29121859.699999992</v>
      </c>
      <c r="G381" s="661"/>
      <c r="I381" s="694" t="s">
        <v>1286</v>
      </c>
      <c r="M381" s="694">
        <f>SUM(M377:M380)</f>
        <v>6979736</v>
      </c>
      <c r="O381" s="756"/>
    </row>
    <row r="382" spans="2:15" ht="15" thickTop="1">
      <c r="B382" s="820" t="s">
        <v>1288</v>
      </c>
      <c r="C382" s="821"/>
      <c r="D382" s="821"/>
      <c r="E382" s="821"/>
      <c r="F382" s="821"/>
      <c r="G382" s="661"/>
      <c r="I382" s="694" t="s">
        <v>51</v>
      </c>
      <c r="J382" s="694">
        <v>27436609.609999999</v>
      </c>
    </row>
    <row r="383" spans="2:15">
      <c r="B383" s="693"/>
      <c r="C383" s="744"/>
      <c r="D383" s="744"/>
      <c r="E383" s="744"/>
      <c r="F383" s="744"/>
      <c r="G383" s="661"/>
    </row>
    <row r="384" spans="2:15" ht="15" thickBot="1">
      <c r="B384" s="693"/>
      <c r="C384" s="744"/>
      <c r="D384" s="744"/>
      <c r="E384" s="744"/>
      <c r="F384" s="744"/>
      <c r="G384" s="743"/>
      <c r="I384" s="694" t="s">
        <v>51</v>
      </c>
      <c r="J384" s="694">
        <v>48713785.909999996</v>
      </c>
    </row>
    <row r="385" spans="1:12" ht="15" thickTop="1">
      <c r="A385" s="693">
        <f>+A359+1</f>
        <v>22</v>
      </c>
      <c r="B385" s="719" t="s">
        <v>119</v>
      </c>
      <c r="G385" s="744"/>
      <c r="J385" s="708">
        <f>E365</f>
        <v>48366092</v>
      </c>
    </row>
    <row r="386" spans="1:12" ht="29.4" thickBot="1">
      <c r="B386" s="732" t="s">
        <v>0</v>
      </c>
      <c r="C386" s="733" t="str">
        <f>+C360</f>
        <v xml:space="preserve"> As at  31st March, 2024</v>
      </c>
      <c r="D386" s="733" t="str">
        <f>+D360</f>
        <v xml:space="preserve"> As at  30th September, 2023</v>
      </c>
      <c r="E386" s="733" t="str">
        <f>+E360</f>
        <v xml:space="preserve"> As at  31st March, 2023</v>
      </c>
      <c r="F386" s="733" t="str">
        <f>+F360</f>
        <v xml:space="preserve"> As at  31st March, 2022</v>
      </c>
      <c r="G386" s="731"/>
    </row>
    <row r="387" spans="1:12">
      <c r="B387" s="735"/>
      <c r="C387" s="661"/>
      <c r="D387" s="661"/>
      <c r="E387" s="661"/>
      <c r="F387" s="736"/>
      <c r="G387" s="700"/>
    </row>
    <row r="388" spans="1:12" hidden="1">
      <c r="B388" s="706" t="s">
        <v>331</v>
      </c>
      <c r="C388" s="737">
        <f>'BS Grouping'!K185</f>
        <v>0</v>
      </c>
      <c r="D388" s="737">
        <f>'BS Grouping'!AC185</f>
        <v>3679</v>
      </c>
      <c r="E388" s="737">
        <f>'BS Grouping'!AL185*0</f>
        <v>0</v>
      </c>
      <c r="F388" s="737">
        <f>'BS Grouping'!AU185*0</f>
        <v>0</v>
      </c>
      <c r="G388" s="661"/>
      <c r="H388" s="694" t="s">
        <v>449</v>
      </c>
    </row>
    <row r="389" spans="1:12">
      <c r="B389" s="706" t="s">
        <v>108</v>
      </c>
      <c r="C389" s="737">
        <f>ROUND('BS Grouping'!K78,0)</f>
        <v>124819</v>
      </c>
      <c r="D389" s="737">
        <f>ROUND('BS Grouping'!AC78,0)</f>
        <v>19862</v>
      </c>
      <c r="E389" s="737">
        <f>ROUND('BS Grouping'!AL78,0)</f>
        <v>140741</v>
      </c>
      <c r="F389" s="737">
        <f>ROUND('BS Grouping'!AU78,0)</f>
        <v>1280154</v>
      </c>
      <c r="G389" s="661"/>
      <c r="H389" s="694" t="s">
        <v>449</v>
      </c>
    </row>
    <row r="390" spans="1:12">
      <c r="B390" s="706" t="s">
        <v>1020</v>
      </c>
      <c r="C390" s="737">
        <f>ROUND('BS Grouping'!K82,0)</f>
        <v>72687</v>
      </c>
      <c r="D390" s="737">
        <f>ROUND('BS Grouping'!AC82,0)</f>
        <v>0</v>
      </c>
      <c r="E390" s="737">
        <f>ROUND('BS Grouping'!AL82,0)</f>
        <v>0</v>
      </c>
      <c r="F390" s="737">
        <f>ROUND('BS Grouping'!AU82,0)</f>
        <v>0</v>
      </c>
      <c r="G390" s="661"/>
      <c r="H390" s="694" t="s">
        <v>449</v>
      </c>
    </row>
    <row r="391" spans="1:12">
      <c r="B391" s="706" t="s">
        <v>1412</v>
      </c>
      <c r="C391" s="737">
        <f>ROUND('BS Grouping'!K94,)</f>
        <v>0</v>
      </c>
      <c r="D391" s="737">
        <f>ROUND('BS Grouping'!AC94,)</f>
        <v>290368</v>
      </c>
      <c r="E391" s="737">
        <f>ROUND('BS Grouping'!AL94,)</f>
        <v>1508756</v>
      </c>
      <c r="F391" s="737">
        <f>'BS Grouping'!AU94</f>
        <v>126</v>
      </c>
      <c r="G391" s="661"/>
    </row>
    <row r="392" spans="1:12">
      <c r="B392" s="706" t="s">
        <v>232</v>
      </c>
      <c r="C392" s="737">
        <f>ROUND('BS Grouping'!K88,0)-3</f>
        <v>88422</v>
      </c>
      <c r="D392" s="737">
        <f>207180+10</f>
        <v>207190</v>
      </c>
      <c r="E392" s="737">
        <f>ROUND('BS Grouping'!AL88,0)+1</f>
        <v>243654</v>
      </c>
      <c r="F392" s="737">
        <f>ROUND('BS Grouping'!AU88,0)</f>
        <v>481747</v>
      </c>
      <c r="G392" s="661"/>
      <c r="H392" s="694" t="s">
        <v>449</v>
      </c>
      <c r="L392" s="694" t="s">
        <v>1555</v>
      </c>
    </row>
    <row r="393" spans="1:12">
      <c r="B393" s="706"/>
      <c r="C393" s="664"/>
      <c r="D393" s="664"/>
      <c r="E393" s="664"/>
      <c r="F393" s="737"/>
      <c r="G393" s="661"/>
      <c r="H393" s="694" t="s">
        <v>449</v>
      </c>
    </row>
    <row r="394" spans="1:12" ht="15" thickBot="1">
      <c r="B394" s="741" t="s">
        <v>51</v>
      </c>
      <c r="C394" s="742">
        <f>SUM(C388:C392)</f>
        <v>285928</v>
      </c>
      <c r="D394" s="742">
        <f>SUM(D388:D392)</f>
        <v>521099</v>
      </c>
      <c r="E394" s="742">
        <f>SUM(E388:E392)</f>
        <v>1893151</v>
      </c>
      <c r="F394" s="742">
        <f>SUM(F388:F392)</f>
        <v>1762027</v>
      </c>
      <c r="G394" s="661"/>
    </row>
    <row r="395" spans="1:12" ht="15.6" thickTop="1" thickBot="1">
      <c r="G395" s="743"/>
    </row>
    <row r="396" spans="1:12" ht="15" thickTop="1">
      <c r="A396" s="693">
        <f>+A385+1</f>
        <v>23</v>
      </c>
      <c r="B396" s="719" t="s">
        <v>115</v>
      </c>
    </row>
    <row r="397" spans="1:12" ht="29.4" thickBot="1">
      <c r="B397" s="732" t="s">
        <v>0</v>
      </c>
      <c r="C397" s="733" t="str">
        <f>+C386</f>
        <v xml:space="preserve"> As at  31st March, 2024</v>
      </c>
      <c r="D397" s="733" t="str">
        <f>+D386</f>
        <v xml:space="preserve"> As at  30th September, 2023</v>
      </c>
      <c r="E397" s="733" t="str">
        <f>+E386</f>
        <v xml:space="preserve"> As at  31st March, 2023</v>
      </c>
      <c r="F397" s="733" t="str">
        <f>+F386</f>
        <v xml:space="preserve"> As at  31st March, 2022</v>
      </c>
      <c r="G397" s="731"/>
    </row>
    <row r="398" spans="1:12">
      <c r="B398" s="702" t="s">
        <v>747</v>
      </c>
      <c r="C398" s="661"/>
      <c r="D398" s="661"/>
      <c r="E398" s="661"/>
      <c r="F398" s="736"/>
      <c r="G398" s="700"/>
    </row>
    <row r="399" spans="1:12">
      <c r="B399" s="706" t="s">
        <v>116</v>
      </c>
      <c r="C399" s="737">
        <f>ROUND('BS Grouping'!K99,0)</f>
        <v>0</v>
      </c>
      <c r="D399" s="737">
        <f>ROUND('BS Grouping'!AC99,0)</f>
        <v>51053</v>
      </c>
      <c r="E399" s="737">
        <f>ROUND('BS Grouping'!AL99,0)+10</f>
        <v>458097</v>
      </c>
      <c r="F399" s="737">
        <f>ROUND('BS Grouping'!AU99,0)</f>
        <v>351236</v>
      </c>
      <c r="G399" s="661"/>
    </row>
    <row r="400" spans="1:12">
      <c r="B400" s="706" t="s">
        <v>124</v>
      </c>
      <c r="C400" s="737">
        <f>ROUND('BS Grouping'!K102,0)</f>
        <v>0</v>
      </c>
      <c r="D400" s="737">
        <f>ROUND('BS Grouping'!AC102,0)</f>
        <v>0</v>
      </c>
      <c r="E400" s="737">
        <f>ROUND('BS Grouping'!AL102,0)</f>
        <v>20802</v>
      </c>
      <c r="F400" s="737">
        <f>ROUND('BS Grouping'!AU102,0)</f>
        <v>9203</v>
      </c>
      <c r="G400" s="661"/>
      <c r="H400" s="694" t="s">
        <v>449</v>
      </c>
    </row>
    <row r="401" spans="1:16">
      <c r="B401" s="706" t="s">
        <v>126</v>
      </c>
      <c r="C401" s="737">
        <f>ROUND('BS Grouping'!K106,0)</f>
        <v>0</v>
      </c>
      <c r="D401" s="737">
        <f>ROUND('BS Grouping'!AC106,0)</f>
        <v>0</v>
      </c>
      <c r="E401" s="737">
        <f>ROUND('BS Grouping'!AL106,0)</f>
        <v>158061</v>
      </c>
      <c r="F401" s="737">
        <f>ROUND('BS Grouping'!AU106,0)</f>
        <v>124009</v>
      </c>
      <c r="G401" s="661"/>
      <c r="H401" s="694" t="s">
        <v>364</v>
      </c>
      <c r="K401" s="708">
        <f>E400+E337</f>
        <v>730309</v>
      </c>
      <c r="L401" s="740"/>
      <c r="M401" s="708"/>
      <c r="P401" s="708"/>
    </row>
    <row r="402" spans="1:16" ht="19.5" customHeight="1">
      <c r="B402" s="706"/>
      <c r="C402" s="664"/>
      <c r="D402" s="664"/>
      <c r="E402" s="664"/>
      <c r="F402" s="737"/>
      <c r="G402" s="661"/>
      <c r="H402" s="694" t="s">
        <v>364</v>
      </c>
      <c r="K402" s="708">
        <f>E401+E338</f>
        <v>1662078</v>
      </c>
      <c r="L402" s="740"/>
      <c r="M402" s="708"/>
    </row>
    <row r="403" spans="1:16" ht="15" thickBot="1">
      <c r="B403" s="741" t="s">
        <v>51</v>
      </c>
      <c r="C403" s="742">
        <f>SUM(C399:C402)</f>
        <v>0</v>
      </c>
      <c r="D403" s="742">
        <f>SUM(D399:D402)</f>
        <v>51053</v>
      </c>
      <c r="E403" s="742">
        <f>SUM(E399:E402)</f>
        <v>636960</v>
      </c>
      <c r="F403" s="742">
        <f>SUM(F399:F402)</f>
        <v>484448</v>
      </c>
      <c r="G403" s="661"/>
    </row>
    <row r="404" spans="1:16" ht="11.25" customHeight="1" thickTop="1" thickBot="1">
      <c r="B404" s="693"/>
      <c r="C404" s="744"/>
      <c r="D404" s="744"/>
      <c r="E404" s="744"/>
      <c r="F404" s="744"/>
      <c r="G404" s="743"/>
    </row>
    <row r="405" spans="1:16" ht="15" thickTop="1">
      <c r="A405" s="693">
        <f>A396+1</f>
        <v>24</v>
      </c>
      <c r="B405" s="693" t="s">
        <v>879</v>
      </c>
      <c r="F405" s="744"/>
      <c r="G405" s="744"/>
    </row>
    <row r="406" spans="1:16">
      <c r="A406" s="694"/>
      <c r="B406" s="822"/>
      <c r="C406" s="822"/>
      <c r="D406" s="822"/>
      <c r="E406" s="822"/>
      <c r="F406" s="822"/>
      <c r="G406" s="744"/>
    </row>
    <row r="407" spans="1:16">
      <c r="A407" s="694"/>
      <c r="B407" s="767" t="s">
        <v>0</v>
      </c>
      <c r="C407" s="768" t="s">
        <v>556</v>
      </c>
      <c r="D407" s="835">
        <v>45199</v>
      </c>
      <c r="E407" s="768" t="str">
        <f>E420</f>
        <v>2022-23</v>
      </c>
      <c r="F407" s="768" t="str">
        <f>F420</f>
        <v>2021-22</v>
      </c>
      <c r="G407" s="744"/>
    </row>
    <row r="408" spans="1:16">
      <c r="A408" s="694"/>
      <c r="B408" s="823" t="s">
        <v>1475</v>
      </c>
      <c r="C408" s="824"/>
      <c r="D408" s="824"/>
      <c r="E408" s="824"/>
      <c r="F408" s="824"/>
      <c r="G408" s="744"/>
    </row>
    <row r="409" spans="1:16">
      <c r="A409" s="694"/>
      <c r="B409" s="825" t="s">
        <v>1476</v>
      </c>
      <c r="C409" s="826"/>
      <c r="D409" s="826"/>
      <c r="E409" s="826"/>
      <c r="F409" s="826"/>
      <c r="G409" s="744"/>
    </row>
    <row r="410" spans="1:16">
      <c r="A410" s="694"/>
      <c r="B410" s="827" t="s">
        <v>1477</v>
      </c>
      <c r="C410" s="702"/>
      <c r="D410" s="702"/>
      <c r="E410" s="702"/>
      <c r="F410" s="702"/>
      <c r="G410" s="744"/>
    </row>
    <row r="411" spans="1:16">
      <c r="A411" s="694"/>
      <c r="B411" s="828" t="s">
        <v>1478</v>
      </c>
      <c r="C411" s="829">
        <f>PL!C25</f>
        <v>0</v>
      </c>
      <c r="D411" s="829">
        <f>PL!E25</f>
        <v>0</v>
      </c>
      <c r="E411" s="829">
        <f>PL!F25</f>
        <v>0</v>
      </c>
      <c r="F411" s="829">
        <f>PL!G25</f>
        <v>0</v>
      </c>
      <c r="G411" s="744"/>
    </row>
    <row r="412" spans="1:16">
      <c r="A412" s="694"/>
      <c r="B412" s="828" t="s">
        <v>1479</v>
      </c>
      <c r="C412" s="829">
        <f>PL!C26</f>
        <v>0</v>
      </c>
      <c r="D412" s="829">
        <f>PL!E26</f>
        <v>-7416129</v>
      </c>
      <c r="E412" s="829">
        <f>PL!F26</f>
        <v>-749317</v>
      </c>
      <c r="F412" s="829">
        <f>PL!G26</f>
        <v>0</v>
      </c>
      <c r="G412" s="744"/>
    </row>
    <row r="413" spans="1:16">
      <c r="A413" s="694"/>
      <c r="B413" s="830" t="s">
        <v>1480</v>
      </c>
      <c r="C413" s="831">
        <f>+SUM(C411:C412)</f>
        <v>0</v>
      </c>
      <c r="D413" s="831">
        <f>+SUM(D411:D412)</f>
        <v>-7416129</v>
      </c>
      <c r="E413" s="831">
        <f>+SUM(E411:E412)</f>
        <v>-749317</v>
      </c>
      <c r="F413" s="831">
        <f>+SUM(F411:F412)</f>
        <v>0</v>
      </c>
      <c r="G413" s="744"/>
    </row>
    <row r="414" spans="1:16">
      <c r="A414" s="694"/>
      <c r="B414" s="827"/>
      <c r="C414" s="702"/>
      <c r="D414" s="702"/>
      <c r="E414" s="702"/>
      <c r="F414" s="702"/>
      <c r="G414" s="744"/>
    </row>
    <row r="415" spans="1:16">
      <c r="A415" s="694"/>
      <c r="B415" s="827" t="s">
        <v>1481</v>
      </c>
      <c r="C415" s="702"/>
      <c r="D415" s="702"/>
      <c r="E415" s="702"/>
      <c r="F415" s="702"/>
      <c r="G415" s="744"/>
    </row>
    <row r="416" spans="1:16">
      <c r="A416" s="694"/>
      <c r="B416" s="828" t="s">
        <v>1482</v>
      </c>
      <c r="C416" s="803">
        <v>0</v>
      </c>
      <c r="D416" s="803">
        <v>0</v>
      </c>
      <c r="E416" s="803">
        <v>0</v>
      </c>
      <c r="F416" s="803">
        <v>0</v>
      </c>
      <c r="G416" s="744"/>
    </row>
    <row r="417" spans="1:10">
      <c r="A417" s="694"/>
      <c r="B417" s="832" t="s">
        <v>1483</v>
      </c>
      <c r="C417" s="833">
        <f>+C416</f>
        <v>0</v>
      </c>
      <c r="D417" s="833">
        <f>+D416</f>
        <v>0</v>
      </c>
      <c r="E417" s="833">
        <f>+E416</f>
        <v>0</v>
      </c>
      <c r="F417" s="833">
        <f>+F416</f>
        <v>0</v>
      </c>
      <c r="G417" s="744"/>
    </row>
    <row r="418" spans="1:10">
      <c r="A418" s="694"/>
      <c r="B418" s="822"/>
      <c r="C418" s="822"/>
      <c r="D418" s="822"/>
      <c r="E418" s="822"/>
      <c r="F418" s="822"/>
      <c r="G418" s="744"/>
    </row>
    <row r="419" spans="1:10">
      <c r="A419" s="693">
        <f>+A405+1</f>
        <v>25</v>
      </c>
      <c r="B419" s="719" t="s">
        <v>28</v>
      </c>
      <c r="G419" s="834"/>
      <c r="H419" s="834"/>
    </row>
    <row r="420" spans="1:10">
      <c r="B420" s="767" t="s">
        <v>0</v>
      </c>
      <c r="C420" s="835" t="str">
        <f>C407</f>
        <v>2023-24</v>
      </c>
      <c r="D420" s="835">
        <v>45199</v>
      </c>
      <c r="E420" s="768" t="s">
        <v>549</v>
      </c>
      <c r="F420" s="768" t="s">
        <v>548</v>
      </c>
    </row>
    <row r="421" spans="1:10">
      <c r="B421" s="769"/>
      <c r="C421" s="836"/>
      <c r="D421" s="836"/>
      <c r="E421" s="837"/>
      <c r="F421" s="770"/>
      <c r="G421" s="768"/>
    </row>
    <row r="422" spans="1:10">
      <c r="B422" s="771" t="s">
        <v>233</v>
      </c>
      <c r="C422" s="772">
        <f>ROUND('PL Grouping'!K10,0)</f>
        <v>15762039</v>
      </c>
      <c r="D422" s="772">
        <f>ROUND('PL Grouping'!AC10,0)</f>
        <v>11010719</v>
      </c>
      <c r="E422" s="772">
        <f>ROUND('PL Grouping'!AL10,0)</f>
        <v>64296378</v>
      </c>
      <c r="F422" s="772">
        <f>ROUND('PL Grouping'!AU10,0)</f>
        <v>64459893</v>
      </c>
      <c r="G422" s="770"/>
    </row>
    <row r="423" spans="1:10">
      <c r="B423" s="771" t="s">
        <v>234</v>
      </c>
      <c r="C423" s="670">
        <v>0</v>
      </c>
      <c r="D423" s="670">
        <v>0</v>
      </c>
      <c r="E423" s="670">
        <v>0</v>
      </c>
      <c r="F423" s="772">
        <v>0</v>
      </c>
      <c r="G423" s="773"/>
      <c r="H423" s="694" t="s">
        <v>449</v>
      </c>
    </row>
    <row r="424" spans="1:10" ht="15" thickBot="1">
      <c r="B424" s="774" t="s">
        <v>51</v>
      </c>
      <c r="C424" s="729">
        <f>SUM(C422:C423)</f>
        <v>15762039</v>
      </c>
      <c r="D424" s="729">
        <f>SUM(D422:D423)</f>
        <v>11010719</v>
      </c>
      <c r="E424" s="729">
        <f>SUM(E422:E423)</f>
        <v>64296378</v>
      </c>
      <c r="F424" s="729">
        <f>SUM(F422:F423)</f>
        <v>64459893</v>
      </c>
      <c r="G424" s="773"/>
      <c r="H424" s="694" t="s">
        <v>449</v>
      </c>
    </row>
    <row r="425" spans="1:10" ht="9.75" customHeight="1" thickTop="1" thickBot="1">
      <c r="G425" s="668"/>
    </row>
    <row r="426" spans="1:10" ht="15" thickTop="1">
      <c r="A426" s="693">
        <f>+A419+1</f>
        <v>26</v>
      </c>
      <c r="B426" s="719" t="s">
        <v>29</v>
      </c>
    </row>
    <row r="427" spans="1:10">
      <c r="B427" s="767" t="s">
        <v>0</v>
      </c>
      <c r="C427" s="835" t="str">
        <f>+C420</f>
        <v>2023-24</v>
      </c>
      <c r="D427" s="835">
        <f>+D420</f>
        <v>45199</v>
      </c>
      <c r="E427" s="768" t="str">
        <f>+E420</f>
        <v>2022-23</v>
      </c>
      <c r="F427" s="768" t="str">
        <f>+F420</f>
        <v>2021-22</v>
      </c>
    </row>
    <row r="428" spans="1:10" ht="8.25" customHeight="1">
      <c r="B428" s="769"/>
      <c r="C428" s="836"/>
      <c r="D428" s="836"/>
      <c r="E428" s="837"/>
      <c r="F428" s="770"/>
      <c r="G428" s="768"/>
    </row>
    <row r="429" spans="1:10">
      <c r="B429" s="771" t="s">
        <v>235</v>
      </c>
      <c r="C429" s="773"/>
      <c r="D429" s="773"/>
      <c r="E429" s="773"/>
      <c r="F429" s="773"/>
      <c r="G429" s="770"/>
    </row>
    <row r="430" spans="1:10">
      <c r="B430" s="771" t="s">
        <v>236</v>
      </c>
      <c r="C430" s="772">
        <f>ROUND('PL Grouping'!K20,0)</f>
        <v>5231</v>
      </c>
      <c r="D430" s="772">
        <f>ROUND('PL Grouping'!AC20,0)</f>
        <v>5705</v>
      </c>
      <c r="E430" s="772">
        <f>ROUND('PL Grouping'!AL20,0)</f>
        <v>5186</v>
      </c>
      <c r="F430" s="772">
        <f>ROUND('PL Grouping'!AU20,0)</f>
        <v>4729</v>
      </c>
      <c r="G430" s="773"/>
      <c r="I430" s="694">
        <v>5231</v>
      </c>
      <c r="J430" s="756">
        <f>C430-I430</f>
        <v>0</v>
      </c>
    </row>
    <row r="431" spans="1:10">
      <c r="B431" s="771" t="s">
        <v>447</v>
      </c>
      <c r="C431" s="772">
        <f>ROUND('PL Grouping'!K26,0)</f>
        <v>5804</v>
      </c>
      <c r="D431" s="772">
        <f>ROUND('PL Grouping'!AC26,0)</f>
        <v>0</v>
      </c>
      <c r="E431" s="772">
        <f>ROUND('PL Grouping'!AL26,0)</f>
        <v>2797</v>
      </c>
      <c r="F431" s="772">
        <f>ROUND('PL Grouping'!AU26,0)</f>
        <v>8748</v>
      </c>
      <c r="G431" s="773"/>
      <c r="H431" s="694" t="s">
        <v>449</v>
      </c>
      <c r="I431" s="694">
        <v>5804</v>
      </c>
      <c r="J431" s="756">
        <f t="shared" ref="J431:J437" si="2">C431-I431</f>
        <v>0</v>
      </c>
    </row>
    <row r="432" spans="1:10">
      <c r="B432" s="771" t="s">
        <v>1127</v>
      </c>
      <c r="C432" s="772">
        <f>ROUND('PL Grouping'!K67,0)*0</f>
        <v>0</v>
      </c>
      <c r="D432" s="772">
        <f>ROUND('PL Grouping'!AC67,0)</f>
        <v>33352</v>
      </c>
      <c r="E432" s="772">
        <f>ROUND('PL Grouping'!AL67,0)</f>
        <v>13234</v>
      </c>
      <c r="F432" s="772">
        <f>ROUND('PL Grouping'!AU67,0)</f>
        <v>24198</v>
      </c>
      <c r="G432" s="773"/>
      <c r="H432" s="694" t="s">
        <v>449</v>
      </c>
      <c r="I432" s="694">
        <v>0</v>
      </c>
      <c r="J432" s="756">
        <f t="shared" si="2"/>
        <v>0</v>
      </c>
    </row>
    <row r="433" spans="1:17" hidden="1">
      <c r="B433" s="771" t="s">
        <v>1441</v>
      </c>
      <c r="C433" s="772">
        <f>((ROUND('PL Grouping'!K36,0)*-1))*0</f>
        <v>0</v>
      </c>
      <c r="D433" s="772">
        <f>ROUND('PL Grouping'!AC36,0)*0</f>
        <v>0</v>
      </c>
      <c r="E433" s="772">
        <f>ROUND('PL Grouping'!AL36,0)*0</f>
        <v>0</v>
      </c>
      <c r="F433" s="772">
        <f>ROUND('PL Grouping'!AM36,0)</f>
        <v>2435</v>
      </c>
      <c r="G433" s="773"/>
      <c r="I433" s="694">
        <v>0</v>
      </c>
      <c r="J433" s="756">
        <f t="shared" si="2"/>
        <v>0</v>
      </c>
      <c r="P433" s="708"/>
    </row>
    <row r="434" spans="1:17">
      <c r="B434" s="771" t="s">
        <v>1626</v>
      </c>
      <c r="C434" s="772">
        <f>ROUND('PL Grouping'!K67,0)*0+33352</f>
        <v>33352</v>
      </c>
      <c r="D434" s="772"/>
      <c r="E434" s="772">
        <v>0</v>
      </c>
      <c r="F434" s="772"/>
      <c r="G434" s="773"/>
      <c r="I434" s="694">
        <v>33352</v>
      </c>
      <c r="J434" s="756">
        <f t="shared" si="2"/>
        <v>0</v>
      </c>
      <c r="P434" s="708"/>
    </row>
    <row r="435" spans="1:17">
      <c r="B435" s="771" t="s">
        <v>237</v>
      </c>
      <c r="C435" s="772">
        <f>+ROUND('PL Grouping'!K41,0)</f>
        <v>14100590</v>
      </c>
      <c r="D435" s="772"/>
      <c r="E435" s="772">
        <f>ROUND('PL Grouping'!AL41,0)-20</f>
        <v>40825</v>
      </c>
      <c r="F435" s="772">
        <f>ROUND('PL Grouping'!AU41,0)-1</f>
        <v>269244</v>
      </c>
      <c r="G435" s="773"/>
      <c r="H435" s="694" t="s">
        <v>449</v>
      </c>
      <c r="I435" s="694">
        <v>14100590</v>
      </c>
      <c r="J435" s="756">
        <f t="shared" si="2"/>
        <v>0</v>
      </c>
    </row>
    <row r="436" spans="1:17">
      <c r="B436" s="771" t="s">
        <v>238</v>
      </c>
      <c r="C436" s="772">
        <f>ROUND('PL Grouping'!K59,0)</f>
        <v>329695</v>
      </c>
      <c r="D436" s="772">
        <f>ROUND('PL Grouping'!AC59,0)+ROUND('PL Grouping'!AC41,0)</f>
        <v>8706412</v>
      </c>
      <c r="E436" s="772">
        <f>ROUND('PL Grouping'!AL59,0)</f>
        <v>2252735</v>
      </c>
      <c r="F436" s="772">
        <f>ROUND('PL Grouping'!AU59,0)</f>
        <v>1201610</v>
      </c>
      <c r="G436" s="773"/>
      <c r="H436" s="694" t="s">
        <v>340</v>
      </c>
      <c r="I436" s="694">
        <v>39229695</v>
      </c>
      <c r="J436" s="756">
        <f t="shared" si="2"/>
        <v>-38900000</v>
      </c>
    </row>
    <row r="437" spans="1:17">
      <c r="B437" s="771" t="s">
        <v>239</v>
      </c>
      <c r="C437" s="772">
        <f>ROUND('PL Grouping'!K72,0)</f>
        <v>48850</v>
      </c>
      <c r="D437" s="772">
        <f>ROUND('PL Grouping'!AC72,0)</f>
        <v>48850</v>
      </c>
      <c r="E437" s="772">
        <f>ROUND('PL Grouping'!AL72,0)</f>
        <v>480535</v>
      </c>
      <c r="F437" s="772">
        <f>ROUND('PL Grouping'!AU72,0)</f>
        <v>266584</v>
      </c>
      <c r="G437" s="773"/>
      <c r="H437" s="694" t="s">
        <v>449</v>
      </c>
      <c r="I437" s="694">
        <v>48850</v>
      </c>
      <c r="J437" s="756">
        <f t="shared" si="2"/>
        <v>0</v>
      </c>
    </row>
    <row r="438" spans="1:17" ht="15" thickBot="1">
      <c r="B438" s="774" t="s">
        <v>51</v>
      </c>
      <c r="C438" s="729">
        <f>SUM(C429:C437)</f>
        <v>14523522</v>
      </c>
      <c r="D438" s="729">
        <f>SUM(D429:D437)</f>
        <v>8794319</v>
      </c>
      <c r="E438" s="729">
        <f>SUM(E429:E437)+20</f>
        <v>2795332</v>
      </c>
      <c r="F438" s="729">
        <f>SUM(F429:F437)</f>
        <v>1777548</v>
      </c>
      <c r="G438" s="773"/>
      <c r="H438" s="694" t="s">
        <v>449</v>
      </c>
      <c r="O438" s="708"/>
      <c r="Q438" s="708"/>
    </row>
    <row r="439" spans="1:17" ht="15.6" thickTop="1" thickBot="1">
      <c r="G439" s="668"/>
    </row>
    <row r="440" spans="1:17" ht="15" thickTop="1">
      <c r="A440" s="693">
        <f>+A426+1</f>
        <v>27</v>
      </c>
      <c r="B440" s="719" t="s">
        <v>245</v>
      </c>
    </row>
    <row r="441" spans="1:17">
      <c r="A441" s="694"/>
      <c r="B441" s="767" t="s">
        <v>0</v>
      </c>
      <c r="C441" s="835" t="str">
        <f>+C427</f>
        <v>2023-24</v>
      </c>
      <c r="D441" s="835">
        <f>+D427</f>
        <v>45199</v>
      </c>
      <c r="E441" s="768" t="str">
        <f>+E427</f>
        <v>2022-23</v>
      </c>
      <c r="F441" s="768" t="str">
        <f>+F427</f>
        <v>2021-22</v>
      </c>
    </row>
    <row r="442" spans="1:17" ht="12" customHeight="1">
      <c r="B442" s="769"/>
      <c r="C442" s="770"/>
      <c r="D442" s="770"/>
      <c r="E442" s="770"/>
      <c r="F442" s="770"/>
      <c r="G442" s="768"/>
    </row>
    <row r="443" spans="1:17">
      <c r="B443" s="771" t="s">
        <v>245</v>
      </c>
      <c r="C443" s="772">
        <f>ROUND('PL Grouping'!K97,0)</f>
        <v>-217287</v>
      </c>
      <c r="D443" s="772">
        <f>ROUND('PL Grouping'!AC97,0)</f>
        <v>-1757563</v>
      </c>
      <c r="E443" s="772">
        <f>ROUND('PL Grouping'!AL97,0)</f>
        <v>49863845</v>
      </c>
      <c r="F443" s="772">
        <f>ROUND('PL Grouping'!AU97,0)</f>
        <v>56229180</v>
      </c>
      <c r="G443" s="770"/>
    </row>
    <row r="444" spans="1:17" ht="15" thickBot="1">
      <c r="B444" s="774" t="s">
        <v>51</v>
      </c>
      <c r="C444" s="729">
        <f>SUM(C443:C443)</f>
        <v>-217287</v>
      </c>
      <c r="D444" s="729">
        <f>SUM(D443:D443)</f>
        <v>-1757563</v>
      </c>
      <c r="E444" s="729">
        <f>SUM(E443:E443)</f>
        <v>49863845</v>
      </c>
      <c r="F444" s="729">
        <f>SUM(F443:F443)</f>
        <v>56229180</v>
      </c>
      <c r="G444" s="773"/>
      <c r="H444" s="694" t="s">
        <v>449</v>
      </c>
    </row>
    <row r="445" spans="1:17" ht="15.6" thickTop="1" thickBot="1">
      <c r="G445" s="668"/>
    </row>
    <row r="446" spans="1:17" ht="15" thickTop="1">
      <c r="A446" s="693">
        <f>+A440+1</f>
        <v>28</v>
      </c>
      <c r="B446" s="719" t="s">
        <v>358</v>
      </c>
    </row>
    <row r="447" spans="1:17">
      <c r="B447" s="767" t="s">
        <v>0</v>
      </c>
      <c r="C447" s="835" t="str">
        <f>+C441</f>
        <v>2023-24</v>
      </c>
      <c r="D447" s="835">
        <f>+D441</f>
        <v>45199</v>
      </c>
      <c r="E447" s="768" t="str">
        <f>+E441</f>
        <v>2022-23</v>
      </c>
      <c r="F447" s="768" t="str">
        <f>+F441</f>
        <v>2021-22</v>
      </c>
    </row>
    <row r="448" spans="1:17">
      <c r="B448" s="769"/>
      <c r="C448" s="770"/>
      <c r="D448" s="770"/>
      <c r="E448" s="770"/>
      <c r="F448" s="770"/>
      <c r="G448" s="768"/>
    </row>
    <row r="449" spans="1:18">
      <c r="B449" s="771" t="s">
        <v>240</v>
      </c>
      <c r="C449" s="773"/>
      <c r="D449" s="773"/>
      <c r="E449" s="773"/>
      <c r="F449" s="773"/>
      <c r="G449" s="770"/>
    </row>
    <row r="450" spans="1:18">
      <c r="B450" s="771" t="s">
        <v>241</v>
      </c>
      <c r="C450" s="813">
        <f>ROUND('PL Grouping'!K100,0)</f>
        <v>0</v>
      </c>
      <c r="D450" s="813">
        <f>ROUND('PL Grouping'!AC100,0)</f>
        <v>12662643</v>
      </c>
      <c r="E450" s="813">
        <f>ROUND('PL Grouping'!AL100,0)</f>
        <v>28060951</v>
      </c>
      <c r="F450" s="813">
        <f>ROUND('PL Grouping'!AU100,0)</f>
        <v>26273701</v>
      </c>
      <c r="G450" s="773"/>
    </row>
    <row r="451" spans="1:18">
      <c r="B451" s="771"/>
      <c r="C451" s="772">
        <f>SUM(C450)</f>
        <v>0</v>
      </c>
      <c r="D451" s="772">
        <f>SUM(D450)</f>
        <v>12662643</v>
      </c>
      <c r="E451" s="772">
        <f>SUM(E450)</f>
        <v>28060951</v>
      </c>
      <c r="F451" s="772">
        <f>SUM(F450)</f>
        <v>26273701</v>
      </c>
      <c r="G451" s="838"/>
      <c r="H451" s="694" t="s">
        <v>1</v>
      </c>
      <c r="Q451" s="708"/>
      <c r="R451" s="708"/>
    </row>
    <row r="452" spans="1:18">
      <c r="B452" s="771" t="s">
        <v>242</v>
      </c>
      <c r="C452" s="772"/>
      <c r="D452" s="772"/>
      <c r="E452" s="772"/>
      <c r="F452" s="772"/>
      <c r="G452" s="773"/>
    </row>
    <row r="453" spans="1:18">
      <c r="B453" s="771" t="s">
        <v>241</v>
      </c>
      <c r="C453" s="813">
        <f>E450</f>
        <v>28060951</v>
      </c>
      <c r="D453" s="813">
        <f>E450</f>
        <v>28060951</v>
      </c>
      <c r="E453" s="813">
        <f>ROUND('PL Grouping'!AL104,0)</f>
        <v>26273702</v>
      </c>
      <c r="F453" s="813">
        <f>ROUND('PL Grouping'!AU104,0)</f>
        <v>16809088</v>
      </c>
      <c r="G453" s="773"/>
      <c r="Q453" s="708"/>
      <c r="R453" s="708"/>
    </row>
    <row r="454" spans="1:18">
      <c r="B454" s="771"/>
      <c r="C454" s="772">
        <f>SUM(C453)</f>
        <v>28060951</v>
      </c>
      <c r="D454" s="772">
        <f>SUM(D453)</f>
        <v>28060951</v>
      </c>
      <c r="E454" s="772">
        <f>SUM(E453)</f>
        <v>26273702</v>
      </c>
      <c r="F454" s="772">
        <f>SUM(F453)</f>
        <v>16809088</v>
      </c>
      <c r="G454" s="838"/>
      <c r="H454" s="694" t="s">
        <v>459</v>
      </c>
    </row>
    <row r="455" spans="1:18" ht="15" thickBot="1">
      <c r="B455" s="774" t="s">
        <v>51</v>
      </c>
      <c r="C455" s="729">
        <f>+C454-C451</f>
        <v>28060951</v>
      </c>
      <c r="D455" s="729">
        <f>+D454-D451</f>
        <v>15398308</v>
      </c>
      <c r="E455" s="729">
        <f>+E454-E451</f>
        <v>-1787249</v>
      </c>
      <c r="F455" s="729">
        <f>+F454-F451</f>
        <v>-9464613</v>
      </c>
      <c r="G455" s="773"/>
      <c r="I455" s="756">
        <f>D453-E450</f>
        <v>0</v>
      </c>
    </row>
    <row r="456" spans="1:18" ht="10.5" customHeight="1" thickTop="1" thickBot="1">
      <c r="C456" s="766"/>
      <c r="D456" s="766"/>
      <c r="E456" s="766"/>
      <c r="F456" s="766"/>
      <c r="G456" s="668"/>
    </row>
    <row r="457" spans="1:18" ht="15" thickTop="1">
      <c r="A457" s="693">
        <f>+A446+1</f>
        <v>29</v>
      </c>
      <c r="B457" s="719" t="s">
        <v>359</v>
      </c>
    </row>
    <row r="458" spans="1:18">
      <c r="B458" s="767" t="s">
        <v>0</v>
      </c>
      <c r="C458" s="835" t="str">
        <f>+C447</f>
        <v>2023-24</v>
      </c>
      <c r="D458" s="835">
        <f>+D447</f>
        <v>45199</v>
      </c>
      <c r="E458" s="768" t="str">
        <f>+E447</f>
        <v>2022-23</v>
      </c>
      <c r="F458" s="768" t="str">
        <f>+F447</f>
        <v>2021-22</v>
      </c>
    </row>
    <row r="459" spans="1:18" ht="11.25" customHeight="1">
      <c r="B459" s="769"/>
      <c r="C459" s="770"/>
      <c r="D459" s="770"/>
      <c r="E459" s="770"/>
      <c r="F459" s="770"/>
      <c r="G459" s="768"/>
    </row>
    <row r="460" spans="1:18">
      <c r="B460" s="771" t="s">
        <v>243</v>
      </c>
      <c r="C460" s="772">
        <f>ROUND('PL Grouping'!K124,0)</f>
        <v>5835898</v>
      </c>
      <c r="D460" s="772">
        <f>ROUND('PL Grouping'!AC124,0)</f>
        <v>5686581</v>
      </c>
      <c r="E460" s="772">
        <f>ROUND('PL Grouping'!AL124,0)</f>
        <v>19418450</v>
      </c>
      <c r="F460" s="772">
        <f>ROUND('PL Grouping'!AU124,0)</f>
        <v>14314180</v>
      </c>
      <c r="G460" s="770"/>
    </row>
    <row r="461" spans="1:18">
      <c r="B461" s="771" t="str">
        <f>"Contribution to provident and other funds (Also, refer note no."&amp;'Employee benefits Note 36'!$A$5&amp;")"</f>
        <v>Contribution to provident and other funds (Also, refer note no.36)</v>
      </c>
      <c r="C461" s="772">
        <f>ROUND('PL Grouping'!K133,0)</f>
        <v>275348</v>
      </c>
      <c r="D461" s="772">
        <f>ROUND('PL Grouping'!AC133,0)</f>
        <v>241699</v>
      </c>
      <c r="E461" s="772">
        <f>ROUND('PL Grouping'!AL133,0)</f>
        <v>921025</v>
      </c>
      <c r="F461" s="772">
        <f>ROUND('PL Grouping'!AU133,0)</f>
        <v>641468</v>
      </c>
      <c r="G461" s="773"/>
      <c r="H461" s="694" t="s">
        <v>449</v>
      </c>
      <c r="L461" s="694">
        <f>'Employee benefits Note 36'!A5</f>
        <v>36</v>
      </c>
    </row>
    <row r="462" spans="1:18">
      <c r="B462" s="771" t="str">
        <f>"Contribution to gratuity (Also, refer note no."&amp;'Employee benefits Note 36'!$A$5&amp;")"</f>
        <v>Contribution to gratuity (Also, refer note no.36)</v>
      </c>
      <c r="C462" s="772">
        <f>ROUND('PL Grouping'!K138,0)</f>
        <v>0</v>
      </c>
      <c r="D462" s="772">
        <f>ROUND('PL Grouping'!AC138,0)</f>
        <v>0</v>
      </c>
      <c r="E462" s="772">
        <f>ROUND('PL Grouping'!AL138,0)</f>
        <v>210410</v>
      </c>
      <c r="F462" s="772">
        <f>ROUND('PL Grouping'!AU138,0)</f>
        <v>188986</v>
      </c>
      <c r="G462" s="773"/>
      <c r="H462" s="694" t="s">
        <v>449</v>
      </c>
      <c r="I462" s="694">
        <v>49624</v>
      </c>
    </row>
    <row r="463" spans="1:18">
      <c r="B463" s="771" t="str">
        <f>"Leave encashment (Also, refer note no."&amp;'Employee benefits Note 36'!$A$5&amp;")"</f>
        <v>Leave encashment (Also, refer note no.36)</v>
      </c>
      <c r="C463" s="772">
        <f>ROUND('PL Grouping'!K143,0)</f>
        <v>0</v>
      </c>
      <c r="D463" s="772">
        <f>ROUND('PL Grouping'!AC143,0)</f>
        <v>0</v>
      </c>
      <c r="E463" s="772">
        <f>ROUND('PL Grouping'!AL143,0)</f>
        <v>479272</v>
      </c>
      <c r="F463" s="772">
        <f>ROUND('PL Grouping'!AU143,0)</f>
        <v>493373</v>
      </c>
      <c r="G463" s="773"/>
      <c r="H463" s="694" t="s">
        <v>449</v>
      </c>
    </row>
    <row r="464" spans="1:18" hidden="1">
      <c r="B464" s="771" t="s">
        <v>560</v>
      </c>
      <c r="C464" s="772">
        <f>ROUND('PL Grouping'!K147,0)</f>
        <v>0</v>
      </c>
      <c r="D464" s="772">
        <f>ROUND('PL Grouping'!AC147,0)</f>
        <v>0</v>
      </c>
      <c r="E464" s="772">
        <f>ROUND('PL Grouping'!AL147,0)</f>
        <v>0</v>
      </c>
      <c r="F464" s="772">
        <f>ROUND('PL Grouping'!AU147,0)</f>
        <v>2073850</v>
      </c>
      <c r="G464" s="773"/>
      <c r="H464" s="694" t="s">
        <v>449</v>
      </c>
    </row>
    <row r="465" spans="1:9">
      <c r="B465" s="771" t="s">
        <v>244</v>
      </c>
      <c r="C465" s="772">
        <f>ROUND('PL Grouping'!K153,0)</f>
        <v>85751</v>
      </c>
      <c r="D465" s="772">
        <f>ROUND('PL Grouping'!AC153,0)</f>
        <v>85751</v>
      </c>
      <c r="E465" s="772">
        <f>ROUND('PL Grouping'!AL153,0)</f>
        <v>563378</v>
      </c>
      <c r="F465" s="772">
        <f>ROUND('PL Grouping'!AU153,0)</f>
        <v>227058</v>
      </c>
      <c r="G465" s="773"/>
    </row>
    <row r="466" spans="1:9" ht="15" thickBot="1">
      <c r="B466" s="774" t="s">
        <v>51</v>
      </c>
      <c r="C466" s="729">
        <f>SUM(C460:C465)</f>
        <v>6196997</v>
      </c>
      <c r="D466" s="729">
        <f>SUM(D460:D465)</f>
        <v>6014031</v>
      </c>
      <c r="E466" s="729">
        <f>SUM(E460:E465)</f>
        <v>21592535</v>
      </c>
      <c r="F466" s="729">
        <f>SUM(F460:F465)</f>
        <v>17938915</v>
      </c>
      <c r="G466" s="773"/>
      <c r="H466" s="694" t="s">
        <v>449</v>
      </c>
      <c r="I466" s="708"/>
    </row>
    <row r="467" spans="1:9" ht="7.5" customHeight="1" thickTop="1" thickBot="1">
      <c r="C467" s="766"/>
      <c r="D467" s="766"/>
      <c r="E467" s="766"/>
      <c r="F467" s="766"/>
      <c r="G467" s="668"/>
    </row>
    <row r="468" spans="1:9" ht="15" thickTop="1">
      <c r="A468" s="693">
        <f>+A457+1</f>
        <v>30</v>
      </c>
      <c r="B468" s="719" t="s">
        <v>360</v>
      </c>
      <c r="C468" s="839"/>
      <c r="D468" s="839"/>
      <c r="E468" s="766"/>
      <c r="F468" s="766"/>
    </row>
    <row r="469" spans="1:9">
      <c r="B469" s="767" t="s">
        <v>0</v>
      </c>
      <c r="C469" s="835" t="str">
        <f>+C458</f>
        <v>2023-24</v>
      </c>
      <c r="D469" s="835">
        <f>+D458</f>
        <v>45199</v>
      </c>
      <c r="E469" s="840" t="str">
        <f>+E458</f>
        <v>2022-23</v>
      </c>
      <c r="F469" s="840" t="str">
        <f>+F458</f>
        <v>2021-22</v>
      </c>
    </row>
    <row r="470" spans="1:9">
      <c r="B470" s="769"/>
      <c r="C470" s="841"/>
      <c r="D470" s="841"/>
      <c r="E470" s="841"/>
      <c r="F470" s="841"/>
      <c r="G470" s="768"/>
    </row>
    <row r="471" spans="1:9">
      <c r="B471" s="771" t="s">
        <v>993</v>
      </c>
      <c r="C471" s="772">
        <f>ROUND('PL Grouping'!K160,0)</f>
        <v>423357</v>
      </c>
      <c r="D471" s="772">
        <f>ROUND('PL Grouping'!AC160,0)</f>
        <v>423357</v>
      </c>
      <c r="E471" s="772">
        <f>ROUND('PL Grouping'!AL160,0)</f>
        <v>297208</v>
      </c>
      <c r="F471" s="772">
        <f>ROUND('PL Grouping'!AU160,0)</f>
        <v>1897061</v>
      </c>
      <c r="G471" s="770"/>
    </row>
    <row r="472" spans="1:9" hidden="1">
      <c r="B472" s="771" t="s">
        <v>246</v>
      </c>
      <c r="C472" s="772">
        <f>ROUND('PL Grouping'!K164,0)</f>
        <v>0</v>
      </c>
      <c r="D472" s="772">
        <f>ROUND('PL Grouping'!AC164,0)</f>
        <v>0</v>
      </c>
      <c r="E472" s="772">
        <f>ROUND('PL Grouping'!AL164,0)</f>
        <v>0</v>
      </c>
      <c r="F472" s="772">
        <f>ROUND('PL Grouping'!AU164,0)</f>
        <v>1013333</v>
      </c>
      <c r="G472" s="773"/>
      <c r="H472" s="694" t="s">
        <v>449</v>
      </c>
    </row>
    <row r="473" spans="1:9">
      <c r="B473" s="771" t="s">
        <v>992</v>
      </c>
      <c r="C473" s="772">
        <f>ROUND('PL Grouping'!K169,0)</f>
        <v>1134939</v>
      </c>
      <c r="D473" s="772">
        <f>ROUND('PL Grouping'!AC169,0)</f>
        <v>0</v>
      </c>
      <c r="E473" s="772">
        <f>ROUND('PL Grouping'!AL169,0)</f>
        <v>0</v>
      </c>
      <c r="F473" s="772">
        <f>ROUND('PL Grouping'!AU169,0)</f>
        <v>787106</v>
      </c>
      <c r="G473" s="773"/>
    </row>
    <row r="474" spans="1:9">
      <c r="B474" s="771" t="s">
        <v>312</v>
      </c>
      <c r="C474" s="772">
        <f>ROUND('PL Grouping'!K180,0)</f>
        <v>36676</v>
      </c>
      <c r="D474" s="772">
        <f>ROUND('[74]PL Grouping'!K170,0)-5</f>
        <v>34631</v>
      </c>
      <c r="E474" s="772">
        <f>ROUND('PL Grouping'!AL180,0)-1</f>
        <v>98064</v>
      </c>
      <c r="F474" s="772">
        <f>ROUND('PL Grouping'!AU180,0)</f>
        <v>887729</v>
      </c>
      <c r="G474" s="773"/>
      <c r="H474" s="694" t="s">
        <v>449</v>
      </c>
    </row>
    <row r="475" spans="1:9" ht="15" thickBot="1">
      <c r="B475" s="774" t="s">
        <v>51</v>
      </c>
      <c r="C475" s="729">
        <f>SUM(C471:C474)+10</f>
        <v>1594982</v>
      </c>
      <c r="D475" s="729">
        <f>SUM(D471:D474)</f>
        <v>457988</v>
      </c>
      <c r="E475" s="729">
        <f>SUM(E471:E474)</f>
        <v>395272</v>
      </c>
      <c r="F475" s="729">
        <f>SUM(F471:F474)</f>
        <v>4585229</v>
      </c>
      <c r="G475" s="773"/>
      <c r="H475" s="694" t="s">
        <v>449</v>
      </c>
    </row>
    <row r="476" spans="1:9" ht="15.6" thickTop="1" thickBot="1">
      <c r="C476" s="766"/>
      <c r="D476" s="766"/>
      <c r="E476" s="766"/>
      <c r="F476" s="766"/>
      <c r="G476" s="668"/>
    </row>
    <row r="477" spans="1:9" ht="15" thickTop="1">
      <c r="A477" s="693">
        <f>+A468+1</f>
        <v>31</v>
      </c>
      <c r="B477" s="719" t="s">
        <v>480</v>
      </c>
      <c r="C477" s="766"/>
      <c r="D477" s="766"/>
      <c r="E477" s="766"/>
      <c r="F477" s="766"/>
    </row>
    <row r="478" spans="1:9">
      <c r="B478" s="767" t="s">
        <v>0</v>
      </c>
      <c r="C478" s="835" t="str">
        <f>+C469</f>
        <v>2023-24</v>
      </c>
      <c r="D478" s="835">
        <f>+D469</f>
        <v>45199</v>
      </c>
      <c r="E478" s="840" t="str">
        <f>+E469</f>
        <v>2022-23</v>
      </c>
      <c r="F478" s="842" t="str">
        <f>+F469</f>
        <v>2021-22</v>
      </c>
    </row>
    <row r="479" spans="1:9">
      <c r="B479" s="769"/>
      <c r="C479" s="772"/>
      <c r="D479" s="772"/>
      <c r="E479" s="772"/>
      <c r="F479" s="843"/>
      <c r="G479" s="768"/>
    </row>
    <row r="480" spans="1:9">
      <c r="B480" s="771" t="s">
        <v>1259</v>
      </c>
      <c r="C480" s="772">
        <f>'PL Grouping'!K358*0+ROUND('FA sch'!I23,)</f>
        <v>360995</v>
      </c>
      <c r="D480" s="772">
        <f>'FA sep'!I23</f>
        <v>215001</v>
      </c>
      <c r="E480" s="772">
        <f>ROUND('FA prev year'!I23+'FA prev year'!J23,0)</f>
        <v>887018</v>
      </c>
      <c r="F480" s="844">
        <f>ROUND('FA prev year'!I42,0)</f>
        <v>399503</v>
      </c>
      <c r="G480" s="770"/>
    </row>
    <row r="481" spans="1:16">
      <c r="B481" s="771" t="s">
        <v>1261</v>
      </c>
      <c r="C481" s="772">
        <f>ROUND('FA sch'!I58,)</f>
        <v>2009539</v>
      </c>
      <c r="D481" s="772">
        <f>'FA sep'!I58</f>
        <v>1339692.5</v>
      </c>
      <c r="E481" s="772">
        <f>ROUND('FA prev year'!I58,0)</f>
        <v>2664474</v>
      </c>
      <c r="F481" s="844">
        <f>ROUND('FA prev year'!I74,0)</f>
        <v>914217</v>
      </c>
      <c r="G481" s="773"/>
    </row>
    <row r="482" spans="1:16">
      <c r="B482" s="748" t="s">
        <v>1260</v>
      </c>
      <c r="C482" s="772">
        <v>0</v>
      </c>
      <c r="D482" s="772">
        <v>0</v>
      </c>
      <c r="E482" s="772">
        <f>ROUND(ROU!J40,0)</f>
        <v>303131</v>
      </c>
      <c r="F482" s="845">
        <f>ROUND(ROU!J39,0)</f>
        <v>36542</v>
      </c>
      <c r="G482" s="721"/>
      <c r="H482" s="694" t="s">
        <v>449</v>
      </c>
    </row>
    <row r="483" spans="1:16" ht="15" thickBot="1">
      <c r="B483" s="774" t="s">
        <v>51</v>
      </c>
      <c r="C483" s="729">
        <f>SUM(C480:C482)+10</f>
        <v>2370544</v>
      </c>
      <c r="D483" s="729">
        <f>SUM(D480:D482)</f>
        <v>1554693.5</v>
      </c>
      <c r="E483" s="729">
        <f>SUM(E480:E482)</f>
        <v>3854623</v>
      </c>
      <c r="F483" s="846">
        <f>SUM(F480:F482)</f>
        <v>1350262</v>
      </c>
      <c r="G483" s="773"/>
      <c r="H483" s="694" t="s">
        <v>449</v>
      </c>
      <c r="L483" s="694">
        <f>'PL Grouping'!K356</f>
        <v>2370544</v>
      </c>
      <c r="M483" s="756">
        <f>C483-L483</f>
        <v>0</v>
      </c>
    </row>
    <row r="484" spans="1:16" ht="15" thickTop="1">
      <c r="B484" s="719"/>
      <c r="C484" s="847"/>
      <c r="D484" s="847"/>
      <c r="E484" s="847"/>
      <c r="F484" s="847"/>
      <c r="G484" s="721"/>
    </row>
    <row r="485" spans="1:16">
      <c r="A485" s="693">
        <f>+A477+1</f>
        <v>32</v>
      </c>
      <c r="B485" s="719" t="s">
        <v>761</v>
      </c>
      <c r="C485" s="766"/>
      <c r="D485" s="766"/>
      <c r="E485" s="766"/>
      <c r="F485" s="766"/>
    </row>
    <row r="486" spans="1:16">
      <c r="B486" s="767" t="s">
        <v>0</v>
      </c>
      <c r="C486" s="835" t="str">
        <f>+C469</f>
        <v>2023-24</v>
      </c>
      <c r="D486" s="835">
        <f>+D469</f>
        <v>45199</v>
      </c>
      <c r="E486" s="840" t="str">
        <f>+E469</f>
        <v>2022-23</v>
      </c>
      <c r="F486" s="840" t="str">
        <f>+F469</f>
        <v>2021-22</v>
      </c>
    </row>
    <row r="487" spans="1:16">
      <c r="B487" s="769"/>
      <c r="C487" s="848"/>
      <c r="D487" s="848"/>
      <c r="E487" s="841"/>
      <c r="F487" s="841"/>
      <c r="G487" s="768"/>
    </row>
    <row r="488" spans="1:16">
      <c r="B488" s="771" t="s">
        <v>177</v>
      </c>
      <c r="C488" s="772">
        <f>ROUND('PL Grouping'!K186,0)</f>
        <v>33915</v>
      </c>
      <c r="D488" s="772">
        <f>ROUND('PL Grouping'!AC186,0)</f>
        <v>29087</v>
      </c>
      <c r="E488" s="772">
        <f>ROUND('PL Grouping'!AL186,0)</f>
        <v>586598</v>
      </c>
      <c r="F488" s="772">
        <f>ROUND('PL Grouping'!AU186,0)</f>
        <v>360000</v>
      </c>
      <c r="G488" s="770">
        <v>360000</v>
      </c>
      <c r="H488" s="708">
        <f>F488-G488</f>
        <v>0</v>
      </c>
      <c r="O488" s="694">
        <v>372325</v>
      </c>
      <c r="P488" s="708"/>
    </row>
    <row r="489" spans="1:16">
      <c r="B489" s="771" t="s">
        <v>184</v>
      </c>
      <c r="C489" s="772">
        <f>ROUND('PL Grouping'!K191,0)</f>
        <v>0</v>
      </c>
      <c r="D489" s="772">
        <f>ROUND('PL Grouping'!AC191,0)</f>
        <v>0</v>
      </c>
      <c r="E489" s="772">
        <f>ROUND('PL Grouping'!AL191,0)</f>
        <v>50305</v>
      </c>
      <c r="F489" s="772">
        <f>ROUND('PL Grouping'!AU191,0)</f>
        <v>14617</v>
      </c>
      <c r="G489" s="773">
        <v>14617</v>
      </c>
      <c r="H489" s="708">
        <f t="shared" ref="H489:H515" si="3">F489-G489</f>
        <v>0</v>
      </c>
      <c r="O489" s="694">
        <v>535000</v>
      </c>
      <c r="P489" s="708"/>
    </row>
    <row r="490" spans="1:16">
      <c r="B490" s="771" t="s">
        <v>185</v>
      </c>
      <c r="C490" s="772">
        <f>ROUND('PL Grouping'!K195,0)</f>
        <v>0</v>
      </c>
      <c r="D490" s="772">
        <f>ROUND('PL Grouping'!AC195,0)</f>
        <v>0</v>
      </c>
      <c r="E490" s="772">
        <f>ROUND('PL Grouping'!AL195,0)</f>
        <v>249971</v>
      </c>
      <c r="F490" s="772">
        <f>ROUND('PL Grouping'!AU195,0)</f>
        <v>710353</v>
      </c>
      <c r="G490" s="773">
        <v>710353</v>
      </c>
      <c r="H490" s="708">
        <f t="shared" si="3"/>
        <v>0</v>
      </c>
      <c r="O490" s="694">
        <v>337692</v>
      </c>
      <c r="P490" s="708"/>
    </row>
    <row r="491" spans="1:16">
      <c r="B491" s="771" t="s">
        <v>247</v>
      </c>
      <c r="C491" s="772">
        <f>ROUND('PL Grouping'!K199,0)</f>
        <v>642302</v>
      </c>
      <c r="D491" s="772">
        <f>ROUND('PL Grouping'!AC199,0)</f>
        <v>595601</v>
      </c>
      <c r="E491" s="772">
        <f>ROUND('PL Grouping'!AL199,0)</f>
        <v>4128518</v>
      </c>
      <c r="F491" s="772">
        <f>ROUND('PL Grouping'!AU199,0)</f>
        <v>1369395</v>
      </c>
      <c r="G491" s="773">
        <v>1369395</v>
      </c>
      <c r="H491" s="708">
        <f t="shared" si="3"/>
        <v>0</v>
      </c>
      <c r="O491" s="694">
        <v>1240976</v>
      </c>
      <c r="P491" s="708"/>
    </row>
    <row r="492" spans="1:16">
      <c r="B492" s="771" t="s">
        <v>183</v>
      </c>
      <c r="C492" s="772">
        <f>ROUND('PL Grouping'!K204,0)</f>
        <v>371376</v>
      </c>
      <c r="D492" s="772">
        <f>ROUND('PL Grouping'!AC204,0)</f>
        <v>371376</v>
      </c>
      <c r="E492" s="772">
        <f>ROUND('PL Grouping'!AL204,0)</f>
        <v>233485</v>
      </c>
      <c r="F492" s="772">
        <f>ROUND('PL Grouping'!AU204,0)</f>
        <v>298328</v>
      </c>
      <c r="G492" s="773">
        <v>298328</v>
      </c>
      <c r="H492" s="708">
        <f t="shared" si="3"/>
        <v>0</v>
      </c>
      <c r="O492" s="694">
        <v>802321</v>
      </c>
      <c r="P492" s="708"/>
    </row>
    <row r="493" spans="1:16">
      <c r="B493" s="771" t="s">
        <v>248</v>
      </c>
      <c r="C493" s="772">
        <f>ROUND('PL Grouping'!K210,0)</f>
        <v>18840</v>
      </c>
      <c r="D493" s="772">
        <f>ROUND('PL Grouping'!AC210,0)</f>
        <v>18840</v>
      </c>
      <c r="E493" s="772">
        <f>ROUND('PL Grouping'!AL210,0)</f>
        <v>75787</v>
      </c>
      <c r="F493" s="772">
        <f>ROUND('PL Grouping'!AU210,0)</f>
        <v>29482</v>
      </c>
      <c r="G493" s="773">
        <v>29482</v>
      </c>
      <c r="H493" s="708">
        <f t="shared" si="3"/>
        <v>0</v>
      </c>
      <c r="O493" s="694">
        <v>19671</v>
      </c>
      <c r="P493" s="708"/>
    </row>
    <row r="494" spans="1:16">
      <c r="B494" s="771" t="s">
        <v>1018</v>
      </c>
      <c r="C494" s="772">
        <f>ROUND('PL Grouping'!K216,0)</f>
        <v>548910</v>
      </c>
      <c r="D494" s="772">
        <f>ROUND('PL Grouping'!AC216,0)</f>
        <v>170163</v>
      </c>
      <c r="E494" s="772">
        <f>ROUND('PL Grouping'!AL216,0)</f>
        <v>38077</v>
      </c>
      <c r="F494" s="772">
        <f>ROUND('PL Grouping'!AU216,0)</f>
        <v>122301</v>
      </c>
      <c r="G494" s="773">
        <v>122301</v>
      </c>
      <c r="H494" s="708">
        <f t="shared" si="3"/>
        <v>0</v>
      </c>
      <c r="O494" s="694">
        <v>26370</v>
      </c>
      <c r="P494" s="708"/>
    </row>
    <row r="495" spans="1:16" hidden="1">
      <c r="B495" s="771" t="s">
        <v>383</v>
      </c>
      <c r="C495" s="772">
        <f>ROUND('PL Grouping'!K221,0)</f>
        <v>0</v>
      </c>
      <c r="D495" s="772">
        <f>ROUND('PL Grouping'!AC221,0)</f>
        <v>0</v>
      </c>
      <c r="E495" s="772">
        <f>ROUND('PL Grouping'!AL221,0)</f>
        <v>0</v>
      </c>
      <c r="F495" s="772">
        <f>ROUND('PL Grouping'!AU221,0)</f>
        <v>5774</v>
      </c>
      <c r="G495" s="773">
        <v>5774</v>
      </c>
      <c r="H495" s="708">
        <f t="shared" si="3"/>
        <v>0</v>
      </c>
      <c r="O495" s="694">
        <v>35084</v>
      </c>
      <c r="P495" s="708"/>
    </row>
    <row r="496" spans="1:16">
      <c r="B496" s="771" t="s">
        <v>313</v>
      </c>
      <c r="C496" s="772">
        <f>ROUND('PL Grouping'!K225,0)</f>
        <v>0</v>
      </c>
      <c r="D496" s="772">
        <f>ROUND('PL Grouping'!AC225,0)</f>
        <v>0</v>
      </c>
      <c r="E496" s="772">
        <f>ROUND('PL Grouping'!AL225,0)</f>
        <v>101289</v>
      </c>
      <c r="F496" s="772">
        <f>ROUND('PL Grouping'!AU225,0)</f>
        <v>29262</v>
      </c>
      <c r="G496" s="773">
        <v>29262</v>
      </c>
      <c r="H496" s="708">
        <f t="shared" si="3"/>
        <v>0</v>
      </c>
      <c r="O496" s="694">
        <v>14386</v>
      </c>
      <c r="P496" s="708"/>
    </row>
    <row r="497" spans="1:16">
      <c r="B497" s="771" t="s">
        <v>249</v>
      </c>
      <c r="C497" s="772">
        <f>ROUND('PL Grouping'!K233,0)</f>
        <v>93865</v>
      </c>
      <c r="D497" s="772">
        <f>ROUND('PL Grouping'!AC233,0)</f>
        <v>58143</v>
      </c>
      <c r="E497" s="772">
        <f>ROUND('PL Grouping'!AL233,0)</f>
        <v>101812</v>
      </c>
      <c r="F497" s="772">
        <f>ROUND('PL Grouping'!AU233,0)</f>
        <v>2262108</v>
      </c>
      <c r="G497" s="773">
        <v>2262108</v>
      </c>
      <c r="H497" s="708">
        <f t="shared" si="3"/>
        <v>0</v>
      </c>
      <c r="O497" s="694">
        <v>1663795</v>
      </c>
      <c r="P497" s="708"/>
    </row>
    <row r="498" spans="1:16">
      <c r="B498" s="771" t="s">
        <v>250</v>
      </c>
      <c r="C498" s="772">
        <f>ROUND('PL Grouping'!K237,0)</f>
        <v>378417</v>
      </c>
      <c r="D498" s="772">
        <f>ROUND('PL Grouping'!AC237,0)</f>
        <v>294192</v>
      </c>
      <c r="E498" s="772">
        <f>ROUND('PL Grouping'!AL237,0)</f>
        <v>21949754</v>
      </c>
      <c r="F498" s="772">
        <f>ROUND('PL Grouping'!AU237,0)</f>
        <v>22943716</v>
      </c>
      <c r="G498" s="773">
        <v>22943716</v>
      </c>
      <c r="H498" s="708">
        <f t="shared" si="3"/>
        <v>0</v>
      </c>
      <c r="J498" s="708">
        <f>E498+E491+E502</f>
        <v>30532036</v>
      </c>
      <c r="O498" s="694">
        <v>7217742</v>
      </c>
      <c r="P498" s="708"/>
    </row>
    <row r="499" spans="1:16">
      <c r="B499" s="771" t="s">
        <v>251</v>
      </c>
      <c r="C499" s="772">
        <f>ROUND('PL Grouping'!K245,0)</f>
        <v>79973</v>
      </c>
      <c r="D499" s="772">
        <f>ROUND('PL Grouping'!AC245,0)</f>
        <v>71623</v>
      </c>
      <c r="E499" s="772">
        <f>ROUND('PL Grouping'!AL245,0)</f>
        <v>1884295</v>
      </c>
      <c r="F499" s="772">
        <f>ROUND('PL Grouping'!AU245,0)</f>
        <v>938123</v>
      </c>
      <c r="G499" s="773">
        <v>938123</v>
      </c>
      <c r="H499" s="708">
        <f t="shared" si="3"/>
        <v>0</v>
      </c>
      <c r="O499" s="694">
        <v>647264</v>
      </c>
      <c r="P499" s="708"/>
    </row>
    <row r="500" spans="1:16">
      <c r="B500" s="771" t="s">
        <v>252</v>
      </c>
      <c r="C500" s="772">
        <f>ROUND('PL Grouping'!K252,0)</f>
        <v>1677275</v>
      </c>
      <c r="D500" s="772">
        <f>ROUND('PL Grouping'!AC252,0)</f>
        <v>1216725</v>
      </c>
      <c r="E500" s="772">
        <f>ROUND('PL Grouping'!AL252,0)</f>
        <v>11802854</v>
      </c>
      <c r="F500" s="772">
        <f>ROUND('PL Grouping'!AU252,0)</f>
        <v>6681872</v>
      </c>
      <c r="G500" s="773">
        <v>6681872</v>
      </c>
      <c r="H500" s="708">
        <f t="shared" si="3"/>
        <v>0</v>
      </c>
      <c r="I500" s="708"/>
      <c r="O500" s="694">
        <v>3716229</v>
      </c>
      <c r="P500" s="708"/>
    </row>
    <row r="501" spans="1:16">
      <c r="B501" s="771" t="s">
        <v>382</v>
      </c>
      <c r="C501" s="772">
        <f>ROUND('PL Grouping'!K256,0)</f>
        <v>490602</v>
      </c>
      <c r="D501" s="772">
        <f>ROUND('PL Grouping'!AC256,0)</f>
        <v>445601</v>
      </c>
      <c r="E501" s="772">
        <f>ROUND('PL Grouping'!AL256,0)</f>
        <v>628328</v>
      </c>
      <c r="F501" s="772">
        <f>ROUND('PL Grouping'!AU256,0)</f>
        <v>264972</v>
      </c>
      <c r="G501" s="773">
        <v>264972</v>
      </c>
      <c r="H501" s="708">
        <f t="shared" si="3"/>
        <v>0</v>
      </c>
      <c r="I501" s="708"/>
      <c r="O501" s="694">
        <v>1721289</v>
      </c>
      <c r="P501" s="708"/>
    </row>
    <row r="502" spans="1:16">
      <c r="B502" s="771" t="s">
        <v>1281</v>
      </c>
      <c r="C502" s="772">
        <f>ROUND('PL Grouping'!K274,0)</f>
        <v>1275000</v>
      </c>
      <c r="D502" s="772">
        <f>ROUND('PL Grouping'!AC274,0)</f>
        <v>957085</v>
      </c>
      <c r="E502" s="772">
        <f>ROUND('PL Grouping'!AL274,0)</f>
        <v>4453764</v>
      </c>
      <c r="F502" s="772">
        <f>ROUND('PL Grouping'!AU274,0)</f>
        <v>2997658</v>
      </c>
      <c r="G502" s="773">
        <v>2997658</v>
      </c>
      <c r="H502" s="708">
        <f t="shared" si="3"/>
        <v>0</v>
      </c>
      <c r="I502" s="708"/>
      <c r="P502" s="708"/>
    </row>
    <row r="503" spans="1:16" s="957" customFormat="1">
      <c r="A503" s="952"/>
      <c r="B503" s="953" t="s">
        <v>338</v>
      </c>
      <c r="C503" s="954">
        <f>'PL Grouping'!AC179</f>
        <v>0</v>
      </c>
      <c r="D503" s="954">
        <f>'PL Grouping'!AD179</f>
        <v>0</v>
      </c>
      <c r="E503" s="954">
        <f>'PL Grouping'!AE179</f>
        <v>14412.333333333334</v>
      </c>
      <c r="F503" s="954">
        <f>ROUND('PL Grouping'!AU260,0)</f>
        <v>24151</v>
      </c>
      <c r="G503" s="955">
        <v>24151</v>
      </c>
      <c r="H503" s="956">
        <f t="shared" si="3"/>
        <v>0</v>
      </c>
      <c r="O503" s="957">
        <v>11875</v>
      </c>
      <c r="P503" s="956"/>
    </row>
    <row r="504" spans="1:16">
      <c r="B504" s="771" t="s">
        <v>1440</v>
      </c>
      <c r="C504" s="772">
        <f>((ROUND('PL Grouping'!K36,0)*-1))</f>
        <v>223065</v>
      </c>
      <c r="D504" s="772">
        <f>ROUND('PL Grouping'!AC36,0)*-1</f>
        <v>5100</v>
      </c>
      <c r="E504" s="772">
        <f>ROUND('PL Grouping'!AL36,0)*-1</f>
        <v>0</v>
      </c>
      <c r="F504" s="772">
        <v>0</v>
      </c>
      <c r="G504" s="773"/>
      <c r="H504" s="708"/>
      <c r="P504" s="708"/>
    </row>
    <row r="505" spans="1:16">
      <c r="B505" s="771" t="s">
        <v>995</v>
      </c>
      <c r="C505" s="772">
        <f>ROUND('PL Grouping'!K264,0)</f>
        <v>345376</v>
      </c>
      <c r="D505" s="772">
        <f>ROUND('PL Grouping'!AC264,0)</f>
        <v>291471</v>
      </c>
      <c r="E505" s="772">
        <f>ROUND('PL Grouping'!AL264,0)</f>
        <v>70410</v>
      </c>
      <c r="F505" s="772">
        <f>ROUND('PL Grouping'!AU264,0)</f>
        <v>75152</v>
      </c>
      <c r="G505" s="773">
        <v>75152</v>
      </c>
      <c r="H505" s="708">
        <f t="shared" si="3"/>
        <v>0</v>
      </c>
      <c r="M505" s="1036"/>
      <c r="O505" s="694">
        <v>81216</v>
      </c>
      <c r="P505" s="708"/>
    </row>
    <row r="506" spans="1:16">
      <c r="B506" s="771" t="s">
        <v>1471</v>
      </c>
      <c r="C506" s="772">
        <f>Notes!C94</f>
        <v>0</v>
      </c>
      <c r="D506" s="772"/>
      <c r="E506" s="772">
        <f>Notes!E94</f>
        <v>46444</v>
      </c>
      <c r="F506" s="772">
        <f>Notes!F94</f>
        <v>0</v>
      </c>
      <c r="G506" s="773"/>
      <c r="H506" s="708"/>
      <c r="P506" s="708"/>
    </row>
    <row r="507" spans="1:16">
      <c r="B507" s="771" t="s">
        <v>381</v>
      </c>
      <c r="C507" s="772">
        <f>ROUND('PL Grouping'!K269,0)</f>
        <v>6638</v>
      </c>
      <c r="D507" s="772">
        <f>ROUND('PL Grouping'!AC269,0)</f>
        <v>6638</v>
      </c>
      <c r="E507" s="772">
        <f>ROUND('PL Grouping'!AL269,0)</f>
        <v>7507</v>
      </c>
      <c r="F507" s="772">
        <f>ROUND('PL Grouping'!AU269,0)</f>
        <v>8007</v>
      </c>
      <c r="G507" s="773">
        <v>8007</v>
      </c>
      <c r="H507" s="708">
        <f t="shared" si="3"/>
        <v>0</v>
      </c>
      <c r="O507" s="694">
        <v>24580</v>
      </c>
      <c r="P507" s="708"/>
    </row>
    <row r="508" spans="1:16">
      <c r="B508" s="771" t="s">
        <v>1668</v>
      </c>
      <c r="C508" s="772">
        <f>+C539</f>
        <v>50881</v>
      </c>
      <c r="D508" s="772">
        <f>+D539</f>
        <v>25881</v>
      </c>
      <c r="E508" s="772">
        <f>+E539</f>
        <v>255854</v>
      </c>
      <c r="F508" s="772">
        <f>+F539</f>
        <v>121000</v>
      </c>
      <c r="G508" s="773">
        <v>121000</v>
      </c>
      <c r="H508" s="708">
        <f t="shared" si="3"/>
        <v>0</v>
      </c>
      <c r="O508" s="694">
        <v>110250</v>
      </c>
      <c r="P508" s="708"/>
    </row>
    <row r="509" spans="1:16">
      <c r="B509" s="771" t="s">
        <v>524</v>
      </c>
      <c r="C509" s="772">
        <f>ROUND('PL Grouping'!K290,0)</f>
        <v>953486</v>
      </c>
      <c r="D509" s="772">
        <f>ROUND('PL Grouping'!AC290,0)</f>
        <v>722259</v>
      </c>
      <c r="E509" s="772">
        <f>ROUND('PL Grouping'!AL290,0)</f>
        <v>2966090</v>
      </c>
      <c r="F509" s="772">
        <f>ROUND('PL Grouping'!AU290,0)</f>
        <v>2501121</v>
      </c>
      <c r="G509" s="773">
        <v>2501121</v>
      </c>
      <c r="H509" s="708">
        <f t="shared" si="3"/>
        <v>0</v>
      </c>
      <c r="O509" s="694">
        <v>433012</v>
      </c>
      <c r="P509" s="708"/>
    </row>
    <row r="510" spans="1:16">
      <c r="B510" s="771" t="s">
        <v>253</v>
      </c>
      <c r="C510" s="772">
        <f>ROUND('PL Grouping'!K294,0)</f>
        <v>4295</v>
      </c>
      <c r="D510" s="772">
        <f>ROUND('PL Grouping'!AC294,0)</f>
        <v>4295</v>
      </c>
      <c r="E510" s="772">
        <f>ROUND('PL Grouping'!AL294,0)</f>
        <v>121164</v>
      </c>
      <c r="F510" s="772">
        <f>ROUND('PL Grouping'!AU294,0)</f>
        <v>101871</v>
      </c>
      <c r="G510" s="773">
        <v>101871</v>
      </c>
      <c r="H510" s="708">
        <f t="shared" si="3"/>
        <v>0</v>
      </c>
      <c r="O510" s="694">
        <v>44901</v>
      </c>
      <c r="P510" s="708"/>
    </row>
    <row r="511" spans="1:16">
      <c r="B511" s="771" t="s">
        <v>1395</v>
      </c>
      <c r="C511" s="772">
        <f>ROUND('PL Grouping'!K317,)</f>
        <v>37706</v>
      </c>
      <c r="D511" s="772">
        <f>'PL Grouping'!AC317</f>
        <v>41936.620000000003</v>
      </c>
      <c r="E511" s="772">
        <f>'PL Grouping'!AL317</f>
        <v>497200.43</v>
      </c>
      <c r="F511" s="772">
        <f>'PL Grouping'!AU317</f>
        <v>632363.28</v>
      </c>
      <c r="G511" s="773"/>
      <c r="H511" s="708">
        <f t="shared" si="3"/>
        <v>632363.28</v>
      </c>
      <c r="P511" s="708"/>
    </row>
    <row r="512" spans="1:16">
      <c r="B512" s="771" t="s">
        <v>380</v>
      </c>
      <c r="C512" s="772">
        <f>ROUND('PL Grouping'!K299,0)</f>
        <v>1623086</v>
      </c>
      <c r="D512" s="772">
        <f>ROUND('PL Grouping'!AC299,0)</f>
        <v>1203652</v>
      </c>
      <c r="E512" s="772">
        <f>ROUND('PL Grouping'!AL299,0)</f>
        <v>6062217</v>
      </c>
      <c r="F512" s="772">
        <f>ROUND('PL Grouping'!AU299,0)</f>
        <v>8137012</v>
      </c>
      <c r="G512" s="773">
        <v>8137012</v>
      </c>
      <c r="H512" s="708">
        <f t="shared" si="3"/>
        <v>0</v>
      </c>
      <c r="O512" s="694">
        <v>4732225</v>
      </c>
      <c r="P512" s="708"/>
    </row>
    <row r="513" spans="1:18">
      <c r="B513" s="771" t="s">
        <v>379</v>
      </c>
      <c r="C513" s="772">
        <f>ROUND('PL Grouping'!K303,0)</f>
        <v>143719</v>
      </c>
      <c r="D513" s="772">
        <f>ROUND('PL Grouping'!AC303,0)</f>
        <v>85659</v>
      </c>
      <c r="E513" s="772">
        <f>ROUND('PL Grouping'!AL303,0)</f>
        <v>352500</v>
      </c>
      <c r="F513" s="772">
        <f>ROUND('PL Grouping'!AU303,0)</f>
        <v>102706</v>
      </c>
      <c r="G513" s="773">
        <v>102706</v>
      </c>
      <c r="H513" s="708">
        <f t="shared" si="3"/>
        <v>0</v>
      </c>
      <c r="O513" s="694">
        <v>217273</v>
      </c>
      <c r="P513" s="708"/>
    </row>
    <row r="514" spans="1:18" hidden="1">
      <c r="B514" s="771" t="s">
        <v>985</v>
      </c>
      <c r="C514" s="772">
        <f>ROUND('PL Grouping'!K307,0)</f>
        <v>0</v>
      </c>
      <c r="D514" s="772">
        <f>ROUND('PL Grouping'!AC307,0)</f>
        <v>0</v>
      </c>
      <c r="E514" s="772">
        <f>ROUND('PL Grouping'!AL307,0)</f>
        <v>0</v>
      </c>
      <c r="F514" s="772">
        <f>ROUND('PL Grouping'!AU307,0)</f>
        <v>1800</v>
      </c>
      <c r="G514" s="773">
        <v>1800</v>
      </c>
      <c r="H514" s="708">
        <f t="shared" si="3"/>
        <v>0</v>
      </c>
      <c r="O514" s="694">
        <v>1652</v>
      </c>
      <c r="P514" s="708"/>
    </row>
    <row r="515" spans="1:18">
      <c r="B515" s="771" t="s">
        <v>254</v>
      </c>
      <c r="C515" s="772">
        <f>ROUND('PL Grouping'!K353,0)-139719-337-50</f>
        <v>2408228</v>
      </c>
      <c r="D515" s="772">
        <f>ROUND('PL Grouping'!AC353,0)-1735-4846</f>
        <v>1029123</v>
      </c>
      <c r="E515" s="772">
        <f>ROUND('PL Grouping'!AL353,0)</f>
        <v>5853681</v>
      </c>
      <c r="F515" s="772">
        <f>ROUND('PL Grouping'!AU353,0)+4</f>
        <v>4980716</v>
      </c>
      <c r="G515" s="773">
        <v>5612947</v>
      </c>
      <c r="H515" s="708">
        <f t="shared" si="3"/>
        <v>-632231</v>
      </c>
      <c r="O515" s="694">
        <v>1694193</v>
      </c>
      <c r="P515" s="708"/>
    </row>
    <row r="516" spans="1:18" ht="9" customHeight="1">
      <c r="B516" s="771"/>
      <c r="C516" s="772"/>
      <c r="D516" s="772"/>
      <c r="E516" s="772"/>
      <c r="F516" s="772"/>
      <c r="G516" s="773"/>
      <c r="R516" s="708"/>
    </row>
    <row r="517" spans="1:18" ht="15" thickBot="1">
      <c r="B517" s="774" t="s">
        <v>51</v>
      </c>
      <c r="C517" s="729">
        <f>SUM(C488:C516)+40</f>
        <v>11406995</v>
      </c>
      <c r="D517" s="729">
        <f>SUM(D488:D516)+5</f>
        <v>7644455.6200000001</v>
      </c>
      <c r="E517" s="729">
        <f>SUM(E488:E516)</f>
        <v>62532316.763333336</v>
      </c>
      <c r="F517" s="729">
        <f>SUM(F488:F516)</f>
        <v>55713860.280000001</v>
      </c>
      <c r="G517" s="773"/>
    </row>
    <row r="518" spans="1:18" ht="15.6" thickTop="1" thickBot="1">
      <c r="C518" s="766"/>
      <c r="D518" s="766"/>
      <c r="E518" s="766"/>
      <c r="F518" s="766"/>
      <c r="G518" s="668"/>
      <c r="H518" s="708"/>
    </row>
    <row r="519" spans="1:18" ht="12" customHeight="1" thickTop="1">
      <c r="A519" s="693">
        <f>+A485+1</f>
        <v>33</v>
      </c>
      <c r="B519" s="719" t="s">
        <v>49</v>
      </c>
      <c r="Q519" s="849"/>
    </row>
    <row r="520" spans="1:18">
      <c r="A520" s="694"/>
      <c r="B520" s="767" t="s">
        <v>0</v>
      </c>
      <c r="C520" s="835" t="str">
        <f>+C486</f>
        <v>2023-24</v>
      </c>
      <c r="D520" s="835">
        <f>+D486</f>
        <v>45199</v>
      </c>
      <c r="E520" s="768" t="str">
        <f>+E486</f>
        <v>2022-23</v>
      </c>
      <c r="F520" s="768" t="str">
        <f>+F486</f>
        <v>2021-22</v>
      </c>
      <c r="Q520" s="849"/>
    </row>
    <row r="521" spans="1:18">
      <c r="B521" s="769"/>
      <c r="C521" s="770"/>
      <c r="D521" s="770"/>
      <c r="E521" s="770"/>
      <c r="F521" s="770"/>
      <c r="G521" s="768"/>
      <c r="Q521" s="849"/>
      <c r="R521" s="672"/>
    </row>
    <row r="522" spans="1:18" ht="28.8">
      <c r="B522" s="800" t="s">
        <v>375</v>
      </c>
      <c r="C522" s="772">
        <f>ROUND(PL!D27,0)</f>
        <v>11743076</v>
      </c>
      <c r="D522" s="772">
        <f>ROUND(PL!E27,0)</f>
        <v>-16923011</v>
      </c>
      <c r="E522" s="772">
        <f>ROUND(PL!F27,0)</f>
        <v>-70108956</v>
      </c>
      <c r="F522" s="772">
        <f>ROUND(PL!G27,0)</f>
        <v>-60115399</v>
      </c>
      <c r="G522" s="770"/>
      <c r="Q522" s="849"/>
      <c r="R522" s="672"/>
    </row>
    <row r="523" spans="1:18" ht="28.8">
      <c r="B523" s="800" t="s">
        <v>376</v>
      </c>
      <c r="C523" s="772">
        <f>D523</f>
        <v>6019639</v>
      </c>
      <c r="D523" s="772">
        <f>D211</f>
        <v>6019639</v>
      </c>
      <c r="E523" s="772">
        <f>ROUND(D191+R528,0)</f>
        <v>5944263</v>
      </c>
      <c r="F523" s="772">
        <v>5944263</v>
      </c>
      <c r="G523" s="773"/>
      <c r="P523" s="708"/>
      <c r="Q523" s="849"/>
      <c r="R523" s="672"/>
    </row>
    <row r="524" spans="1:18" ht="28.8">
      <c r="B524" s="800" t="s">
        <v>757</v>
      </c>
      <c r="C524" s="772">
        <f>C268</f>
        <v>0</v>
      </c>
      <c r="D524" s="772">
        <f>D268</f>
        <v>0</v>
      </c>
      <c r="E524" s="772">
        <f>E268</f>
        <v>0</v>
      </c>
      <c r="F524" s="772">
        <v>0</v>
      </c>
      <c r="G524" s="773"/>
      <c r="Q524" s="849"/>
      <c r="R524" s="672"/>
    </row>
    <row r="525" spans="1:18" ht="28.8">
      <c r="B525" s="800" t="s">
        <v>466</v>
      </c>
      <c r="C525" s="772">
        <f>C523+C524</f>
        <v>6019639</v>
      </c>
      <c r="D525" s="772">
        <f>D523+D524</f>
        <v>6019639</v>
      </c>
      <c r="E525" s="772">
        <f>E523+E524</f>
        <v>5944263</v>
      </c>
      <c r="F525" s="772">
        <f>F523+F524</f>
        <v>5944263</v>
      </c>
      <c r="G525" s="773"/>
      <c r="P525" s="850"/>
      <c r="Q525" s="849"/>
      <c r="R525" s="672"/>
    </row>
    <row r="526" spans="1:18">
      <c r="B526" s="771" t="s">
        <v>467</v>
      </c>
      <c r="C526" s="772">
        <f>+C522</f>
        <v>11743076</v>
      </c>
      <c r="D526" s="772">
        <f>+D522</f>
        <v>-16923011</v>
      </c>
      <c r="E526" s="772">
        <f>+E522</f>
        <v>-70108956</v>
      </c>
      <c r="F526" s="772">
        <f>+F522</f>
        <v>-60115399</v>
      </c>
      <c r="G526" s="773"/>
      <c r="P526" s="850"/>
      <c r="Q526" s="849"/>
      <c r="R526" s="672"/>
    </row>
    <row r="527" spans="1:18">
      <c r="B527" s="771" t="s">
        <v>1655</v>
      </c>
      <c r="C527" s="851">
        <f>C522/C523</f>
        <v>1.950794059245081</v>
      </c>
      <c r="D527" s="851">
        <f>D522/D523</f>
        <v>-2.8112999799489637</v>
      </c>
      <c r="E527" s="851">
        <f>E522/E523</f>
        <v>-11.794389985772836</v>
      </c>
      <c r="F527" s="851">
        <f>F522/F523</f>
        <v>-10.113179548078543</v>
      </c>
      <c r="G527" s="773"/>
      <c r="P527" s="850"/>
      <c r="Q527" s="849"/>
      <c r="R527" s="672"/>
    </row>
    <row r="528" spans="1:18">
      <c r="B528" s="771" t="s">
        <v>1656</v>
      </c>
      <c r="C528" s="851">
        <f>+C526/C525</f>
        <v>1.950794059245081</v>
      </c>
      <c r="D528" s="851">
        <f>+D526/D525</f>
        <v>-2.8112999799489637</v>
      </c>
      <c r="E528" s="851">
        <f>+E526/E525</f>
        <v>-11.794389985772836</v>
      </c>
      <c r="F528" s="851">
        <f>+F526/F525</f>
        <v>-10.113179548078543</v>
      </c>
      <c r="G528" s="851"/>
    </row>
    <row r="529" spans="1:8">
      <c r="B529" s="771" t="s">
        <v>1657</v>
      </c>
      <c r="C529" s="773">
        <v>10</v>
      </c>
      <c r="D529" s="773">
        <v>10</v>
      </c>
      <c r="E529" s="773">
        <v>10</v>
      </c>
      <c r="F529" s="773">
        <v>10</v>
      </c>
      <c r="G529" s="851"/>
    </row>
    <row r="530" spans="1:8">
      <c r="B530" s="771" t="s">
        <v>1658</v>
      </c>
      <c r="C530" s="773">
        <v>0</v>
      </c>
      <c r="D530" s="773">
        <v>0</v>
      </c>
      <c r="E530" s="773">
        <v>0</v>
      </c>
      <c r="F530" s="851">
        <v>0</v>
      </c>
      <c r="G530" s="773"/>
    </row>
    <row r="531" spans="1:8" ht="15" thickBot="1">
      <c r="B531" s="774"/>
      <c r="C531" s="852"/>
      <c r="D531" s="852"/>
      <c r="E531" s="852"/>
      <c r="F531" s="852"/>
      <c r="G531" s="773"/>
    </row>
    <row r="532" spans="1:8" ht="10.5" customHeight="1" thickTop="1" thickBot="1">
      <c r="B532" s="719"/>
      <c r="C532" s="853"/>
      <c r="D532" s="853"/>
      <c r="E532" s="853"/>
      <c r="F532" s="853"/>
      <c r="G532" s="852"/>
    </row>
    <row r="533" spans="1:8" ht="15" thickTop="1">
      <c r="A533" s="693">
        <f>+A519+1</f>
        <v>34</v>
      </c>
      <c r="B533" s="719" t="s">
        <v>324</v>
      </c>
      <c r="G533" s="853"/>
    </row>
    <row r="534" spans="1:8">
      <c r="B534" s="767" t="s">
        <v>0</v>
      </c>
      <c r="C534" s="835" t="str">
        <f>+C520</f>
        <v>2023-24</v>
      </c>
      <c r="D534" s="835">
        <f>+D520</f>
        <v>45199</v>
      </c>
      <c r="E534" s="768" t="str">
        <f>+E520</f>
        <v>2022-23</v>
      </c>
      <c r="F534" s="768" t="str">
        <f>+F520</f>
        <v>2021-22</v>
      </c>
    </row>
    <row r="535" spans="1:8" ht="11.25" customHeight="1">
      <c r="B535" s="769"/>
      <c r="C535" s="770"/>
      <c r="D535" s="770"/>
      <c r="E535" s="770"/>
      <c r="F535" s="770"/>
      <c r="G535" s="768"/>
    </row>
    <row r="536" spans="1:8">
      <c r="B536" s="771" t="s">
        <v>377</v>
      </c>
      <c r="C536" s="772">
        <f>ROUND('PL Grouping'!K279,0)</f>
        <v>42500</v>
      </c>
      <c r="D536" s="772">
        <f>ROUND('PL Grouping'!AC279,0)</f>
        <v>17500</v>
      </c>
      <c r="E536" s="772">
        <f>ROUND('PL Grouping'!AL279,0)</f>
        <v>247500</v>
      </c>
      <c r="F536" s="772">
        <f>ROUND('PL Grouping'!AU279,0)</f>
        <v>121000</v>
      </c>
      <c r="G536" s="770"/>
    </row>
    <row r="537" spans="1:8">
      <c r="B537" s="771" t="s">
        <v>378</v>
      </c>
      <c r="C537" s="772">
        <f>ROUND('PL Grouping'!K283,0)</f>
        <v>8381</v>
      </c>
      <c r="D537" s="772">
        <f>ROUND('PL Grouping'!AC283,0)</f>
        <v>8381</v>
      </c>
      <c r="E537" s="772">
        <f>ROUND('PL Grouping'!AL283,0)</f>
        <v>8354</v>
      </c>
      <c r="F537" s="772">
        <f>ROUND('PL Grouping'!AU283,0)</f>
        <v>0</v>
      </c>
      <c r="G537" s="773"/>
      <c r="H537" s="694" t="s">
        <v>449</v>
      </c>
    </row>
    <row r="538" spans="1:8" ht="7.5" customHeight="1">
      <c r="B538" s="771"/>
      <c r="C538" s="772"/>
      <c r="D538" s="772"/>
      <c r="E538" s="772"/>
      <c r="F538" s="772"/>
      <c r="G538" s="773"/>
      <c r="H538" s="694" t="s">
        <v>449</v>
      </c>
    </row>
    <row r="539" spans="1:8" ht="15" thickBot="1">
      <c r="B539" s="774" t="s">
        <v>51</v>
      </c>
      <c r="C539" s="729">
        <f>SUM(C536:C538)</f>
        <v>50881</v>
      </c>
      <c r="D539" s="729">
        <f>SUM(D536:D538)</f>
        <v>25881</v>
      </c>
      <c r="E539" s="729">
        <f>SUM(E536:E538)</f>
        <v>255854</v>
      </c>
      <c r="F539" s="729">
        <f>SUM(F536:F538)</f>
        <v>121000</v>
      </c>
      <c r="G539" s="773"/>
    </row>
    <row r="540" spans="1:8" ht="9" customHeight="1" thickTop="1" thickBot="1">
      <c r="G540" s="668"/>
    </row>
    <row r="541" spans="1:8" ht="15" thickTop="1">
      <c r="A541" s="693">
        <f>+A533+1</f>
        <v>35</v>
      </c>
      <c r="B541" s="719" t="s">
        <v>463</v>
      </c>
    </row>
    <row r="542" spans="1:8">
      <c r="B542" s="719" t="s">
        <v>468</v>
      </c>
    </row>
    <row r="543" spans="1:8" ht="34.5" customHeight="1">
      <c r="B543" s="1273" t="s">
        <v>464</v>
      </c>
      <c r="C543" s="1273"/>
      <c r="D543" s="1273"/>
      <c r="E543" s="1273"/>
      <c r="F543" s="1273"/>
    </row>
    <row r="544" spans="1:8" ht="49.5" customHeight="1" thickBot="1">
      <c r="B544" s="767" t="s">
        <v>0</v>
      </c>
      <c r="C544" s="733" t="str">
        <f>+C335</f>
        <v xml:space="preserve"> As at  31st March, 2024</v>
      </c>
      <c r="D544" s="733" t="str">
        <f>+D335</f>
        <v xml:space="preserve"> As at  30th September, 2023</v>
      </c>
      <c r="E544" s="733" t="str">
        <f>+E335</f>
        <v xml:space="preserve"> As at  31st March, 2023</v>
      </c>
      <c r="F544" s="733" t="str">
        <f>+F335</f>
        <v xml:space="preserve"> As at  31st March, 2022</v>
      </c>
      <c r="G544" s="854"/>
    </row>
    <row r="545" spans="1:16" ht="8.25" customHeight="1">
      <c r="B545" s="769"/>
      <c r="C545" s="770"/>
      <c r="D545" s="770"/>
      <c r="E545" s="770"/>
      <c r="F545" s="770"/>
      <c r="G545" s="700"/>
    </row>
    <row r="546" spans="1:16">
      <c r="B546" s="771" t="s">
        <v>460</v>
      </c>
      <c r="C546" s="772">
        <v>0</v>
      </c>
      <c r="D546" s="772">
        <f>ROU!Q11</f>
        <v>365680</v>
      </c>
      <c r="E546" s="772">
        <f>ROU!R11</f>
        <v>366682</v>
      </c>
      <c r="F546" s="772">
        <v>365680</v>
      </c>
      <c r="G546" s="770"/>
    </row>
    <row r="547" spans="1:16">
      <c r="B547" s="771" t="s">
        <v>461</v>
      </c>
      <c r="C547" s="772">
        <v>0</v>
      </c>
      <c r="D547" s="772">
        <f>+ROU!R11</f>
        <v>366682</v>
      </c>
      <c r="E547" s="772">
        <f>+ROU!S11</f>
        <v>320596</v>
      </c>
      <c r="F547" s="772">
        <v>687278</v>
      </c>
      <c r="G547" s="773"/>
    </row>
    <row r="548" spans="1:16">
      <c r="A548" s="694"/>
      <c r="B548" s="771" t="s">
        <v>462</v>
      </c>
      <c r="C548" s="772">
        <v>0</v>
      </c>
      <c r="D548" s="772">
        <v>0</v>
      </c>
      <c r="E548" s="772">
        <v>0</v>
      </c>
      <c r="F548" s="772">
        <v>0</v>
      </c>
      <c r="G548" s="773"/>
    </row>
    <row r="549" spans="1:16" ht="15" thickBot="1">
      <c r="A549" s="694"/>
      <c r="B549" s="774" t="s">
        <v>51</v>
      </c>
      <c r="C549" s="729">
        <f>SUM(C546:C548)</f>
        <v>0</v>
      </c>
      <c r="D549" s="729">
        <f>SUM(D546:D548)</f>
        <v>732362</v>
      </c>
      <c r="E549" s="729">
        <f>SUM(E546:E548)</f>
        <v>687278</v>
      </c>
      <c r="F549" s="729">
        <f>SUM(F546:F548)</f>
        <v>1052958</v>
      </c>
      <c r="G549" s="773"/>
    </row>
    <row r="550" spans="1:16" ht="15" thickTop="1">
      <c r="A550" s="694"/>
      <c r="B550" s="719"/>
      <c r="C550" s="853"/>
      <c r="D550" s="853"/>
      <c r="E550" s="853"/>
      <c r="F550" s="853"/>
      <c r="G550" s="721"/>
    </row>
    <row r="551" spans="1:16" ht="44.1" customHeight="1">
      <c r="A551" s="694"/>
      <c r="B551" s="1267" t="s">
        <v>1670</v>
      </c>
      <c r="C551" s="1267"/>
      <c r="D551" s="1267"/>
      <c r="E551" s="1267"/>
      <c r="F551" s="854"/>
      <c r="G551" s="721">
        <f>'PL Grouping'!AL260</f>
        <v>303131</v>
      </c>
      <c r="H551" s="694">
        <f>'PL Grouping'!AU260</f>
        <v>24151</v>
      </c>
    </row>
    <row r="552" spans="1:16">
      <c r="A552" s="694"/>
      <c r="G552" s="855">
        <f>E18</f>
        <v>569719</v>
      </c>
      <c r="H552" s="855">
        <f>F18</f>
        <v>872850</v>
      </c>
      <c r="M552" s="708">
        <f>+C501</f>
        <v>490602</v>
      </c>
      <c r="O552" s="708">
        <f>+E501</f>
        <v>628328</v>
      </c>
      <c r="P552" s="708"/>
    </row>
    <row r="553" spans="1:16" ht="31.5" customHeight="1">
      <c r="A553" s="694"/>
      <c r="B553" s="1268" t="s">
        <v>1669</v>
      </c>
      <c r="C553" s="1268"/>
      <c r="D553" s="1268"/>
      <c r="E553" s="1268"/>
      <c r="F553" s="834"/>
      <c r="G553" s="855">
        <f>E501</f>
        <v>628328</v>
      </c>
      <c r="H553" s="855">
        <f>F501</f>
        <v>264972</v>
      </c>
      <c r="J553" s="694" t="s">
        <v>465</v>
      </c>
    </row>
  </sheetData>
  <autoFilter ref="A6:U553"/>
  <mergeCells count="17">
    <mergeCell ref="C293:C298"/>
    <mergeCell ref="B35:E35"/>
    <mergeCell ref="B357:E357"/>
    <mergeCell ref="B551:E551"/>
    <mergeCell ref="B553:E553"/>
    <mergeCell ref="B224:F224"/>
    <mergeCell ref="B225:F225"/>
    <mergeCell ref="B543:F543"/>
    <mergeCell ref="B276:F276"/>
    <mergeCell ref="B290:F290"/>
    <mergeCell ref="B291:F291"/>
    <mergeCell ref="E299:F299"/>
    <mergeCell ref="E293:E298"/>
    <mergeCell ref="E278:E289"/>
    <mergeCell ref="D278:D289"/>
    <mergeCell ref="D293:D298"/>
    <mergeCell ref="C278:C289"/>
  </mergeCells>
  <pageMargins left="0.19685039370078741" right="0.11811023622047245" top="0.51181102362204722" bottom="0.23622047244094491" header="0.31496062992125984" footer="0.31496062992125984"/>
  <pageSetup scale="82" fitToHeight="10" orientation="portrait" blackAndWhite="1" r:id="rId1"/>
  <rowBreaks count="11" manualBreakCount="11">
    <brk id="56" max="4" man="1"/>
    <brk id="89" max="4" man="1"/>
    <brk id="132" max="4" man="1"/>
    <brk id="163" max="4" man="1"/>
    <brk id="221" max="4" man="1"/>
    <brk id="300" max="4" man="1"/>
    <brk id="341" max="4" man="1"/>
    <brk id="384" max="4" man="1"/>
    <brk id="425" max="4" man="1"/>
    <brk id="476" max="4" man="1"/>
    <brk id="518" max="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93"/>
  <sheetViews>
    <sheetView showGridLines="0" view="pageBreakPreview" zoomScaleNormal="90" zoomScaleSheetLayoutView="100" workbookViewId="0">
      <selection activeCell="E23" sqref="E23"/>
    </sheetView>
  </sheetViews>
  <sheetFormatPr defaultRowHeight="13.8"/>
  <cols>
    <col min="1" max="1" width="43" style="122" customWidth="1"/>
    <col min="2" max="2" width="14" style="122" bestFit="1" customWidth="1"/>
    <col min="3" max="3" width="15.44140625" style="122" hidden="1" customWidth="1"/>
    <col min="4" max="4" width="13" style="122" bestFit="1" customWidth="1"/>
    <col min="5" max="5" width="13.44140625" style="122" bestFit="1" customWidth="1"/>
    <col min="6" max="6" width="12" style="122" bestFit="1" customWidth="1"/>
    <col min="7" max="7" width="14.44140625" style="130" bestFit="1" customWidth="1"/>
    <col min="8" max="8" width="12.5546875" style="122" bestFit="1" customWidth="1"/>
    <col min="9" max="9" width="14.5546875" style="122" bestFit="1" customWidth="1"/>
    <col min="10" max="10" width="13.44140625" style="122" bestFit="1" customWidth="1"/>
    <col min="11" max="11" width="12" style="122" bestFit="1" customWidth="1"/>
    <col min="12" max="13" width="14.44140625" style="130" bestFit="1" customWidth="1"/>
    <col min="14" max="14" width="14.5546875" style="122" bestFit="1" customWidth="1"/>
    <col min="15" max="15" width="15.21875" style="122" bestFit="1" customWidth="1"/>
    <col min="16" max="17" width="14.77734375" style="122" bestFit="1" customWidth="1"/>
    <col min="18" max="18" width="14.5546875" style="122" bestFit="1" customWidth="1"/>
    <col min="19" max="255" width="9.21875" style="122"/>
    <col min="256" max="256" width="5.44140625" style="122" customWidth="1"/>
    <col min="257" max="257" width="67.5546875" style="122" customWidth="1"/>
    <col min="258" max="259" width="12.21875" style="122" customWidth="1"/>
    <col min="260" max="260" width="13.77734375" style="122" customWidth="1"/>
    <col min="261" max="261" width="12.77734375" style="122" customWidth="1"/>
    <col min="262" max="262" width="15.77734375" style="122" bestFit="1" customWidth="1"/>
    <col min="263" max="263" width="13" style="122" bestFit="1" customWidth="1"/>
    <col min="264" max="264" width="9" style="122" bestFit="1" customWidth="1"/>
    <col min="265" max="265" width="15.44140625" style="122" bestFit="1" customWidth="1"/>
    <col min="266" max="266" width="12.44140625" style="122" bestFit="1" customWidth="1"/>
    <col min="267" max="269" width="15.77734375" style="122" bestFit="1" customWidth="1"/>
    <col min="270" max="271" width="9.21875" style="122"/>
    <col min="272" max="272" width="12.77734375" style="122" bestFit="1" customWidth="1"/>
    <col min="273" max="511" width="9.21875" style="122"/>
    <col min="512" max="512" width="5.44140625" style="122" customWidth="1"/>
    <col min="513" max="513" width="67.5546875" style="122" customWidth="1"/>
    <col min="514" max="515" width="12.21875" style="122" customWidth="1"/>
    <col min="516" max="516" width="13.77734375" style="122" customWidth="1"/>
    <col min="517" max="517" width="12.77734375" style="122" customWidth="1"/>
    <col min="518" max="518" width="15.77734375" style="122" bestFit="1" customWidth="1"/>
    <col min="519" max="519" width="13" style="122" bestFit="1" customWidth="1"/>
    <col min="520" max="520" width="9" style="122" bestFit="1" customWidth="1"/>
    <col min="521" max="521" width="15.44140625" style="122" bestFit="1" customWidth="1"/>
    <col min="522" max="522" width="12.44140625" style="122" bestFit="1" customWidth="1"/>
    <col min="523" max="525" width="15.77734375" style="122" bestFit="1" customWidth="1"/>
    <col min="526" max="527" width="9.21875" style="122"/>
    <col min="528" max="528" width="12.77734375" style="122" bestFit="1" customWidth="1"/>
    <col min="529" max="767" width="9.21875" style="122"/>
    <col min="768" max="768" width="5.44140625" style="122" customWidth="1"/>
    <col min="769" max="769" width="67.5546875" style="122" customWidth="1"/>
    <col min="770" max="771" width="12.21875" style="122" customWidth="1"/>
    <col min="772" max="772" width="13.77734375" style="122" customWidth="1"/>
    <col min="773" max="773" width="12.77734375" style="122" customWidth="1"/>
    <col min="774" max="774" width="15.77734375" style="122" bestFit="1" customWidth="1"/>
    <col min="775" max="775" width="13" style="122" bestFit="1" customWidth="1"/>
    <col min="776" max="776" width="9" style="122" bestFit="1" customWidth="1"/>
    <col min="777" max="777" width="15.44140625" style="122" bestFit="1" customWidth="1"/>
    <col min="778" max="778" width="12.44140625" style="122" bestFit="1" customWidth="1"/>
    <col min="779" max="781" width="15.77734375" style="122" bestFit="1" customWidth="1"/>
    <col min="782" max="783" width="9.21875" style="122"/>
    <col min="784" max="784" width="12.77734375" style="122" bestFit="1" customWidth="1"/>
    <col min="785" max="1023" width="9.21875" style="122"/>
    <col min="1024" max="1024" width="5.44140625" style="122" customWidth="1"/>
    <col min="1025" max="1025" width="67.5546875" style="122" customWidth="1"/>
    <col min="1026" max="1027" width="12.21875" style="122" customWidth="1"/>
    <col min="1028" max="1028" width="13.77734375" style="122" customWidth="1"/>
    <col min="1029" max="1029" width="12.77734375" style="122" customWidth="1"/>
    <col min="1030" max="1030" width="15.77734375" style="122" bestFit="1" customWidth="1"/>
    <col min="1031" max="1031" width="13" style="122" bestFit="1" customWidth="1"/>
    <col min="1032" max="1032" width="9" style="122" bestFit="1" customWidth="1"/>
    <col min="1033" max="1033" width="15.44140625" style="122" bestFit="1" customWidth="1"/>
    <col min="1034" max="1034" width="12.44140625" style="122" bestFit="1" customWidth="1"/>
    <col min="1035" max="1037" width="15.77734375" style="122" bestFit="1" customWidth="1"/>
    <col min="1038" max="1039" width="9.21875" style="122"/>
    <col min="1040" max="1040" width="12.77734375" style="122" bestFit="1" customWidth="1"/>
    <col min="1041" max="1279" width="9.21875" style="122"/>
    <col min="1280" max="1280" width="5.44140625" style="122" customWidth="1"/>
    <col min="1281" max="1281" width="67.5546875" style="122" customWidth="1"/>
    <col min="1282" max="1283" width="12.21875" style="122" customWidth="1"/>
    <col min="1284" max="1284" width="13.77734375" style="122" customWidth="1"/>
    <col min="1285" max="1285" width="12.77734375" style="122" customWidth="1"/>
    <col min="1286" max="1286" width="15.77734375" style="122" bestFit="1" customWidth="1"/>
    <col min="1287" max="1287" width="13" style="122" bestFit="1" customWidth="1"/>
    <col min="1288" max="1288" width="9" style="122" bestFit="1" customWidth="1"/>
    <col min="1289" max="1289" width="15.44140625" style="122" bestFit="1" customWidth="1"/>
    <col min="1290" max="1290" width="12.44140625" style="122" bestFit="1" customWidth="1"/>
    <col min="1291" max="1293" width="15.77734375" style="122" bestFit="1" customWidth="1"/>
    <col min="1294" max="1295" width="9.21875" style="122"/>
    <col min="1296" max="1296" width="12.77734375" style="122" bestFit="1" customWidth="1"/>
    <col min="1297" max="1535" width="9.21875" style="122"/>
    <col min="1536" max="1536" width="5.44140625" style="122" customWidth="1"/>
    <col min="1537" max="1537" width="67.5546875" style="122" customWidth="1"/>
    <col min="1538" max="1539" width="12.21875" style="122" customWidth="1"/>
    <col min="1540" max="1540" width="13.77734375" style="122" customWidth="1"/>
    <col min="1541" max="1541" width="12.77734375" style="122" customWidth="1"/>
    <col min="1542" max="1542" width="15.77734375" style="122" bestFit="1" customWidth="1"/>
    <col min="1543" max="1543" width="13" style="122" bestFit="1" customWidth="1"/>
    <col min="1544" max="1544" width="9" style="122" bestFit="1" customWidth="1"/>
    <col min="1545" max="1545" width="15.44140625" style="122" bestFit="1" customWidth="1"/>
    <col min="1546" max="1546" width="12.44140625" style="122" bestFit="1" customWidth="1"/>
    <col min="1547" max="1549" width="15.77734375" style="122" bestFit="1" customWidth="1"/>
    <col min="1550" max="1551" width="9.21875" style="122"/>
    <col min="1552" max="1552" width="12.77734375" style="122" bestFit="1" customWidth="1"/>
    <col min="1553" max="1791" width="9.21875" style="122"/>
    <col min="1792" max="1792" width="5.44140625" style="122" customWidth="1"/>
    <col min="1793" max="1793" width="67.5546875" style="122" customWidth="1"/>
    <col min="1794" max="1795" width="12.21875" style="122" customWidth="1"/>
    <col min="1796" max="1796" width="13.77734375" style="122" customWidth="1"/>
    <col min="1797" max="1797" width="12.77734375" style="122" customWidth="1"/>
    <col min="1798" max="1798" width="15.77734375" style="122" bestFit="1" customWidth="1"/>
    <col min="1799" max="1799" width="13" style="122" bestFit="1" customWidth="1"/>
    <col min="1800" max="1800" width="9" style="122" bestFit="1" customWidth="1"/>
    <col min="1801" max="1801" width="15.44140625" style="122" bestFit="1" customWidth="1"/>
    <col min="1802" max="1802" width="12.44140625" style="122" bestFit="1" customWidth="1"/>
    <col min="1803" max="1805" width="15.77734375" style="122" bestFit="1" customWidth="1"/>
    <col min="1806" max="1807" width="9.21875" style="122"/>
    <col min="1808" max="1808" width="12.77734375" style="122" bestFit="1" customWidth="1"/>
    <col min="1809" max="2047" width="9.21875" style="122"/>
    <col min="2048" max="2048" width="5.44140625" style="122" customWidth="1"/>
    <col min="2049" max="2049" width="67.5546875" style="122" customWidth="1"/>
    <col min="2050" max="2051" width="12.21875" style="122" customWidth="1"/>
    <col min="2052" max="2052" width="13.77734375" style="122" customWidth="1"/>
    <col min="2053" max="2053" width="12.77734375" style="122" customWidth="1"/>
    <col min="2054" max="2054" width="15.77734375" style="122" bestFit="1" customWidth="1"/>
    <col min="2055" max="2055" width="13" style="122" bestFit="1" customWidth="1"/>
    <col min="2056" max="2056" width="9" style="122" bestFit="1" customWidth="1"/>
    <col min="2057" max="2057" width="15.44140625" style="122" bestFit="1" customWidth="1"/>
    <col min="2058" max="2058" width="12.44140625" style="122" bestFit="1" customWidth="1"/>
    <col min="2059" max="2061" width="15.77734375" style="122" bestFit="1" customWidth="1"/>
    <col min="2062" max="2063" width="9.21875" style="122"/>
    <col min="2064" max="2064" width="12.77734375" style="122" bestFit="1" customWidth="1"/>
    <col min="2065" max="2303" width="9.21875" style="122"/>
    <col min="2304" max="2304" width="5.44140625" style="122" customWidth="1"/>
    <col min="2305" max="2305" width="67.5546875" style="122" customWidth="1"/>
    <col min="2306" max="2307" width="12.21875" style="122" customWidth="1"/>
    <col min="2308" max="2308" width="13.77734375" style="122" customWidth="1"/>
    <col min="2309" max="2309" width="12.77734375" style="122" customWidth="1"/>
    <col min="2310" max="2310" width="15.77734375" style="122" bestFit="1" customWidth="1"/>
    <col min="2311" max="2311" width="13" style="122" bestFit="1" customWidth="1"/>
    <col min="2312" max="2312" width="9" style="122" bestFit="1" customWidth="1"/>
    <col min="2313" max="2313" width="15.44140625" style="122" bestFit="1" customWidth="1"/>
    <col min="2314" max="2314" width="12.44140625" style="122" bestFit="1" customWidth="1"/>
    <col min="2315" max="2317" width="15.77734375" style="122" bestFit="1" customWidth="1"/>
    <col min="2318" max="2319" width="9.21875" style="122"/>
    <col min="2320" max="2320" width="12.77734375" style="122" bestFit="1" customWidth="1"/>
    <col min="2321" max="2559" width="9.21875" style="122"/>
    <col min="2560" max="2560" width="5.44140625" style="122" customWidth="1"/>
    <col min="2561" max="2561" width="67.5546875" style="122" customWidth="1"/>
    <col min="2562" max="2563" width="12.21875" style="122" customWidth="1"/>
    <col min="2564" max="2564" width="13.77734375" style="122" customWidth="1"/>
    <col min="2565" max="2565" width="12.77734375" style="122" customWidth="1"/>
    <col min="2566" max="2566" width="15.77734375" style="122" bestFit="1" customWidth="1"/>
    <col min="2567" max="2567" width="13" style="122" bestFit="1" customWidth="1"/>
    <col min="2568" max="2568" width="9" style="122" bestFit="1" customWidth="1"/>
    <col min="2569" max="2569" width="15.44140625" style="122" bestFit="1" customWidth="1"/>
    <col min="2570" max="2570" width="12.44140625" style="122" bestFit="1" customWidth="1"/>
    <col min="2571" max="2573" width="15.77734375" style="122" bestFit="1" customWidth="1"/>
    <col min="2574" max="2575" width="9.21875" style="122"/>
    <col min="2576" max="2576" width="12.77734375" style="122" bestFit="1" customWidth="1"/>
    <col min="2577" max="2815" width="9.21875" style="122"/>
    <col min="2816" max="2816" width="5.44140625" style="122" customWidth="1"/>
    <col min="2817" max="2817" width="67.5546875" style="122" customWidth="1"/>
    <col min="2818" max="2819" width="12.21875" style="122" customWidth="1"/>
    <col min="2820" max="2820" width="13.77734375" style="122" customWidth="1"/>
    <col min="2821" max="2821" width="12.77734375" style="122" customWidth="1"/>
    <col min="2822" max="2822" width="15.77734375" style="122" bestFit="1" customWidth="1"/>
    <col min="2823" max="2823" width="13" style="122" bestFit="1" customWidth="1"/>
    <col min="2824" max="2824" width="9" style="122" bestFit="1" customWidth="1"/>
    <col min="2825" max="2825" width="15.44140625" style="122" bestFit="1" customWidth="1"/>
    <col min="2826" max="2826" width="12.44140625" style="122" bestFit="1" customWidth="1"/>
    <col min="2827" max="2829" width="15.77734375" style="122" bestFit="1" customWidth="1"/>
    <col min="2830" max="2831" width="9.21875" style="122"/>
    <col min="2832" max="2832" width="12.77734375" style="122" bestFit="1" customWidth="1"/>
    <col min="2833" max="3071" width="9.21875" style="122"/>
    <col min="3072" max="3072" width="5.44140625" style="122" customWidth="1"/>
    <col min="3073" max="3073" width="67.5546875" style="122" customWidth="1"/>
    <col min="3074" max="3075" width="12.21875" style="122" customWidth="1"/>
    <col min="3076" max="3076" width="13.77734375" style="122" customWidth="1"/>
    <col min="3077" max="3077" width="12.77734375" style="122" customWidth="1"/>
    <col min="3078" max="3078" width="15.77734375" style="122" bestFit="1" customWidth="1"/>
    <col min="3079" max="3079" width="13" style="122" bestFit="1" customWidth="1"/>
    <col min="3080" max="3080" width="9" style="122" bestFit="1" customWidth="1"/>
    <col min="3081" max="3081" width="15.44140625" style="122" bestFit="1" customWidth="1"/>
    <col min="3082" max="3082" width="12.44140625" style="122" bestFit="1" customWidth="1"/>
    <col min="3083" max="3085" width="15.77734375" style="122" bestFit="1" customWidth="1"/>
    <col min="3086" max="3087" width="9.21875" style="122"/>
    <col min="3088" max="3088" width="12.77734375" style="122" bestFit="1" customWidth="1"/>
    <col min="3089" max="3327" width="9.21875" style="122"/>
    <col min="3328" max="3328" width="5.44140625" style="122" customWidth="1"/>
    <col min="3329" max="3329" width="67.5546875" style="122" customWidth="1"/>
    <col min="3330" max="3331" width="12.21875" style="122" customWidth="1"/>
    <col min="3332" max="3332" width="13.77734375" style="122" customWidth="1"/>
    <col min="3333" max="3333" width="12.77734375" style="122" customWidth="1"/>
    <col min="3334" max="3334" width="15.77734375" style="122" bestFit="1" customWidth="1"/>
    <col min="3335" max="3335" width="13" style="122" bestFit="1" customWidth="1"/>
    <col min="3336" max="3336" width="9" style="122" bestFit="1" customWidth="1"/>
    <col min="3337" max="3337" width="15.44140625" style="122" bestFit="1" customWidth="1"/>
    <col min="3338" max="3338" width="12.44140625" style="122" bestFit="1" customWidth="1"/>
    <col min="3339" max="3341" width="15.77734375" style="122" bestFit="1" customWidth="1"/>
    <col min="3342" max="3343" width="9.21875" style="122"/>
    <col min="3344" max="3344" width="12.77734375" style="122" bestFit="1" customWidth="1"/>
    <col min="3345" max="3583" width="9.21875" style="122"/>
    <col min="3584" max="3584" width="5.44140625" style="122" customWidth="1"/>
    <col min="3585" max="3585" width="67.5546875" style="122" customWidth="1"/>
    <col min="3586" max="3587" width="12.21875" style="122" customWidth="1"/>
    <col min="3588" max="3588" width="13.77734375" style="122" customWidth="1"/>
    <col min="3589" max="3589" width="12.77734375" style="122" customWidth="1"/>
    <col min="3590" max="3590" width="15.77734375" style="122" bestFit="1" customWidth="1"/>
    <col min="3591" max="3591" width="13" style="122" bestFit="1" customWidth="1"/>
    <col min="3592" max="3592" width="9" style="122" bestFit="1" customWidth="1"/>
    <col min="3593" max="3593" width="15.44140625" style="122" bestFit="1" customWidth="1"/>
    <col min="3594" max="3594" width="12.44140625" style="122" bestFit="1" customWidth="1"/>
    <col min="3595" max="3597" width="15.77734375" style="122" bestFit="1" customWidth="1"/>
    <col min="3598" max="3599" width="9.21875" style="122"/>
    <col min="3600" max="3600" width="12.77734375" style="122" bestFit="1" customWidth="1"/>
    <col min="3601" max="3839" width="9.21875" style="122"/>
    <col min="3840" max="3840" width="5.44140625" style="122" customWidth="1"/>
    <col min="3841" max="3841" width="67.5546875" style="122" customWidth="1"/>
    <col min="3842" max="3843" width="12.21875" style="122" customWidth="1"/>
    <col min="3844" max="3844" width="13.77734375" style="122" customWidth="1"/>
    <col min="3845" max="3845" width="12.77734375" style="122" customWidth="1"/>
    <col min="3846" max="3846" width="15.77734375" style="122" bestFit="1" customWidth="1"/>
    <col min="3847" max="3847" width="13" style="122" bestFit="1" customWidth="1"/>
    <col min="3848" max="3848" width="9" style="122" bestFit="1" customWidth="1"/>
    <col min="3849" max="3849" width="15.44140625" style="122" bestFit="1" customWidth="1"/>
    <col min="3850" max="3850" width="12.44140625" style="122" bestFit="1" customWidth="1"/>
    <col min="3851" max="3853" width="15.77734375" style="122" bestFit="1" customWidth="1"/>
    <col min="3854" max="3855" width="9.21875" style="122"/>
    <col min="3856" max="3856" width="12.77734375" style="122" bestFit="1" customWidth="1"/>
    <col min="3857" max="4095" width="9.21875" style="122"/>
    <col min="4096" max="4096" width="5.44140625" style="122" customWidth="1"/>
    <col min="4097" max="4097" width="67.5546875" style="122" customWidth="1"/>
    <col min="4098" max="4099" width="12.21875" style="122" customWidth="1"/>
    <col min="4100" max="4100" width="13.77734375" style="122" customWidth="1"/>
    <col min="4101" max="4101" width="12.77734375" style="122" customWidth="1"/>
    <col min="4102" max="4102" width="15.77734375" style="122" bestFit="1" customWidth="1"/>
    <col min="4103" max="4103" width="13" style="122" bestFit="1" customWidth="1"/>
    <col min="4104" max="4104" width="9" style="122" bestFit="1" customWidth="1"/>
    <col min="4105" max="4105" width="15.44140625" style="122" bestFit="1" customWidth="1"/>
    <col min="4106" max="4106" width="12.44140625" style="122" bestFit="1" customWidth="1"/>
    <col min="4107" max="4109" width="15.77734375" style="122" bestFit="1" customWidth="1"/>
    <col min="4110" max="4111" width="9.21875" style="122"/>
    <col min="4112" max="4112" width="12.77734375" style="122" bestFit="1" customWidth="1"/>
    <col min="4113" max="4351" width="9.21875" style="122"/>
    <col min="4352" max="4352" width="5.44140625" style="122" customWidth="1"/>
    <col min="4353" max="4353" width="67.5546875" style="122" customWidth="1"/>
    <col min="4354" max="4355" width="12.21875" style="122" customWidth="1"/>
    <col min="4356" max="4356" width="13.77734375" style="122" customWidth="1"/>
    <col min="4357" max="4357" width="12.77734375" style="122" customWidth="1"/>
    <col min="4358" max="4358" width="15.77734375" style="122" bestFit="1" customWidth="1"/>
    <col min="4359" max="4359" width="13" style="122" bestFit="1" customWidth="1"/>
    <col min="4360" max="4360" width="9" style="122" bestFit="1" customWidth="1"/>
    <col min="4361" max="4361" width="15.44140625" style="122" bestFit="1" customWidth="1"/>
    <col min="4362" max="4362" width="12.44140625" style="122" bestFit="1" customWidth="1"/>
    <col min="4363" max="4365" width="15.77734375" style="122" bestFit="1" customWidth="1"/>
    <col min="4366" max="4367" width="9.21875" style="122"/>
    <col min="4368" max="4368" width="12.77734375" style="122" bestFit="1" customWidth="1"/>
    <col min="4369" max="4607" width="9.21875" style="122"/>
    <col min="4608" max="4608" width="5.44140625" style="122" customWidth="1"/>
    <col min="4609" max="4609" width="67.5546875" style="122" customWidth="1"/>
    <col min="4610" max="4611" width="12.21875" style="122" customWidth="1"/>
    <col min="4612" max="4612" width="13.77734375" style="122" customWidth="1"/>
    <col min="4613" max="4613" width="12.77734375" style="122" customWidth="1"/>
    <col min="4614" max="4614" width="15.77734375" style="122" bestFit="1" customWidth="1"/>
    <col min="4615" max="4615" width="13" style="122" bestFit="1" customWidth="1"/>
    <col min="4616" max="4616" width="9" style="122" bestFit="1" customWidth="1"/>
    <col min="4617" max="4617" width="15.44140625" style="122" bestFit="1" customWidth="1"/>
    <col min="4618" max="4618" width="12.44140625" style="122" bestFit="1" customWidth="1"/>
    <col min="4619" max="4621" width="15.77734375" style="122" bestFit="1" customWidth="1"/>
    <col min="4622" max="4623" width="9.21875" style="122"/>
    <col min="4624" max="4624" width="12.77734375" style="122" bestFit="1" customWidth="1"/>
    <col min="4625" max="4863" width="9.21875" style="122"/>
    <col min="4864" max="4864" width="5.44140625" style="122" customWidth="1"/>
    <col min="4865" max="4865" width="67.5546875" style="122" customWidth="1"/>
    <col min="4866" max="4867" width="12.21875" style="122" customWidth="1"/>
    <col min="4868" max="4868" width="13.77734375" style="122" customWidth="1"/>
    <col min="4869" max="4869" width="12.77734375" style="122" customWidth="1"/>
    <col min="4870" max="4870" width="15.77734375" style="122" bestFit="1" customWidth="1"/>
    <col min="4871" max="4871" width="13" style="122" bestFit="1" customWidth="1"/>
    <col min="4872" max="4872" width="9" style="122" bestFit="1" customWidth="1"/>
    <col min="4873" max="4873" width="15.44140625" style="122" bestFit="1" customWidth="1"/>
    <col min="4874" max="4874" width="12.44140625" style="122" bestFit="1" customWidth="1"/>
    <col min="4875" max="4877" width="15.77734375" style="122" bestFit="1" customWidth="1"/>
    <col min="4878" max="4879" width="9.21875" style="122"/>
    <col min="4880" max="4880" width="12.77734375" style="122" bestFit="1" customWidth="1"/>
    <col min="4881" max="5119" width="9.21875" style="122"/>
    <col min="5120" max="5120" width="5.44140625" style="122" customWidth="1"/>
    <col min="5121" max="5121" width="67.5546875" style="122" customWidth="1"/>
    <col min="5122" max="5123" width="12.21875" style="122" customWidth="1"/>
    <col min="5124" max="5124" width="13.77734375" style="122" customWidth="1"/>
    <col min="5125" max="5125" width="12.77734375" style="122" customWidth="1"/>
    <col min="5126" max="5126" width="15.77734375" style="122" bestFit="1" customWidth="1"/>
    <col min="5127" max="5127" width="13" style="122" bestFit="1" customWidth="1"/>
    <col min="5128" max="5128" width="9" style="122" bestFit="1" customWidth="1"/>
    <col min="5129" max="5129" width="15.44140625" style="122" bestFit="1" customWidth="1"/>
    <col min="5130" max="5130" width="12.44140625" style="122" bestFit="1" customWidth="1"/>
    <col min="5131" max="5133" width="15.77734375" style="122" bestFit="1" customWidth="1"/>
    <col min="5134" max="5135" width="9.21875" style="122"/>
    <col min="5136" max="5136" width="12.77734375" style="122" bestFit="1" customWidth="1"/>
    <col min="5137" max="5375" width="9.21875" style="122"/>
    <col min="5376" max="5376" width="5.44140625" style="122" customWidth="1"/>
    <col min="5377" max="5377" width="67.5546875" style="122" customWidth="1"/>
    <col min="5378" max="5379" width="12.21875" style="122" customWidth="1"/>
    <col min="5380" max="5380" width="13.77734375" style="122" customWidth="1"/>
    <col min="5381" max="5381" width="12.77734375" style="122" customWidth="1"/>
    <col min="5382" max="5382" width="15.77734375" style="122" bestFit="1" customWidth="1"/>
    <col min="5383" max="5383" width="13" style="122" bestFit="1" customWidth="1"/>
    <col min="5384" max="5384" width="9" style="122" bestFit="1" customWidth="1"/>
    <col min="5385" max="5385" width="15.44140625" style="122" bestFit="1" customWidth="1"/>
    <col min="5386" max="5386" width="12.44140625" style="122" bestFit="1" customWidth="1"/>
    <col min="5387" max="5389" width="15.77734375" style="122" bestFit="1" customWidth="1"/>
    <col min="5390" max="5391" width="9.21875" style="122"/>
    <col min="5392" max="5392" width="12.77734375" style="122" bestFit="1" customWidth="1"/>
    <col min="5393" max="5631" width="9.21875" style="122"/>
    <col min="5632" max="5632" width="5.44140625" style="122" customWidth="1"/>
    <col min="5633" max="5633" width="67.5546875" style="122" customWidth="1"/>
    <col min="5634" max="5635" width="12.21875" style="122" customWidth="1"/>
    <col min="5636" max="5636" width="13.77734375" style="122" customWidth="1"/>
    <col min="5637" max="5637" width="12.77734375" style="122" customWidth="1"/>
    <col min="5638" max="5638" width="15.77734375" style="122" bestFit="1" customWidth="1"/>
    <col min="5639" max="5639" width="13" style="122" bestFit="1" customWidth="1"/>
    <col min="5640" max="5640" width="9" style="122" bestFit="1" customWidth="1"/>
    <col min="5641" max="5641" width="15.44140625" style="122" bestFit="1" customWidth="1"/>
    <col min="5642" max="5642" width="12.44140625" style="122" bestFit="1" customWidth="1"/>
    <col min="5643" max="5645" width="15.77734375" style="122" bestFit="1" customWidth="1"/>
    <col min="5646" max="5647" width="9.21875" style="122"/>
    <col min="5648" max="5648" width="12.77734375" style="122" bestFit="1" customWidth="1"/>
    <col min="5649" max="5887" width="9.21875" style="122"/>
    <col min="5888" max="5888" width="5.44140625" style="122" customWidth="1"/>
    <col min="5889" max="5889" width="67.5546875" style="122" customWidth="1"/>
    <col min="5890" max="5891" width="12.21875" style="122" customWidth="1"/>
    <col min="5892" max="5892" width="13.77734375" style="122" customWidth="1"/>
    <col min="5893" max="5893" width="12.77734375" style="122" customWidth="1"/>
    <col min="5894" max="5894" width="15.77734375" style="122" bestFit="1" customWidth="1"/>
    <col min="5895" max="5895" width="13" style="122" bestFit="1" customWidth="1"/>
    <col min="5896" max="5896" width="9" style="122" bestFit="1" customWidth="1"/>
    <col min="5897" max="5897" width="15.44140625" style="122" bestFit="1" customWidth="1"/>
    <col min="5898" max="5898" width="12.44140625" style="122" bestFit="1" customWidth="1"/>
    <col min="5899" max="5901" width="15.77734375" style="122" bestFit="1" customWidth="1"/>
    <col min="5902" max="5903" width="9.21875" style="122"/>
    <col min="5904" max="5904" width="12.77734375" style="122" bestFit="1" customWidth="1"/>
    <col min="5905" max="6143" width="9.21875" style="122"/>
    <col min="6144" max="6144" width="5.44140625" style="122" customWidth="1"/>
    <col min="6145" max="6145" width="67.5546875" style="122" customWidth="1"/>
    <col min="6146" max="6147" width="12.21875" style="122" customWidth="1"/>
    <col min="6148" max="6148" width="13.77734375" style="122" customWidth="1"/>
    <col min="6149" max="6149" width="12.77734375" style="122" customWidth="1"/>
    <col min="6150" max="6150" width="15.77734375" style="122" bestFit="1" customWidth="1"/>
    <col min="6151" max="6151" width="13" style="122" bestFit="1" customWidth="1"/>
    <col min="6152" max="6152" width="9" style="122" bestFit="1" customWidth="1"/>
    <col min="6153" max="6153" width="15.44140625" style="122" bestFit="1" customWidth="1"/>
    <col min="6154" max="6154" width="12.44140625" style="122" bestFit="1" customWidth="1"/>
    <col min="6155" max="6157" width="15.77734375" style="122" bestFit="1" customWidth="1"/>
    <col min="6158" max="6159" width="9.21875" style="122"/>
    <col min="6160" max="6160" width="12.77734375" style="122" bestFit="1" customWidth="1"/>
    <col min="6161" max="6399" width="9.21875" style="122"/>
    <col min="6400" max="6400" width="5.44140625" style="122" customWidth="1"/>
    <col min="6401" max="6401" width="67.5546875" style="122" customWidth="1"/>
    <col min="6402" max="6403" width="12.21875" style="122" customWidth="1"/>
    <col min="6404" max="6404" width="13.77734375" style="122" customWidth="1"/>
    <col min="6405" max="6405" width="12.77734375" style="122" customWidth="1"/>
    <col min="6406" max="6406" width="15.77734375" style="122" bestFit="1" customWidth="1"/>
    <col min="6407" max="6407" width="13" style="122" bestFit="1" customWidth="1"/>
    <col min="6408" max="6408" width="9" style="122" bestFit="1" customWidth="1"/>
    <col min="6409" max="6409" width="15.44140625" style="122" bestFit="1" customWidth="1"/>
    <col min="6410" max="6410" width="12.44140625" style="122" bestFit="1" customWidth="1"/>
    <col min="6411" max="6413" width="15.77734375" style="122" bestFit="1" customWidth="1"/>
    <col min="6414" max="6415" width="9.21875" style="122"/>
    <col min="6416" max="6416" width="12.77734375" style="122" bestFit="1" customWidth="1"/>
    <col min="6417" max="6655" width="9.21875" style="122"/>
    <col min="6656" max="6656" width="5.44140625" style="122" customWidth="1"/>
    <col min="6657" max="6657" width="67.5546875" style="122" customWidth="1"/>
    <col min="6658" max="6659" width="12.21875" style="122" customWidth="1"/>
    <col min="6660" max="6660" width="13.77734375" style="122" customWidth="1"/>
    <col min="6661" max="6661" width="12.77734375" style="122" customWidth="1"/>
    <col min="6662" max="6662" width="15.77734375" style="122" bestFit="1" customWidth="1"/>
    <col min="6663" max="6663" width="13" style="122" bestFit="1" customWidth="1"/>
    <col min="6664" max="6664" width="9" style="122" bestFit="1" customWidth="1"/>
    <col min="6665" max="6665" width="15.44140625" style="122" bestFit="1" customWidth="1"/>
    <col min="6666" max="6666" width="12.44140625" style="122" bestFit="1" customWidth="1"/>
    <col min="6667" max="6669" width="15.77734375" style="122" bestFit="1" customWidth="1"/>
    <col min="6670" max="6671" width="9.21875" style="122"/>
    <col min="6672" max="6672" width="12.77734375" style="122" bestFit="1" customWidth="1"/>
    <col min="6673" max="6911" width="9.21875" style="122"/>
    <col min="6912" max="6912" width="5.44140625" style="122" customWidth="1"/>
    <col min="6913" max="6913" width="67.5546875" style="122" customWidth="1"/>
    <col min="6914" max="6915" width="12.21875" style="122" customWidth="1"/>
    <col min="6916" max="6916" width="13.77734375" style="122" customWidth="1"/>
    <col min="6917" max="6917" width="12.77734375" style="122" customWidth="1"/>
    <col min="6918" max="6918" width="15.77734375" style="122" bestFit="1" customWidth="1"/>
    <col min="6919" max="6919" width="13" style="122" bestFit="1" customWidth="1"/>
    <col min="6920" max="6920" width="9" style="122" bestFit="1" customWidth="1"/>
    <col min="6921" max="6921" width="15.44140625" style="122" bestFit="1" customWidth="1"/>
    <col min="6922" max="6922" width="12.44140625" style="122" bestFit="1" customWidth="1"/>
    <col min="6923" max="6925" width="15.77734375" style="122" bestFit="1" customWidth="1"/>
    <col min="6926" max="6927" width="9.21875" style="122"/>
    <col min="6928" max="6928" width="12.77734375" style="122" bestFit="1" customWidth="1"/>
    <col min="6929" max="7167" width="9.21875" style="122"/>
    <col min="7168" max="7168" width="5.44140625" style="122" customWidth="1"/>
    <col min="7169" max="7169" width="67.5546875" style="122" customWidth="1"/>
    <col min="7170" max="7171" width="12.21875" style="122" customWidth="1"/>
    <col min="7172" max="7172" width="13.77734375" style="122" customWidth="1"/>
    <col min="7173" max="7173" width="12.77734375" style="122" customWidth="1"/>
    <col min="7174" max="7174" width="15.77734375" style="122" bestFit="1" customWidth="1"/>
    <col min="7175" max="7175" width="13" style="122" bestFit="1" customWidth="1"/>
    <col min="7176" max="7176" width="9" style="122" bestFit="1" customWidth="1"/>
    <col min="7177" max="7177" width="15.44140625" style="122" bestFit="1" customWidth="1"/>
    <col min="7178" max="7178" width="12.44140625" style="122" bestFit="1" customWidth="1"/>
    <col min="7179" max="7181" width="15.77734375" style="122" bestFit="1" customWidth="1"/>
    <col min="7182" max="7183" width="9.21875" style="122"/>
    <col min="7184" max="7184" width="12.77734375" style="122" bestFit="1" customWidth="1"/>
    <col min="7185" max="7423" width="9.21875" style="122"/>
    <col min="7424" max="7424" width="5.44140625" style="122" customWidth="1"/>
    <col min="7425" max="7425" width="67.5546875" style="122" customWidth="1"/>
    <col min="7426" max="7427" width="12.21875" style="122" customWidth="1"/>
    <col min="7428" max="7428" width="13.77734375" style="122" customWidth="1"/>
    <col min="7429" max="7429" width="12.77734375" style="122" customWidth="1"/>
    <col min="7430" max="7430" width="15.77734375" style="122" bestFit="1" customWidth="1"/>
    <col min="7431" max="7431" width="13" style="122" bestFit="1" customWidth="1"/>
    <col min="7432" max="7432" width="9" style="122" bestFit="1" customWidth="1"/>
    <col min="7433" max="7433" width="15.44140625" style="122" bestFit="1" customWidth="1"/>
    <col min="7434" max="7434" width="12.44140625" style="122" bestFit="1" customWidth="1"/>
    <col min="7435" max="7437" width="15.77734375" style="122" bestFit="1" customWidth="1"/>
    <col min="7438" max="7439" width="9.21875" style="122"/>
    <col min="7440" max="7440" width="12.77734375" style="122" bestFit="1" customWidth="1"/>
    <col min="7441" max="7679" width="9.21875" style="122"/>
    <col min="7680" max="7680" width="5.44140625" style="122" customWidth="1"/>
    <col min="7681" max="7681" width="67.5546875" style="122" customWidth="1"/>
    <col min="7682" max="7683" width="12.21875" style="122" customWidth="1"/>
    <col min="7684" max="7684" width="13.77734375" style="122" customWidth="1"/>
    <col min="7685" max="7685" width="12.77734375" style="122" customWidth="1"/>
    <col min="7686" max="7686" width="15.77734375" style="122" bestFit="1" customWidth="1"/>
    <col min="7687" max="7687" width="13" style="122" bestFit="1" customWidth="1"/>
    <col min="7688" max="7688" width="9" style="122" bestFit="1" customWidth="1"/>
    <col min="7689" max="7689" width="15.44140625" style="122" bestFit="1" customWidth="1"/>
    <col min="7690" max="7690" width="12.44140625" style="122" bestFit="1" customWidth="1"/>
    <col min="7691" max="7693" width="15.77734375" style="122" bestFit="1" customWidth="1"/>
    <col min="7694" max="7695" width="9.21875" style="122"/>
    <col min="7696" max="7696" width="12.77734375" style="122" bestFit="1" customWidth="1"/>
    <col min="7697" max="7935" width="9.21875" style="122"/>
    <col min="7936" max="7936" width="5.44140625" style="122" customWidth="1"/>
    <col min="7937" max="7937" width="67.5546875" style="122" customWidth="1"/>
    <col min="7938" max="7939" width="12.21875" style="122" customWidth="1"/>
    <col min="7940" max="7940" width="13.77734375" style="122" customWidth="1"/>
    <col min="7941" max="7941" width="12.77734375" style="122" customWidth="1"/>
    <col min="7942" max="7942" width="15.77734375" style="122" bestFit="1" customWidth="1"/>
    <col min="7943" max="7943" width="13" style="122" bestFit="1" customWidth="1"/>
    <col min="7944" max="7944" width="9" style="122" bestFit="1" customWidth="1"/>
    <col min="7945" max="7945" width="15.44140625" style="122" bestFit="1" customWidth="1"/>
    <col min="7946" max="7946" width="12.44140625" style="122" bestFit="1" customWidth="1"/>
    <col min="7947" max="7949" width="15.77734375" style="122" bestFit="1" customWidth="1"/>
    <col min="7950" max="7951" width="9.21875" style="122"/>
    <col min="7952" max="7952" width="12.77734375" style="122" bestFit="1" customWidth="1"/>
    <col min="7953" max="8191" width="9.21875" style="122"/>
    <col min="8192" max="8192" width="5.44140625" style="122" customWidth="1"/>
    <col min="8193" max="8193" width="67.5546875" style="122" customWidth="1"/>
    <col min="8194" max="8195" width="12.21875" style="122" customWidth="1"/>
    <col min="8196" max="8196" width="13.77734375" style="122" customWidth="1"/>
    <col min="8197" max="8197" width="12.77734375" style="122" customWidth="1"/>
    <col min="8198" max="8198" width="15.77734375" style="122" bestFit="1" customWidth="1"/>
    <col min="8199" max="8199" width="13" style="122" bestFit="1" customWidth="1"/>
    <col min="8200" max="8200" width="9" style="122" bestFit="1" customWidth="1"/>
    <col min="8201" max="8201" width="15.44140625" style="122" bestFit="1" customWidth="1"/>
    <col min="8202" max="8202" width="12.44140625" style="122" bestFit="1" customWidth="1"/>
    <col min="8203" max="8205" width="15.77734375" style="122" bestFit="1" customWidth="1"/>
    <col min="8206" max="8207" width="9.21875" style="122"/>
    <col min="8208" max="8208" width="12.77734375" style="122" bestFit="1" customWidth="1"/>
    <col min="8209" max="8447" width="9.21875" style="122"/>
    <col min="8448" max="8448" width="5.44140625" style="122" customWidth="1"/>
    <col min="8449" max="8449" width="67.5546875" style="122" customWidth="1"/>
    <col min="8450" max="8451" width="12.21875" style="122" customWidth="1"/>
    <col min="8452" max="8452" width="13.77734375" style="122" customWidth="1"/>
    <col min="8453" max="8453" width="12.77734375" style="122" customWidth="1"/>
    <col min="8454" max="8454" width="15.77734375" style="122" bestFit="1" customWidth="1"/>
    <col min="8455" max="8455" width="13" style="122" bestFit="1" customWidth="1"/>
    <col min="8456" max="8456" width="9" style="122" bestFit="1" customWidth="1"/>
    <col min="8457" max="8457" width="15.44140625" style="122" bestFit="1" customWidth="1"/>
    <col min="8458" max="8458" width="12.44140625" style="122" bestFit="1" customWidth="1"/>
    <col min="8459" max="8461" width="15.77734375" style="122" bestFit="1" customWidth="1"/>
    <col min="8462" max="8463" width="9.21875" style="122"/>
    <col min="8464" max="8464" width="12.77734375" style="122" bestFit="1" customWidth="1"/>
    <col min="8465" max="8703" width="9.21875" style="122"/>
    <col min="8704" max="8704" width="5.44140625" style="122" customWidth="1"/>
    <col min="8705" max="8705" width="67.5546875" style="122" customWidth="1"/>
    <col min="8706" max="8707" width="12.21875" style="122" customWidth="1"/>
    <col min="8708" max="8708" width="13.77734375" style="122" customWidth="1"/>
    <col min="8709" max="8709" width="12.77734375" style="122" customWidth="1"/>
    <col min="8710" max="8710" width="15.77734375" style="122" bestFit="1" customWidth="1"/>
    <col min="8711" max="8711" width="13" style="122" bestFit="1" customWidth="1"/>
    <col min="8712" max="8712" width="9" style="122" bestFit="1" customWidth="1"/>
    <col min="8713" max="8713" width="15.44140625" style="122" bestFit="1" customWidth="1"/>
    <col min="8714" max="8714" width="12.44140625" style="122" bestFit="1" customWidth="1"/>
    <col min="8715" max="8717" width="15.77734375" style="122" bestFit="1" customWidth="1"/>
    <col min="8718" max="8719" width="9.21875" style="122"/>
    <col min="8720" max="8720" width="12.77734375" style="122" bestFit="1" customWidth="1"/>
    <col min="8721" max="8959" width="9.21875" style="122"/>
    <col min="8960" max="8960" width="5.44140625" style="122" customWidth="1"/>
    <col min="8961" max="8961" width="67.5546875" style="122" customWidth="1"/>
    <col min="8962" max="8963" width="12.21875" style="122" customWidth="1"/>
    <col min="8964" max="8964" width="13.77734375" style="122" customWidth="1"/>
    <col min="8965" max="8965" width="12.77734375" style="122" customWidth="1"/>
    <col min="8966" max="8966" width="15.77734375" style="122" bestFit="1" customWidth="1"/>
    <col min="8967" max="8967" width="13" style="122" bestFit="1" customWidth="1"/>
    <col min="8968" max="8968" width="9" style="122" bestFit="1" customWidth="1"/>
    <col min="8969" max="8969" width="15.44140625" style="122" bestFit="1" customWidth="1"/>
    <col min="8970" max="8970" width="12.44140625" style="122" bestFit="1" customWidth="1"/>
    <col min="8971" max="8973" width="15.77734375" style="122" bestFit="1" customWidth="1"/>
    <col min="8974" max="8975" width="9.21875" style="122"/>
    <col min="8976" max="8976" width="12.77734375" style="122" bestFit="1" customWidth="1"/>
    <col min="8977" max="9215" width="9.21875" style="122"/>
    <col min="9216" max="9216" width="5.44140625" style="122" customWidth="1"/>
    <col min="9217" max="9217" width="67.5546875" style="122" customWidth="1"/>
    <col min="9218" max="9219" width="12.21875" style="122" customWidth="1"/>
    <col min="9220" max="9220" width="13.77734375" style="122" customWidth="1"/>
    <col min="9221" max="9221" width="12.77734375" style="122" customWidth="1"/>
    <col min="9222" max="9222" width="15.77734375" style="122" bestFit="1" customWidth="1"/>
    <col min="9223" max="9223" width="13" style="122" bestFit="1" customWidth="1"/>
    <col min="9224" max="9224" width="9" style="122" bestFit="1" customWidth="1"/>
    <col min="9225" max="9225" width="15.44140625" style="122" bestFit="1" customWidth="1"/>
    <col min="9226" max="9226" width="12.44140625" style="122" bestFit="1" customWidth="1"/>
    <col min="9227" max="9229" width="15.77734375" style="122" bestFit="1" customWidth="1"/>
    <col min="9230" max="9231" width="9.21875" style="122"/>
    <col min="9232" max="9232" width="12.77734375" style="122" bestFit="1" customWidth="1"/>
    <col min="9233" max="9471" width="9.21875" style="122"/>
    <col min="9472" max="9472" width="5.44140625" style="122" customWidth="1"/>
    <col min="9473" max="9473" width="67.5546875" style="122" customWidth="1"/>
    <col min="9474" max="9475" width="12.21875" style="122" customWidth="1"/>
    <col min="9476" max="9476" width="13.77734375" style="122" customWidth="1"/>
    <col min="9477" max="9477" width="12.77734375" style="122" customWidth="1"/>
    <col min="9478" max="9478" width="15.77734375" style="122" bestFit="1" customWidth="1"/>
    <col min="9479" max="9479" width="13" style="122" bestFit="1" customWidth="1"/>
    <col min="9480" max="9480" width="9" style="122" bestFit="1" customWidth="1"/>
    <col min="9481" max="9481" width="15.44140625" style="122" bestFit="1" customWidth="1"/>
    <col min="9482" max="9482" width="12.44140625" style="122" bestFit="1" customWidth="1"/>
    <col min="9483" max="9485" width="15.77734375" style="122" bestFit="1" customWidth="1"/>
    <col min="9486" max="9487" width="9.21875" style="122"/>
    <col min="9488" max="9488" width="12.77734375" style="122" bestFit="1" customWidth="1"/>
    <col min="9489" max="9727" width="9.21875" style="122"/>
    <col min="9728" max="9728" width="5.44140625" style="122" customWidth="1"/>
    <col min="9729" max="9729" width="67.5546875" style="122" customWidth="1"/>
    <col min="9730" max="9731" width="12.21875" style="122" customWidth="1"/>
    <col min="9732" max="9732" width="13.77734375" style="122" customWidth="1"/>
    <col min="9733" max="9733" width="12.77734375" style="122" customWidth="1"/>
    <col min="9734" max="9734" width="15.77734375" style="122" bestFit="1" customWidth="1"/>
    <col min="9735" max="9735" width="13" style="122" bestFit="1" customWidth="1"/>
    <col min="9736" max="9736" width="9" style="122" bestFit="1" customWidth="1"/>
    <col min="9737" max="9737" width="15.44140625" style="122" bestFit="1" customWidth="1"/>
    <col min="9738" max="9738" width="12.44140625" style="122" bestFit="1" customWidth="1"/>
    <col min="9739" max="9741" width="15.77734375" style="122" bestFit="1" customWidth="1"/>
    <col min="9742" max="9743" width="9.21875" style="122"/>
    <col min="9744" max="9744" width="12.77734375" style="122" bestFit="1" customWidth="1"/>
    <col min="9745" max="9983" width="9.21875" style="122"/>
    <col min="9984" max="9984" width="5.44140625" style="122" customWidth="1"/>
    <col min="9985" max="9985" width="67.5546875" style="122" customWidth="1"/>
    <col min="9986" max="9987" width="12.21875" style="122" customWidth="1"/>
    <col min="9988" max="9988" width="13.77734375" style="122" customWidth="1"/>
    <col min="9989" max="9989" width="12.77734375" style="122" customWidth="1"/>
    <col min="9990" max="9990" width="15.77734375" style="122" bestFit="1" customWidth="1"/>
    <col min="9991" max="9991" width="13" style="122" bestFit="1" customWidth="1"/>
    <col min="9992" max="9992" width="9" style="122" bestFit="1" customWidth="1"/>
    <col min="9993" max="9993" width="15.44140625" style="122" bestFit="1" customWidth="1"/>
    <col min="9994" max="9994" width="12.44140625" style="122" bestFit="1" customWidth="1"/>
    <col min="9995" max="9997" width="15.77734375" style="122" bestFit="1" customWidth="1"/>
    <col min="9998" max="9999" width="9.21875" style="122"/>
    <col min="10000" max="10000" width="12.77734375" style="122" bestFit="1" customWidth="1"/>
    <col min="10001" max="10239" width="9.21875" style="122"/>
    <col min="10240" max="10240" width="5.44140625" style="122" customWidth="1"/>
    <col min="10241" max="10241" width="67.5546875" style="122" customWidth="1"/>
    <col min="10242" max="10243" width="12.21875" style="122" customWidth="1"/>
    <col min="10244" max="10244" width="13.77734375" style="122" customWidth="1"/>
    <col min="10245" max="10245" width="12.77734375" style="122" customWidth="1"/>
    <col min="10246" max="10246" width="15.77734375" style="122" bestFit="1" customWidth="1"/>
    <col min="10247" max="10247" width="13" style="122" bestFit="1" customWidth="1"/>
    <col min="10248" max="10248" width="9" style="122" bestFit="1" customWidth="1"/>
    <col min="10249" max="10249" width="15.44140625" style="122" bestFit="1" customWidth="1"/>
    <col min="10250" max="10250" width="12.44140625" style="122" bestFit="1" customWidth="1"/>
    <col min="10251" max="10253" width="15.77734375" style="122" bestFit="1" customWidth="1"/>
    <col min="10254" max="10255" width="9.21875" style="122"/>
    <col min="10256" max="10256" width="12.77734375" style="122" bestFit="1" customWidth="1"/>
    <col min="10257" max="10495" width="9.21875" style="122"/>
    <col min="10496" max="10496" width="5.44140625" style="122" customWidth="1"/>
    <col min="10497" max="10497" width="67.5546875" style="122" customWidth="1"/>
    <col min="10498" max="10499" width="12.21875" style="122" customWidth="1"/>
    <col min="10500" max="10500" width="13.77734375" style="122" customWidth="1"/>
    <col min="10501" max="10501" width="12.77734375" style="122" customWidth="1"/>
    <col min="10502" max="10502" width="15.77734375" style="122" bestFit="1" customWidth="1"/>
    <col min="10503" max="10503" width="13" style="122" bestFit="1" customWidth="1"/>
    <col min="10504" max="10504" width="9" style="122" bestFit="1" customWidth="1"/>
    <col min="10505" max="10505" width="15.44140625" style="122" bestFit="1" customWidth="1"/>
    <col min="10506" max="10506" width="12.44140625" style="122" bestFit="1" customWidth="1"/>
    <col min="10507" max="10509" width="15.77734375" style="122" bestFit="1" customWidth="1"/>
    <col min="10510" max="10511" width="9.21875" style="122"/>
    <col min="10512" max="10512" width="12.77734375" style="122" bestFit="1" customWidth="1"/>
    <col min="10513" max="10751" width="9.21875" style="122"/>
    <col min="10752" max="10752" width="5.44140625" style="122" customWidth="1"/>
    <col min="10753" max="10753" width="67.5546875" style="122" customWidth="1"/>
    <col min="10754" max="10755" width="12.21875" style="122" customWidth="1"/>
    <col min="10756" max="10756" width="13.77734375" style="122" customWidth="1"/>
    <col min="10757" max="10757" width="12.77734375" style="122" customWidth="1"/>
    <col min="10758" max="10758" width="15.77734375" style="122" bestFit="1" customWidth="1"/>
    <col min="10759" max="10759" width="13" style="122" bestFit="1" customWidth="1"/>
    <col min="10760" max="10760" width="9" style="122" bestFit="1" customWidth="1"/>
    <col min="10761" max="10761" width="15.44140625" style="122" bestFit="1" customWidth="1"/>
    <col min="10762" max="10762" width="12.44140625" style="122" bestFit="1" customWidth="1"/>
    <col min="10763" max="10765" width="15.77734375" style="122" bestFit="1" customWidth="1"/>
    <col min="10766" max="10767" width="9.21875" style="122"/>
    <col min="10768" max="10768" width="12.77734375" style="122" bestFit="1" customWidth="1"/>
    <col min="10769" max="11007" width="9.21875" style="122"/>
    <col min="11008" max="11008" width="5.44140625" style="122" customWidth="1"/>
    <col min="11009" max="11009" width="67.5546875" style="122" customWidth="1"/>
    <col min="11010" max="11011" width="12.21875" style="122" customWidth="1"/>
    <col min="11012" max="11012" width="13.77734375" style="122" customWidth="1"/>
    <col min="11013" max="11013" width="12.77734375" style="122" customWidth="1"/>
    <col min="11014" max="11014" width="15.77734375" style="122" bestFit="1" customWidth="1"/>
    <col min="11015" max="11015" width="13" style="122" bestFit="1" customWidth="1"/>
    <col min="11016" max="11016" width="9" style="122" bestFit="1" customWidth="1"/>
    <col min="11017" max="11017" width="15.44140625" style="122" bestFit="1" customWidth="1"/>
    <col min="11018" max="11018" width="12.44140625" style="122" bestFit="1" customWidth="1"/>
    <col min="11019" max="11021" width="15.77734375" style="122" bestFit="1" customWidth="1"/>
    <col min="11022" max="11023" width="9.21875" style="122"/>
    <col min="11024" max="11024" width="12.77734375" style="122" bestFit="1" customWidth="1"/>
    <col min="11025" max="11263" width="9.21875" style="122"/>
    <col min="11264" max="11264" width="5.44140625" style="122" customWidth="1"/>
    <col min="11265" max="11265" width="67.5546875" style="122" customWidth="1"/>
    <col min="11266" max="11267" width="12.21875" style="122" customWidth="1"/>
    <col min="11268" max="11268" width="13.77734375" style="122" customWidth="1"/>
    <col min="11269" max="11269" width="12.77734375" style="122" customWidth="1"/>
    <col min="11270" max="11270" width="15.77734375" style="122" bestFit="1" customWidth="1"/>
    <col min="11271" max="11271" width="13" style="122" bestFit="1" customWidth="1"/>
    <col min="11272" max="11272" width="9" style="122" bestFit="1" customWidth="1"/>
    <col min="11273" max="11273" width="15.44140625" style="122" bestFit="1" customWidth="1"/>
    <col min="11274" max="11274" width="12.44140625" style="122" bestFit="1" customWidth="1"/>
    <col min="11275" max="11277" width="15.77734375" style="122" bestFit="1" customWidth="1"/>
    <col min="11278" max="11279" width="9.21875" style="122"/>
    <col min="11280" max="11280" width="12.77734375" style="122" bestFit="1" customWidth="1"/>
    <col min="11281" max="11519" width="9.21875" style="122"/>
    <col min="11520" max="11520" width="5.44140625" style="122" customWidth="1"/>
    <col min="11521" max="11521" width="67.5546875" style="122" customWidth="1"/>
    <col min="11522" max="11523" width="12.21875" style="122" customWidth="1"/>
    <col min="11524" max="11524" width="13.77734375" style="122" customWidth="1"/>
    <col min="11525" max="11525" width="12.77734375" style="122" customWidth="1"/>
    <col min="11526" max="11526" width="15.77734375" style="122" bestFit="1" customWidth="1"/>
    <col min="11527" max="11527" width="13" style="122" bestFit="1" customWidth="1"/>
    <col min="11528" max="11528" width="9" style="122" bestFit="1" customWidth="1"/>
    <col min="11529" max="11529" width="15.44140625" style="122" bestFit="1" customWidth="1"/>
    <col min="11530" max="11530" width="12.44140625" style="122" bestFit="1" customWidth="1"/>
    <col min="11531" max="11533" width="15.77734375" style="122" bestFit="1" customWidth="1"/>
    <col min="11534" max="11535" width="9.21875" style="122"/>
    <col min="11536" max="11536" width="12.77734375" style="122" bestFit="1" customWidth="1"/>
    <col min="11537" max="11775" width="9.21875" style="122"/>
    <col min="11776" max="11776" width="5.44140625" style="122" customWidth="1"/>
    <col min="11777" max="11777" width="67.5546875" style="122" customWidth="1"/>
    <col min="11778" max="11779" width="12.21875" style="122" customWidth="1"/>
    <col min="11780" max="11780" width="13.77734375" style="122" customWidth="1"/>
    <col min="11781" max="11781" width="12.77734375" style="122" customWidth="1"/>
    <col min="11782" max="11782" width="15.77734375" style="122" bestFit="1" customWidth="1"/>
    <col min="11783" max="11783" width="13" style="122" bestFit="1" customWidth="1"/>
    <col min="11784" max="11784" width="9" style="122" bestFit="1" customWidth="1"/>
    <col min="11785" max="11785" width="15.44140625" style="122" bestFit="1" customWidth="1"/>
    <col min="11786" max="11786" width="12.44140625" style="122" bestFit="1" customWidth="1"/>
    <col min="11787" max="11789" width="15.77734375" style="122" bestFit="1" customWidth="1"/>
    <col min="11790" max="11791" width="9.21875" style="122"/>
    <col min="11792" max="11792" width="12.77734375" style="122" bestFit="1" customWidth="1"/>
    <col min="11793" max="12031" width="9.21875" style="122"/>
    <col min="12032" max="12032" width="5.44140625" style="122" customWidth="1"/>
    <col min="12033" max="12033" width="67.5546875" style="122" customWidth="1"/>
    <col min="12034" max="12035" width="12.21875" style="122" customWidth="1"/>
    <col min="12036" max="12036" width="13.77734375" style="122" customWidth="1"/>
    <col min="12037" max="12037" width="12.77734375" style="122" customWidth="1"/>
    <col min="12038" max="12038" width="15.77734375" style="122" bestFit="1" customWidth="1"/>
    <col min="12039" max="12039" width="13" style="122" bestFit="1" customWidth="1"/>
    <col min="12040" max="12040" width="9" style="122" bestFit="1" customWidth="1"/>
    <col min="12041" max="12041" width="15.44140625" style="122" bestFit="1" customWidth="1"/>
    <col min="12042" max="12042" width="12.44140625" style="122" bestFit="1" customWidth="1"/>
    <col min="12043" max="12045" width="15.77734375" style="122" bestFit="1" customWidth="1"/>
    <col min="12046" max="12047" width="9.21875" style="122"/>
    <col min="12048" max="12048" width="12.77734375" style="122" bestFit="1" customWidth="1"/>
    <col min="12049" max="12287" width="9.21875" style="122"/>
    <col min="12288" max="12288" width="5.44140625" style="122" customWidth="1"/>
    <col min="12289" max="12289" width="67.5546875" style="122" customWidth="1"/>
    <col min="12290" max="12291" width="12.21875" style="122" customWidth="1"/>
    <col min="12292" max="12292" width="13.77734375" style="122" customWidth="1"/>
    <col min="12293" max="12293" width="12.77734375" style="122" customWidth="1"/>
    <col min="12294" max="12294" width="15.77734375" style="122" bestFit="1" customWidth="1"/>
    <col min="12295" max="12295" width="13" style="122" bestFit="1" customWidth="1"/>
    <col min="12296" max="12296" width="9" style="122" bestFit="1" customWidth="1"/>
    <col min="12297" max="12297" width="15.44140625" style="122" bestFit="1" customWidth="1"/>
    <col min="12298" max="12298" width="12.44140625" style="122" bestFit="1" customWidth="1"/>
    <col min="12299" max="12301" width="15.77734375" style="122" bestFit="1" customWidth="1"/>
    <col min="12302" max="12303" width="9.21875" style="122"/>
    <col min="12304" max="12304" width="12.77734375" style="122" bestFit="1" customWidth="1"/>
    <col min="12305" max="12543" width="9.21875" style="122"/>
    <col min="12544" max="12544" width="5.44140625" style="122" customWidth="1"/>
    <col min="12545" max="12545" width="67.5546875" style="122" customWidth="1"/>
    <col min="12546" max="12547" width="12.21875" style="122" customWidth="1"/>
    <col min="12548" max="12548" width="13.77734375" style="122" customWidth="1"/>
    <col min="12549" max="12549" width="12.77734375" style="122" customWidth="1"/>
    <col min="12550" max="12550" width="15.77734375" style="122" bestFit="1" customWidth="1"/>
    <col min="12551" max="12551" width="13" style="122" bestFit="1" customWidth="1"/>
    <col min="12552" max="12552" width="9" style="122" bestFit="1" customWidth="1"/>
    <col min="12553" max="12553" width="15.44140625" style="122" bestFit="1" customWidth="1"/>
    <col min="12554" max="12554" width="12.44140625" style="122" bestFit="1" customWidth="1"/>
    <col min="12555" max="12557" width="15.77734375" style="122" bestFit="1" customWidth="1"/>
    <col min="12558" max="12559" width="9.21875" style="122"/>
    <col min="12560" max="12560" width="12.77734375" style="122" bestFit="1" customWidth="1"/>
    <col min="12561" max="12799" width="9.21875" style="122"/>
    <col min="12800" max="12800" width="5.44140625" style="122" customWidth="1"/>
    <col min="12801" max="12801" width="67.5546875" style="122" customWidth="1"/>
    <col min="12802" max="12803" width="12.21875" style="122" customWidth="1"/>
    <col min="12804" max="12804" width="13.77734375" style="122" customWidth="1"/>
    <col min="12805" max="12805" width="12.77734375" style="122" customWidth="1"/>
    <col min="12806" max="12806" width="15.77734375" style="122" bestFit="1" customWidth="1"/>
    <col min="12807" max="12807" width="13" style="122" bestFit="1" customWidth="1"/>
    <col min="12808" max="12808" width="9" style="122" bestFit="1" customWidth="1"/>
    <col min="12809" max="12809" width="15.44140625" style="122" bestFit="1" customWidth="1"/>
    <col min="12810" max="12810" width="12.44140625" style="122" bestFit="1" customWidth="1"/>
    <col min="12811" max="12813" width="15.77734375" style="122" bestFit="1" customWidth="1"/>
    <col min="12814" max="12815" width="9.21875" style="122"/>
    <col min="12816" max="12816" width="12.77734375" style="122" bestFit="1" customWidth="1"/>
    <col min="12817" max="13055" width="9.21875" style="122"/>
    <col min="13056" max="13056" width="5.44140625" style="122" customWidth="1"/>
    <col min="13057" max="13057" width="67.5546875" style="122" customWidth="1"/>
    <col min="13058" max="13059" width="12.21875" style="122" customWidth="1"/>
    <col min="13060" max="13060" width="13.77734375" style="122" customWidth="1"/>
    <col min="13061" max="13061" width="12.77734375" style="122" customWidth="1"/>
    <col min="13062" max="13062" width="15.77734375" style="122" bestFit="1" customWidth="1"/>
    <col min="13063" max="13063" width="13" style="122" bestFit="1" customWidth="1"/>
    <col min="13064" max="13064" width="9" style="122" bestFit="1" customWidth="1"/>
    <col min="13065" max="13065" width="15.44140625" style="122" bestFit="1" customWidth="1"/>
    <col min="13066" max="13066" width="12.44140625" style="122" bestFit="1" customWidth="1"/>
    <col min="13067" max="13069" width="15.77734375" style="122" bestFit="1" customWidth="1"/>
    <col min="13070" max="13071" width="9.21875" style="122"/>
    <col min="13072" max="13072" width="12.77734375" style="122" bestFit="1" customWidth="1"/>
    <col min="13073" max="13311" width="9.21875" style="122"/>
    <col min="13312" max="13312" width="5.44140625" style="122" customWidth="1"/>
    <col min="13313" max="13313" width="67.5546875" style="122" customWidth="1"/>
    <col min="13314" max="13315" width="12.21875" style="122" customWidth="1"/>
    <col min="13316" max="13316" width="13.77734375" style="122" customWidth="1"/>
    <col min="13317" max="13317" width="12.77734375" style="122" customWidth="1"/>
    <col min="13318" max="13318" width="15.77734375" style="122" bestFit="1" customWidth="1"/>
    <col min="13319" max="13319" width="13" style="122" bestFit="1" customWidth="1"/>
    <col min="13320" max="13320" width="9" style="122" bestFit="1" customWidth="1"/>
    <col min="13321" max="13321" width="15.44140625" style="122" bestFit="1" customWidth="1"/>
    <col min="13322" max="13322" width="12.44140625" style="122" bestFit="1" customWidth="1"/>
    <col min="13323" max="13325" width="15.77734375" style="122" bestFit="1" customWidth="1"/>
    <col min="13326" max="13327" width="9.21875" style="122"/>
    <col min="13328" max="13328" width="12.77734375" style="122" bestFit="1" customWidth="1"/>
    <col min="13329" max="13567" width="9.21875" style="122"/>
    <col min="13568" max="13568" width="5.44140625" style="122" customWidth="1"/>
    <col min="13569" max="13569" width="67.5546875" style="122" customWidth="1"/>
    <col min="13570" max="13571" width="12.21875" style="122" customWidth="1"/>
    <col min="13572" max="13572" width="13.77734375" style="122" customWidth="1"/>
    <col min="13573" max="13573" width="12.77734375" style="122" customWidth="1"/>
    <col min="13574" max="13574" width="15.77734375" style="122" bestFit="1" customWidth="1"/>
    <col min="13575" max="13575" width="13" style="122" bestFit="1" customWidth="1"/>
    <col min="13576" max="13576" width="9" style="122" bestFit="1" customWidth="1"/>
    <col min="13577" max="13577" width="15.44140625" style="122" bestFit="1" customWidth="1"/>
    <col min="13578" max="13578" width="12.44140625" style="122" bestFit="1" customWidth="1"/>
    <col min="13579" max="13581" width="15.77734375" style="122" bestFit="1" customWidth="1"/>
    <col min="13582" max="13583" width="9.21875" style="122"/>
    <col min="13584" max="13584" width="12.77734375" style="122" bestFit="1" customWidth="1"/>
    <col min="13585" max="13823" width="9.21875" style="122"/>
    <col min="13824" max="13824" width="5.44140625" style="122" customWidth="1"/>
    <col min="13825" max="13825" width="67.5546875" style="122" customWidth="1"/>
    <col min="13826" max="13827" width="12.21875" style="122" customWidth="1"/>
    <col min="13828" max="13828" width="13.77734375" style="122" customWidth="1"/>
    <col min="13829" max="13829" width="12.77734375" style="122" customWidth="1"/>
    <col min="13830" max="13830" width="15.77734375" style="122" bestFit="1" customWidth="1"/>
    <col min="13831" max="13831" width="13" style="122" bestFit="1" customWidth="1"/>
    <col min="13832" max="13832" width="9" style="122" bestFit="1" customWidth="1"/>
    <col min="13833" max="13833" width="15.44140625" style="122" bestFit="1" customWidth="1"/>
    <col min="13834" max="13834" width="12.44140625" style="122" bestFit="1" customWidth="1"/>
    <col min="13835" max="13837" width="15.77734375" style="122" bestFit="1" customWidth="1"/>
    <col min="13838" max="13839" width="9.21875" style="122"/>
    <col min="13840" max="13840" width="12.77734375" style="122" bestFit="1" customWidth="1"/>
    <col min="13841" max="14079" width="9.21875" style="122"/>
    <col min="14080" max="14080" width="5.44140625" style="122" customWidth="1"/>
    <col min="14081" max="14081" width="67.5546875" style="122" customWidth="1"/>
    <col min="14082" max="14083" width="12.21875" style="122" customWidth="1"/>
    <col min="14084" max="14084" width="13.77734375" style="122" customWidth="1"/>
    <col min="14085" max="14085" width="12.77734375" style="122" customWidth="1"/>
    <col min="14086" max="14086" width="15.77734375" style="122" bestFit="1" customWidth="1"/>
    <col min="14087" max="14087" width="13" style="122" bestFit="1" customWidth="1"/>
    <col min="14088" max="14088" width="9" style="122" bestFit="1" customWidth="1"/>
    <col min="14089" max="14089" width="15.44140625" style="122" bestFit="1" customWidth="1"/>
    <col min="14090" max="14090" width="12.44140625" style="122" bestFit="1" customWidth="1"/>
    <col min="14091" max="14093" width="15.77734375" style="122" bestFit="1" customWidth="1"/>
    <col min="14094" max="14095" width="9.21875" style="122"/>
    <col min="14096" max="14096" width="12.77734375" style="122" bestFit="1" customWidth="1"/>
    <col min="14097" max="14335" width="9.21875" style="122"/>
    <col min="14336" max="14336" width="5.44140625" style="122" customWidth="1"/>
    <col min="14337" max="14337" width="67.5546875" style="122" customWidth="1"/>
    <col min="14338" max="14339" width="12.21875" style="122" customWidth="1"/>
    <col min="14340" max="14340" width="13.77734375" style="122" customWidth="1"/>
    <col min="14341" max="14341" width="12.77734375" style="122" customWidth="1"/>
    <col min="14342" max="14342" width="15.77734375" style="122" bestFit="1" customWidth="1"/>
    <col min="14343" max="14343" width="13" style="122" bestFit="1" customWidth="1"/>
    <col min="14344" max="14344" width="9" style="122" bestFit="1" customWidth="1"/>
    <col min="14345" max="14345" width="15.44140625" style="122" bestFit="1" customWidth="1"/>
    <col min="14346" max="14346" width="12.44140625" style="122" bestFit="1" customWidth="1"/>
    <col min="14347" max="14349" width="15.77734375" style="122" bestFit="1" customWidth="1"/>
    <col min="14350" max="14351" width="9.21875" style="122"/>
    <col min="14352" max="14352" width="12.77734375" style="122" bestFit="1" customWidth="1"/>
    <col min="14353" max="14591" width="9.21875" style="122"/>
    <col min="14592" max="14592" width="5.44140625" style="122" customWidth="1"/>
    <col min="14593" max="14593" width="67.5546875" style="122" customWidth="1"/>
    <col min="14594" max="14595" width="12.21875" style="122" customWidth="1"/>
    <col min="14596" max="14596" width="13.77734375" style="122" customWidth="1"/>
    <col min="14597" max="14597" width="12.77734375" style="122" customWidth="1"/>
    <col min="14598" max="14598" width="15.77734375" style="122" bestFit="1" customWidth="1"/>
    <col min="14599" max="14599" width="13" style="122" bestFit="1" customWidth="1"/>
    <col min="14600" max="14600" width="9" style="122" bestFit="1" customWidth="1"/>
    <col min="14601" max="14601" width="15.44140625" style="122" bestFit="1" customWidth="1"/>
    <col min="14602" max="14602" width="12.44140625" style="122" bestFit="1" customWidth="1"/>
    <col min="14603" max="14605" width="15.77734375" style="122" bestFit="1" customWidth="1"/>
    <col min="14606" max="14607" width="9.21875" style="122"/>
    <col min="14608" max="14608" width="12.77734375" style="122" bestFit="1" customWidth="1"/>
    <col min="14609" max="14847" width="9.21875" style="122"/>
    <col min="14848" max="14848" width="5.44140625" style="122" customWidth="1"/>
    <col min="14849" max="14849" width="67.5546875" style="122" customWidth="1"/>
    <col min="14850" max="14851" width="12.21875" style="122" customWidth="1"/>
    <col min="14852" max="14852" width="13.77734375" style="122" customWidth="1"/>
    <col min="14853" max="14853" width="12.77734375" style="122" customWidth="1"/>
    <col min="14854" max="14854" width="15.77734375" style="122" bestFit="1" customWidth="1"/>
    <col min="14855" max="14855" width="13" style="122" bestFit="1" customWidth="1"/>
    <col min="14856" max="14856" width="9" style="122" bestFit="1" customWidth="1"/>
    <col min="14857" max="14857" width="15.44140625" style="122" bestFit="1" customWidth="1"/>
    <col min="14858" max="14858" width="12.44140625" style="122" bestFit="1" customWidth="1"/>
    <col min="14859" max="14861" width="15.77734375" style="122" bestFit="1" customWidth="1"/>
    <col min="14862" max="14863" width="9.21875" style="122"/>
    <col min="14864" max="14864" width="12.77734375" style="122" bestFit="1" customWidth="1"/>
    <col min="14865" max="15103" width="9.21875" style="122"/>
    <col min="15104" max="15104" width="5.44140625" style="122" customWidth="1"/>
    <col min="15105" max="15105" width="67.5546875" style="122" customWidth="1"/>
    <col min="15106" max="15107" width="12.21875" style="122" customWidth="1"/>
    <col min="15108" max="15108" width="13.77734375" style="122" customWidth="1"/>
    <col min="15109" max="15109" width="12.77734375" style="122" customWidth="1"/>
    <col min="15110" max="15110" width="15.77734375" style="122" bestFit="1" customWidth="1"/>
    <col min="15111" max="15111" width="13" style="122" bestFit="1" customWidth="1"/>
    <col min="15112" max="15112" width="9" style="122" bestFit="1" customWidth="1"/>
    <col min="15113" max="15113" width="15.44140625" style="122" bestFit="1" customWidth="1"/>
    <col min="15114" max="15114" width="12.44140625" style="122" bestFit="1" customWidth="1"/>
    <col min="15115" max="15117" width="15.77734375" style="122" bestFit="1" customWidth="1"/>
    <col min="15118" max="15119" width="9.21875" style="122"/>
    <col min="15120" max="15120" width="12.77734375" style="122" bestFit="1" customWidth="1"/>
    <col min="15121" max="15359" width="9.21875" style="122"/>
    <col min="15360" max="15360" width="5.44140625" style="122" customWidth="1"/>
    <col min="15361" max="15361" width="67.5546875" style="122" customWidth="1"/>
    <col min="15362" max="15363" width="12.21875" style="122" customWidth="1"/>
    <col min="15364" max="15364" width="13.77734375" style="122" customWidth="1"/>
    <col min="15365" max="15365" width="12.77734375" style="122" customWidth="1"/>
    <col min="15366" max="15366" width="15.77734375" style="122" bestFit="1" customWidth="1"/>
    <col min="15367" max="15367" width="13" style="122" bestFit="1" customWidth="1"/>
    <col min="15368" max="15368" width="9" style="122" bestFit="1" customWidth="1"/>
    <col min="15369" max="15369" width="15.44140625" style="122" bestFit="1" customWidth="1"/>
    <col min="15370" max="15370" width="12.44140625" style="122" bestFit="1" customWidth="1"/>
    <col min="15371" max="15373" width="15.77734375" style="122" bestFit="1" customWidth="1"/>
    <col min="15374" max="15375" width="9.21875" style="122"/>
    <col min="15376" max="15376" width="12.77734375" style="122" bestFit="1" customWidth="1"/>
    <col min="15377" max="15615" width="9.21875" style="122"/>
    <col min="15616" max="15616" width="5.44140625" style="122" customWidth="1"/>
    <col min="15617" max="15617" width="67.5546875" style="122" customWidth="1"/>
    <col min="15618" max="15619" width="12.21875" style="122" customWidth="1"/>
    <col min="15620" max="15620" width="13.77734375" style="122" customWidth="1"/>
    <col min="15621" max="15621" width="12.77734375" style="122" customWidth="1"/>
    <col min="15622" max="15622" width="15.77734375" style="122" bestFit="1" customWidth="1"/>
    <col min="15623" max="15623" width="13" style="122" bestFit="1" customWidth="1"/>
    <col min="15624" max="15624" width="9" style="122" bestFit="1" customWidth="1"/>
    <col min="15625" max="15625" width="15.44140625" style="122" bestFit="1" customWidth="1"/>
    <col min="15626" max="15626" width="12.44140625" style="122" bestFit="1" customWidth="1"/>
    <col min="15627" max="15629" width="15.77734375" style="122" bestFit="1" customWidth="1"/>
    <col min="15630" max="15631" width="9.21875" style="122"/>
    <col min="15632" max="15632" width="12.77734375" style="122" bestFit="1" customWidth="1"/>
    <col min="15633" max="15871" width="9.21875" style="122"/>
    <col min="15872" max="15872" width="5.44140625" style="122" customWidth="1"/>
    <col min="15873" max="15873" width="67.5546875" style="122" customWidth="1"/>
    <col min="15874" max="15875" width="12.21875" style="122" customWidth="1"/>
    <col min="15876" max="15876" width="13.77734375" style="122" customWidth="1"/>
    <col min="15877" max="15877" width="12.77734375" style="122" customWidth="1"/>
    <col min="15878" max="15878" width="15.77734375" style="122" bestFit="1" customWidth="1"/>
    <col min="15879" max="15879" width="13" style="122" bestFit="1" customWidth="1"/>
    <col min="15880" max="15880" width="9" style="122" bestFit="1" customWidth="1"/>
    <col min="15881" max="15881" width="15.44140625" style="122" bestFit="1" customWidth="1"/>
    <col min="15882" max="15882" width="12.44140625" style="122" bestFit="1" customWidth="1"/>
    <col min="15883" max="15885" width="15.77734375" style="122" bestFit="1" customWidth="1"/>
    <col min="15886" max="15887" width="9.21875" style="122"/>
    <col min="15888" max="15888" width="12.77734375" style="122" bestFit="1" customWidth="1"/>
    <col min="15889" max="16127" width="9.21875" style="122"/>
    <col min="16128" max="16128" width="5.44140625" style="122" customWidth="1"/>
    <col min="16129" max="16129" width="67.5546875" style="122" customWidth="1"/>
    <col min="16130" max="16131" width="12.21875" style="122" customWidth="1"/>
    <col min="16132" max="16132" width="13.77734375" style="122" customWidth="1"/>
    <col min="16133" max="16133" width="12.77734375" style="122" customWidth="1"/>
    <col min="16134" max="16134" width="15.77734375" style="122" bestFit="1" customWidth="1"/>
    <col min="16135" max="16135" width="13" style="122" bestFit="1" customWidth="1"/>
    <col min="16136" max="16136" width="9" style="122" bestFit="1" customWidth="1"/>
    <col min="16137" max="16137" width="15.44140625" style="122" bestFit="1" customWidth="1"/>
    <col min="16138" max="16138" width="12.44140625" style="122" bestFit="1" customWidth="1"/>
    <col min="16139" max="16141" width="15.77734375" style="122" bestFit="1" customWidth="1"/>
    <col min="16142" max="16143" width="9.21875" style="122"/>
    <col min="16144" max="16144" width="12.77734375" style="122" bestFit="1" customWidth="1"/>
    <col min="16145" max="16384" width="9.21875" style="122"/>
  </cols>
  <sheetData>
    <row r="1" spans="1:15" s="117" customFormat="1" ht="12.75" customHeight="1">
      <c r="A1" s="155" t="str">
        <f>+[73]BS!A1</f>
        <v>1908 E-Ventures Private Limited</v>
      </c>
      <c r="G1" s="118"/>
      <c r="L1" s="118"/>
      <c r="M1" s="118"/>
    </row>
    <row r="2" spans="1:15" s="117" customFormat="1" ht="12.75" customHeight="1">
      <c r="A2" s="155" t="s">
        <v>881</v>
      </c>
      <c r="G2" s="118"/>
      <c r="L2" s="118"/>
      <c r="M2" s="118"/>
    </row>
    <row r="3" spans="1:15" s="117" customFormat="1" ht="12.75" customHeight="1">
      <c r="A3" s="8" t="str">
        <f>[73]BS!A3</f>
        <v>[Currency: Indian Rupees(Rs.'000)]</v>
      </c>
      <c r="G3" s="118">
        <v>367413</v>
      </c>
      <c r="I3" s="117">
        <v>17488</v>
      </c>
      <c r="L3" s="118"/>
      <c r="M3" s="118"/>
    </row>
    <row r="4" spans="1:15" s="117" customFormat="1" ht="12.75" customHeight="1">
      <c r="G4" s="118">
        <v>34968</v>
      </c>
      <c r="I4" s="117">
        <v>237515</v>
      </c>
      <c r="L4" s="118"/>
      <c r="M4" s="118"/>
    </row>
    <row r="5" spans="1:15" ht="12" customHeight="1">
      <c r="A5" s="119" t="s">
        <v>506</v>
      </c>
      <c r="B5" s="120">
        <f>B23-H23</f>
        <v>989258</v>
      </c>
      <c r="C5" s="120"/>
      <c r="D5" s="120"/>
      <c r="E5" s="120"/>
      <c r="F5" s="120">
        <f>G5-F19</f>
        <v>353152</v>
      </c>
      <c r="G5" s="121">
        <f>SUM(G3:G4)</f>
        <v>402381</v>
      </c>
      <c r="H5" s="120"/>
      <c r="I5" s="120">
        <f>SUM(I3:I4)</f>
        <v>255003</v>
      </c>
      <c r="J5" s="120">
        <f>I5-K19</f>
        <v>229322</v>
      </c>
      <c r="K5" s="120"/>
      <c r="L5" s="118"/>
      <c r="M5" s="118"/>
    </row>
    <row r="6" spans="1:15" ht="7.5" customHeight="1">
      <c r="A6" s="117"/>
      <c r="B6" s="123"/>
      <c r="C6" s="123"/>
      <c r="D6" s="124"/>
      <c r="E6" s="124"/>
      <c r="F6" s="124"/>
      <c r="G6" s="125"/>
      <c r="H6" s="126"/>
      <c r="I6" s="127"/>
      <c r="J6" s="126"/>
      <c r="K6" s="128"/>
      <c r="L6" s="118"/>
      <c r="M6" s="129"/>
    </row>
    <row r="7" spans="1:15" ht="14.4">
      <c r="A7" s="675"/>
      <c r="B7" s="1250" t="s">
        <v>70</v>
      </c>
      <c r="C7" s="1251"/>
      <c r="D7" s="1251"/>
      <c r="E7" s="1251"/>
      <c r="F7" s="1251"/>
      <c r="G7" s="1252"/>
      <c r="H7" s="1250" t="s">
        <v>71</v>
      </c>
      <c r="I7" s="1251"/>
      <c r="J7" s="1251"/>
      <c r="K7" s="1251"/>
      <c r="L7" s="1252"/>
      <c r="M7" s="459" t="s">
        <v>72</v>
      </c>
    </row>
    <row r="8" spans="1:15" s="130" customFormat="1" ht="14.4">
      <c r="A8" s="675" t="s">
        <v>73</v>
      </c>
      <c r="B8" s="677" t="s">
        <v>74</v>
      </c>
      <c r="C8" s="677" t="s">
        <v>75</v>
      </c>
      <c r="D8" s="677"/>
      <c r="E8" s="676"/>
      <c r="F8" s="676"/>
      <c r="G8" s="677" t="s">
        <v>74</v>
      </c>
      <c r="H8" s="677" t="s">
        <v>74</v>
      </c>
      <c r="I8" s="676" t="s">
        <v>76</v>
      </c>
      <c r="J8" s="676"/>
      <c r="K8" s="676"/>
      <c r="L8" s="677" t="s">
        <v>74</v>
      </c>
      <c r="M8" s="677" t="s">
        <v>74</v>
      </c>
    </row>
    <row r="9" spans="1:15" s="130" customFormat="1" ht="28.8">
      <c r="A9" s="461" t="s">
        <v>0</v>
      </c>
      <c r="B9" s="462" t="s">
        <v>1528</v>
      </c>
      <c r="C9" s="463" t="s">
        <v>77</v>
      </c>
      <c r="D9" s="464" t="s">
        <v>56</v>
      </c>
      <c r="E9" s="464" t="s">
        <v>78</v>
      </c>
      <c r="F9" s="464" t="s">
        <v>79</v>
      </c>
      <c r="G9" s="678" t="s">
        <v>1529</v>
      </c>
      <c r="H9" s="462" t="s">
        <v>1528</v>
      </c>
      <c r="I9" s="579" t="s">
        <v>1530</v>
      </c>
      <c r="J9" s="464" t="s">
        <v>78</v>
      </c>
      <c r="K9" s="464" t="s">
        <v>79</v>
      </c>
      <c r="L9" s="678" t="s">
        <v>1529</v>
      </c>
      <c r="M9" s="678" t="s">
        <v>1529</v>
      </c>
    </row>
    <row r="10" spans="1:15" s="130" customFormat="1" ht="14.25" customHeight="1">
      <c r="A10" s="465"/>
      <c r="B10" s="466"/>
      <c r="C10" s="467"/>
      <c r="D10" s="467"/>
      <c r="E10" s="467"/>
      <c r="F10" s="467"/>
      <c r="G10" s="467"/>
      <c r="H10" s="468"/>
      <c r="I10" s="469"/>
      <c r="J10" s="469"/>
      <c r="K10" s="470"/>
      <c r="L10" s="470"/>
      <c r="M10" s="470"/>
    </row>
    <row r="11" spans="1:15" s="137" customFormat="1" ht="14.4">
      <c r="A11" s="131" t="s">
        <v>81</v>
      </c>
      <c r="B11" s="4"/>
      <c r="C11" s="132"/>
      <c r="D11" s="132"/>
      <c r="E11" s="132"/>
      <c r="F11" s="132"/>
      <c r="G11" s="133"/>
      <c r="H11" s="132"/>
      <c r="I11" s="134"/>
      <c r="J11" s="134"/>
      <c r="K11" s="135"/>
      <c r="L11" s="136"/>
      <c r="M11" s="136"/>
    </row>
    <row r="12" spans="1:15" s="137" customFormat="1" ht="9" customHeight="1">
      <c r="A12" s="131"/>
      <c r="B12" s="4"/>
      <c r="C12" s="132"/>
      <c r="D12" s="132"/>
      <c r="E12" s="132"/>
      <c r="F12" s="132"/>
      <c r="G12" s="133"/>
      <c r="H12" s="132"/>
      <c r="I12" s="134"/>
      <c r="J12" s="134"/>
      <c r="K12" s="135"/>
      <c r="L12" s="136"/>
      <c r="M12" s="136"/>
    </row>
    <row r="13" spans="1:15" s="137" customFormat="1" ht="14.4">
      <c r="A13" s="138" t="s">
        <v>86</v>
      </c>
      <c r="B13" s="528">
        <v>1890584</v>
      </c>
      <c r="C13" s="531"/>
      <c r="D13" s="531"/>
      <c r="E13" s="531"/>
      <c r="F13" s="531">
        <f>195953.39*0+353152</f>
        <v>353152</v>
      </c>
      <c r="G13" s="529">
        <f>B13+D13-F13+E13</f>
        <v>1537432</v>
      </c>
      <c r="H13" s="531">
        <v>1259398</v>
      </c>
      <c r="I13" s="528">
        <f>157789</f>
        <v>157789</v>
      </c>
      <c r="J13" s="531"/>
      <c r="K13" s="528">
        <f>147836*0+229322-17488+26645</f>
        <v>238479</v>
      </c>
      <c r="L13" s="529">
        <f>H13+I13+J13-K13</f>
        <v>1178708</v>
      </c>
      <c r="M13" s="529">
        <f>G13-L13</f>
        <v>358724</v>
      </c>
      <c r="N13" s="679">
        <f>'[73]PL Grouping'!K342</f>
        <v>26645</v>
      </c>
      <c r="O13" s="543"/>
    </row>
    <row r="14" spans="1:15" s="137" customFormat="1" ht="14.4">
      <c r="A14" s="138"/>
      <c r="B14" s="528"/>
      <c r="C14" s="531"/>
      <c r="D14" s="531"/>
      <c r="E14" s="531"/>
      <c r="F14" s="531"/>
      <c r="G14" s="529"/>
      <c r="H14" s="531"/>
      <c r="I14" s="531"/>
      <c r="J14" s="531"/>
      <c r="K14" s="531"/>
      <c r="L14" s="529"/>
      <c r="M14" s="529"/>
      <c r="N14" s="543"/>
      <c r="O14" s="543"/>
    </row>
    <row r="15" spans="1:15" s="137" customFormat="1" ht="14.4">
      <c r="A15" s="138" t="s">
        <v>87</v>
      </c>
      <c r="B15" s="528">
        <v>1176372</v>
      </c>
      <c r="C15" s="528"/>
      <c r="D15" s="528"/>
      <c r="E15" s="531"/>
      <c r="F15" s="528">
        <v>0</v>
      </c>
      <c r="G15" s="529">
        <f t="shared" ref="G15:G19" si="0">B15+D15-F15+E15</f>
        <v>1176372</v>
      </c>
      <c r="H15" s="531">
        <v>1023543</v>
      </c>
      <c r="I15" s="531">
        <v>22389</v>
      </c>
      <c r="J15" s="531"/>
      <c r="K15" s="531">
        <v>0</v>
      </c>
      <c r="L15" s="529">
        <f t="shared" ref="L15:L19" si="1">H15+I15+J15-K15</f>
        <v>1045932</v>
      </c>
      <c r="M15" s="529">
        <f>G15-L15</f>
        <v>130440</v>
      </c>
      <c r="N15" s="543"/>
      <c r="O15" s="543"/>
    </row>
    <row r="16" spans="1:15" s="137" customFormat="1" ht="14.4">
      <c r="A16" s="138"/>
      <c r="B16" s="528"/>
      <c r="C16" s="531"/>
      <c r="D16" s="531"/>
      <c r="E16" s="531"/>
      <c r="F16" s="531"/>
      <c r="G16" s="529"/>
      <c r="H16" s="531"/>
      <c r="I16" s="531"/>
      <c r="J16" s="531"/>
      <c r="K16" s="531"/>
      <c r="L16" s="529"/>
      <c r="M16" s="529"/>
      <c r="N16" s="543"/>
      <c r="O16" s="543"/>
    </row>
    <row r="17" spans="1:16" s="137" customFormat="1" ht="14.4">
      <c r="A17" s="138" t="s">
        <v>82</v>
      </c>
      <c r="B17" s="528">
        <v>187694</v>
      </c>
      <c r="C17" s="531"/>
      <c r="D17" s="544"/>
      <c r="E17" s="531"/>
      <c r="F17" s="531">
        <v>0</v>
      </c>
      <c r="G17" s="529">
        <f t="shared" si="0"/>
        <v>187694</v>
      </c>
      <c r="H17" s="531">
        <v>165213</v>
      </c>
      <c r="I17" s="531">
        <v>2910</v>
      </c>
      <c r="J17" s="531"/>
      <c r="K17" s="531">
        <v>0</v>
      </c>
      <c r="L17" s="529">
        <f t="shared" si="1"/>
        <v>168123</v>
      </c>
      <c r="M17" s="529">
        <f>G17-L17</f>
        <v>19571</v>
      </c>
      <c r="N17" s="543"/>
      <c r="O17" s="543"/>
    </row>
    <row r="18" spans="1:16" s="137" customFormat="1" ht="14.4">
      <c r="A18" s="138"/>
      <c r="B18" s="528"/>
      <c r="C18" s="531"/>
      <c r="D18" s="531"/>
      <c r="E18" s="531"/>
      <c r="F18" s="531"/>
      <c r="G18" s="529"/>
      <c r="H18" s="531"/>
      <c r="I18" s="531"/>
      <c r="J18" s="531"/>
      <c r="K18" s="531"/>
      <c r="L18" s="529"/>
      <c r="M18" s="529"/>
      <c r="N18" s="543"/>
      <c r="O18" s="543"/>
    </row>
    <row r="19" spans="1:16" s="137" customFormat="1" ht="14.4">
      <c r="A19" s="138" t="s">
        <v>88</v>
      </c>
      <c r="B19" s="528">
        <v>889490</v>
      </c>
      <c r="C19" s="531"/>
      <c r="D19" s="531"/>
      <c r="E19" s="531"/>
      <c r="F19" s="531">
        <v>49229</v>
      </c>
      <c r="G19" s="529">
        <f t="shared" si="0"/>
        <v>840261</v>
      </c>
      <c r="H19" s="531">
        <v>706718</v>
      </c>
      <c r="I19" s="531">
        <v>31913</v>
      </c>
      <c r="J19" s="531"/>
      <c r="K19" s="531">
        <v>25681</v>
      </c>
      <c r="L19" s="529">
        <f t="shared" si="1"/>
        <v>712950</v>
      </c>
      <c r="M19" s="529">
        <f>G19-L19</f>
        <v>127311</v>
      </c>
      <c r="N19" s="543"/>
      <c r="O19" s="543">
        <v>15906</v>
      </c>
      <c r="P19" s="137" t="s">
        <v>977</v>
      </c>
    </row>
    <row r="20" spans="1:16" s="137" customFormat="1" ht="7.5" customHeight="1">
      <c r="A20" s="138"/>
      <c r="B20" s="528"/>
      <c r="C20" s="531"/>
      <c r="D20" s="531"/>
      <c r="E20" s="531"/>
      <c r="F20" s="531"/>
      <c r="G20" s="542"/>
      <c r="H20" s="531"/>
      <c r="I20" s="531"/>
      <c r="J20" s="531"/>
      <c r="K20" s="528"/>
      <c r="L20" s="529"/>
      <c r="M20" s="529"/>
      <c r="N20" s="543"/>
      <c r="O20" s="543"/>
    </row>
    <row r="21" spans="1:16" s="137" customFormat="1" ht="14.4">
      <c r="A21" s="139"/>
      <c r="B21" s="532"/>
      <c r="C21" s="545"/>
      <c r="D21" s="545"/>
      <c r="E21" s="545"/>
      <c r="F21" s="546"/>
      <c r="G21" s="547"/>
      <c r="H21" s="545"/>
      <c r="I21" s="545"/>
      <c r="J21" s="545"/>
      <c r="K21" s="532"/>
      <c r="L21" s="548"/>
      <c r="M21" s="548"/>
      <c r="N21" s="543"/>
      <c r="O21" s="543">
        <v>28000</v>
      </c>
      <c r="P21" s="137" t="s">
        <v>977</v>
      </c>
    </row>
    <row r="22" spans="1:16" s="137" customFormat="1" ht="8.25" customHeight="1">
      <c r="A22" s="680"/>
      <c r="B22" s="681"/>
      <c r="C22" s="682"/>
      <c r="D22" s="682"/>
      <c r="E22" s="682"/>
      <c r="F22" s="683"/>
      <c r="G22" s="684"/>
      <c r="H22" s="682"/>
      <c r="I22" s="682"/>
      <c r="J22" s="682"/>
      <c r="K22" s="681"/>
      <c r="L22" s="684"/>
      <c r="M22" s="684"/>
      <c r="N22" s="543"/>
      <c r="O22" s="543"/>
    </row>
    <row r="23" spans="1:16" s="144" customFormat="1" ht="14.25" customHeight="1">
      <c r="A23" s="143" t="s">
        <v>51</v>
      </c>
      <c r="B23" s="553">
        <f>SUM(B13:B20)-10</f>
        <v>4144130</v>
      </c>
      <c r="C23" s="553">
        <f t="shared" ref="C23:L23" si="2">SUM(C13:C20)</f>
        <v>0</v>
      </c>
      <c r="D23" s="553">
        <f t="shared" si="2"/>
        <v>0</v>
      </c>
      <c r="E23" s="553">
        <f t="shared" si="2"/>
        <v>0</v>
      </c>
      <c r="F23" s="553">
        <f t="shared" si="2"/>
        <v>402381</v>
      </c>
      <c r="G23" s="553">
        <f>SUM(G13:G20)-10</f>
        <v>3741749</v>
      </c>
      <c r="H23" s="553">
        <f t="shared" si="2"/>
        <v>3154872</v>
      </c>
      <c r="I23" s="553">
        <f t="shared" si="2"/>
        <v>215001</v>
      </c>
      <c r="J23" s="553">
        <f t="shared" si="2"/>
        <v>0</v>
      </c>
      <c r="K23" s="553">
        <f t="shared" si="2"/>
        <v>264160</v>
      </c>
      <c r="L23" s="553">
        <f t="shared" si="2"/>
        <v>3105713</v>
      </c>
      <c r="M23" s="553">
        <f>SUM(M13:M20)-10</f>
        <v>636036</v>
      </c>
      <c r="N23" s="554">
        <f>M23+M58</f>
        <v>13941640.5</v>
      </c>
      <c r="O23" s="555">
        <v>15467932</v>
      </c>
    </row>
    <row r="24" spans="1:16" ht="6" customHeight="1">
      <c r="A24" s="145"/>
      <c r="B24" s="556"/>
      <c r="C24" s="557"/>
      <c r="D24" s="558"/>
      <c r="E24" s="559"/>
      <c r="F24" s="558"/>
      <c r="G24" s="557"/>
      <c r="H24" s="560"/>
      <c r="I24" s="561"/>
      <c r="J24" s="562"/>
      <c r="K24" s="563"/>
      <c r="L24" s="557"/>
      <c r="M24" s="557"/>
      <c r="N24" s="555"/>
      <c r="O24" s="555"/>
    </row>
    <row r="25" spans="1:16" ht="14.4">
      <c r="A25" s="146"/>
      <c r="B25" s="564"/>
      <c r="C25" s="565"/>
      <c r="D25" s="566"/>
      <c r="E25" s="567"/>
      <c r="F25" s="566"/>
      <c r="G25" s="568"/>
      <c r="H25" s="569"/>
      <c r="I25" s="570"/>
      <c r="J25" s="571"/>
      <c r="K25" s="572"/>
      <c r="L25" s="568"/>
      <c r="M25" s="565"/>
      <c r="N25" s="555">
        <f>F23-F25</f>
        <v>402381</v>
      </c>
      <c r="O25" s="679">
        <f>N23-O23</f>
        <v>-1526291.5</v>
      </c>
    </row>
    <row r="26" spans="1:16" ht="14.4" hidden="1">
      <c r="A26" s="675"/>
      <c r="B26" s="1253" t="s">
        <v>70</v>
      </c>
      <c r="C26" s="1254"/>
      <c r="D26" s="1254"/>
      <c r="E26" s="1254"/>
      <c r="F26" s="1254"/>
      <c r="G26" s="1255"/>
      <c r="H26" s="1253" t="s">
        <v>71</v>
      </c>
      <c r="I26" s="1254"/>
      <c r="J26" s="1254"/>
      <c r="K26" s="1254"/>
      <c r="L26" s="1255"/>
      <c r="M26" s="574" t="s">
        <v>72</v>
      </c>
      <c r="N26" s="555"/>
      <c r="O26" s="555"/>
    </row>
    <row r="27" spans="1:16" s="130" customFormat="1" ht="14.4" hidden="1">
      <c r="A27" s="675" t="s">
        <v>73</v>
      </c>
      <c r="B27" s="686" t="s">
        <v>74</v>
      </c>
      <c r="C27" s="686" t="s">
        <v>75</v>
      </c>
      <c r="D27" s="686"/>
      <c r="E27" s="685"/>
      <c r="F27" s="685"/>
      <c r="G27" s="686" t="s">
        <v>74</v>
      </c>
      <c r="H27" s="686" t="s">
        <v>74</v>
      </c>
      <c r="I27" s="685" t="s">
        <v>76</v>
      </c>
      <c r="J27" s="685"/>
      <c r="K27" s="685"/>
      <c r="L27" s="686" t="s">
        <v>74</v>
      </c>
      <c r="M27" s="686" t="s">
        <v>74</v>
      </c>
      <c r="N27" s="576"/>
      <c r="O27" s="576"/>
    </row>
    <row r="28" spans="1:16" s="130" customFormat="1" ht="14.4" hidden="1">
      <c r="A28" s="461" t="s">
        <v>0</v>
      </c>
      <c r="B28" s="577" t="s">
        <v>1356</v>
      </c>
      <c r="C28" s="578" t="s">
        <v>77</v>
      </c>
      <c r="D28" s="579" t="s">
        <v>56</v>
      </c>
      <c r="E28" s="579" t="s">
        <v>78</v>
      </c>
      <c r="F28" s="579" t="s">
        <v>79</v>
      </c>
      <c r="G28" s="577" t="s">
        <v>1357</v>
      </c>
      <c r="H28" s="577" t="s">
        <v>1356</v>
      </c>
      <c r="I28" s="579" t="s">
        <v>1530</v>
      </c>
      <c r="J28" s="579" t="s">
        <v>78</v>
      </c>
      <c r="K28" s="579" t="s">
        <v>79</v>
      </c>
      <c r="L28" s="577" t="s">
        <v>1357</v>
      </c>
      <c r="M28" s="577" t="s">
        <v>1357</v>
      </c>
      <c r="N28" s="576"/>
      <c r="O28" s="576"/>
    </row>
    <row r="29" spans="1:16" s="130" customFormat="1" ht="14.25" hidden="1" customHeight="1">
      <c r="A29" s="465"/>
      <c r="B29" s="556"/>
      <c r="C29" s="557"/>
      <c r="D29" s="557"/>
      <c r="E29" s="557"/>
      <c r="F29" s="557"/>
      <c r="G29" s="557"/>
      <c r="H29" s="560"/>
      <c r="I29" s="580"/>
      <c r="J29" s="580"/>
      <c r="K29" s="581"/>
      <c r="L29" s="581"/>
      <c r="M29" s="581"/>
      <c r="N29" s="576"/>
      <c r="O29" s="576"/>
    </row>
    <row r="30" spans="1:16" ht="26.25" hidden="1" customHeight="1">
      <c r="A30" s="147" t="s">
        <v>81</v>
      </c>
      <c r="B30" s="582"/>
      <c r="C30" s="583"/>
      <c r="D30" s="583"/>
      <c r="E30" s="583"/>
      <c r="F30" s="583"/>
      <c r="G30" s="568"/>
      <c r="H30" s="583"/>
      <c r="I30" s="584"/>
      <c r="J30" s="584"/>
      <c r="K30" s="585"/>
      <c r="L30" s="586"/>
      <c r="M30" s="586"/>
      <c r="N30" s="555"/>
      <c r="O30" s="555"/>
    </row>
    <row r="31" spans="1:16" ht="6" hidden="1" customHeight="1">
      <c r="A31" s="147"/>
      <c r="B31" s="582"/>
      <c r="C31" s="583"/>
      <c r="D31" s="583"/>
      <c r="E31" s="583"/>
      <c r="F31" s="583"/>
      <c r="G31" s="568"/>
      <c r="H31" s="583"/>
      <c r="I31" s="584"/>
      <c r="J31" s="584"/>
      <c r="K31" s="585"/>
      <c r="L31" s="586"/>
      <c r="M31" s="586"/>
      <c r="N31" s="555"/>
      <c r="O31" s="555"/>
    </row>
    <row r="32" spans="1:16" s="137" customFormat="1" ht="14.4" hidden="1">
      <c r="A32" s="138" t="s">
        <v>86</v>
      </c>
      <c r="B32" s="528">
        <v>1354117</v>
      </c>
      <c r="C32" s="531"/>
      <c r="D32" s="531">
        <v>705874</v>
      </c>
      <c r="E32" s="531">
        <v>0</v>
      </c>
      <c r="F32" s="531">
        <v>169407</v>
      </c>
      <c r="G32" s="542">
        <v>1890584</v>
      </c>
      <c r="H32" s="531">
        <v>781244</v>
      </c>
      <c r="I32" s="531">
        <v>604793</v>
      </c>
      <c r="J32" s="531">
        <v>0</v>
      </c>
      <c r="K32" s="528">
        <v>126639</v>
      </c>
      <c r="L32" s="529">
        <v>1259398</v>
      </c>
      <c r="M32" s="529">
        <v>631186</v>
      </c>
      <c r="N32" s="543"/>
      <c r="O32" s="543"/>
    </row>
    <row r="33" spans="1:16" s="137" customFormat="1" ht="5.25" hidden="1" customHeight="1">
      <c r="A33" s="138"/>
      <c r="B33" s="528"/>
      <c r="C33" s="531"/>
      <c r="D33" s="531"/>
      <c r="E33" s="531"/>
      <c r="F33" s="531"/>
      <c r="G33" s="542"/>
      <c r="H33" s="531"/>
      <c r="I33" s="531"/>
      <c r="J33" s="531"/>
      <c r="K33" s="531"/>
      <c r="L33" s="529"/>
      <c r="M33" s="529"/>
      <c r="N33" s="543"/>
      <c r="O33" s="543"/>
    </row>
    <row r="34" spans="1:16" s="137" customFormat="1" ht="14.4" hidden="1">
      <c r="A34" s="138" t="s">
        <v>87</v>
      </c>
      <c r="B34" s="528">
        <v>1065072</v>
      </c>
      <c r="C34" s="528"/>
      <c r="D34" s="528">
        <v>111300</v>
      </c>
      <c r="E34" s="531">
        <v>0</v>
      </c>
      <c r="F34" s="528">
        <v>0</v>
      </c>
      <c r="G34" s="542">
        <v>1176372</v>
      </c>
      <c r="H34" s="531">
        <v>888571</v>
      </c>
      <c r="I34" s="531">
        <v>134972</v>
      </c>
      <c r="J34" s="531">
        <v>0</v>
      </c>
      <c r="K34" s="531">
        <v>0</v>
      </c>
      <c r="L34" s="529">
        <v>1023543</v>
      </c>
      <c r="M34" s="529">
        <v>152829</v>
      </c>
      <c r="N34" s="543"/>
      <c r="O34" s="543"/>
    </row>
    <row r="35" spans="1:16" s="137" customFormat="1" ht="6.75" hidden="1" customHeight="1">
      <c r="A35" s="138"/>
      <c r="B35" s="528"/>
      <c r="C35" s="531"/>
      <c r="D35" s="531"/>
      <c r="E35" s="531"/>
      <c r="F35" s="531"/>
      <c r="G35" s="542"/>
      <c r="H35" s="531"/>
      <c r="I35" s="531"/>
      <c r="J35" s="531"/>
      <c r="K35" s="531"/>
      <c r="L35" s="529"/>
      <c r="M35" s="529"/>
      <c r="N35" s="543"/>
      <c r="O35" s="543"/>
    </row>
    <row r="36" spans="1:16" s="137" customFormat="1" ht="14.4" hidden="1">
      <c r="A36" s="138" t="s">
        <v>82</v>
      </c>
      <c r="B36" s="528">
        <v>187694</v>
      </c>
      <c r="C36" s="531"/>
      <c r="D36" s="531">
        <v>0</v>
      </c>
      <c r="E36" s="531">
        <v>0</v>
      </c>
      <c r="F36" s="531">
        <v>0</v>
      </c>
      <c r="G36" s="542">
        <v>187694</v>
      </c>
      <c r="H36" s="531">
        <v>157361</v>
      </c>
      <c r="I36" s="531">
        <v>7852</v>
      </c>
      <c r="J36" s="531">
        <v>0</v>
      </c>
      <c r="K36" s="531">
        <v>0</v>
      </c>
      <c r="L36" s="529">
        <v>165213</v>
      </c>
      <c r="M36" s="529">
        <v>22481</v>
      </c>
      <c r="N36" s="543"/>
      <c r="O36" s="543"/>
    </row>
    <row r="37" spans="1:16" s="137" customFormat="1" ht="9.75" hidden="1" customHeight="1">
      <c r="A37" s="138"/>
      <c r="B37" s="528"/>
      <c r="C37" s="531"/>
      <c r="D37" s="531"/>
      <c r="E37" s="531"/>
      <c r="F37" s="531"/>
      <c r="G37" s="542"/>
      <c r="H37" s="531"/>
      <c r="I37" s="531"/>
      <c r="J37" s="531"/>
      <c r="K37" s="531"/>
      <c r="L37" s="529"/>
      <c r="M37" s="529"/>
      <c r="N37" s="543"/>
      <c r="O37" s="543"/>
    </row>
    <row r="38" spans="1:16" s="137" customFormat="1" ht="14.4" hidden="1">
      <c r="A38" s="138" t="s">
        <v>88</v>
      </c>
      <c r="B38" s="528">
        <v>749321</v>
      </c>
      <c r="C38" s="531"/>
      <c r="D38" s="531">
        <v>140169</v>
      </c>
      <c r="E38" s="531">
        <v>0</v>
      </c>
      <c r="F38" s="531">
        <v>0</v>
      </c>
      <c r="G38" s="542">
        <v>889490</v>
      </c>
      <c r="H38" s="531">
        <v>567317</v>
      </c>
      <c r="I38" s="531">
        <v>139401</v>
      </c>
      <c r="J38" s="531">
        <v>0</v>
      </c>
      <c r="K38" s="531">
        <v>0</v>
      </c>
      <c r="L38" s="529">
        <v>706718</v>
      </c>
      <c r="M38" s="529">
        <v>182772</v>
      </c>
      <c r="N38" s="543"/>
      <c r="O38" s="543">
        <v>15906</v>
      </c>
      <c r="P38" s="137" t="s">
        <v>977</v>
      </c>
    </row>
    <row r="39" spans="1:16" s="137" customFormat="1" ht="3.75" hidden="1" customHeight="1">
      <c r="A39" s="138"/>
      <c r="B39" s="528"/>
      <c r="C39" s="531"/>
      <c r="D39" s="531"/>
      <c r="E39" s="531"/>
      <c r="F39" s="531"/>
      <c r="G39" s="542"/>
      <c r="H39" s="531"/>
      <c r="I39" s="531"/>
      <c r="J39" s="531"/>
      <c r="K39" s="528"/>
      <c r="L39" s="529"/>
      <c r="M39" s="529"/>
      <c r="N39" s="543"/>
      <c r="O39" s="543"/>
    </row>
    <row r="40" spans="1:16" s="137" customFormat="1" ht="11.25" hidden="1" customHeight="1">
      <c r="A40" s="139"/>
      <c r="B40" s="532"/>
      <c r="C40" s="545"/>
      <c r="D40" s="545"/>
      <c r="E40" s="545"/>
      <c r="F40" s="546"/>
      <c r="G40" s="547"/>
      <c r="H40" s="545"/>
      <c r="I40" s="545"/>
      <c r="J40" s="545"/>
      <c r="K40" s="532"/>
      <c r="L40" s="548"/>
      <c r="M40" s="548"/>
      <c r="N40" s="543"/>
      <c r="O40" s="543"/>
    </row>
    <row r="41" spans="1:16" s="137" customFormat="1" ht="8.25" hidden="1" customHeight="1">
      <c r="A41" s="680"/>
      <c r="B41" s="681"/>
      <c r="C41" s="682"/>
      <c r="D41" s="682"/>
      <c r="E41" s="682"/>
      <c r="F41" s="683"/>
      <c r="G41" s="684"/>
      <c r="H41" s="682"/>
      <c r="I41" s="682"/>
      <c r="J41" s="682"/>
      <c r="K41" s="681"/>
      <c r="L41" s="684"/>
      <c r="M41" s="684"/>
      <c r="N41" s="543"/>
      <c r="O41" s="543"/>
    </row>
    <row r="42" spans="1:16" s="144" customFormat="1" ht="12.75" hidden="1" customHeight="1">
      <c r="A42" s="143" t="s">
        <v>51</v>
      </c>
      <c r="B42" s="553">
        <f t="shared" ref="B42:H42" si="3">SUM(B32:B39)</f>
        <v>3356204</v>
      </c>
      <c r="C42" s="553">
        <f t="shared" si="3"/>
        <v>0</v>
      </c>
      <c r="D42" s="553">
        <f t="shared" si="3"/>
        <v>957343</v>
      </c>
      <c r="E42" s="553">
        <f t="shared" si="3"/>
        <v>0</v>
      </c>
      <c r="F42" s="553">
        <f t="shared" si="3"/>
        <v>169407</v>
      </c>
      <c r="G42" s="553">
        <f t="shared" si="3"/>
        <v>4144140</v>
      </c>
      <c r="H42" s="553">
        <f t="shared" si="3"/>
        <v>2394493</v>
      </c>
      <c r="I42" s="553">
        <f>SUM(I32:I39)</f>
        <v>887018</v>
      </c>
      <c r="J42" s="553">
        <f>SUM(J32:J39)</f>
        <v>0</v>
      </c>
      <c r="K42" s="553">
        <f>SUM(K32:K39)</f>
        <v>126639</v>
      </c>
      <c r="L42" s="553">
        <f>SUM(L32:L39)</f>
        <v>3154872</v>
      </c>
      <c r="M42" s="553">
        <f>SUM(M32:M39)</f>
        <v>989268</v>
      </c>
      <c r="N42" s="554"/>
      <c r="O42" s="554"/>
    </row>
    <row r="43" spans="1:16" s="137" customFormat="1" ht="4.5" hidden="1" customHeight="1">
      <c r="A43" s="148"/>
      <c r="B43" s="548"/>
      <c r="C43" s="547"/>
      <c r="D43" s="547"/>
      <c r="E43" s="547"/>
      <c r="F43" s="547"/>
      <c r="G43" s="547"/>
      <c r="H43" s="545"/>
      <c r="I43" s="547"/>
      <c r="J43" s="545"/>
      <c r="K43" s="532"/>
      <c r="L43" s="547"/>
      <c r="M43" s="547"/>
      <c r="N43" s="543"/>
      <c r="O43" s="543"/>
    </row>
    <row r="44" spans="1:16" s="137" customFormat="1" ht="14.4">
      <c r="A44" s="687"/>
      <c r="B44" s="1247" t="s">
        <v>70</v>
      </c>
      <c r="C44" s="1248"/>
      <c r="D44" s="1248"/>
      <c r="E44" s="1248"/>
      <c r="F44" s="1248"/>
      <c r="G44" s="1249"/>
      <c r="H44" s="1247" t="s">
        <v>71</v>
      </c>
      <c r="I44" s="1248"/>
      <c r="J44" s="1248"/>
      <c r="K44" s="1248"/>
      <c r="L44" s="1249"/>
      <c r="M44" s="588" t="s">
        <v>72</v>
      </c>
      <c r="N44" s="543"/>
      <c r="O44" s="543"/>
    </row>
    <row r="45" spans="1:16" s="144" customFormat="1" ht="14.4">
      <c r="A45" s="687" t="s">
        <v>73</v>
      </c>
      <c r="B45" s="689" t="s">
        <v>74</v>
      </c>
      <c r="C45" s="689" t="s">
        <v>75</v>
      </c>
      <c r="D45" s="688"/>
      <c r="E45" s="688"/>
      <c r="F45" s="688"/>
      <c r="G45" s="689" t="s">
        <v>74</v>
      </c>
      <c r="H45" s="689" t="s">
        <v>74</v>
      </c>
      <c r="I45" s="688" t="s">
        <v>76</v>
      </c>
      <c r="J45" s="688"/>
      <c r="K45" s="688"/>
      <c r="L45" s="689" t="s">
        <v>74</v>
      </c>
      <c r="M45" s="689" t="s">
        <v>74</v>
      </c>
      <c r="N45" s="554"/>
      <c r="O45" s="554"/>
    </row>
    <row r="46" spans="1:16" s="861" customFormat="1" ht="28.8">
      <c r="A46" s="859" t="s">
        <v>0</v>
      </c>
      <c r="B46" s="856" t="str">
        <f>+B9</f>
        <v>1 April 2023</v>
      </c>
      <c r="C46" s="857" t="s">
        <v>77</v>
      </c>
      <c r="D46" s="858" t="s">
        <v>56</v>
      </c>
      <c r="E46" s="858" t="s">
        <v>78</v>
      </c>
      <c r="F46" s="858" t="s">
        <v>79</v>
      </c>
      <c r="G46" s="856" t="str">
        <f>+G9</f>
        <v>30 September 2023</v>
      </c>
      <c r="H46" s="856" t="str">
        <f>+H9</f>
        <v>1 April 2023</v>
      </c>
      <c r="I46" s="858" t="s">
        <v>80</v>
      </c>
      <c r="J46" s="858" t="s">
        <v>78</v>
      </c>
      <c r="K46" s="858" t="s">
        <v>79</v>
      </c>
      <c r="L46" s="856" t="str">
        <f>+L9</f>
        <v>30 September 2023</v>
      </c>
      <c r="M46" s="856" t="str">
        <f>+M9</f>
        <v>30 September 2023</v>
      </c>
      <c r="N46" s="860"/>
      <c r="O46" s="860"/>
    </row>
    <row r="47" spans="1:16" s="144" customFormat="1" ht="14.25" customHeight="1">
      <c r="A47" s="473"/>
      <c r="B47" s="548"/>
      <c r="C47" s="547"/>
      <c r="D47" s="547"/>
      <c r="E47" s="547"/>
      <c r="F47" s="547"/>
      <c r="G47" s="547"/>
      <c r="H47" s="545"/>
      <c r="I47" s="593"/>
      <c r="J47" s="593"/>
      <c r="K47" s="594"/>
      <c r="L47" s="594"/>
      <c r="M47" s="594"/>
      <c r="N47" s="554"/>
      <c r="O47" s="554"/>
    </row>
    <row r="48" spans="1:16" s="137" customFormat="1" ht="9" customHeight="1">
      <c r="A48" s="138"/>
      <c r="B48" s="681"/>
      <c r="C48" s="681"/>
      <c r="D48" s="681"/>
      <c r="E48" s="681"/>
      <c r="F48" s="681"/>
      <c r="G48" s="690"/>
      <c r="H48" s="681"/>
      <c r="I48" s="681"/>
      <c r="J48" s="681"/>
      <c r="K48" s="681"/>
      <c r="L48" s="690"/>
      <c r="M48" s="690"/>
      <c r="N48" s="543"/>
      <c r="O48" s="543"/>
    </row>
    <row r="49" spans="1:18" s="137" customFormat="1" ht="14.4">
      <c r="A49" s="131" t="s">
        <v>83</v>
      </c>
      <c r="B49" s="528"/>
      <c r="C49" s="528"/>
      <c r="D49" s="528"/>
      <c r="E49" s="528"/>
      <c r="F49" s="528"/>
      <c r="G49" s="529"/>
      <c r="H49" s="528"/>
      <c r="I49" s="528"/>
      <c r="J49" s="528"/>
      <c r="K49" s="528"/>
      <c r="L49" s="529"/>
      <c r="M49" s="529"/>
      <c r="N49" s="543"/>
      <c r="O49" s="543"/>
    </row>
    <row r="50" spans="1:18" s="137" customFormat="1" ht="8.25" customHeight="1">
      <c r="A50" s="131"/>
      <c r="B50" s="528"/>
      <c r="C50" s="528"/>
      <c r="D50" s="528"/>
      <c r="E50" s="528"/>
      <c r="F50" s="528"/>
      <c r="G50" s="542"/>
      <c r="H50" s="528"/>
      <c r="I50" s="528"/>
      <c r="J50" s="528"/>
      <c r="K50" s="528"/>
      <c r="L50" s="596"/>
      <c r="M50" s="529"/>
      <c r="N50" s="543"/>
      <c r="O50" s="543"/>
    </row>
    <row r="51" spans="1:18" s="137" customFormat="1" ht="14.4">
      <c r="A51" s="138" t="s">
        <v>84</v>
      </c>
      <c r="B51" s="528">
        <v>420938</v>
      </c>
      <c r="C51" s="528" t="s">
        <v>1185</v>
      </c>
      <c r="D51" s="528">
        <v>0</v>
      </c>
      <c r="E51" s="528">
        <v>0</v>
      </c>
      <c r="F51" s="528">
        <v>0</v>
      </c>
      <c r="G51" s="542">
        <f>B51+D51+E51-F51</f>
        <v>420938</v>
      </c>
      <c r="H51" s="528">
        <v>298043</v>
      </c>
      <c r="I51" s="528">
        <f>13680</f>
        <v>13680</v>
      </c>
      <c r="J51" s="528">
        <v>0</v>
      </c>
      <c r="K51" s="528">
        <v>0</v>
      </c>
      <c r="L51" s="596">
        <f>H51+I51+J51-K51</f>
        <v>311723</v>
      </c>
      <c r="M51" s="529">
        <f>G51-L51</f>
        <v>109215</v>
      </c>
      <c r="N51" s="543"/>
      <c r="O51" s="543"/>
    </row>
    <row r="52" spans="1:18" s="137" customFormat="1" ht="9.75" customHeight="1">
      <c r="A52" s="138"/>
      <c r="B52" s="528"/>
      <c r="C52" s="528"/>
      <c r="D52" s="528"/>
      <c r="E52" s="528"/>
      <c r="F52" s="528"/>
      <c r="G52" s="542"/>
      <c r="H52" s="528"/>
      <c r="I52" s="528"/>
      <c r="J52" s="528"/>
      <c r="K52" s="528"/>
      <c r="L52" s="596"/>
      <c r="M52" s="529"/>
      <c r="N52" s="543"/>
      <c r="O52" s="543"/>
    </row>
    <row r="53" spans="1:18" s="137" customFormat="1" ht="14.4">
      <c r="A53" s="138" t="s">
        <v>1083</v>
      </c>
      <c r="B53" s="528">
        <v>18525600</v>
      </c>
      <c r="C53" s="528"/>
      <c r="D53" s="528">
        <v>0</v>
      </c>
      <c r="E53" s="528">
        <v>0</v>
      </c>
      <c r="F53" s="528">
        <v>0</v>
      </c>
      <c r="G53" s="542">
        <f>B53+D53+E53-F53</f>
        <v>18525600</v>
      </c>
      <c r="H53" s="528">
        <v>4003208</v>
      </c>
      <c r="I53" s="528">
        <f>1326012.5</f>
        <v>1326012.5</v>
      </c>
      <c r="J53" s="528">
        <v>0</v>
      </c>
      <c r="K53" s="528">
        <v>0</v>
      </c>
      <c r="L53" s="596">
        <f>H53+I53+J53-K53</f>
        <v>5329220.5</v>
      </c>
      <c r="M53" s="529">
        <f>G53-L53</f>
        <v>13196379.5</v>
      </c>
      <c r="N53" s="543"/>
      <c r="O53" s="543"/>
    </row>
    <row r="54" spans="1:18" s="137" customFormat="1" ht="14.4">
      <c r="A54" s="138"/>
      <c r="B54" s="528"/>
      <c r="C54" s="528"/>
      <c r="D54" s="528"/>
      <c r="E54" s="528"/>
      <c r="F54" s="528"/>
      <c r="G54" s="542"/>
      <c r="H54" s="528"/>
      <c r="I54" s="528"/>
      <c r="J54" s="528"/>
      <c r="K54" s="528"/>
      <c r="L54" s="596"/>
      <c r="M54" s="529"/>
      <c r="N54" s="543"/>
      <c r="O54" s="543"/>
    </row>
    <row r="55" spans="1:18" s="137" customFormat="1" ht="14.4">
      <c r="A55" s="138" t="s">
        <v>89</v>
      </c>
      <c r="B55" s="528">
        <v>927056</v>
      </c>
      <c r="C55" s="528" t="s">
        <v>1185</v>
      </c>
      <c r="D55" s="528">
        <v>0</v>
      </c>
      <c r="E55" s="528">
        <v>0</v>
      </c>
      <c r="F55" s="528">
        <v>0</v>
      </c>
      <c r="G55" s="542">
        <f>B55+D55+E55-F55</f>
        <v>927056</v>
      </c>
      <c r="H55" s="528">
        <v>927056</v>
      </c>
      <c r="I55" s="528">
        <v>0</v>
      </c>
      <c r="J55" s="528">
        <v>0</v>
      </c>
      <c r="K55" s="528">
        <v>0</v>
      </c>
      <c r="L55" s="596">
        <f>H55+I55+J55-K55</f>
        <v>927056</v>
      </c>
      <c r="M55" s="529">
        <f>G55-L55</f>
        <v>0</v>
      </c>
      <c r="N55" s="543"/>
      <c r="O55" s="543"/>
    </row>
    <row r="56" spans="1:18" s="137" customFormat="1" ht="9.75" customHeight="1">
      <c r="A56" s="139"/>
      <c r="B56" s="532"/>
      <c r="C56" s="532"/>
      <c r="D56" s="532"/>
      <c r="E56" s="532"/>
      <c r="F56" s="532"/>
      <c r="G56" s="548"/>
      <c r="H56" s="532"/>
      <c r="I56" s="532"/>
      <c r="J56" s="532"/>
      <c r="K56" s="532"/>
      <c r="L56" s="548"/>
      <c r="M56" s="548"/>
      <c r="N56" s="543"/>
      <c r="O56" s="543"/>
    </row>
    <row r="57" spans="1:18" s="137" customFormat="1" ht="7.5" customHeight="1">
      <c r="A57" s="691"/>
      <c r="B57" s="681"/>
      <c r="C57" s="681"/>
      <c r="D57" s="681"/>
      <c r="E57" s="681"/>
      <c r="F57" s="681"/>
      <c r="G57" s="690"/>
      <c r="H57" s="681"/>
      <c r="I57" s="681"/>
      <c r="J57" s="681"/>
      <c r="K57" s="681"/>
      <c r="L57" s="690"/>
      <c r="M57" s="690"/>
      <c r="N57" s="543"/>
      <c r="O57" s="543"/>
    </row>
    <row r="58" spans="1:18" s="144" customFormat="1" ht="14.25" customHeight="1">
      <c r="A58" s="143" t="s">
        <v>51</v>
      </c>
      <c r="B58" s="529">
        <f>SUM(B51:B55)+10</f>
        <v>19873604</v>
      </c>
      <c r="C58" s="529">
        <f t="shared" ref="C58:L58" si="4">SUM(C51:C55)</f>
        <v>0</v>
      </c>
      <c r="D58" s="529">
        <f t="shared" si="4"/>
        <v>0</v>
      </c>
      <c r="E58" s="529">
        <f t="shared" si="4"/>
        <v>0</v>
      </c>
      <c r="F58" s="529">
        <f t="shared" si="4"/>
        <v>0</v>
      </c>
      <c r="G58" s="529">
        <f>SUM(G51:G55)+10</f>
        <v>19873604</v>
      </c>
      <c r="H58" s="529">
        <f t="shared" si="4"/>
        <v>5228307</v>
      </c>
      <c r="I58" s="529">
        <f t="shared" si="4"/>
        <v>1339692.5</v>
      </c>
      <c r="J58" s="529">
        <f t="shared" si="4"/>
        <v>0</v>
      </c>
      <c r="K58" s="529">
        <f t="shared" si="4"/>
        <v>0</v>
      </c>
      <c r="L58" s="529">
        <f t="shared" si="4"/>
        <v>6567999.5</v>
      </c>
      <c r="M58" s="529">
        <f>SUM(M51:M55)+10</f>
        <v>13305604.5</v>
      </c>
      <c r="N58" s="554"/>
      <c r="O58" s="554"/>
      <c r="R58" s="137"/>
    </row>
    <row r="59" spans="1:18" s="137" customFormat="1" ht="6.75" customHeight="1">
      <c r="A59" s="149"/>
      <c r="B59" s="532"/>
      <c r="C59" s="532"/>
      <c r="D59" s="532"/>
      <c r="E59" s="532"/>
      <c r="F59" s="532"/>
      <c r="G59" s="548"/>
      <c r="H59" s="532"/>
      <c r="I59" s="532"/>
      <c r="J59" s="532"/>
      <c r="K59" s="532"/>
      <c r="L59" s="548"/>
      <c r="M59" s="548"/>
      <c r="N59" s="543"/>
      <c r="O59" s="543"/>
    </row>
    <row r="60" spans="1:18" s="137" customFormat="1" ht="14.4" hidden="1">
      <c r="A60" s="687"/>
      <c r="B60" s="1247" t="s">
        <v>70</v>
      </c>
      <c r="C60" s="1248"/>
      <c r="D60" s="1248"/>
      <c r="E60" s="1248"/>
      <c r="F60" s="1248"/>
      <c r="G60" s="1249"/>
      <c r="H60" s="1247" t="s">
        <v>959</v>
      </c>
      <c r="I60" s="1248"/>
      <c r="J60" s="1248"/>
      <c r="K60" s="1248"/>
      <c r="L60" s="1249"/>
      <c r="M60" s="588" t="s">
        <v>72</v>
      </c>
      <c r="N60" s="543"/>
      <c r="O60" s="543"/>
    </row>
    <row r="61" spans="1:18" s="144" customFormat="1" ht="14.4" hidden="1">
      <c r="A61" s="687" t="s">
        <v>73</v>
      </c>
      <c r="B61" s="689" t="s">
        <v>74</v>
      </c>
      <c r="C61" s="689" t="s">
        <v>75</v>
      </c>
      <c r="D61" s="688"/>
      <c r="E61" s="688"/>
      <c r="F61" s="688"/>
      <c r="G61" s="689" t="s">
        <v>74</v>
      </c>
      <c r="H61" s="689" t="s">
        <v>74</v>
      </c>
      <c r="I61" s="688" t="s">
        <v>76</v>
      </c>
      <c r="J61" s="688"/>
      <c r="K61" s="688"/>
      <c r="L61" s="689" t="s">
        <v>74</v>
      </c>
      <c r="M61" s="689" t="s">
        <v>74</v>
      </c>
      <c r="N61" s="554"/>
      <c r="O61" s="554"/>
    </row>
    <row r="62" spans="1:18" s="144" customFormat="1" ht="14.4" hidden="1">
      <c r="A62" s="472" t="s">
        <v>0</v>
      </c>
      <c r="B62" s="590" t="str">
        <f>+B28</f>
        <v>1 April 2022</v>
      </c>
      <c r="C62" s="591" t="s">
        <v>77</v>
      </c>
      <c r="D62" s="592" t="s">
        <v>56</v>
      </c>
      <c r="E62" s="592" t="s">
        <v>78</v>
      </c>
      <c r="F62" s="592" t="s">
        <v>79</v>
      </c>
      <c r="G62" s="590" t="str">
        <f>+G28</f>
        <v>31 March 2023</v>
      </c>
      <c r="H62" s="590" t="str">
        <f>+H28</f>
        <v>1 April 2022</v>
      </c>
      <c r="I62" s="592" t="s">
        <v>80</v>
      </c>
      <c r="J62" s="592" t="s">
        <v>78</v>
      </c>
      <c r="K62" s="592" t="s">
        <v>79</v>
      </c>
      <c r="L62" s="590" t="str">
        <f>+L28</f>
        <v>31 March 2023</v>
      </c>
      <c r="M62" s="590" t="str">
        <f>+M28</f>
        <v>31 March 2023</v>
      </c>
      <c r="N62" s="554"/>
      <c r="O62" s="554"/>
    </row>
    <row r="63" spans="1:18" s="144" customFormat="1" ht="14.25" hidden="1" customHeight="1">
      <c r="A63" s="473"/>
      <c r="B63" s="548"/>
      <c r="C63" s="547"/>
      <c r="D63" s="547"/>
      <c r="E63" s="547"/>
      <c r="F63" s="547"/>
      <c r="G63" s="547"/>
      <c r="H63" s="545"/>
      <c r="I63" s="593"/>
      <c r="J63" s="593"/>
      <c r="K63" s="594"/>
      <c r="L63" s="594"/>
      <c r="M63" s="594"/>
      <c r="N63" s="554"/>
      <c r="O63" s="554"/>
    </row>
    <row r="64" spans="1:18" s="137" customFormat="1" ht="9" hidden="1" customHeight="1">
      <c r="A64" s="138"/>
      <c r="B64" s="681"/>
      <c r="C64" s="681"/>
      <c r="D64" s="681"/>
      <c r="E64" s="681"/>
      <c r="F64" s="681"/>
      <c r="G64" s="690"/>
      <c r="H64" s="681"/>
      <c r="I64" s="681"/>
      <c r="J64" s="681"/>
      <c r="K64" s="681"/>
      <c r="L64" s="690"/>
      <c r="M64" s="690"/>
      <c r="N64" s="543"/>
      <c r="O64" s="543"/>
    </row>
    <row r="65" spans="1:15" s="137" customFormat="1" ht="14.4" hidden="1">
      <c r="A65" s="131" t="s">
        <v>83</v>
      </c>
      <c r="B65" s="528"/>
      <c r="C65" s="528"/>
      <c r="D65" s="528"/>
      <c r="E65" s="528"/>
      <c r="F65" s="528"/>
      <c r="G65" s="529"/>
      <c r="H65" s="528"/>
      <c r="I65" s="528"/>
      <c r="J65" s="528"/>
      <c r="K65" s="528"/>
      <c r="L65" s="529"/>
      <c r="M65" s="529"/>
      <c r="N65" s="543"/>
      <c r="O65" s="543"/>
    </row>
    <row r="66" spans="1:15" s="137" customFormat="1" ht="6" hidden="1" customHeight="1">
      <c r="A66" s="131"/>
      <c r="B66" s="528"/>
      <c r="C66" s="528"/>
      <c r="D66" s="528"/>
      <c r="E66" s="528"/>
      <c r="F66" s="528"/>
      <c r="G66" s="542"/>
      <c r="H66" s="528"/>
      <c r="I66" s="528"/>
      <c r="J66" s="528"/>
      <c r="K66" s="528"/>
      <c r="L66" s="596"/>
      <c r="M66" s="529"/>
      <c r="N66" s="543"/>
      <c r="O66" s="543"/>
    </row>
    <row r="67" spans="1:15" s="137" customFormat="1" ht="14.4" hidden="1">
      <c r="A67" s="138" t="s">
        <v>84</v>
      </c>
      <c r="B67" s="528">
        <v>284438</v>
      </c>
      <c r="C67" s="528" t="s">
        <v>1185</v>
      </c>
      <c r="D67" s="528">
        <v>136500</v>
      </c>
      <c r="E67" s="528">
        <v>0</v>
      </c>
      <c r="F67" s="528">
        <v>0</v>
      </c>
      <c r="G67" s="542">
        <v>420938</v>
      </c>
      <c r="H67" s="528">
        <v>278349</v>
      </c>
      <c r="I67" s="528">
        <v>19694</v>
      </c>
      <c r="J67" s="528">
        <v>0</v>
      </c>
      <c r="K67" s="528">
        <v>0</v>
      </c>
      <c r="L67" s="596">
        <v>298043</v>
      </c>
      <c r="M67" s="529">
        <v>122895</v>
      </c>
      <c r="N67" s="543"/>
      <c r="O67" s="543"/>
    </row>
    <row r="68" spans="1:15" s="137" customFormat="1" ht="14.4" hidden="1">
      <c r="A68" s="138"/>
      <c r="B68" s="528"/>
      <c r="C68" s="528"/>
      <c r="D68" s="528"/>
      <c r="E68" s="528"/>
      <c r="F68" s="528"/>
      <c r="G68" s="542"/>
      <c r="H68" s="528"/>
      <c r="I68" s="528"/>
      <c r="J68" s="528"/>
      <c r="K68" s="528"/>
      <c r="L68" s="596"/>
      <c r="M68" s="529"/>
      <c r="N68" s="543"/>
      <c r="O68" s="543"/>
    </row>
    <row r="69" spans="1:15" s="137" customFormat="1" ht="14.4" hidden="1">
      <c r="A69" s="138" t="s">
        <v>1083</v>
      </c>
      <c r="B69" s="528">
        <v>18525600</v>
      </c>
      <c r="C69" s="528"/>
      <c r="D69" s="528">
        <v>0</v>
      </c>
      <c r="E69" s="528">
        <v>0</v>
      </c>
      <c r="F69" s="528">
        <v>0</v>
      </c>
      <c r="G69" s="542">
        <v>18525600</v>
      </c>
      <c r="H69" s="528">
        <v>1358428</v>
      </c>
      <c r="I69" s="528">
        <v>2644780</v>
      </c>
      <c r="J69" s="528">
        <v>0</v>
      </c>
      <c r="K69" s="528">
        <v>0</v>
      </c>
      <c r="L69" s="596">
        <v>4003208</v>
      </c>
      <c r="M69" s="529">
        <v>14522392</v>
      </c>
      <c r="N69" s="543"/>
      <c r="O69" s="543"/>
    </row>
    <row r="70" spans="1:15" s="137" customFormat="1" ht="8.25" hidden="1" customHeight="1">
      <c r="A70" s="138"/>
      <c r="B70" s="528"/>
      <c r="C70" s="528"/>
      <c r="D70" s="528"/>
      <c r="E70" s="528"/>
      <c r="F70" s="528"/>
      <c r="G70" s="542"/>
      <c r="H70" s="528"/>
      <c r="I70" s="528"/>
      <c r="J70" s="528"/>
      <c r="K70" s="528"/>
      <c r="L70" s="596"/>
      <c r="M70" s="529"/>
      <c r="N70" s="543"/>
      <c r="O70" s="543"/>
    </row>
    <row r="71" spans="1:15" s="137" customFormat="1" ht="14.4" hidden="1">
      <c r="A71" s="138" t="s">
        <v>89</v>
      </c>
      <c r="B71" s="528">
        <v>927056</v>
      </c>
      <c r="C71" s="528" t="s">
        <v>1185</v>
      </c>
      <c r="D71" s="528">
        <v>0</v>
      </c>
      <c r="E71" s="528">
        <v>0</v>
      </c>
      <c r="F71" s="528">
        <v>0</v>
      </c>
      <c r="G71" s="542">
        <v>927056</v>
      </c>
      <c r="H71" s="528">
        <v>927056</v>
      </c>
      <c r="I71" s="528">
        <v>0</v>
      </c>
      <c r="J71" s="528">
        <v>0</v>
      </c>
      <c r="K71" s="528">
        <v>0</v>
      </c>
      <c r="L71" s="596">
        <v>927056</v>
      </c>
      <c r="M71" s="529">
        <v>0</v>
      </c>
      <c r="N71" s="543"/>
      <c r="O71" s="543"/>
    </row>
    <row r="72" spans="1:15" s="137" customFormat="1" ht="14.4" hidden="1">
      <c r="A72" s="139"/>
      <c r="B72" s="532"/>
      <c r="C72" s="532"/>
      <c r="D72" s="532"/>
      <c r="E72" s="532"/>
      <c r="F72" s="532"/>
      <c r="G72" s="548"/>
      <c r="H72" s="532"/>
      <c r="I72" s="532"/>
      <c r="J72" s="532"/>
      <c r="K72" s="532"/>
      <c r="L72" s="548"/>
      <c r="M72" s="548"/>
      <c r="N72" s="543"/>
      <c r="O72" s="543"/>
    </row>
    <row r="73" spans="1:15" s="137" customFormat="1" ht="11.25" hidden="1" customHeight="1">
      <c r="A73" s="691"/>
      <c r="B73" s="681"/>
      <c r="C73" s="681"/>
      <c r="D73" s="681"/>
      <c r="E73" s="681"/>
      <c r="F73" s="681"/>
      <c r="G73" s="690"/>
      <c r="H73" s="681"/>
      <c r="I73" s="681"/>
      <c r="J73" s="681"/>
      <c r="K73" s="681"/>
      <c r="L73" s="690"/>
      <c r="M73" s="690"/>
      <c r="N73" s="543"/>
      <c r="O73" s="543"/>
    </row>
    <row r="74" spans="1:15" s="144" customFormat="1" ht="12.75" hidden="1" customHeight="1">
      <c r="A74" s="143" t="s">
        <v>51</v>
      </c>
      <c r="B74" s="529">
        <f t="shared" ref="B74:M74" si="5">SUM(B67:B71)</f>
        <v>19737094</v>
      </c>
      <c r="C74" s="529">
        <f t="shared" si="5"/>
        <v>0</v>
      </c>
      <c r="D74" s="529">
        <f t="shared" si="5"/>
        <v>136500</v>
      </c>
      <c r="E74" s="529">
        <f t="shared" si="5"/>
        <v>0</v>
      </c>
      <c r="F74" s="529">
        <f t="shared" si="5"/>
        <v>0</v>
      </c>
      <c r="G74" s="529">
        <f t="shared" si="5"/>
        <v>19873594</v>
      </c>
      <c r="H74" s="529">
        <f t="shared" si="5"/>
        <v>2563833</v>
      </c>
      <c r="I74" s="529">
        <f t="shared" si="5"/>
        <v>2664474</v>
      </c>
      <c r="J74" s="529">
        <f t="shared" si="5"/>
        <v>0</v>
      </c>
      <c r="K74" s="529">
        <f t="shared" si="5"/>
        <v>0</v>
      </c>
      <c r="L74" s="529">
        <f t="shared" si="5"/>
        <v>5228307</v>
      </c>
      <c r="M74" s="529">
        <f t="shared" si="5"/>
        <v>14645287</v>
      </c>
      <c r="N74" s="554"/>
      <c r="O74" s="554"/>
    </row>
    <row r="75" spans="1:15" s="137" customFormat="1" ht="5.25" hidden="1" customHeight="1">
      <c r="A75" s="149"/>
      <c r="B75" s="532"/>
      <c r="C75" s="532"/>
      <c r="D75" s="532"/>
      <c r="E75" s="532"/>
      <c r="F75" s="532"/>
      <c r="G75" s="548"/>
      <c r="H75" s="532"/>
      <c r="I75" s="532"/>
      <c r="J75" s="532"/>
      <c r="K75" s="532"/>
      <c r="L75" s="548"/>
      <c r="M75" s="548"/>
      <c r="N75" s="543"/>
      <c r="O75" s="543"/>
    </row>
    <row r="76" spans="1:15" s="137" customFormat="1" ht="14.4" hidden="1">
      <c r="A76" s="22"/>
      <c r="B76" s="597"/>
      <c r="C76" s="597"/>
      <c r="D76" s="597"/>
      <c r="E76" s="597"/>
      <c r="F76" s="597"/>
      <c r="G76" s="596"/>
      <c r="H76" s="597"/>
      <c r="I76" s="597"/>
      <c r="J76" s="597"/>
      <c r="K76" s="597"/>
      <c r="L76" s="597"/>
      <c r="M76" s="597"/>
      <c r="N76" s="543"/>
      <c r="O76" s="543"/>
    </row>
    <row r="77" spans="1:15" s="137" customFormat="1" ht="13.5" hidden="1" customHeight="1">
      <c r="A77" s="23"/>
      <c r="B77" s="533"/>
      <c r="C77" s="533"/>
      <c r="D77" s="533"/>
      <c r="E77" s="533"/>
      <c r="F77" s="533"/>
      <c r="G77" s="598"/>
      <c r="H77" s="533"/>
      <c r="I77" s="533"/>
      <c r="J77" s="533"/>
      <c r="K77" s="533"/>
      <c r="L77" s="598"/>
      <c r="M77" s="598"/>
      <c r="N77" s="543"/>
      <c r="O77" s="543"/>
    </row>
    <row r="78" spans="1:15" s="137" customFormat="1" ht="14.4" hidden="1">
      <c r="A78" s="23"/>
      <c r="B78" s="533"/>
      <c r="C78" s="533"/>
      <c r="D78" s="533"/>
      <c r="E78" s="533"/>
      <c r="F78" s="533"/>
      <c r="G78" s="598"/>
      <c r="H78" s="533"/>
      <c r="I78" s="533"/>
      <c r="J78" s="533"/>
      <c r="K78" s="533"/>
      <c r="L78" s="598"/>
      <c r="M78" s="598"/>
      <c r="N78" s="543"/>
      <c r="O78" s="543"/>
    </row>
    <row r="79" spans="1:15" s="137" customFormat="1" ht="14.4" hidden="1">
      <c r="A79" s="23"/>
      <c r="B79" s="533"/>
      <c r="C79" s="533"/>
      <c r="D79" s="533"/>
      <c r="E79" s="533"/>
      <c r="F79" s="533"/>
      <c r="G79" s="598"/>
      <c r="H79" s="533"/>
      <c r="I79" s="533"/>
      <c r="J79" s="533"/>
      <c r="K79" s="533"/>
      <c r="L79" s="598"/>
      <c r="M79" s="598"/>
      <c r="N79" s="543"/>
      <c r="O79" s="543"/>
    </row>
    <row r="80" spans="1:15" s="137" customFormat="1" ht="14.4" hidden="1">
      <c r="A80" s="23">
        <v>0</v>
      </c>
      <c r="B80" s="533"/>
      <c r="C80" s="533"/>
      <c r="D80" s="533"/>
      <c r="E80" s="533"/>
      <c r="F80" s="533"/>
      <c r="G80" s="598"/>
      <c r="H80" s="533"/>
      <c r="I80" s="533"/>
      <c r="J80" s="533"/>
      <c r="K80" s="533"/>
      <c r="L80" s="598"/>
      <c r="M80" s="598"/>
      <c r="N80" s="543"/>
      <c r="O80" s="543"/>
    </row>
    <row r="81" spans="1:15" s="137" customFormat="1" ht="14.4" hidden="1">
      <c r="A81" s="23" t="s">
        <v>85</v>
      </c>
      <c r="B81" s="533"/>
      <c r="C81" s="533"/>
      <c r="D81" s="533"/>
      <c r="E81" s="533"/>
      <c r="F81" s="533"/>
      <c r="G81" s="598"/>
      <c r="H81" s="533"/>
      <c r="I81" s="533"/>
      <c r="J81" s="533"/>
      <c r="K81" s="533"/>
      <c r="L81" s="598"/>
      <c r="M81" s="598"/>
      <c r="N81" s="543"/>
      <c r="O81" s="543"/>
    </row>
    <row r="82" spans="1:15" s="137" customFormat="1" hidden="1">
      <c r="B82" s="543"/>
      <c r="C82" s="543"/>
      <c r="D82" s="543"/>
      <c r="E82" s="543"/>
      <c r="F82" s="543"/>
      <c r="G82" s="554"/>
      <c r="H82" s="543"/>
      <c r="I82" s="543"/>
      <c r="J82" s="543"/>
      <c r="K82" s="543"/>
      <c r="L82" s="554"/>
      <c r="M82" s="554"/>
      <c r="N82" s="543"/>
      <c r="O82" s="543"/>
    </row>
    <row r="83" spans="1:15" s="137" customFormat="1" hidden="1">
      <c r="B83" s="543"/>
      <c r="C83" s="543"/>
      <c r="D83" s="543"/>
      <c r="E83" s="543"/>
      <c r="F83" s="543"/>
      <c r="G83" s="554"/>
      <c r="H83" s="543"/>
      <c r="I83" s="543"/>
      <c r="J83" s="543"/>
      <c r="K83" s="543"/>
      <c r="L83" s="554"/>
      <c r="M83" s="554"/>
      <c r="N83" s="543"/>
      <c r="O83" s="543"/>
    </row>
    <row r="84" spans="1:15" s="137" customFormat="1" hidden="1">
      <c r="B84" s="543"/>
      <c r="C84" s="543"/>
      <c r="D84" s="543"/>
      <c r="E84" s="543"/>
      <c r="F84" s="543"/>
      <c r="G84" s="554"/>
      <c r="H84" s="543"/>
      <c r="I84" s="543"/>
      <c r="J84" s="543"/>
      <c r="K84" s="543"/>
      <c r="L84" s="554"/>
      <c r="M84" s="554"/>
      <c r="N84" s="543"/>
      <c r="O84" s="543"/>
    </row>
    <row r="85" spans="1:15" s="137" customFormat="1" hidden="1">
      <c r="B85" s="543"/>
      <c r="C85" s="543"/>
      <c r="D85" s="543"/>
      <c r="E85" s="543"/>
      <c r="F85" s="543"/>
      <c r="G85" s="554"/>
      <c r="H85" s="543"/>
      <c r="I85" s="543"/>
      <c r="J85" s="543"/>
      <c r="K85" s="543"/>
      <c r="L85" s="554"/>
      <c r="M85" s="554"/>
      <c r="N85" s="543"/>
      <c r="O85" s="543"/>
    </row>
    <row r="86" spans="1:15" s="137" customFormat="1" hidden="1">
      <c r="B86" s="543"/>
      <c r="C86" s="543"/>
      <c r="D86" s="543"/>
      <c r="E86" s="543"/>
      <c r="F86" s="543"/>
      <c r="G86" s="554"/>
      <c r="H86" s="543"/>
      <c r="I86" s="543"/>
      <c r="J86" s="543"/>
      <c r="K86" s="543"/>
      <c r="L86" s="554"/>
      <c r="M86" s="554"/>
      <c r="N86" s="543"/>
      <c r="O86" s="543"/>
    </row>
    <row r="87" spans="1:15" s="137" customFormat="1" hidden="1">
      <c r="B87" s="543"/>
      <c r="C87" s="543"/>
      <c r="D87" s="543"/>
      <c r="E87" s="543"/>
      <c r="F87" s="543"/>
      <c r="G87" s="554"/>
      <c r="H87" s="543"/>
      <c r="I87" s="543"/>
      <c r="J87" s="543"/>
      <c r="K87" s="543"/>
      <c r="L87" s="554"/>
      <c r="M87" s="554"/>
      <c r="N87" s="543"/>
      <c r="O87" s="543"/>
    </row>
    <row r="88" spans="1:15" s="137" customFormat="1" hidden="1">
      <c r="B88" s="543"/>
      <c r="C88" s="543"/>
      <c r="D88" s="543"/>
      <c r="E88" s="543"/>
      <c r="F88" s="543"/>
      <c r="G88" s="554"/>
      <c r="H88" s="543"/>
      <c r="I88" s="543"/>
      <c r="J88" s="543"/>
      <c r="K88" s="543"/>
      <c r="L88" s="554"/>
      <c r="M88" s="554"/>
      <c r="N88" s="543"/>
      <c r="O88" s="543"/>
    </row>
    <row r="89" spans="1:15" s="137" customFormat="1" hidden="1">
      <c r="B89" s="543"/>
      <c r="C89" s="543"/>
      <c r="D89" s="543"/>
      <c r="E89" s="543"/>
      <c r="F89" s="543"/>
      <c r="G89" s="554"/>
      <c r="H89" s="543"/>
      <c r="I89" s="543"/>
      <c r="J89" s="543"/>
      <c r="K89" s="543"/>
      <c r="L89" s="554"/>
      <c r="M89" s="554"/>
      <c r="N89" s="543"/>
      <c r="O89" s="543"/>
    </row>
    <row r="90" spans="1:15">
      <c r="B90" s="555"/>
      <c r="C90" s="555"/>
      <c r="D90" s="555"/>
      <c r="E90" s="555"/>
      <c r="F90" s="555"/>
      <c r="G90" s="576"/>
      <c r="H90" s="555"/>
      <c r="I90" s="555"/>
      <c r="J90" s="555"/>
      <c r="K90" s="555"/>
      <c r="L90" s="576"/>
      <c r="M90" s="576"/>
      <c r="N90" s="555"/>
      <c r="O90" s="555"/>
    </row>
    <row r="91" spans="1:15">
      <c r="B91" s="555"/>
      <c r="C91" s="555"/>
      <c r="D91" s="555"/>
      <c r="E91" s="555"/>
      <c r="F91" s="555"/>
      <c r="G91" s="576"/>
      <c r="H91" s="555"/>
      <c r="I91" s="679">
        <v>26645</v>
      </c>
      <c r="J91" s="555"/>
      <c r="K91" s="555"/>
      <c r="L91" s="576"/>
      <c r="M91" s="576"/>
      <c r="N91" s="555"/>
      <c r="O91" s="555"/>
    </row>
    <row r="93" spans="1:15">
      <c r="I93" s="692">
        <f>I58+I23</f>
        <v>1554693.5</v>
      </c>
    </row>
  </sheetData>
  <mergeCells count="8">
    <mergeCell ref="B60:G60"/>
    <mergeCell ref="H60:L60"/>
    <mergeCell ref="B7:G7"/>
    <mergeCell ref="H7:L7"/>
    <mergeCell ref="B26:G26"/>
    <mergeCell ref="H26:L26"/>
    <mergeCell ref="B44:G44"/>
    <mergeCell ref="H44:L44"/>
  </mergeCells>
  <pageMargins left="0.31496062992125984" right="0.27559055118110237" top="0.15748031496062992" bottom="0.19685039370078741" header="0.23622047244094491" footer="0.15748031496062992"/>
  <pageSetup paperSize="9" scale="74" orientation="landscape"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92D050"/>
  </sheetPr>
  <dimension ref="A1:L104"/>
  <sheetViews>
    <sheetView showGridLines="0" view="pageBreakPreview" topLeftCell="A40" zoomScale="112" zoomScaleSheetLayoutView="112" workbookViewId="0">
      <selection activeCell="E63" sqref="E63"/>
    </sheetView>
  </sheetViews>
  <sheetFormatPr defaultRowHeight="14.4"/>
  <cols>
    <col min="1" max="1" width="3.21875" style="75" customWidth="1"/>
    <col min="2" max="2" width="25.21875" style="75" customWidth="1"/>
    <col min="3" max="4" width="11.21875" style="74" bestFit="1" customWidth="1"/>
    <col min="5" max="5" width="18.21875" style="74" bestFit="1" customWidth="1"/>
    <col min="6" max="6" width="18.5546875" style="74" customWidth="1"/>
    <col min="7" max="7" width="15.21875" style="74" hidden="1" customWidth="1"/>
    <col min="8" max="8" width="9.21875" style="75" customWidth="1"/>
    <col min="9" max="9" width="33.77734375" style="75" customWidth="1"/>
    <col min="10" max="15" width="9.21875" style="75" customWidth="1"/>
    <col min="16" max="235" width="9.21875" style="75"/>
    <col min="236" max="236" width="40" style="75" customWidth="1"/>
    <col min="237" max="245" width="10.77734375" style="75" customWidth="1"/>
    <col min="246" max="246" width="14.5546875" style="75" customWidth="1"/>
    <col min="247" max="248" width="1.21875" style="75" customWidth="1"/>
    <col min="249" max="249" width="11.21875" style="75" customWidth="1"/>
    <col min="250" max="250" width="16.77734375" style="75" customWidth="1"/>
    <col min="251" max="251" width="17.5546875" style="75" customWidth="1"/>
    <col min="252" max="252" width="21.21875" style="75" customWidth="1"/>
    <col min="253" max="253" width="17.21875" style="75" customWidth="1"/>
    <col min="254" max="255" width="14.21875" style="75" customWidth="1"/>
    <col min="256" max="256" width="13.21875" style="75" customWidth="1"/>
    <col min="257" max="257" width="13.77734375" style="75" customWidth="1"/>
    <col min="258" max="259" width="11.77734375" style="75" customWidth="1"/>
    <col min="260" max="260" width="17" style="75" customWidth="1"/>
    <col min="261" max="261" width="9.21875" style="75" customWidth="1"/>
    <col min="262" max="262" width="14" style="75" customWidth="1"/>
    <col min="263" max="263" width="11.21875" style="75" customWidth="1"/>
    <col min="264" max="264" width="9.21875" style="75" customWidth="1"/>
    <col min="265" max="265" width="12.77734375" style="75" customWidth="1"/>
    <col min="266" max="271" width="9.21875" style="75" customWidth="1"/>
    <col min="272" max="491" width="9.21875" style="75"/>
    <col min="492" max="492" width="40" style="75" customWidth="1"/>
    <col min="493" max="501" width="10.77734375" style="75" customWidth="1"/>
    <col min="502" max="502" width="14.5546875" style="75" customWidth="1"/>
    <col min="503" max="504" width="1.21875" style="75" customWidth="1"/>
    <col min="505" max="505" width="11.21875" style="75" customWidth="1"/>
    <col min="506" max="506" width="16.77734375" style="75" customWidth="1"/>
    <col min="507" max="507" width="17.5546875" style="75" customWidth="1"/>
    <col min="508" max="508" width="21.21875" style="75" customWidth="1"/>
    <col min="509" max="509" width="17.21875" style="75" customWidth="1"/>
    <col min="510" max="511" width="14.21875" style="75" customWidth="1"/>
    <col min="512" max="512" width="13.21875" style="75" customWidth="1"/>
    <col min="513" max="513" width="13.77734375" style="75" customWidth="1"/>
    <col min="514" max="515" width="11.77734375" style="75" customWidth="1"/>
    <col min="516" max="516" width="17" style="75" customWidth="1"/>
    <col min="517" max="517" width="9.21875" style="75" customWidth="1"/>
    <col min="518" max="518" width="14" style="75" customWidth="1"/>
    <col min="519" max="519" width="11.21875" style="75" customWidth="1"/>
    <col min="520" max="520" width="9.21875" style="75" customWidth="1"/>
    <col min="521" max="521" width="12.77734375" style="75" customWidth="1"/>
    <col min="522" max="527" width="9.21875" style="75" customWidth="1"/>
    <col min="528" max="747" width="9.21875" style="75"/>
    <col min="748" max="748" width="40" style="75" customWidth="1"/>
    <col min="749" max="757" width="10.77734375" style="75" customWidth="1"/>
    <col min="758" max="758" width="14.5546875" style="75" customWidth="1"/>
    <col min="759" max="760" width="1.21875" style="75" customWidth="1"/>
    <col min="761" max="761" width="11.21875" style="75" customWidth="1"/>
    <col min="762" max="762" width="16.77734375" style="75" customWidth="1"/>
    <col min="763" max="763" width="17.5546875" style="75" customWidth="1"/>
    <col min="764" max="764" width="21.21875" style="75" customWidth="1"/>
    <col min="765" max="765" width="17.21875" style="75" customWidth="1"/>
    <col min="766" max="767" width="14.21875" style="75" customWidth="1"/>
    <col min="768" max="768" width="13.21875" style="75" customWidth="1"/>
    <col min="769" max="769" width="13.77734375" style="75" customWidth="1"/>
    <col min="770" max="771" width="11.77734375" style="75" customWidth="1"/>
    <col min="772" max="772" width="17" style="75" customWidth="1"/>
    <col min="773" max="773" width="9.21875" style="75" customWidth="1"/>
    <col min="774" max="774" width="14" style="75" customWidth="1"/>
    <col min="775" max="775" width="11.21875" style="75" customWidth="1"/>
    <col min="776" max="776" width="9.21875" style="75" customWidth="1"/>
    <col min="777" max="777" width="12.77734375" style="75" customWidth="1"/>
    <col min="778" max="783" width="9.21875" style="75" customWidth="1"/>
    <col min="784" max="1003" width="9.21875" style="75"/>
    <col min="1004" max="1004" width="40" style="75" customWidth="1"/>
    <col min="1005" max="1013" width="10.77734375" style="75" customWidth="1"/>
    <col min="1014" max="1014" width="14.5546875" style="75" customWidth="1"/>
    <col min="1015" max="1016" width="1.21875" style="75" customWidth="1"/>
    <col min="1017" max="1017" width="11.21875" style="75" customWidth="1"/>
    <col min="1018" max="1018" width="16.77734375" style="75" customWidth="1"/>
    <col min="1019" max="1019" width="17.5546875" style="75" customWidth="1"/>
    <col min="1020" max="1020" width="21.21875" style="75" customWidth="1"/>
    <col min="1021" max="1021" width="17.21875" style="75" customWidth="1"/>
    <col min="1022" max="1023" width="14.21875" style="75" customWidth="1"/>
    <col min="1024" max="1024" width="13.21875" style="75" customWidth="1"/>
    <col min="1025" max="1025" width="13.77734375" style="75" customWidth="1"/>
    <col min="1026" max="1027" width="11.77734375" style="75" customWidth="1"/>
    <col min="1028" max="1028" width="17" style="75" customWidth="1"/>
    <col min="1029" max="1029" width="9.21875" style="75" customWidth="1"/>
    <col min="1030" max="1030" width="14" style="75" customWidth="1"/>
    <col min="1031" max="1031" width="11.21875" style="75" customWidth="1"/>
    <col min="1032" max="1032" width="9.21875" style="75" customWidth="1"/>
    <col min="1033" max="1033" width="12.77734375" style="75" customWidth="1"/>
    <col min="1034" max="1039" width="9.21875" style="75" customWidth="1"/>
    <col min="1040" max="1259" width="9.21875" style="75"/>
    <col min="1260" max="1260" width="40" style="75" customWidth="1"/>
    <col min="1261" max="1269" width="10.77734375" style="75" customWidth="1"/>
    <col min="1270" max="1270" width="14.5546875" style="75" customWidth="1"/>
    <col min="1271" max="1272" width="1.21875" style="75" customWidth="1"/>
    <col min="1273" max="1273" width="11.21875" style="75" customWidth="1"/>
    <col min="1274" max="1274" width="16.77734375" style="75" customWidth="1"/>
    <col min="1275" max="1275" width="17.5546875" style="75" customWidth="1"/>
    <col min="1276" max="1276" width="21.21875" style="75" customWidth="1"/>
    <col min="1277" max="1277" width="17.21875" style="75" customWidth="1"/>
    <col min="1278" max="1279" width="14.21875" style="75" customWidth="1"/>
    <col min="1280" max="1280" width="13.21875" style="75" customWidth="1"/>
    <col min="1281" max="1281" width="13.77734375" style="75" customWidth="1"/>
    <col min="1282" max="1283" width="11.77734375" style="75" customWidth="1"/>
    <col min="1284" max="1284" width="17" style="75" customWidth="1"/>
    <col min="1285" max="1285" width="9.21875" style="75" customWidth="1"/>
    <col min="1286" max="1286" width="14" style="75" customWidth="1"/>
    <col min="1287" max="1287" width="11.21875" style="75" customWidth="1"/>
    <col min="1288" max="1288" width="9.21875" style="75" customWidth="1"/>
    <col min="1289" max="1289" width="12.77734375" style="75" customWidth="1"/>
    <col min="1290" max="1295" width="9.21875" style="75" customWidth="1"/>
    <col min="1296" max="1515" width="9.21875" style="75"/>
    <col min="1516" max="1516" width="40" style="75" customWidth="1"/>
    <col min="1517" max="1525" width="10.77734375" style="75" customWidth="1"/>
    <col min="1526" max="1526" width="14.5546875" style="75" customWidth="1"/>
    <col min="1527" max="1528" width="1.21875" style="75" customWidth="1"/>
    <col min="1529" max="1529" width="11.21875" style="75" customWidth="1"/>
    <col min="1530" max="1530" width="16.77734375" style="75" customWidth="1"/>
    <col min="1531" max="1531" width="17.5546875" style="75" customWidth="1"/>
    <col min="1532" max="1532" width="21.21875" style="75" customWidth="1"/>
    <col min="1533" max="1533" width="17.21875" style="75" customWidth="1"/>
    <col min="1534" max="1535" width="14.21875" style="75" customWidth="1"/>
    <col min="1536" max="1536" width="13.21875" style="75" customWidth="1"/>
    <col min="1537" max="1537" width="13.77734375" style="75" customWidth="1"/>
    <col min="1538" max="1539" width="11.77734375" style="75" customWidth="1"/>
    <col min="1540" max="1540" width="17" style="75" customWidth="1"/>
    <col min="1541" max="1541" width="9.21875" style="75" customWidth="1"/>
    <col min="1542" max="1542" width="14" style="75" customWidth="1"/>
    <col min="1543" max="1543" width="11.21875" style="75" customWidth="1"/>
    <col min="1544" max="1544" width="9.21875" style="75" customWidth="1"/>
    <col min="1545" max="1545" width="12.77734375" style="75" customWidth="1"/>
    <col min="1546" max="1551" width="9.21875" style="75" customWidth="1"/>
    <col min="1552" max="1771" width="9.21875" style="75"/>
    <col min="1772" max="1772" width="40" style="75" customWidth="1"/>
    <col min="1773" max="1781" width="10.77734375" style="75" customWidth="1"/>
    <col min="1782" max="1782" width="14.5546875" style="75" customWidth="1"/>
    <col min="1783" max="1784" width="1.21875" style="75" customWidth="1"/>
    <col min="1785" max="1785" width="11.21875" style="75" customWidth="1"/>
    <col min="1786" max="1786" width="16.77734375" style="75" customWidth="1"/>
    <col min="1787" max="1787" width="17.5546875" style="75" customWidth="1"/>
    <col min="1788" max="1788" width="21.21875" style="75" customWidth="1"/>
    <col min="1789" max="1789" width="17.21875" style="75" customWidth="1"/>
    <col min="1790" max="1791" width="14.21875" style="75" customWidth="1"/>
    <col min="1792" max="1792" width="13.21875" style="75" customWidth="1"/>
    <col min="1793" max="1793" width="13.77734375" style="75" customWidth="1"/>
    <col min="1794" max="1795" width="11.77734375" style="75" customWidth="1"/>
    <col min="1796" max="1796" width="17" style="75" customWidth="1"/>
    <col min="1797" max="1797" width="9.21875" style="75" customWidth="1"/>
    <col min="1798" max="1798" width="14" style="75" customWidth="1"/>
    <col min="1799" max="1799" width="11.21875" style="75" customWidth="1"/>
    <col min="1800" max="1800" width="9.21875" style="75" customWidth="1"/>
    <col min="1801" max="1801" width="12.77734375" style="75" customWidth="1"/>
    <col min="1802" max="1807" width="9.21875" style="75" customWidth="1"/>
    <col min="1808" max="2027" width="9.21875" style="75"/>
    <col min="2028" max="2028" width="40" style="75" customWidth="1"/>
    <col min="2029" max="2037" width="10.77734375" style="75" customWidth="1"/>
    <col min="2038" max="2038" width="14.5546875" style="75" customWidth="1"/>
    <col min="2039" max="2040" width="1.21875" style="75" customWidth="1"/>
    <col min="2041" max="2041" width="11.21875" style="75" customWidth="1"/>
    <col min="2042" max="2042" width="16.77734375" style="75" customWidth="1"/>
    <col min="2043" max="2043" width="17.5546875" style="75" customWidth="1"/>
    <col min="2044" max="2044" width="21.21875" style="75" customWidth="1"/>
    <col min="2045" max="2045" width="17.21875" style="75" customWidth="1"/>
    <col min="2046" max="2047" width="14.21875" style="75" customWidth="1"/>
    <col min="2048" max="2048" width="13.21875" style="75" customWidth="1"/>
    <col min="2049" max="2049" width="13.77734375" style="75" customWidth="1"/>
    <col min="2050" max="2051" width="11.77734375" style="75" customWidth="1"/>
    <col min="2052" max="2052" width="17" style="75" customWidth="1"/>
    <col min="2053" max="2053" width="9.21875" style="75" customWidth="1"/>
    <col min="2054" max="2054" width="14" style="75" customWidth="1"/>
    <col min="2055" max="2055" width="11.21875" style="75" customWidth="1"/>
    <col min="2056" max="2056" width="9.21875" style="75" customWidth="1"/>
    <col min="2057" max="2057" width="12.77734375" style="75" customWidth="1"/>
    <col min="2058" max="2063" width="9.21875" style="75" customWidth="1"/>
    <col min="2064" max="2283" width="9.21875" style="75"/>
    <col min="2284" max="2284" width="40" style="75" customWidth="1"/>
    <col min="2285" max="2293" width="10.77734375" style="75" customWidth="1"/>
    <col min="2294" max="2294" width="14.5546875" style="75" customWidth="1"/>
    <col min="2295" max="2296" width="1.21875" style="75" customWidth="1"/>
    <col min="2297" max="2297" width="11.21875" style="75" customWidth="1"/>
    <col min="2298" max="2298" width="16.77734375" style="75" customWidth="1"/>
    <col min="2299" max="2299" width="17.5546875" style="75" customWidth="1"/>
    <col min="2300" max="2300" width="21.21875" style="75" customWidth="1"/>
    <col min="2301" max="2301" width="17.21875" style="75" customWidth="1"/>
    <col min="2302" max="2303" width="14.21875" style="75" customWidth="1"/>
    <col min="2304" max="2304" width="13.21875" style="75" customWidth="1"/>
    <col min="2305" max="2305" width="13.77734375" style="75" customWidth="1"/>
    <col min="2306" max="2307" width="11.77734375" style="75" customWidth="1"/>
    <col min="2308" max="2308" width="17" style="75" customWidth="1"/>
    <col min="2309" max="2309" width="9.21875" style="75" customWidth="1"/>
    <col min="2310" max="2310" width="14" style="75" customWidth="1"/>
    <col min="2311" max="2311" width="11.21875" style="75" customWidth="1"/>
    <col min="2312" max="2312" width="9.21875" style="75" customWidth="1"/>
    <col min="2313" max="2313" width="12.77734375" style="75" customWidth="1"/>
    <col min="2314" max="2319" width="9.21875" style="75" customWidth="1"/>
    <col min="2320" max="2539" width="9.21875" style="75"/>
    <col min="2540" max="2540" width="40" style="75" customWidth="1"/>
    <col min="2541" max="2549" width="10.77734375" style="75" customWidth="1"/>
    <col min="2550" max="2550" width="14.5546875" style="75" customWidth="1"/>
    <col min="2551" max="2552" width="1.21875" style="75" customWidth="1"/>
    <col min="2553" max="2553" width="11.21875" style="75" customWidth="1"/>
    <col min="2554" max="2554" width="16.77734375" style="75" customWidth="1"/>
    <col min="2555" max="2555" width="17.5546875" style="75" customWidth="1"/>
    <col min="2556" max="2556" width="21.21875" style="75" customWidth="1"/>
    <col min="2557" max="2557" width="17.21875" style="75" customWidth="1"/>
    <col min="2558" max="2559" width="14.21875" style="75" customWidth="1"/>
    <col min="2560" max="2560" width="13.21875" style="75" customWidth="1"/>
    <col min="2561" max="2561" width="13.77734375" style="75" customWidth="1"/>
    <col min="2562" max="2563" width="11.77734375" style="75" customWidth="1"/>
    <col min="2564" max="2564" width="17" style="75" customWidth="1"/>
    <col min="2565" max="2565" width="9.21875" style="75" customWidth="1"/>
    <col min="2566" max="2566" width="14" style="75" customWidth="1"/>
    <col min="2567" max="2567" width="11.21875" style="75" customWidth="1"/>
    <col min="2568" max="2568" width="9.21875" style="75" customWidth="1"/>
    <col min="2569" max="2569" width="12.77734375" style="75" customWidth="1"/>
    <col min="2570" max="2575" width="9.21875" style="75" customWidth="1"/>
    <col min="2576" max="2795" width="9.21875" style="75"/>
    <col min="2796" max="2796" width="40" style="75" customWidth="1"/>
    <col min="2797" max="2805" width="10.77734375" style="75" customWidth="1"/>
    <col min="2806" max="2806" width="14.5546875" style="75" customWidth="1"/>
    <col min="2807" max="2808" width="1.21875" style="75" customWidth="1"/>
    <col min="2809" max="2809" width="11.21875" style="75" customWidth="1"/>
    <col min="2810" max="2810" width="16.77734375" style="75" customWidth="1"/>
    <col min="2811" max="2811" width="17.5546875" style="75" customWidth="1"/>
    <col min="2812" max="2812" width="21.21875" style="75" customWidth="1"/>
    <col min="2813" max="2813" width="17.21875" style="75" customWidth="1"/>
    <col min="2814" max="2815" width="14.21875" style="75" customWidth="1"/>
    <col min="2816" max="2816" width="13.21875" style="75" customWidth="1"/>
    <col min="2817" max="2817" width="13.77734375" style="75" customWidth="1"/>
    <col min="2818" max="2819" width="11.77734375" style="75" customWidth="1"/>
    <col min="2820" max="2820" width="17" style="75" customWidth="1"/>
    <col min="2821" max="2821" width="9.21875" style="75" customWidth="1"/>
    <col min="2822" max="2822" width="14" style="75" customWidth="1"/>
    <col min="2823" max="2823" width="11.21875" style="75" customWidth="1"/>
    <col min="2824" max="2824" width="9.21875" style="75" customWidth="1"/>
    <col min="2825" max="2825" width="12.77734375" style="75" customWidth="1"/>
    <col min="2826" max="2831" width="9.21875" style="75" customWidth="1"/>
    <col min="2832" max="3051" width="9.21875" style="75"/>
    <col min="3052" max="3052" width="40" style="75" customWidth="1"/>
    <col min="3053" max="3061" width="10.77734375" style="75" customWidth="1"/>
    <col min="3062" max="3062" width="14.5546875" style="75" customWidth="1"/>
    <col min="3063" max="3064" width="1.21875" style="75" customWidth="1"/>
    <col min="3065" max="3065" width="11.21875" style="75" customWidth="1"/>
    <col min="3066" max="3066" width="16.77734375" style="75" customWidth="1"/>
    <col min="3067" max="3067" width="17.5546875" style="75" customWidth="1"/>
    <col min="3068" max="3068" width="21.21875" style="75" customWidth="1"/>
    <col min="3069" max="3069" width="17.21875" style="75" customWidth="1"/>
    <col min="3070" max="3071" width="14.21875" style="75" customWidth="1"/>
    <col min="3072" max="3072" width="13.21875" style="75" customWidth="1"/>
    <col min="3073" max="3073" width="13.77734375" style="75" customWidth="1"/>
    <col min="3074" max="3075" width="11.77734375" style="75" customWidth="1"/>
    <col min="3076" max="3076" width="17" style="75" customWidth="1"/>
    <col min="3077" max="3077" width="9.21875" style="75" customWidth="1"/>
    <col min="3078" max="3078" width="14" style="75" customWidth="1"/>
    <col min="3079" max="3079" width="11.21875" style="75" customWidth="1"/>
    <col min="3080" max="3080" width="9.21875" style="75" customWidth="1"/>
    <col min="3081" max="3081" width="12.77734375" style="75" customWidth="1"/>
    <col min="3082" max="3087" width="9.21875" style="75" customWidth="1"/>
    <col min="3088" max="3307" width="9.21875" style="75"/>
    <col min="3308" max="3308" width="40" style="75" customWidth="1"/>
    <col min="3309" max="3317" width="10.77734375" style="75" customWidth="1"/>
    <col min="3318" max="3318" width="14.5546875" style="75" customWidth="1"/>
    <col min="3319" max="3320" width="1.21875" style="75" customWidth="1"/>
    <col min="3321" max="3321" width="11.21875" style="75" customWidth="1"/>
    <col min="3322" max="3322" width="16.77734375" style="75" customWidth="1"/>
    <col min="3323" max="3323" width="17.5546875" style="75" customWidth="1"/>
    <col min="3324" max="3324" width="21.21875" style="75" customWidth="1"/>
    <col min="3325" max="3325" width="17.21875" style="75" customWidth="1"/>
    <col min="3326" max="3327" width="14.21875" style="75" customWidth="1"/>
    <col min="3328" max="3328" width="13.21875" style="75" customWidth="1"/>
    <col min="3329" max="3329" width="13.77734375" style="75" customWidth="1"/>
    <col min="3330" max="3331" width="11.77734375" style="75" customWidth="1"/>
    <col min="3332" max="3332" width="17" style="75" customWidth="1"/>
    <col min="3333" max="3333" width="9.21875" style="75" customWidth="1"/>
    <col min="3334" max="3334" width="14" style="75" customWidth="1"/>
    <col min="3335" max="3335" width="11.21875" style="75" customWidth="1"/>
    <col min="3336" max="3336" width="9.21875" style="75" customWidth="1"/>
    <col min="3337" max="3337" width="12.77734375" style="75" customWidth="1"/>
    <col min="3338" max="3343" width="9.21875" style="75" customWidth="1"/>
    <col min="3344" max="3563" width="9.21875" style="75"/>
    <col min="3564" max="3564" width="40" style="75" customWidth="1"/>
    <col min="3565" max="3573" width="10.77734375" style="75" customWidth="1"/>
    <col min="3574" max="3574" width="14.5546875" style="75" customWidth="1"/>
    <col min="3575" max="3576" width="1.21875" style="75" customWidth="1"/>
    <col min="3577" max="3577" width="11.21875" style="75" customWidth="1"/>
    <col min="3578" max="3578" width="16.77734375" style="75" customWidth="1"/>
    <col min="3579" max="3579" width="17.5546875" style="75" customWidth="1"/>
    <col min="3580" max="3580" width="21.21875" style="75" customWidth="1"/>
    <col min="3581" max="3581" width="17.21875" style="75" customWidth="1"/>
    <col min="3582" max="3583" width="14.21875" style="75" customWidth="1"/>
    <col min="3584" max="3584" width="13.21875" style="75" customWidth="1"/>
    <col min="3585" max="3585" width="13.77734375" style="75" customWidth="1"/>
    <col min="3586" max="3587" width="11.77734375" style="75" customWidth="1"/>
    <col min="3588" max="3588" width="17" style="75" customWidth="1"/>
    <col min="3589" max="3589" width="9.21875" style="75" customWidth="1"/>
    <col min="3590" max="3590" width="14" style="75" customWidth="1"/>
    <col min="3591" max="3591" width="11.21875" style="75" customWidth="1"/>
    <col min="3592" max="3592" width="9.21875" style="75" customWidth="1"/>
    <col min="3593" max="3593" width="12.77734375" style="75" customWidth="1"/>
    <col min="3594" max="3599" width="9.21875" style="75" customWidth="1"/>
    <col min="3600" max="3819" width="9.21875" style="75"/>
    <col min="3820" max="3820" width="40" style="75" customWidth="1"/>
    <col min="3821" max="3829" width="10.77734375" style="75" customWidth="1"/>
    <col min="3830" max="3830" width="14.5546875" style="75" customWidth="1"/>
    <col min="3831" max="3832" width="1.21875" style="75" customWidth="1"/>
    <col min="3833" max="3833" width="11.21875" style="75" customWidth="1"/>
    <col min="3834" max="3834" width="16.77734375" style="75" customWidth="1"/>
    <col min="3835" max="3835" width="17.5546875" style="75" customWidth="1"/>
    <col min="3836" max="3836" width="21.21875" style="75" customWidth="1"/>
    <col min="3837" max="3837" width="17.21875" style="75" customWidth="1"/>
    <col min="3838" max="3839" width="14.21875" style="75" customWidth="1"/>
    <col min="3840" max="3840" width="13.21875" style="75" customWidth="1"/>
    <col min="3841" max="3841" width="13.77734375" style="75" customWidth="1"/>
    <col min="3842" max="3843" width="11.77734375" style="75" customWidth="1"/>
    <col min="3844" max="3844" width="17" style="75" customWidth="1"/>
    <col min="3845" max="3845" width="9.21875" style="75" customWidth="1"/>
    <col min="3846" max="3846" width="14" style="75" customWidth="1"/>
    <col min="3847" max="3847" width="11.21875" style="75" customWidth="1"/>
    <col min="3848" max="3848" width="9.21875" style="75" customWidth="1"/>
    <col min="3849" max="3849" width="12.77734375" style="75" customWidth="1"/>
    <col min="3850" max="3855" width="9.21875" style="75" customWidth="1"/>
    <col min="3856" max="4075" width="9.21875" style="75"/>
    <col min="4076" max="4076" width="40" style="75" customWidth="1"/>
    <col min="4077" max="4085" width="10.77734375" style="75" customWidth="1"/>
    <col min="4086" max="4086" width="14.5546875" style="75" customWidth="1"/>
    <col min="4087" max="4088" width="1.21875" style="75" customWidth="1"/>
    <col min="4089" max="4089" width="11.21875" style="75" customWidth="1"/>
    <col min="4090" max="4090" width="16.77734375" style="75" customWidth="1"/>
    <col min="4091" max="4091" width="17.5546875" style="75" customWidth="1"/>
    <col min="4092" max="4092" width="21.21875" style="75" customWidth="1"/>
    <col min="4093" max="4093" width="17.21875" style="75" customWidth="1"/>
    <col min="4094" max="4095" width="14.21875" style="75" customWidth="1"/>
    <col min="4096" max="4096" width="13.21875" style="75" customWidth="1"/>
    <col min="4097" max="4097" width="13.77734375" style="75" customWidth="1"/>
    <col min="4098" max="4099" width="11.77734375" style="75" customWidth="1"/>
    <col min="4100" max="4100" width="17" style="75" customWidth="1"/>
    <col min="4101" max="4101" width="9.21875" style="75" customWidth="1"/>
    <col min="4102" max="4102" width="14" style="75" customWidth="1"/>
    <col min="4103" max="4103" width="11.21875" style="75" customWidth="1"/>
    <col min="4104" max="4104" width="9.21875" style="75" customWidth="1"/>
    <col min="4105" max="4105" width="12.77734375" style="75" customWidth="1"/>
    <col min="4106" max="4111" width="9.21875" style="75" customWidth="1"/>
    <col min="4112" max="4331" width="9.21875" style="75"/>
    <col min="4332" max="4332" width="40" style="75" customWidth="1"/>
    <col min="4333" max="4341" width="10.77734375" style="75" customWidth="1"/>
    <col min="4342" max="4342" width="14.5546875" style="75" customWidth="1"/>
    <col min="4343" max="4344" width="1.21875" style="75" customWidth="1"/>
    <col min="4345" max="4345" width="11.21875" style="75" customWidth="1"/>
    <col min="4346" max="4346" width="16.77734375" style="75" customWidth="1"/>
    <col min="4347" max="4347" width="17.5546875" style="75" customWidth="1"/>
    <col min="4348" max="4348" width="21.21875" style="75" customWidth="1"/>
    <col min="4349" max="4349" width="17.21875" style="75" customWidth="1"/>
    <col min="4350" max="4351" width="14.21875" style="75" customWidth="1"/>
    <col min="4352" max="4352" width="13.21875" style="75" customWidth="1"/>
    <col min="4353" max="4353" width="13.77734375" style="75" customWidth="1"/>
    <col min="4354" max="4355" width="11.77734375" style="75" customWidth="1"/>
    <col min="4356" max="4356" width="17" style="75" customWidth="1"/>
    <col min="4357" max="4357" width="9.21875" style="75" customWidth="1"/>
    <col min="4358" max="4358" width="14" style="75" customWidth="1"/>
    <col min="4359" max="4359" width="11.21875" style="75" customWidth="1"/>
    <col min="4360" max="4360" width="9.21875" style="75" customWidth="1"/>
    <col min="4361" max="4361" width="12.77734375" style="75" customWidth="1"/>
    <col min="4362" max="4367" width="9.21875" style="75" customWidth="1"/>
    <col min="4368" max="4587" width="9.21875" style="75"/>
    <col min="4588" max="4588" width="40" style="75" customWidth="1"/>
    <col min="4589" max="4597" width="10.77734375" style="75" customWidth="1"/>
    <col min="4598" max="4598" width="14.5546875" style="75" customWidth="1"/>
    <col min="4599" max="4600" width="1.21875" style="75" customWidth="1"/>
    <col min="4601" max="4601" width="11.21875" style="75" customWidth="1"/>
    <col min="4602" max="4602" width="16.77734375" style="75" customWidth="1"/>
    <col min="4603" max="4603" width="17.5546875" style="75" customWidth="1"/>
    <col min="4604" max="4604" width="21.21875" style="75" customWidth="1"/>
    <col min="4605" max="4605" width="17.21875" style="75" customWidth="1"/>
    <col min="4606" max="4607" width="14.21875" style="75" customWidth="1"/>
    <col min="4608" max="4608" width="13.21875" style="75" customWidth="1"/>
    <col min="4609" max="4609" width="13.77734375" style="75" customWidth="1"/>
    <col min="4610" max="4611" width="11.77734375" style="75" customWidth="1"/>
    <col min="4612" max="4612" width="17" style="75" customWidth="1"/>
    <col min="4613" max="4613" width="9.21875" style="75" customWidth="1"/>
    <col min="4614" max="4614" width="14" style="75" customWidth="1"/>
    <col min="4615" max="4615" width="11.21875" style="75" customWidth="1"/>
    <col min="4616" max="4616" width="9.21875" style="75" customWidth="1"/>
    <col min="4617" max="4617" width="12.77734375" style="75" customWidth="1"/>
    <col min="4618" max="4623" width="9.21875" style="75" customWidth="1"/>
    <col min="4624" max="4843" width="9.21875" style="75"/>
    <col min="4844" max="4844" width="40" style="75" customWidth="1"/>
    <col min="4845" max="4853" width="10.77734375" style="75" customWidth="1"/>
    <col min="4854" max="4854" width="14.5546875" style="75" customWidth="1"/>
    <col min="4855" max="4856" width="1.21875" style="75" customWidth="1"/>
    <col min="4857" max="4857" width="11.21875" style="75" customWidth="1"/>
    <col min="4858" max="4858" width="16.77734375" style="75" customWidth="1"/>
    <col min="4859" max="4859" width="17.5546875" style="75" customWidth="1"/>
    <col min="4860" max="4860" width="21.21875" style="75" customWidth="1"/>
    <col min="4861" max="4861" width="17.21875" style="75" customWidth="1"/>
    <col min="4862" max="4863" width="14.21875" style="75" customWidth="1"/>
    <col min="4864" max="4864" width="13.21875" style="75" customWidth="1"/>
    <col min="4865" max="4865" width="13.77734375" style="75" customWidth="1"/>
    <col min="4866" max="4867" width="11.77734375" style="75" customWidth="1"/>
    <col min="4868" max="4868" width="17" style="75" customWidth="1"/>
    <col min="4869" max="4869" width="9.21875" style="75" customWidth="1"/>
    <col min="4870" max="4870" width="14" style="75" customWidth="1"/>
    <col min="4871" max="4871" width="11.21875" style="75" customWidth="1"/>
    <col min="4872" max="4872" width="9.21875" style="75" customWidth="1"/>
    <col min="4873" max="4873" width="12.77734375" style="75" customWidth="1"/>
    <col min="4874" max="4879" width="9.21875" style="75" customWidth="1"/>
    <col min="4880" max="5099" width="9.21875" style="75"/>
    <col min="5100" max="5100" width="40" style="75" customWidth="1"/>
    <col min="5101" max="5109" width="10.77734375" style="75" customWidth="1"/>
    <col min="5110" max="5110" width="14.5546875" style="75" customWidth="1"/>
    <col min="5111" max="5112" width="1.21875" style="75" customWidth="1"/>
    <col min="5113" max="5113" width="11.21875" style="75" customWidth="1"/>
    <col min="5114" max="5114" width="16.77734375" style="75" customWidth="1"/>
    <col min="5115" max="5115" width="17.5546875" style="75" customWidth="1"/>
    <col min="5116" max="5116" width="21.21875" style="75" customWidth="1"/>
    <col min="5117" max="5117" width="17.21875" style="75" customWidth="1"/>
    <col min="5118" max="5119" width="14.21875" style="75" customWidth="1"/>
    <col min="5120" max="5120" width="13.21875" style="75" customWidth="1"/>
    <col min="5121" max="5121" width="13.77734375" style="75" customWidth="1"/>
    <col min="5122" max="5123" width="11.77734375" style="75" customWidth="1"/>
    <col min="5124" max="5124" width="17" style="75" customWidth="1"/>
    <col min="5125" max="5125" width="9.21875" style="75" customWidth="1"/>
    <col min="5126" max="5126" width="14" style="75" customWidth="1"/>
    <col min="5127" max="5127" width="11.21875" style="75" customWidth="1"/>
    <col min="5128" max="5128" width="9.21875" style="75" customWidth="1"/>
    <col min="5129" max="5129" width="12.77734375" style="75" customWidth="1"/>
    <col min="5130" max="5135" width="9.21875" style="75" customWidth="1"/>
    <col min="5136" max="5355" width="9.21875" style="75"/>
    <col min="5356" max="5356" width="40" style="75" customWidth="1"/>
    <col min="5357" max="5365" width="10.77734375" style="75" customWidth="1"/>
    <col min="5366" max="5366" width="14.5546875" style="75" customWidth="1"/>
    <col min="5367" max="5368" width="1.21875" style="75" customWidth="1"/>
    <col min="5369" max="5369" width="11.21875" style="75" customWidth="1"/>
    <col min="5370" max="5370" width="16.77734375" style="75" customWidth="1"/>
    <col min="5371" max="5371" width="17.5546875" style="75" customWidth="1"/>
    <col min="5372" max="5372" width="21.21875" style="75" customWidth="1"/>
    <col min="5373" max="5373" width="17.21875" style="75" customWidth="1"/>
    <col min="5374" max="5375" width="14.21875" style="75" customWidth="1"/>
    <col min="5376" max="5376" width="13.21875" style="75" customWidth="1"/>
    <col min="5377" max="5377" width="13.77734375" style="75" customWidth="1"/>
    <col min="5378" max="5379" width="11.77734375" style="75" customWidth="1"/>
    <col min="5380" max="5380" width="17" style="75" customWidth="1"/>
    <col min="5381" max="5381" width="9.21875" style="75" customWidth="1"/>
    <col min="5382" max="5382" width="14" style="75" customWidth="1"/>
    <col min="5383" max="5383" width="11.21875" style="75" customWidth="1"/>
    <col min="5384" max="5384" width="9.21875" style="75" customWidth="1"/>
    <col min="5385" max="5385" width="12.77734375" style="75" customWidth="1"/>
    <col min="5386" max="5391" width="9.21875" style="75" customWidth="1"/>
    <col min="5392" max="5611" width="9.21875" style="75"/>
    <col min="5612" max="5612" width="40" style="75" customWidth="1"/>
    <col min="5613" max="5621" width="10.77734375" style="75" customWidth="1"/>
    <col min="5622" max="5622" width="14.5546875" style="75" customWidth="1"/>
    <col min="5623" max="5624" width="1.21875" style="75" customWidth="1"/>
    <col min="5625" max="5625" width="11.21875" style="75" customWidth="1"/>
    <col min="5626" max="5626" width="16.77734375" style="75" customWidth="1"/>
    <col min="5627" max="5627" width="17.5546875" style="75" customWidth="1"/>
    <col min="5628" max="5628" width="21.21875" style="75" customWidth="1"/>
    <col min="5629" max="5629" width="17.21875" style="75" customWidth="1"/>
    <col min="5630" max="5631" width="14.21875" style="75" customWidth="1"/>
    <col min="5632" max="5632" width="13.21875" style="75" customWidth="1"/>
    <col min="5633" max="5633" width="13.77734375" style="75" customWidth="1"/>
    <col min="5634" max="5635" width="11.77734375" style="75" customWidth="1"/>
    <col min="5636" max="5636" width="17" style="75" customWidth="1"/>
    <col min="5637" max="5637" width="9.21875" style="75" customWidth="1"/>
    <col min="5638" max="5638" width="14" style="75" customWidth="1"/>
    <col min="5639" max="5639" width="11.21875" style="75" customWidth="1"/>
    <col min="5640" max="5640" width="9.21875" style="75" customWidth="1"/>
    <col min="5641" max="5641" width="12.77734375" style="75" customWidth="1"/>
    <col min="5642" max="5647" width="9.21875" style="75" customWidth="1"/>
    <col min="5648" max="5867" width="9.21875" style="75"/>
    <col min="5868" max="5868" width="40" style="75" customWidth="1"/>
    <col min="5869" max="5877" width="10.77734375" style="75" customWidth="1"/>
    <col min="5878" max="5878" width="14.5546875" style="75" customWidth="1"/>
    <col min="5879" max="5880" width="1.21875" style="75" customWidth="1"/>
    <col min="5881" max="5881" width="11.21875" style="75" customWidth="1"/>
    <col min="5882" max="5882" width="16.77734375" style="75" customWidth="1"/>
    <col min="5883" max="5883" width="17.5546875" style="75" customWidth="1"/>
    <col min="5884" max="5884" width="21.21875" style="75" customWidth="1"/>
    <col min="5885" max="5885" width="17.21875" style="75" customWidth="1"/>
    <col min="5886" max="5887" width="14.21875" style="75" customWidth="1"/>
    <col min="5888" max="5888" width="13.21875" style="75" customWidth="1"/>
    <col min="5889" max="5889" width="13.77734375" style="75" customWidth="1"/>
    <col min="5890" max="5891" width="11.77734375" style="75" customWidth="1"/>
    <col min="5892" max="5892" width="17" style="75" customWidth="1"/>
    <col min="5893" max="5893" width="9.21875" style="75" customWidth="1"/>
    <col min="5894" max="5894" width="14" style="75" customWidth="1"/>
    <col min="5895" max="5895" width="11.21875" style="75" customWidth="1"/>
    <col min="5896" max="5896" width="9.21875" style="75" customWidth="1"/>
    <col min="5897" max="5897" width="12.77734375" style="75" customWidth="1"/>
    <col min="5898" max="5903" width="9.21875" style="75" customWidth="1"/>
    <col min="5904" max="6123" width="9.21875" style="75"/>
    <col min="6124" max="6124" width="40" style="75" customWidth="1"/>
    <col min="6125" max="6133" width="10.77734375" style="75" customWidth="1"/>
    <col min="6134" max="6134" width="14.5546875" style="75" customWidth="1"/>
    <col min="6135" max="6136" width="1.21875" style="75" customWidth="1"/>
    <col min="6137" max="6137" width="11.21875" style="75" customWidth="1"/>
    <col min="6138" max="6138" width="16.77734375" style="75" customWidth="1"/>
    <col min="6139" max="6139" width="17.5546875" style="75" customWidth="1"/>
    <col min="6140" max="6140" width="21.21875" style="75" customWidth="1"/>
    <col min="6141" max="6141" width="17.21875" style="75" customWidth="1"/>
    <col min="6142" max="6143" width="14.21875" style="75" customWidth="1"/>
    <col min="6144" max="6144" width="13.21875" style="75" customWidth="1"/>
    <col min="6145" max="6145" width="13.77734375" style="75" customWidth="1"/>
    <col min="6146" max="6147" width="11.77734375" style="75" customWidth="1"/>
    <col min="6148" max="6148" width="17" style="75" customWidth="1"/>
    <col min="6149" max="6149" width="9.21875" style="75" customWidth="1"/>
    <col min="6150" max="6150" width="14" style="75" customWidth="1"/>
    <col min="6151" max="6151" width="11.21875" style="75" customWidth="1"/>
    <col min="6152" max="6152" width="9.21875" style="75" customWidth="1"/>
    <col min="6153" max="6153" width="12.77734375" style="75" customWidth="1"/>
    <col min="6154" max="6159" width="9.21875" style="75" customWidth="1"/>
    <col min="6160" max="6379" width="9.21875" style="75"/>
    <col min="6380" max="6380" width="40" style="75" customWidth="1"/>
    <col min="6381" max="6389" width="10.77734375" style="75" customWidth="1"/>
    <col min="6390" max="6390" width="14.5546875" style="75" customWidth="1"/>
    <col min="6391" max="6392" width="1.21875" style="75" customWidth="1"/>
    <col min="6393" max="6393" width="11.21875" style="75" customWidth="1"/>
    <col min="6394" max="6394" width="16.77734375" style="75" customWidth="1"/>
    <col min="6395" max="6395" width="17.5546875" style="75" customWidth="1"/>
    <col min="6396" max="6396" width="21.21875" style="75" customWidth="1"/>
    <col min="6397" max="6397" width="17.21875" style="75" customWidth="1"/>
    <col min="6398" max="6399" width="14.21875" style="75" customWidth="1"/>
    <col min="6400" max="6400" width="13.21875" style="75" customWidth="1"/>
    <col min="6401" max="6401" width="13.77734375" style="75" customWidth="1"/>
    <col min="6402" max="6403" width="11.77734375" style="75" customWidth="1"/>
    <col min="6404" max="6404" width="17" style="75" customWidth="1"/>
    <col min="6405" max="6405" width="9.21875" style="75" customWidth="1"/>
    <col min="6406" max="6406" width="14" style="75" customWidth="1"/>
    <col min="6407" max="6407" width="11.21875" style="75" customWidth="1"/>
    <col min="6408" max="6408" width="9.21875" style="75" customWidth="1"/>
    <col min="6409" max="6409" width="12.77734375" style="75" customWidth="1"/>
    <col min="6410" max="6415" width="9.21875" style="75" customWidth="1"/>
    <col min="6416" max="6635" width="9.21875" style="75"/>
    <col min="6636" max="6636" width="40" style="75" customWidth="1"/>
    <col min="6637" max="6645" width="10.77734375" style="75" customWidth="1"/>
    <col min="6646" max="6646" width="14.5546875" style="75" customWidth="1"/>
    <col min="6647" max="6648" width="1.21875" style="75" customWidth="1"/>
    <col min="6649" max="6649" width="11.21875" style="75" customWidth="1"/>
    <col min="6650" max="6650" width="16.77734375" style="75" customWidth="1"/>
    <col min="6651" max="6651" width="17.5546875" style="75" customWidth="1"/>
    <col min="6652" max="6652" width="21.21875" style="75" customWidth="1"/>
    <col min="6653" max="6653" width="17.21875" style="75" customWidth="1"/>
    <col min="6654" max="6655" width="14.21875" style="75" customWidth="1"/>
    <col min="6656" max="6656" width="13.21875" style="75" customWidth="1"/>
    <col min="6657" max="6657" width="13.77734375" style="75" customWidth="1"/>
    <col min="6658" max="6659" width="11.77734375" style="75" customWidth="1"/>
    <col min="6660" max="6660" width="17" style="75" customWidth="1"/>
    <col min="6661" max="6661" width="9.21875" style="75" customWidth="1"/>
    <col min="6662" max="6662" width="14" style="75" customWidth="1"/>
    <col min="6663" max="6663" width="11.21875" style="75" customWidth="1"/>
    <col min="6664" max="6664" width="9.21875" style="75" customWidth="1"/>
    <col min="6665" max="6665" width="12.77734375" style="75" customWidth="1"/>
    <col min="6666" max="6671" width="9.21875" style="75" customWidth="1"/>
    <col min="6672" max="6891" width="9.21875" style="75"/>
    <col min="6892" max="6892" width="40" style="75" customWidth="1"/>
    <col min="6893" max="6901" width="10.77734375" style="75" customWidth="1"/>
    <col min="6902" max="6902" width="14.5546875" style="75" customWidth="1"/>
    <col min="6903" max="6904" width="1.21875" style="75" customWidth="1"/>
    <col min="6905" max="6905" width="11.21875" style="75" customWidth="1"/>
    <col min="6906" max="6906" width="16.77734375" style="75" customWidth="1"/>
    <col min="6907" max="6907" width="17.5546875" style="75" customWidth="1"/>
    <col min="6908" max="6908" width="21.21875" style="75" customWidth="1"/>
    <col min="6909" max="6909" width="17.21875" style="75" customWidth="1"/>
    <col min="6910" max="6911" width="14.21875" style="75" customWidth="1"/>
    <col min="6912" max="6912" width="13.21875" style="75" customWidth="1"/>
    <col min="6913" max="6913" width="13.77734375" style="75" customWidth="1"/>
    <col min="6914" max="6915" width="11.77734375" style="75" customWidth="1"/>
    <col min="6916" max="6916" width="17" style="75" customWidth="1"/>
    <col min="6917" max="6917" width="9.21875" style="75" customWidth="1"/>
    <col min="6918" max="6918" width="14" style="75" customWidth="1"/>
    <col min="6919" max="6919" width="11.21875" style="75" customWidth="1"/>
    <col min="6920" max="6920" width="9.21875" style="75" customWidth="1"/>
    <col min="6921" max="6921" width="12.77734375" style="75" customWidth="1"/>
    <col min="6922" max="6927" width="9.21875" style="75" customWidth="1"/>
    <col min="6928" max="7147" width="9.21875" style="75"/>
    <col min="7148" max="7148" width="40" style="75" customWidth="1"/>
    <col min="7149" max="7157" width="10.77734375" style="75" customWidth="1"/>
    <col min="7158" max="7158" width="14.5546875" style="75" customWidth="1"/>
    <col min="7159" max="7160" width="1.21875" style="75" customWidth="1"/>
    <col min="7161" max="7161" width="11.21875" style="75" customWidth="1"/>
    <col min="7162" max="7162" width="16.77734375" style="75" customWidth="1"/>
    <col min="7163" max="7163" width="17.5546875" style="75" customWidth="1"/>
    <col min="7164" max="7164" width="21.21875" style="75" customWidth="1"/>
    <col min="7165" max="7165" width="17.21875" style="75" customWidth="1"/>
    <col min="7166" max="7167" width="14.21875" style="75" customWidth="1"/>
    <col min="7168" max="7168" width="13.21875" style="75" customWidth="1"/>
    <col min="7169" max="7169" width="13.77734375" style="75" customWidth="1"/>
    <col min="7170" max="7171" width="11.77734375" style="75" customWidth="1"/>
    <col min="7172" max="7172" width="17" style="75" customWidth="1"/>
    <col min="7173" max="7173" width="9.21875" style="75" customWidth="1"/>
    <col min="7174" max="7174" width="14" style="75" customWidth="1"/>
    <col min="7175" max="7175" width="11.21875" style="75" customWidth="1"/>
    <col min="7176" max="7176" width="9.21875" style="75" customWidth="1"/>
    <col min="7177" max="7177" width="12.77734375" style="75" customWidth="1"/>
    <col min="7178" max="7183" width="9.21875" style="75" customWidth="1"/>
    <col min="7184" max="7403" width="9.21875" style="75"/>
    <col min="7404" max="7404" width="40" style="75" customWidth="1"/>
    <col min="7405" max="7413" width="10.77734375" style="75" customWidth="1"/>
    <col min="7414" max="7414" width="14.5546875" style="75" customWidth="1"/>
    <col min="7415" max="7416" width="1.21875" style="75" customWidth="1"/>
    <col min="7417" max="7417" width="11.21875" style="75" customWidth="1"/>
    <col min="7418" max="7418" width="16.77734375" style="75" customWidth="1"/>
    <col min="7419" max="7419" width="17.5546875" style="75" customWidth="1"/>
    <col min="7420" max="7420" width="21.21875" style="75" customWidth="1"/>
    <col min="7421" max="7421" width="17.21875" style="75" customWidth="1"/>
    <col min="7422" max="7423" width="14.21875" style="75" customWidth="1"/>
    <col min="7424" max="7424" width="13.21875" style="75" customWidth="1"/>
    <col min="7425" max="7425" width="13.77734375" style="75" customWidth="1"/>
    <col min="7426" max="7427" width="11.77734375" style="75" customWidth="1"/>
    <col min="7428" max="7428" width="17" style="75" customWidth="1"/>
    <col min="7429" max="7429" width="9.21875" style="75" customWidth="1"/>
    <col min="7430" max="7430" width="14" style="75" customWidth="1"/>
    <col min="7431" max="7431" width="11.21875" style="75" customWidth="1"/>
    <col min="7432" max="7432" width="9.21875" style="75" customWidth="1"/>
    <col min="7433" max="7433" width="12.77734375" style="75" customWidth="1"/>
    <col min="7434" max="7439" width="9.21875" style="75" customWidth="1"/>
    <col min="7440" max="7659" width="9.21875" style="75"/>
    <col min="7660" max="7660" width="40" style="75" customWidth="1"/>
    <col min="7661" max="7669" width="10.77734375" style="75" customWidth="1"/>
    <col min="7670" max="7670" width="14.5546875" style="75" customWidth="1"/>
    <col min="7671" max="7672" width="1.21875" style="75" customWidth="1"/>
    <col min="7673" max="7673" width="11.21875" style="75" customWidth="1"/>
    <col min="7674" max="7674" width="16.77734375" style="75" customWidth="1"/>
    <col min="7675" max="7675" width="17.5546875" style="75" customWidth="1"/>
    <col min="7676" max="7676" width="21.21875" style="75" customWidth="1"/>
    <col min="7677" max="7677" width="17.21875" style="75" customWidth="1"/>
    <col min="7678" max="7679" width="14.21875" style="75" customWidth="1"/>
    <col min="7680" max="7680" width="13.21875" style="75" customWidth="1"/>
    <col min="7681" max="7681" width="13.77734375" style="75" customWidth="1"/>
    <col min="7682" max="7683" width="11.77734375" style="75" customWidth="1"/>
    <col min="7684" max="7684" width="17" style="75" customWidth="1"/>
    <col min="7685" max="7685" width="9.21875" style="75" customWidth="1"/>
    <col min="7686" max="7686" width="14" style="75" customWidth="1"/>
    <col min="7687" max="7687" width="11.21875" style="75" customWidth="1"/>
    <col min="7688" max="7688" width="9.21875" style="75" customWidth="1"/>
    <col min="7689" max="7689" width="12.77734375" style="75" customWidth="1"/>
    <col min="7690" max="7695" width="9.21875" style="75" customWidth="1"/>
    <col min="7696" max="7915" width="9.21875" style="75"/>
    <col min="7916" max="7916" width="40" style="75" customWidth="1"/>
    <col min="7917" max="7925" width="10.77734375" style="75" customWidth="1"/>
    <col min="7926" max="7926" width="14.5546875" style="75" customWidth="1"/>
    <col min="7927" max="7928" width="1.21875" style="75" customWidth="1"/>
    <col min="7929" max="7929" width="11.21875" style="75" customWidth="1"/>
    <col min="7930" max="7930" width="16.77734375" style="75" customWidth="1"/>
    <col min="7931" max="7931" width="17.5546875" style="75" customWidth="1"/>
    <col min="7932" max="7932" width="21.21875" style="75" customWidth="1"/>
    <col min="7933" max="7933" width="17.21875" style="75" customWidth="1"/>
    <col min="7934" max="7935" width="14.21875" style="75" customWidth="1"/>
    <col min="7936" max="7936" width="13.21875" style="75" customWidth="1"/>
    <col min="7937" max="7937" width="13.77734375" style="75" customWidth="1"/>
    <col min="7938" max="7939" width="11.77734375" style="75" customWidth="1"/>
    <col min="7940" max="7940" width="17" style="75" customWidth="1"/>
    <col min="7941" max="7941" width="9.21875" style="75" customWidth="1"/>
    <col min="7942" max="7942" width="14" style="75" customWidth="1"/>
    <col min="7943" max="7943" width="11.21875" style="75" customWidth="1"/>
    <col min="7944" max="7944" width="9.21875" style="75" customWidth="1"/>
    <col min="7945" max="7945" width="12.77734375" style="75" customWidth="1"/>
    <col min="7946" max="7951" width="9.21875" style="75" customWidth="1"/>
    <col min="7952" max="8171" width="9.21875" style="75"/>
    <col min="8172" max="8172" width="40" style="75" customWidth="1"/>
    <col min="8173" max="8181" width="10.77734375" style="75" customWidth="1"/>
    <col min="8182" max="8182" width="14.5546875" style="75" customWidth="1"/>
    <col min="8183" max="8184" width="1.21875" style="75" customWidth="1"/>
    <col min="8185" max="8185" width="11.21875" style="75" customWidth="1"/>
    <col min="8186" max="8186" width="16.77734375" style="75" customWidth="1"/>
    <col min="8187" max="8187" width="17.5546875" style="75" customWidth="1"/>
    <col min="8188" max="8188" width="21.21875" style="75" customWidth="1"/>
    <col min="8189" max="8189" width="17.21875" style="75" customWidth="1"/>
    <col min="8190" max="8191" width="14.21875" style="75" customWidth="1"/>
    <col min="8192" max="8192" width="13.21875" style="75" customWidth="1"/>
    <col min="8193" max="8193" width="13.77734375" style="75" customWidth="1"/>
    <col min="8194" max="8195" width="11.77734375" style="75" customWidth="1"/>
    <col min="8196" max="8196" width="17" style="75" customWidth="1"/>
    <col min="8197" max="8197" width="9.21875" style="75" customWidth="1"/>
    <col min="8198" max="8198" width="14" style="75" customWidth="1"/>
    <col min="8199" max="8199" width="11.21875" style="75" customWidth="1"/>
    <col min="8200" max="8200" width="9.21875" style="75" customWidth="1"/>
    <col min="8201" max="8201" width="12.77734375" style="75" customWidth="1"/>
    <col min="8202" max="8207" width="9.21875" style="75" customWidth="1"/>
    <col min="8208" max="8427" width="9.21875" style="75"/>
    <col min="8428" max="8428" width="40" style="75" customWidth="1"/>
    <col min="8429" max="8437" width="10.77734375" style="75" customWidth="1"/>
    <col min="8438" max="8438" width="14.5546875" style="75" customWidth="1"/>
    <col min="8439" max="8440" width="1.21875" style="75" customWidth="1"/>
    <col min="8441" max="8441" width="11.21875" style="75" customWidth="1"/>
    <col min="8442" max="8442" width="16.77734375" style="75" customWidth="1"/>
    <col min="8443" max="8443" width="17.5546875" style="75" customWidth="1"/>
    <col min="8444" max="8444" width="21.21875" style="75" customWidth="1"/>
    <col min="8445" max="8445" width="17.21875" style="75" customWidth="1"/>
    <col min="8446" max="8447" width="14.21875" style="75" customWidth="1"/>
    <col min="8448" max="8448" width="13.21875" style="75" customWidth="1"/>
    <col min="8449" max="8449" width="13.77734375" style="75" customWidth="1"/>
    <col min="8450" max="8451" width="11.77734375" style="75" customWidth="1"/>
    <col min="8452" max="8452" width="17" style="75" customWidth="1"/>
    <col min="8453" max="8453" width="9.21875" style="75" customWidth="1"/>
    <col min="8454" max="8454" width="14" style="75" customWidth="1"/>
    <col min="8455" max="8455" width="11.21875" style="75" customWidth="1"/>
    <col min="8456" max="8456" width="9.21875" style="75" customWidth="1"/>
    <col min="8457" max="8457" width="12.77734375" style="75" customWidth="1"/>
    <col min="8458" max="8463" width="9.21875" style="75" customWidth="1"/>
    <col min="8464" max="8683" width="9.21875" style="75"/>
    <col min="8684" max="8684" width="40" style="75" customWidth="1"/>
    <col min="8685" max="8693" width="10.77734375" style="75" customWidth="1"/>
    <col min="8694" max="8694" width="14.5546875" style="75" customWidth="1"/>
    <col min="8695" max="8696" width="1.21875" style="75" customWidth="1"/>
    <col min="8697" max="8697" width="11.21875" style="75" customWidth="1"/>
    <col min="8698" max="8698" width="16.77734375" style="75" customWidth="1"/>
    <col min="8699" max="8699" width="17.5546875" style="75" customWidth="1"/>
    <col min="8700" max="8700" width="21.21875" style="75" customWidth="1"/>
    <col min="8701" max="8701" width="17.21875" style="75" customWidth="1"/>
    <col min="8702" max="8703" width="14.21875" style="75" customWidth="1"/>
    <col min="8704" max="8704" width="13.21875" style="75" customWidth="1"/>
    <col min="8705" max="8705" width="13.77734375" style="75" customWidth="1"/>
    <col min="8706" max="8707" width="11.77734375" style="75" customWidth="1"/>
    <col min="8708" max="8708" width="17" style="75" customWidth="1"/>
    <col min="8709" max="8709" width="9.21875" style="75" customWidth="1"/>
    <col min="8710" max="8710" width="14" style="75" customWidth="1"/>
    <col min="8711" max="8711" width="11.21875" style="75" customWidth="1"/>
    <col min="8712" max="8712" width="9.21875" style="75" customWidth="1"/>
    <col min="8713" max="8713" width="12.77734375" style="75" customWidth="1"/>
    <col min="8714" max="8719" width="9.21875" style="75" customWidth="1"/>
    <col min="8720" max="8939" width="9.21875" style="75"/>
    <col min="8940" max="8940" width="40" style="75" customWidth="1"/>
    <col min="8941" max="8949" width="10.77734375" style="75" customWidth="1"/>
    <col min="8950" max="8950" width="14.5546875" style="75" customWidth="1"/>
    <col min="8951" max="8952" width="1.21875" style="75" customWidth="1"/>
    <col min="8953" max="8953" width="11.21875" style="75" customWidth="1"/>
    <col min="8954" max="8954" width="16.77734375" style="75" customWidth="1"/>
    <col min="8955" max="8955" width="17.5546875" style="75" customWidth="1"/>
    <col min="8956" max="8956" width="21.21875" style="75" customWidth="1"/>
    <col min="8957" max="8957" width="17.21875" style="75" customWidth="1"/>
    <col min="8958" max="8959" width="14.21875" style="75" customWidth="1"/>
    <col min="8960" max="8960" width="13.21875" style="75" customWidth="1"/>
    <col min="8961" max="8961" width="13.77734375" style="75" customWidth="1"/>
    <col min="8962" max="8963" width="11.77734375" style="75" customWidth="1"/>
    <col min="8964" max="8964" width="17" style="75" customWidth="1"/>
    <col min="8965" max="8965" width="9.21875" style="75" customWidth="1"/>
    <col min="8966" max="8966" width="14" style="75" customWidth="1"/>
    <col min="8967" max="8967" width="11.21875" style="75" customWidth="1"/>
    <col min="8968" max="8968" width="9.21875" style="75" customWidth="1"/>
    <col min="8969" max="8969" width="12.77734375" style="75" customWidth="1"/>
    <col min="8970" max="8975" width="9.21875" style="75" customWidth="1"/>
    <col min="8976" max="9195" width="9.21875" style="75"/>
    <col min="9196" max="9196" width="40" style="75" customWidth="1"/>
    <col min="9197" max="9205" width="10.77734375" style="75" customWidth="1"/>
    <col min="9206" max="9206" width="14.5546875" style="75" customWidth="1"/>
    <col min="9207" max="9208" width="1.21875" style="75" customWidth="1"/>
    <col min="9209" max="9209" width="11.21875" style="75" customWidth="1"/>
    <col min="9210" max="9210" width="16.77734375" style="75" customWidth="1"/>
    <col min="9211" max="9211" width="17.5546875" style="75" customWidth="1"/>
    <col min="9212" max="9212" width="21.21875" style="75" customWidth="1"/>
    <col min="9213" max="9213" width="17.21875" style="75" customWidth="1"/>
    <col min="9214" max="9215" width="14.21875" style="75" customWidth="1"/>
    <col min="9216" max="9216" width="13.21875" style="75" customWidth="1"/>
    <col min="9217" max="9217" width="13.77734375" style="75" customWidth="1"/>
    <col min="9218" max="9219" width="11.77734375" style="75" customWidth="1"/>
    <col min="9220" max="9220" width="17" style="75" customWidth="1"/>
    <col min="9221" max="9221" width="9.21875" style="75" customWidth="1"/>
    <col min="9222" max="9222" width="14" style="75" customWidth="1"/>
    <col min="9223" max="9223" width="11.21875" style="75" customWidth="1"/>
    <col min="9224" max="9224" width="9.21875" style="75" customWidth="1"/>
    <col min="9225" max="9225" width="12.77734375" style="75" customWidth="1"/>
    <col min="9226" max="9231" width="9.21875" style="75" customWidth="1"/>
    <col min="9232" max="9451" width="9.21875" style="75"/>
    <col min="9452" max="9452" width="40" style="75" customWidth="1"/>
    <col min="9453" max="9461" width="10.77734375" style="75" customWidth="1"/>
    <col min="9462" max="9462" width="14.5546875" style="75" customWidth="1"/>
    <col min="9463" max="9464" width="1.21875" style="75" customWidth="1"/>
    <col min="9465" max="9465" width="11.21875" style="75" customWidth="1"/>
    <col min="9466" max="9466" width="16.77734375" style="75" customWidth="1"/>
    <col min="9467" max="9467" width="17.5546875" style="75" customWidth="1"/>
    <col min="9468" max="9468" width="21.21875" style="75" customWidth="1"/>
    <col min="9469" max="9469" width="17.21875" style="75" customWidth="1"/>
    <col min="9470" max="9471" width="14.21875" style="75" customWidth="1"/>
    <col min="9472" max="9472" width="13.21875" style="75" customWidth="1"/>
    <col min="9473" max="9473" width="13.77734375" style="75" customWidth="1"/>
    <col min="9474" max="9475" width="11.77734375" style="75" customWidth="1"/>
    <col min="9476" max="9476" width="17" style="75" customWidth="1"/>
    <col min="9477" max="9477" width="9.21875" style="75" customWidth="1"/>
    <col min="9478" max="9478" width="14" style="75" customWidth="1"/>
    <col min="9479" max="9479" width="11.21875" style="75" customWidth="1"/>
    <col min="9480" max="9480" width="9.21875" style="75" customWidth="1"/>
    <col min="9481" max="9481" width="12.77734375" style="75" customWidth="1"/>
    <col min="9482" max="9487" width="9.21875" style="75" customWidth="1"/>
    <col min="9488" max="9707" width="9.21875" style="75"/>
    <col min="9708" max="9708" width="40" style="75" customWidth="1"/>
    <col min="9709" max="9717" width="10.77734375" style="75" customWidth="1"/>
    <col min="9718" max="9718" width="14.5546875" style="75" customWidth="1"/>
    <col min="9719" max="9720" width="1.21875" style="75" customWidth="1"/>
    <col min="9721" max="9721" width="11.21875" style="75" customWidth="1"/>
    <col min="9722" max="9722" width="16.77734375" style="75" customWidth="1"/>
    <col min="9723" max="9723" width="17.5546875" style="75" customWidth="1"/>
    <col min="9724" max="9724" width="21.21875" style="75" customWidth="1"/>
    <col min="9725" max="9725" width="17.21875" style="75" customWidth="1"/>
    <col min="9726" max="9727" width="14.21875" style="75" customWidth="1"/>
    <col min="9728" max="9728" width="13.21875" style="75" customWidth="1"/>
    <col min="9729" max="9729" width="13.77734375" style="75" customWidth="1"/>
    <col min="9730" max="9731" width="11.77734375" style="75" customWidth="1"/>
    <col min="9732" max="9732" width="17" style="75" customWidth="1"/>
    <col min="9733" max="9733" width="9.21875" style="75" customWidth="1"/>
    <col min="9734" max="9734" width="14" style="75" customWidth="1"/>
    <col min="9735" max="9735" width="11.21875" style="75" customWidth="1"/>
    <col min="9736" max="9736" width="9.21875" style="75" customWidth="1"/>
    <col min="9737" max="9737" width="12.77734375" style="75" customWidth="1"/>
    <col min="9738" max="9743" width="9.21875" style="75" customWidth="1"/>
    <col min="9744" max="9963" width="9.21875" style="75"/>
    <col min="9964" max="9964" width="40" style="75" customWidth="1"/>
    <col min="9965" max="9973" width="10.77734375" style="75" customWidth="1"/>
    <col min="9974" max="9974" width="14.5546875" style="75" customWidth="1"/>
    <col min="9975" max="9976" width="1.21875" style="75" customWidth="1"/>
    <col min="9977" max="9977" width="11.21875" style="75" customWidth="1"/>
    <col min="9978" max="9978" width="16.77734375" style="75" customWidth="1"/>
    <col min="9979" max="9979" width="17.5546875" style="75" customWidth="1"/>
    <col min="9980" max="9980" width="21.21875" style="75" customWidth="1"/>
    <col min="9981" max="9981" width="17.21875" style="75" customWidth="1"/>
    <col min="9982" max="9983" width="14.21875" style="75" customWidth="1"/>
    <col min="9984" max="9984" width="13.21875" style="75" customWidth="1"/>
    <col min="9985" max="9985" width="13.77734375" style="75" customWidth="1"/>
    <col min="9986" max="9987" width="11.77734375" style="75" customWidth="1"/>
    <col min="9988" max="9988" width="17" style="75" customWidth="1"/>
    <col min="9989" max="9989" width="9.21875" style="75" customWidth="1"/>
    <col min="9990" max="9990" width="14" style="75" customWidth="1"/>
    <col min="9991" max="9991" width="11.21875" style="75" customWidth="1"/>
    <col min="9992" max="9992" width="9.21875" style="75" customWidth="1"/>
    <col min="9993" max="9993" width="12.77734375" style="75" customWidth="1"/>
    <col min="9994" max="9999" width="9.21875" style="75" customWidth="1"/>
    <col min="10000" max="10219" width="9.21875" style="75"/>
    <col min="10220" max="10220" width="40" style="75" customWidth="1"/>
    <col min="10221" max="10229" width="10.77734375" style="75" customWidth="1"/>
    <col min="10230" max="10230" width="14.5546875" style="75" customWidth="1"/>
    <col min="10231" max="10232" width="1.21875" style="75" customWidth="1"/>
    <col min="10233" max="10233" width="11.21875" style="75" customWidth="1"/>
    <col min="10234" max="10234" width="16.77734375" style="75" customWidth="1"/>
    <col min="10235" max="10235" width="17.5546875" style="75" customWidth="1"/>
    <col min="10236" max="10236" width="21.21875" style="75" customWidth="1"/>
    <col min="10237" max="10237" width="17.21875" style="75" customWidth="1"/>
    <col min="10238" max="10239" width="14.21875" style="75" customWidth="1"/>
    <col min="10240" max="10240" width="13.21875" style="75" customWidth="1"/>
    <col min="10241" max="10241" width="13.77734375" style="75" customWidth="1"/>
    <col min="10242" max="10243" width="11.77734375" style="75" customWidth="1"/>
    <col min="10244" max="10244" width="17" style="75" customWidth="1"/>
    <col min="10245" max="10245" width="9.21875" style="75" customWidth="1"/>
    <col min="10246" max="10246" width="14" style="75" customWidth="1"/>
    <col min="10247" max="10247" width="11.21875" style="75" customWidth="1"/>
    <col min="10248" max="10248" width="9.21875" style="75" customWidth="1"/>
    <col min="10249" max="10249" width="12.77734375" style="75" customWidth="1"/>
    <col min="10250" max="10255" width="9.21875" style="75" customWidth="1"/>
    <col min="10256" max="10475" width="9.21875" style="75"/>
    <col min="10476" max="10476" width="40" style="75" customWidth="1"/>
    <col min="10477" max="10485" width="10.77734375" style="75" customWidth="1"/>
    <col min="10486" max="10486" width="14.5546875" style="75" customWidth="1"/>
    <col min="10487" max="10488" width="1.21875" style="75" customWidth="1"/>
    <col min="10489" max="10489" width="11.21875" style="75" customWidth="1"/>
    <col min="10490" max="10490" width="16.77734375" style="75" customWidth="1"/>
    <col min="10491" max="10491" width="17.5546875" style="75" customWidth="1"/>
    <col min="10492" max="10492" width="21.21875" style="75" customWidth="1"/>
    <col min="10493" max="10493" width="17.21875" style="75" customWidth="1"/>
    <col min="10494" max="10495" width="14.21875" style="75" customWidth="1"/>
    <col min="10496" max="10496" width="13.21875" style="75" customWidth="1"/>
    <col min="10497" max="10497" width="13.77734375" style="75" customWidth="1"/>
    <col min="10498" max="10499" width="11.77734375" style="75" customWidth="1"/>
    <col min="10500" max="10500" width="17" style="75" customWidth="1"/>
    <col min="10501" max="10501" width="9.21875" style="75" customWidth="1"/>
    <col min="10502" max="10502" width="14" style="75" customWidth="1"/>
    <col min="10503" max="10503" width="11.21875" style="75" customWidth="1"/>
    <col min="10504" max="10504" width="9.21875" style="75" customWidth="1"/>
    <col min="10505" max="10505" width="12.77734375" style="75" customWidth="1"/>
    <col min="10506" max="10511" width="9.21875" style="75" customWidth="1"/>
    <col min="10512" max="10731" width="9.21875" style="75"/>
    <col min="10732" max="10732" width="40" style="75" customWidth="1"/>
    <col min="10733" max="10741" width="10.77734375" style="75" customWidth="1"/>
    <col min="10742" max="10742" width="14.5546875" style="75" customWidth="1"/>
    <col min="10743" max="10744" width="1.21875" style="75" customWidth="1"/>
    <col min="10745" max="10745" width="11.21875" style="75" customWidth="1"/>
    <col min="10746" max="10746" width="16.77734375" style="75" customWidth="1"/>
    <col min="10747" max="10747" width="17.5546875" style="75" customWidth="1"/>
    <col min="10748" max="10748" width="21.21875" style="75" customWidth="1"/>
    <col min="10749" max="10749" width="17.21875" style="75" customWidth="1"/>
    <col min="10750" max="10751" width="14.21875" style="75" customWidth="1"/>
    <col min="10752" max="10752" width="13.21875" style="75" customWidth="1"/>
    <col min="10753" max="10753" width="13.77734375" style="75" customWidth="1"/>
    <col min="10754" max="10755" width="11.77734375" style="75" customWidth="1"/>
    <col min="10756" max="10756" width="17" style="75" customWidth="1"/>
    <col min="10757" max="10757" width="9.21875" style="75" customWidth="1"/>
    <col min="10758" max="10758" width="14" style="75" customWidth="1"/>
    <col min="10759" max="10759" width="11.21875" style="75" customWidth="1"/>
    <col min="10760" max="10760" width="9.21875" style="75" customWidth="1"/>
    <col min="10761" max="10761" width="12.77734375" style="75" customWidth="1"/>
    <col min="10762" max="10767" width="9.21875" style="75" customWidth="1"/>
    <col min="10768" max="10987" width="9.21875" style="75"/>
    <col min="10988" max="10988" width="40" style="75" customWidth="1"/>
    <col min="10989" max="10997" width="10.77734375" style="75" customWidth="1"/>
    <col min="10998" max="10998" width="14.5546875" style="75" customWidth="1"/>
    <col min="10999" max="11000" width="1.21875" style="75" customWidth="1"/>
    <col min="11001" max="11001" width="11.21875" style="75" customWidth="1"/>
    <col min="11002" max="11002" width="16.77734375" style="75" customWidth="1"/>
    <col min="11003" max="11003" width="17.5546875" style="75" customWidth="1"/>
    <col min="11004" max="11004" width="21.21875" style="75" customWidth="1"/>
    <col min="11005" max="11005" width="17.21875" style="75" customWidth="1"/>
    <col min="11006" max="11007" width="14.21875" style="75" customWidth="1"/>
    <col min="11008" max="11008" width="13.21875" style="75" customWidth="1"/>
    <col min="11009" max="11009" width="13.77734375" style="75" customWidth="1"/>
    <col min="11010" max="11011" width="11.77734375" style="75" customWidth="1"/>
    <col min="11012" max="11012" width="17" style="75" customWidth="1"/>
    <col min="11013" max="11013" width="9.21875" style="75" customWidth="1"/>
    <col min="11014" max="11014" width="14" style="75" customWidth="1"/>
    <col min="11015" max="11015" width="11.21875" style="75" customWidth="1"/>
    <col min="11016" max="11016" width="9.21875" style="75" customWidth="1"/>
    <col min="11017" max="11017" width="12.77734375" style="75" customWidth="1"/>
    <col min="11018" max="11023" width="9.21875" style="75" customWidth="1"/>
    <col min="11024" max="11243" width="9.21875" style="75"/>
    <col min="11244" max="11244" width="40" style="75" customWidth="1"/>
    <col min="11245" max="11253" width="10.77734375" style="75" customWidth="1"/>
    <col min="11254" max="11254" width="14.5546875" style="75" customWidth="1"/>
    <col min="11255" max="11256" width="1.21875" style="75" customWidth="1"/>
    <col min="11257" max="11257" width="11.21875" style="75" customWidth="1"/>
    <col min="11258" max="11258" width="16.77734375" style="75" customWidth="1"/>
    <col min="11259" max="11259" width="17.5546875" style="75" customWidth="1"/>
    <col min="11260" max="11260" width="21.21875" style="75" customWidth="1"/>
    <col min="11261" max="11261" width="17.21875" style="75" customWidth="1"/>
    <col min="11262" max="11263" width="14.21875" style="75" customWidth="1"/>
    <col min="11264" max="11264" width="13.21875" style="75" customWidth="1"/>
    <col min="11265" max="11265" width="13.77734375" style="75" customWidth="1"/>
    <col min="11266" max="11267" width="11.77734375" style="75" customWidth="1"/>
    <col min="11268" max="11268" width="17" style="75" customWidth="1"/>
    <col min="11269" max="11269" width="9.21875" style="75" customWidth="1"/>
    <col min="11270" max="11270" width="14" style="75" customWidth="1"/>
    <col min="11271" max="11271" width="11.21875" style="75" customWidth="1"/>
    <col min="11272" max="11272" width="9.21875" style="75" customWidth="1"/>
    <col min="11273" max="11273" width="12.77734375" style="75" customWidth="1"/>
    <col min="11274" max="11279" width="9.21875" style="75" customWidth="1"/>
    <col min="11280" max="11499" width="9.21875" style="75"/>
    <col min="11500" max="11500" width="40" style="75" customWidth="1"/>
    <col min="11501" max="11509" width="10.77734375" style="75" customWidth="1"/>
    <col min="11510" max="11510" width="14.5546875" style="75" customWidth="1"/>
    <col min="11511" max="11512" width="1.21875" style="75" customWidth="1"/>
    <col min="11513" max="11513" width="11.21875" style="75" customWidth="1"/>
    <col min="11514" max="11514" width="16.77734375" style="75" customWidth="1"/>
    <col min="11515" max="11515" width="17.5546875" style="75" customWidth="1"/>
    <col min="11516" max="11516" width="21.21875" style="75" customWidth="1"/>
    <col min="11517" max="11517" width="17.21875" style="75" customWidth="1"/>
    <col min="11518" max="11519" width="14.21875" style="75" customWidth="1"/>
    <col min="11520" max="11520" width="13.21875" style="75" customWidth="1"/>
    <col min="11521" max="11521" width="13.77734375" style="75" customWidth="1"/>
    <col min="11522" max="11523" width="11.77734375" style="75" customWidth="1"/>
    <col min="11524" max="11524" width="17" style="75" customWidth="1"/>
    <col min="11525" max="11525" width="9.21875" style="75" customWidth="1"/>
    <col min="11526" max="11526" width="14" style="75" customWidth="1"/>
    <col min="11527" max="11527" width="11.21875" style="75" customWidth="1"/>
    <col min="11528" max="11528" width="9.21875" style="75" customWidth="1"/>
    <col min="11529" max="11529" width="12.77734375" style="75" customWidth="1"/>
    <col min="11530" max="11535" width="9.21875" style="75" customWidth="1"/>
    <col min="11536" max="11755" width="9.21875" style="75"/>
    <col min="11756" max="11756" width="40" style="75" customWidth="1"/>
    <col min="11757" max="11765" width="10.77734375" style="75" customWidth="1"/>
    <col min="11766" max="11766" width="14.5546875" style="75" customWidth="1"/>
    <col min="11767" max="11768" width="1.21875" style="75" customWidth="1"/>
    <col min="11769" max="11769" width="11.21875" style="75" customWidth="1"/>
    <col min="11770" max="11770" width="16.77734375" style="75" customWidth="1"/>
    <col min="11771" max="11771" width="17.5546875" style="75" customWidth="1"/>
    <col min="11772" max="11772" width="21.21875" style="75" customWidth="1"/>
    <col min="11773" max="11773" width="17.21875" style="75" customWidth="1"/>
    <col min="11774" max="11775" width="14.21875" style="75" customWidth="1"/>
    <col min="11776" max="11776" width="13.21875" style="75" customWidth="1"/>
    <col min="11777" max="11777" width="13.77734375" style="75" customWidth="1"/>
    <col min="11778" max="11779" width="11.77734375" style="75" customWidth="1"/>
    <col min="11780" max="11780" width="17" style="75" customWidth="1"/>
    <col min="11781" max="11781" width="9.21875" style="75" customWidth="1"/>
    <col min="11782" max="11782" width="14" style="75" customWidth="1"/>
    <col min="11783" max="11783" width="11.21875" style="75" customWidth="1"/>
    <col min="11784" max="11784" width="9.21875" style="75" customWidth="1"/>
    <col min="11785" max="11785" width="12.77734375" style="75" customWidth="1"/>
    <col min="11786" max="11791" width="9.21875" style="75" customWidth="1"/>
    <col min="11792" max="12011" width="9.21875" style="75"/>
    <col min="12012" max="12012" width="40" style="75" customWidth="1"/>
    <col min="12013" max="12021" width="10.77734375" style="75" customWidth="1"/>
    <col min="12022" max="12022" width="14.5546875" style="75" customWidth="1"/>
    <col min="12023" max="12024" width="1.21875" style="75" customWidth="1"/>
    <col min="12025" max="12025" width="11.21875" style="75" customWidth="1"/>
    <col min="12026" max="12026" width="16.77734375" style="75" customWidth="1"/>
    <col min="12027" max="12027" width="17.5546875" style="75" customWidth="1"/>
    <col min="12028" max="12028" width="21.21875" style="75" customWidth="1"/>
    <col min="12029" max="12029" width="17.21875" style="75" customWidth="1"/>
    <col min="12030" max="12031" width="14.21875" style="75" customWidth="1"/>
    <col min="12032" max="12032" width="13.21875" style="75" customWidth="1"/>
    <col min="12033" max="12033" width="13.77734375" style="75" customWidth="1"/>
    <col min="12034" max="12035" width="11.77734375" style="75" customWidth="1"/>
    <col min="12036" max="12036" width="17" style="75" customWidth="1"/>
    <col min="12037" max="12037" width="9.21875" style="75" customWidth="1"/>
    <col min="12038" max="12038" width="14" style="75" customWidth="1"/>
    <col min="12039" max="12039" width="11.21875" style="75" customWidth="1"/>
    <col min="12040" max="12040" width="9.21875" style="75" customWidth="1"/>
    <col min="12041" max="12041" width="12.77734375" style="75" customWidth="1"/>
    <col min="12042" max="12047" width="9.21875" style="75" customWidth="1"/>
    <col min="12048" max="12267" width="9.21875" style="75"/>
    <col min="12268" max="12268" width="40" style="75" customWidth="1"/>
    <col min="12269" max="12277" width="10.77734375" style="75" customWidth="1"/>
    <col min="12278" max="12278" width="14.5546875" style="75" customWidth="1"/>
    <col min="12279" max="12280" width="1.21875" style="75" customWidth="1"/>
    <col min="12281" max="12281" width="11.21875" style="75" customWidth="1"/>
    <col min="12282" max="12282" width="16.77734375" style="75" customWidth="1"/>
    <col min="12283" max="12283" width="17.5546875" style="75" customWidth="1"/>
    <col min="12284" max="12284" width="21.21875" style="75" customWidth="1"/>
    <col min="12285" max="12285" width="17.21875" style="75" customWidth="1"/>
    <col min="12286" max="12287" width="14.21875" style="75" customWidth="1"/>
    <col min="12288" max="12288" width="13.21875" style="75" customWidth="1"/>
    <col min="12289" max="12289" width="13.77734375" style="75" customWidth="1"/>
    <col min="12290" max="12291" width="11.77734375" style="75" customWidth="1"/>
    <col min="12292" max="12292" width="17" style="75" customWidth="1"/>
    <col min="12293" max="12293" width="9.21875" style="75" customWidth="1"/>
    <col min="12294" max="12294" width="14" style="75" customWidth="1"/>
    <col min="12295" max="12295" width="11.21875" style="75" customWidth="1"/>
    <col min="12296" max="12296" width="9.21875" style="75" customWidth="1"/>
    <col min="12297" max="12297" width="12.77734375" style="75" customWidth="1"/>
    <col min="12298" max="12303" width="9.21875" style="75" customWidth="1"/>
    <col min="12304" max="12523" width="9.21875" style="75"/>
    <col min="12524" max="12524" width="40" style="75" customWidth="1"/>
    <col min="12525" max="12533" width="10.77734375" style="75" customWidth="1"/>
    <col min="12534" max="12534" width="14.5546875" style="75" customWidth="1"/>
    <col min="12535" max="12536" width="1.21875" style="75" customWidth="1"/>
    <col min="12537" max="12537" width="11.21875" style="75" customWidth="1"/>
    <col min="12538" max="12538" width="16.77734375" style="75" customWidth="1"/>
    <col min="12539" max="12539" width="17.5546875" style="75" customWidth="1"/>
    <col min="12540" max="12540" width="21.21875" style="75" customWidth="1"/>
    <col min="12541" max="12541" width="17.21875" style="75" customWidth="1"/>
    <col min="12542" max="12543" width="14.21875" style="75" customWidth="1"/>
    <col min="12544" max="12544" width="13.21875" style="75" customWidth="1"/>
    <col min="12545" max="12545" width="13.77734375" style="75" customWidth="1"/>
    <col min="12546" max="12547" width="11.77734375" style="75" customWidth="1"/>
    <col min="12548" max="12548" width="17" style="75" customWidth="1"/>
    <col min="12549" max="12549" width="9.21875" style="75" customWidth="1"/>
    <col min="12550" max="12550" width="14" style="75" customWidth="1"/>
    <col min="12551" max="12551" width="11.21875" style="75" customWidth="1"/>
    <col min="12552" max="12552" width="9.21875" style="75" customWidth="1"/>
    <col min="12553" max="12553" width="12.77734375" style="75" customWidth="1"/>
    <col min="12554" max="12559" width="9.21875" style="75" customWidth="1"/>
    <col min="12560" max="12779" width="9.21875" style="75"/>
    <col min="12780" max="12780" width="40" style="75" customWidth="1"/>
    <col min="12781" max="12789" width="10.77734375" style="75" customWidth="1"/>
    <col min="12790" max="12790" width="14.5546875" style="75" customWidth="1"/>
    <col min="12791" max="12792" width="1.21875" style="75" customWidth="1"/>
    <col min="12793" max="12793" width="11.21875" style="75" customWidth="1"/>
    <col min="12794" max="12794" width="16.77734375" style="75" customWidth="1"/>
    <col min="12795" max="12795" width="17.5546875" style="75" customWidth="1"/>
    <col min="12796" max="12796" width="21.21875" style="75" customWidth="1"/>
    <col min="12797" max="12797" width="17.21875" style="75" customWidth="1"/>
    <col min="12798" max="12799" width="14.21875" style="75" customWidth="1"/>
    <col min="12800" max="12800" width="13.21875" style="75" customWidth="1"/>
    <col min="12801" max="12801" width="13.77734375" style="75" customWidth="1"/>
    <col min="12802" max="12803" width="11.77734375" style="75" customWidth="1"/>
    <col min="12804" max="12804" width="17" style="75" customWidth="1"/>
    <col min="12805" max="12805" width="9.21875" style="75" customWidth="1"/>
    <col min="12806" max="12806" width="14" style="75" customWidth="1"/>
    <col min="12807" max="12807" width="11.21875" style="75" customWidth="1"/>
    <col min="12808" max="12808" width="9.21875" style="75" customWidth="1"/>
    <col min="12809" max="12809" width="12.77734375" style="75" customWidth="1"/>
    <col min="12810" max="12815" width="9.21875" style="75" customWidth="1"/>
    <col min="12816" max="13035" width="9.21875" style="75"/>
    <col min="13036" max="13036" width="40" style="75" customWidth="1"/>
    <col min="13037" max="13045" width="10.77734375" style="75" customWidth="1"/>
    <col min="13046" max="13046" width="14.5546875" style="75" customWidth="1"/>
    <col min="13047" max="13048" width="1.21875" style="75" customWidth="1"/>
    <col min="13049" max="13049" width="11.21875" style="75" customWidth="1"/>
    <col min="13050" max="13050" width="16.77734375" style="75" customWidth="1"/>
    <col min="13051" max="13051" width="17.5546875" style="75" customWidth="1"/>
    <col min="13052" max="13052" width="21.21875" style="75" customWidth="1"/>
    <col min="13053" max="13053" width="17.21875" style="75" customWidth="1"/>
    <col min="13054" max="13055" width="14.21875" style="75" customWidth="1"/>
    <col min="13056" max="13056" width="13.21875" style="75" customWidth="1"/>
    <col min="13057" max="13057" width="13.77734375" style="75" customWidth="1"/>
    <col min="13058" max="13059" width="11.77734375" style="75" customWidth="1"/>
    <col min="13060" max="13060" width="17" style="75" customWidth="1"/>
    <col min="13061" max="13061" width="9.21875" style="75" customWidth="1"/>
    <col min="13062" max="13062" width="14" style="75" customWidth="1"/>
    <col min="13063" max="13063" width="11.21875" style="75" customWidth="1"/>
    <col min="13064" max="13064" width="9.21875" style="75" customWidth="1"/>
    <col min="13065" max="13065" width="12.77734375" style="75" customWidth="1"/>
    <col min="13066" max="13071" width="9.21875" style="75" customWidth="1"/>
    <col min="13072" max="13291" width="9.21875" style="75"/>
    <col min="13292" max="13292" width="40" style="75" customWidth="1"/>
    <col min="13293" max="13301" width="10.77734375" style="75" customWidth="1"/>
    <col min="13302" max="13302" width="14.5546875" style="75" customWidth="1"/>
    <col min="13303" max="13304" width="1.21875" style="75" customWidth="1"/>
    <col min="13305" max="13305" width="11.21875" style="75" customWidth="1"/>
    <col min="13306" max="13306" width="16.77734375" style="75" customWidth="1"/>
    <col min="13307" max="13307" width="17.5546875" style="75" customWidth="1"/>
    <col min="13308" max="13308" width="21.21875" style="75" customWidth="1"/>
    <col min="13309" max="13309" width="17.21875" style="75" customWidth="1"/>
    <col min="13310" max="13311" width="14.21875" style="75" customWidth="1"/>
    <col min="13312" max="13312" width="13.21875" style="75" customWidth="1"/>
    <col min="13313" max="13313" width="13.77734375" style="75" customWidth="1"/>
    <col min="13314" max="13315" width="11.77734375" style="75" customWidth="1"/>
    <col min="13316" max="13316" width="17" style="75" customWidth="1"/>
    <col min="13317" max="13317" width="9.21875" style="75" customWidth="1"/>
    <col min="13318" max="13318" width="14" style="75" customWidth="1"/>
    <col min="13319" max="13319" width="11.21875" style="75" customWidth="1"/>
    <col min="13320" max="13320" width="9.21875" style="75" customWidth="1"/>
    <col min="13321" max="13321" width="12.77734375" style="75" customWidth="1"/>
    <col min="13322" max="13327" width="9.21875" style="75" customWidth="1"/>
    <col min="13328" max="13547" width="9.21875" style="75"/>
    <col min="13548" max="13548" width="40" style="75" customWidth="1"/>
    <col min="13549" max="13557" width="10.77734375" style="75" customWidth="1"/>
    <col min="13558" max="13558" width="14.5546875" style="75" customWidth="1"/>
    <col min="13559" max="13560" width="1.21875" style="75" customWidth="1"/>
    <col min="13561" max="13561" width="11.21875" style="75" customWidth="1"/>
    <col min="13562" max="13562" width="16.77734375" style="75" customWidth="1"/>
    <col min="13563" max="13563" width="17.5546875" style="75" customWidth="1"/>
    <col min="13564" max="13564" width="21.21875" style="75" customWidth="1"/>
    <col min="13565" max="13565" width="17.21875" style="75" customWidth="1"/>
    <col min="13566" max="13567" width="14.21875" style="75" customWidth="1"/>
    <col min="13568" max="13568" width="13.21875" style="75" customWidth="1"/>
    <col min="13569" max="13569" width="13.77734375" style="75" customWidth="1"/>
    <col min="13570" max="13571" width="11.77734375" style="75" customWidth="1"/>
    <col min="13572" max="13572" width="17" style="75" customWidth="1"/>
    <col min="13573" max="13573" width="9.21875" style="75" customWidth="1"/>
    <col min="13574" max="13574" width="14" style="75" customWidth="1"/>
    <col min="13575" max="13575" width="11.21875" style="75" customWidth="1"/>
    <col min="13576" max="13576" width="9.21875" style="75" customWidth="1"/>
    <col min="13577" max="13577" width="12.77734375" style="75" customWidth="1"/>
    <col min="13578" max="13583" width="9.21875" style="75" customWidth="1"/>
    <col min="13584" max="13803" width="9.21875" style="75"/>
    <col min="13804" max="13804" width="40" style="75" customWidth="1"/>
    <col min="13805" max="13813" width="10.77734375" style="75" customWidth="1"/>
    <col min="13814" max="13814" width="14.5546875" style="75" customWidth="1"/>
    <col min="13815" max="13816" width="1.21875" style="75" customWidth="1"/>
    <col min="13817" max="13817" width="11.21875" style="75" customWidth="1"/>
    <col min="13818" max="13818" width="16.77734375" style="75" customWidth="1"/>
    <col min="13819" max="13819" width="17.5546875" style="75" customWidth="1"/>
    <col min="13820" max="13820" width="21.21875" style="75" customWidth="1"/>
    <col min="13821" max="13821" width="17.21875" style="75" customWidth="1"/>
    <col min="13822" max="13823" width="14.21875" style="75" customWidth="1"/>
    <col min="13824" max="13824" width="13.21875" style="75" customWidth="1"/>
    <col min="13825" max="13825" width="13.77734375" style="75" customWidth="1"/>
    <col min="13826" max="13827" width="11.77734375" style="75" customWidth="1"/>
    <col min="13828" max="13828" width="17" style="75" customWidth="1"/>
    <col min="13829" max="13829" width="9.21875" style="75" customWidth="1"/>
    <col min="13830" max="13830" width="14" style="75" customWidth="1"/>
    <col min="13831" max="13831" width="11.21875" style="75" customWidth="1"/>
    <col min="13832" max="13832" width="9.21875" style="75" customWidth="1"/>
    <col min="13833" max="13833" width="12.77734375" style="75" customWidth="1"/>
    <col min="13834" max="13839" width="9.21875" style="75" customWidth="1"/>
    <col min="13840" max="14059" width="9.21875" style="75"/>
    <col min="14060" max="14060" width="40" style="75" customWidth="1"/>
    <col min="14061" max="14069" width="10.77734375" style="75" customWidth="1"/>
    <col min="14070" max="14070" width="14.5546875" style="75" customWidth="1"/>
    <col min="14071" max="14072" width="1.21875" style="75" customWidth="1"/>
    <col min="14073" max="14073" width="11.21875" style="75" customWidth="1"/>
    <col min="14074" max="14074" width="16.77734375" style="75" customWidth="1"/>
    <col min="14075" max="14075" width="17.5546875" style="75" customWidth="1"/>
    <col min="14076" max="14076" width="21.21875" style="75" customWidth="1"/>
    <col min="14077" max="14077" width="17.21875" style="75" customWidth="1"/>
    <col min="14078" max="14079" width="14.21875" style="75" customWidth="1"/>
    <col min="14080" max="14080" width="13.21875" style="75" customWidth="1"/>
    <col min="14081" max="14081" width="13.77734375" style="75" customWidth="1"/>
    <col min="14082" max="14083" width="11.77734375" style="75" customWidth="1"/>
    <col min="14084" max="14084" width="17" style="75" customWidth="1"/>
    <col min="14085" max="14085" width="9.21875" style="75" customWidth="1"/>
    <col min="14086" max="14086" width="14" style="75" customWidth="1"/>
    <col min="14087" max="14087" width="11.21875" style="75" customWidth="1"/>
    <col min="14088" max="14088" width="9.21875" style="75" customWidth="1"/>
    <col min="14089" max="14089" width="12.77734375" style="75" customWidth="1"/>
    <col min="14090" max="14095" width="9.21875" style="75" customWidth="1"/>
    <col min="14096" max="14315" width="9.21875" style="75"/>
    <col min="14316" max="14316" width="40" style="75" customWidth="1"/>
    <col min="14317" max="14325" width="10.77734375" style="75" customWidth="1"/>
    <col min="14326" max="14326" width="14.5546875" style="75" customWidth="1"/>
    <col min="14327" max="14328" width="1.21875" style="75" customWidth="1"/>
    <col min="14329" max="14329" width="11.21875" style="75" customWidth="1"/>
    <col min="14330" max="14330" width="16.77734375" style="75" customWidth="1"/>
    <col min="14331" max="14331" width="17.5546875" style="75" customWidth="1"/>
    <col min="14332" max="14332" width="21.21875" style="75" customWidth="1"/>
    <col min="14333" max="14333" width="17.21875" style="75" customWidth="1"/>
    <col min="14334" max="14335" width="14.21875" style="75" customWidth="1"/>
    <col min="14336" max="14336" width="13.21875" style="75" customWidth="1"/>
    <col min="14337" max="14337" width="13.77734375" style="75" customWidth="1"/>
    <col min="14338" max="14339" width="11.77734375" style="75" customWidth="1"/>
    <col min="14340" max="14340" width="17" style="75" customWidth="1"/>
    <col min="14341" max="14341" width="9.21875" style="75" customWidth="1"/>
    <col min="14342" max="14342" width="14" style="75" customWidth="1"/>
    <col min="14343" max="14343" width="11.21875" style="75" customWidth="1"/>
    <col min="14344" max="14344" width="9.21875" style="75" customWidth="1"/>
    <col min="14345" max="14345" width="12.77734375" style="75" customWidth="1"/>
    <col min="14346" max="14351" width="9.21875" style="75" customWidth="1"/>
    <col min="14352" max="14571" width="9.21875" style="75"/>
    <col min="14572" max="14572" width="40" style="75" customWidth="1"/>
    <col min="14573" max="14581" width="10.77734375" style="75" customWidth="1"/>
    <col min="14582" max="14582" width="14.5546875" style="75" customWidth="1"/>
    <col min="14583" max="14584" width="1.21875" style="75" customWidth="1"/>
    <col min="14585" max="14585" width="11.21875" style="75" customWidth="1"/>
    <col min="14586" max="14586" width="16.77734375" style="75" customWidth="1"/>
    <col min="14587" max="14587" width="17.5546875" style="75" customWidth="1"/>
    <col min="14588" max="14588" width="21.21875" style="75" customWidth="1"/>
    <col min="14589" max="14589" width="17.21875" style="75" customWidth="1"/>
    <col min="14590" max="14591" width="14.21875" style="75" customWidth="1"/>
    <col min="14592" max="14592" width="13.21875" style="75" customWidth="1"/>
    <col min="14593" max="14593" width="13.77734375" style="75" customWidth="1"/>
    <col min="14594" max="14595" width="11.77734375" style="75" customWidth="1"/>
    <col min="14596" max="14596" width="17" style="75" customWidth="1"/>
    <col min="14597" max="14597" width="9.21875" style="75" customWidth="1"/>
    <col min="14598" max="14598" width="14" style="75" customWidth="1"/>
    <col min="14599" max="14599" width="11.21875" style="75" customWidth="1"/>
    <col min="14600" max="14600" width="9.21875" style="75" customWidth="1"/>
    <col min="14601" max="14601" width="12.77734375" style="75" customWidth="1"/>
    <col min="14602" max="14607" width="9.21875" style="75" customWidth="1"/>
    <col min="14608" max="14827" width="9.21875" style="75"/>
    <col min="14828" max="14828" width="40" style="75" customWidth="1"/>
    <col min="14829" max="14837" width="10.77734375" style="75" customWidth="1"/>
    <col min="14838" max="14838" width="14.5546875" style="75" customWidth="1"/>
    <col min="14839" max="14840" width="1.21875" style="75" customWidth="1"/>
    <col min="14841" max="14841" width="11.21875" style="75" customWidth="1"/>
    <col min="14842" max="14842" width="16.77734375" style="75" customWidth="1"/>
    <col min="14843" max="14843" width="17.5546875" style="75" customWidth="1"/>
    <col min="14844" max="14844" width="21.21875" style="75" customWidth="1"/>
    <col min="14845" max="14845" width="17.21875" style="75" customWidth="1"/>
    <col min="14846" max="14847" width="14.21875" style="75" customWidth="1"/>
    <col min="14848" max="14848" width="13.21875" style="75" customWidth="1"/>
    <col min="14849" max="14849" width="13.77734375" style="75" customWidth="1"/>
    <col min="14850" max="14851" width="11.77734375" style="75" customWidth="1"/>
    <col min="14852" max="14852" width="17" style="75" customWidth="1"/>
    <col min="14853" max="14853" width="9.21875" style="75" customWidth="1"/>
    <col min="14854" max="14854" width="14" style="75" customWidth="1"/>
    <col min="14855" max="14855" width="11.21875" style="75" customWidth="1"/>
    <col min="14856" max="14856" width="9.21875" style="75" customWidth="1"/>
    <col min="14857" max="14857" width="12.77734375" style="75" customWidth="1"/>
    <col min="14858" max="14863" width="9.21875" style="75" customWidth="1"/>
    <col min="14864" max="15083" width="9.21875" style="75"/>
    <col min="15084" max="15084" width="40" style="75" customWidth="1"/>
    <col min="15085" max="15093" width="10.77734375" style="75" customWidth="1"/>
    <col min="15094" max="15094" width="14.5546875" style="75" customWidth="1"/>
    <col min="15095" max="15096" width="1.21875" style="75" customWidth="1"/>
    <col min="15097" max="15097" width="11.21875" style="75" customWidth="1"/>
    <col min="15098" max="15098" width="16.77734375" style="75" customWidth="1"/>
    <col min="15099" max="15099" width="17.5546875" style="75" customWidth="1"/>
    <col min="15100" max="15100" width="21.21875" style="75" customWidth="1"/>
    <col min="15101" max="15101" width="17.21875" style="75" customWidth="1"/>
    <col min="15102" max="15103" width="14.21875" style="75" customWidth="1"/>
    <col min="15104" max="15104" width="13.21875" style="75" customWidth="1"/>
    <col min="15105" max="15105" width="13.77734375" style="75" customWidth="1"/>
    <col min="15106" max="15107" width="11.77734375" style="75" customWidth="1"/>
    <col min="15108" max="15108" width="17" style="75" customWidth="1"/>
    <col min="15109" max="15109" width="9.21875" style="75" customWidth="1"/>
    <col min="15110" max="15110" width="14" style="75" customWidth="1"/>
    <col min="15111" max="15111" width="11.21875" style="75" customWidth="1"/>
    <col min="15112" max="15112" width="9.21875" style="75" customWidth="1"/>
    <col min="15113" max="15113" width="12.77734375" style="75" customWidth="1"/>
    <col min="15114" max="15119" width="9.21875" style="75" customWidth="1"/>
    <col min="15120" max="15339" width="9.21875" style="75"/>
    <col min="15340" max="15340" width="40" style="75" customWidth="1"/>
    <col min="15341" max="15349" width="10.77734375" style="75" customWidth="1"/>
    <col min="15350" max="15350" width="14.5546875" style="75" customWidth="1"/>
    <col min="15351" max="15352" width="1.21875" style="75" customWidth="1"/>
    <col min="15353" max="15353" width="11.21875" style="75" customWidth="1"/>
    <col min="15354" max="15354" width="16.77734375" style="75" customWidth="1"/>
    <col min="15355" max="15355" width="17.5546875" style="75" customWidth="1"/>
    <col min="15356" max="15356" width="21.21875" style="75" customWidth="1"/>
    <col min="15357" max="15357" width="17.21875" style="75" customWidth="1"/>
    <col min="15358" max="15359" width="14.21875" style="75" customWidth="1"/>
    <col min="15360" max="15360" width="13.21875" style="75" customWidth="1"/>
    <col min="15361" max="15361" width="13.77734375" style="75" customWidth="1"/>
    <col min="15362" max="15363" width="11.77734375" style="75" customWidth="1"/>
    <col min="15364" max="15364" width="17" style="75" customWidth="1"/>
    <col min="15365" max="15365" width="9.21875" style="75" customWidth="1"/>
    <col min="15366" max="15366" width="14" style="75" customWidth="1"/>
    <col min="15367" max="15367" width="11.21875" style="75" customWidth="1"/>
    <col min="15368" max="15368" width="9.21875" style="75" customWidth="1"/>
    <col min="15369" max="15369" width="12.77734375" style="75" customWidth="1"/>
    <col min="15370" max="15375" width="9.21875" style="75" customWidth="1"/>
    <col min="15376" max="15595" width="9.21875" style="75"/>
    <col min="15596" max="15596" width="40" style="75" customWidth="1"/>
    <col min="15597" max="15605" width="10.77734375" style="75" customWidth="1"/>
    <col min="15606" max="15606" width="14.5546875" style="75" customWidth="1"/>
    <col min="15607" max="15608" width="1.21875" style="75" customWidth="1"/>
    <col min="15609" max="15609" width="11.21875" style="75" customWidth="1"/>
    <col min="15610" max="15610" width="16.77734375" style="75" customWidth="1"/>
    <col min="15611" max="15611" width="17.5546875" style="75" customWidth="1"/>
    <col min="15612" max="15612" width="21.21875" style="75" customWidth="1"/>
    <col min="15613" max="15613" width="17.21875" style="75" customWidth="1"/>
    <col min="15614" max="15615" width="14.21875" style="75" customWidth="1"/>
    <col min="15616" max="15616" width="13.21875" style="75" customWidth="1"/>
    <col min="15617" max="15617" width="13.77734375" style="75" customWidth="1"/>
    <col min="15618" max="15619" width="11.77734375" style="75" customWidth="1"/>
    <col min="15620" max="15620" width="17" style="75" customWidth="1"/>
    <col min="15621" max="15621" width="9.21875" style="75" customWidth="1"/>
    <col min="15622" max="15622" width="14" style="75" customWidth="1"/>
    <col min="15623" max="15623" width="11.21875" style="75" customWidth="1"/>
    <col min="15624" max="15624" width="9.21875" style="75" customWidth="1"/>
    <col min="15625" max="15625" width="12.77734375" style="75" customWidth="1"/>
    <col min="15626" max="15631" width="9.21875" style="75" customWidth="1"/>
    <col min="15632" max="15851" width="9.21875" style="75"/>
    <col min="15852" max="15852" width="40" style="75" customWidth="1"/>
    <col min="15853" max="15861" width="10.77734375" style="75" customWidth="1"/>
    <col min="15862" max="15862" width="14.5546875" style="75" customWidth="1"/>
    <col min="15863" max="15864" width="1.21875" style="75" customWidth="1"/>
    <col min="15865" max="15865" width="11.21875" style="75" customWidth="1"/>
    <col min="15866" max="15866" width="16.77734375" style="75" customWidth="1"/>
    <col min="15867" max="15867" width="17.5546875" style="75" customWidth="1"/>
    <col min="15868" max="15868" width="21.21875" style="75" customWidth="1"/>
    <col min="15869" max="15869" width="17.21875" style="75" customWidth="1"/>
    <col min="15870" max="15871" width="14.21875" style="75" customWidth="1"/>
    <col min="15872" max="15872" width="13.21875" style="75" customWidth="1"/>
    <col min="15873" max="15873" width="13.77734375" style="75" customWidth="1"/>
    <col min="15874" max="15875" width="11.77734375" style="75" customWidth="1"/>
    <col min="15876" max="15876" width="17" style="75" customWidth="1"/>
    <col min="15877" max="15877" width="9.21875" style="75" customWidth="1"/>
    <col min="15878" max="15878" width="14" style="75" customWidth="1"/>
    <col min="15879" max="15879" width="11.21875" style="75" customWidth="1"/>
    <col min="15880" max="15880" width="9.21875" style="75" customWidth="1"/>
    <col min="15881" max="15881" width="12.77734375" style="75" customWidth="1"/>
    <col min="15882" max="15887" width="9.21875" style="75" customWidth="1"/>
    <col min="15888" max="16107" width="9.21875" style="75"/>
    <col min="16108" max="16108" width="40" style="75" customWidth="1"/>
    <col min="16109" max="16117" width="10.77734375" style="75" customWidth="1"/>
    <col min="16118" max="16118" width="14.5546875" style="75" customWidth="1"/>
    <col min="16119" max="16120" width="1.21875" style="75" customWidth="1"/>
    <col min="16121" max="16121" width="11.21875" style="75" customWidth="1"/>
    <col min="16122" max="16122" width="16.77734375" style="75" customWidth="1"/>
    <col min="16123" max="16123" width="17.5546875" style="75" customWidth="1"/>
    <col min="16124" max="16124" width="21.21875" style="75" customWidth="1"/>
    <col min="16125" max="16125" width="17.21875" style="75" customWidth="1"/>
    <col min="16126" max="16127" width="14.21875" style="75" customWidth="1"/>
    <col min="16128" max="16128" width="13.21875" style="75" customWidth="1"/>
    <col min="16129" max="16129" width="13.77734375" style="75" customWidth="1"/>
    <col min="16130" max="16131" width="11.77734375" style="75" customWidth="1"/>
    <col min="16132" max="16132" width="17" style="75" customWidth="1"/>
    <col min="16133" max="16133" width="9.21875" style="75" customWidth="1"/>
    <col min="16134" max="16134" width="14" style="75" customWidth="1"/>
    <col min="16135" max="16135" width="11.21875" style="75" customWidth="1"/>
    <col min="16136" max="16136" width="9.21875" style="75" customWidth="1"/>
    <col min="16137" max="16137" width="12.77734375" style="75" customWidth="1"/>
    <col min="16138" max="16143" width="9.21875" style="75" customWidth="1"/>
    <col min="16144" max="16384" width="9.21875" style="75"/>
  </cols>
  <sheetData>
    <row r="1" spans="1:10">
      <c r="A1" s="1300" t="s">
        <v>880</v>
      </c>
      <c r="B1" s="1300"/>
      <c r="C1" s="1300"/>
      <c r="D1" s="1300"/>
      <c r="E1" s="1300"/>
      <c r="F1" s="1300"/>
    </row>
    <row r="2" spans="1:10">
      <c r="A2" s="1300" t="s">
        <v>1565</v>
      </c>
      <c r="B2" s="1300"/>
      <c r="C2" s="1300"/>
      <c r="D2" s="1300"/>
      <c r="E2" s="1300"/>
      <c r="F2" s="1300"/>
    </row>
    <row r="3" spans="1:10">
      <c r="A3" s="1301" t="str">
        <f>BS!A3</f>
        <v>[Currency: Indian Rupees(Rs.'000)]</v>
      </c>
      <c r="B3" s="1301"/>
      <c r="C3" s="1301"/>
      <c r="D3" s="1301"/>
      <c r="E3" s="1301"/>
      <c r="F3" s="1301"/>
    </row>
    <row r="4" spans="1:10" ht="8.25" customHeight="1">
      <c r="A4" s="28"/>
      <c r="B4" s="28"/>
      <c r="C4" s="28"/>
      <c r="D4" s="28"/>
      <c r="E4" s="28"/>
      <c r="F4" s="28"/>
    </row>
    <row r="5" spans="1:10">
      <c r="A5" s="76">
        <f>+Notes!A541+1</f>
        <v>36</v>
      </c>
      <c r="B5" s="77" t="s">
        <v>800</v>
      </c>
      <c r="C5" s="77"/>
      <c r="D5" s="77"/>
      <c r="E5" s="77"/>
      <c r="F5" s="77"/>
      <c r="G5" s="77"/>
    </row>
    <row r="6" spans="1:10" ht="0.75" customHeight="1">
      <c r="B6" s="78"/>
    </row>
    <row r="7" spans="1:10" ht="65.25" customHeight="1">
      <c r="B7" s="1284" t="s">
        <v>850</v>
      </c>
      <c r="C7" s="1284"/>
      <c r="D7" s="1284"/>
      <c r="E7" s="1284"/>
      <c r="F7" s="1284"/>
      <c r="G7" s="1284"/>
    </row>
    <row r="8" spans="1:10" ht="33" customHeight="1">
      <c r="B8" s="1302" t="s">
        <v>1671</v>
      </c>
      <c r="C8" s="1302"/>
      <c r="D8" s="1302"/>
      <c r="E8" s="1302"/>
      <c r="F8" s="1302"/>
      <c r="G8" s="1302"/>
      <c r="I8" s="75">
        <f>+Notes!C461</f>
        <v>275348</v>
      </c>
      <c r="J8" s="75">
        <f>+Notes!E461</f>
        <v>921025</v>
      </c>
    </row>
    <row r="9" spans="1:10" ht="9" customHeight="1">
      <c r="B9" s="1289"/>
      <c r="C9" s="1289"/>
      <c r="D9" s="1289"/>
      <c r="E9" s="1289"/>
      <c r="F9" s="1289"/>
      <c r="G9" s="1289"/>
    </row>
    <row r="10" spans="1:10">
      <c r="B10" s="1292" t="s">
        <v>801</v>
      </c>
      <c r="C10" s="1292"/>
      <c r="D10" s="1292"/>
      <c r="E10" s="1292"/>
      <c r="F10" s="1292"/>
      <c r="G10" s="1292"/>
    </row>
    <row r="11" spans="1:10" ht="43.5" customHeight="1">
      <c r="B11" s="1293" t="s">
        <v>802</v>
      </c>
      <c r="C11" s="1293"/>
      <c r="D11" s="1293"/>
      <c r="E11" s="1293"/>
      <c r="F11" s="1293"/>
      <c r="G11" s="1293"/>
    </row>
    <row r="12" spans="1:10" ht="8.25" customHeight="1">
      <c r="C12" s="75"/>
      <c r="D12" s="75"/>
      <c r="E12" s="75"/>
      <c r="F12" s="75"/>
      <c r="G12" s="75"/>
    </row>
    <row r="13" spans="1:10">
      <c r="B13" s="81" t="s">
        <v>724</v>
      </c>
      <c r="C13" s="82"/>
      <c r="D13" s="82"/>
      <c r="E13" s="82"/>
      <c r="F13" s="82"/>
      <c r="G13" s="82"/>
    </row>
    <row r="14" spans="1:10">
      <c r="B14" s="83" t="s">
        <v>803</v>
      </c>
      <c r="C14" s="84"/>
      <c r="D14" s="84"/>
      <c r="E14" s="84"/>
      <c r="F14" s="84"/>
      <c r="G14" s="84"/>
    </row>
    <row r="15" spans="1:10" ht="7.5" customHeight="1">
      <c r="B15" s="85"/>
      <c r="C15" s="86"/>
      <c r="D15" s="86"/>
      <c r="E15" s="86"/>
      <c r="F15" s="86"/>
      <c r="G15" s="87"/>
    </row>
    <row r="16" spans="1:10" ht="31.5" customHeight="1">
      <c r="B16" s="1294" t="s">
        <v>976</v>
      </c>
      <c r="C16" s="1294"/>
      <c r="D16" s="1294"/>
      <c r="E16" s="1294"/>
      <c r="F16" s="1294"/>
      <c r="G16" s="1294"/>
    </row>
    <row r="17" spans="2:12" ht="60" customHeight="1">
      <c r="B17" s="1296" t="s">
        <v>1723</v>
      </c>
      <c r="C17" s="1296"/>
      <c r="D17" s="1296"/>
      <c r="E17" s="1296"/>
      <c r="F17" s="1296"/>
      <c r="G17" s="1296"/>
    </row>
    <row r="18" spans="2:12">
      <c r="B18" s="88"/>
      <c r="E18" s="1295" t="s">
        <v>961</v>
      </c>
      <c r="F18" s="1295"/>
      <c r="G18" s="1295"/>
    </row>
    <row r="19" spans="2:12" ht="24" customHeight="1">
      <c r="B19" s="89" t="s">
        <v>0</v>
      </c>
      <c r="C19" s="90"/>
      <c r="D19" s="90"/>
      <c r="E19" s="1043" t="s">
        <v>1567</v>
      </c>
      <c r="F19" s="91" t="s">
        <v>1350</v>
      </c>
      <c r="G19" s="92" t="s">
        <v>804</v>
      </c>
    </row>
    <row r="20" spans="2:12">
      <c r="B20" s="85" t="s">
        <v>805</v>
      </c>
      <c r="C20" s="75"/>
      <c r="D20" s="75"/>
      <c r="E20" s="1044">
        <f>+F39</f>
        <v>730309</v>
      </c>
      <c r="F20" s="599">
        <v>477450</v>
      </c>
      <c r="G20" s="82">
        <f>F20</f>
        <v>477450</v>
      </c>
      <c r="I20" s="93"/>
      <c r="J20" s="75">
        <v>303312</v>
      </c>
      <c r="K20" s="75">
        <v>90033</v>
      </c>
      <c r="L20" s="75">
        <v>90033</v>
      </c>
    </row>
    <row r="21" spans="2:12">
      <c r="B21" s="85" t="s">
        <v>806</v>
      </c>
      <c r="C21" s="75"/>
      <c r="D21" s="75"/>
      <c r="E21" s="1044"/>
      <c r="F21" s="599"/>
      <c r="G21" s="82" t="e">
        <f>ROUND(G14/G19,2)</f>
        <v>#VALUE!</v>
      </c>
      <c r="I21" s="94"/>
      <c r="L21" s="75" t="e">
        <v>#VALUE!</v>
      </c>
    </row>
    <row r="22" spans="2:12">
      <c r="B22" s="88" t="s">
        <v>807</v>
      </c>
      <c r="C22" s="75"/>
      <c r="D22" s="75"/>
      <c r="E22" s="1044">
        <v>0</v>
      </c>
      <c r="F22" s="599">
        <v>175419</v>
      </c>
      <c r="G22" s="95">
        <v>0</v>
      </c>
      <c r="J22" s="75">
        <v>116841</v>
      </c>
      <c r="K22" s="75">
        <v>39275</v>
      </c>
      <c r="L22" s="75">
        <v>0</v>
      </c>
    </row>
    <row r="23" spans="2:12">
      <c r="B23" s="88" t="s">
        <v>808</v>
      </c>
      <c r="C23" s="75"/>
      <c r="D23" s="75"/>
      <c r="E23" s="1044">
        <v>0</v>
      </c>
      <c r="F23" s="599">
        <v>34991</v>
      </c>
      <c r="G23" s="95">
        <v>0</v>
      </c>
      <c r="J23" s="75">
        <v>20396</v>
      </c>
      <c r="K23" s="75">
        <v>7018</v>
      </c>
      <c r="L23" s="75">
        <v>0</v>
      </c>
    </row>
    <row r="24" spans="2:12">
      <c r="C24" s="75"/>
      <c r="D24" s="75"/>
      <c r="E24" s="1045"/>
      <c r="F24" s="601"/>
    </row>
    <row r="25" spans="2:12">
      <c r="B25" s="92"/>
      <c r="C25" s="92"/>
      <c r="D25" s="92"/>
      <c r="E25" s="1046">
        <f>SUM(E22:E24)</f>
        <v>0</v>
      </c>
      <c r="F25" s="602">
        <v>210410</v>
      </c>
      <c r="G25" s="92" t="e">
        <f>SUM(G20:G23)</f>
        <v>#VALUE!</v>
      </c>
      <c r="H25" s="602">
        <f>SUM(H22:H24)</f>
        <v>0</v>
      </c>
      <c r="J25" s="75">
        <v>137237</v>
      </c>
      <c r="K25" s="75">
        <v>46293</v>
      </c>
      <c r="L25" s="75" t="e">
        <v>#VALUE!</v>
      </c>
    </row>
    <row r="26" spans="2:12" ht="18" customHeight="1">
      <c r="B26" s="96" t="s">
        <v>809</v>
      </c>
      <c r="C26" s="97"/>
      <c r="D26" s="97"/>
      <c r="E26" s="1044"/>
      <c r="F26" s="599"/>
      <c r="G26" s="97"/>
    </row>
    <row r="27" spans="2:12">
      <c r="B27" s="85" t="s">
        <v>805</v>
      </c>
      <c r="C27" s="75"/>
      <c r="D27" s="75"/>
      <c r="E27" s="1044">
        <v>0</v>
      </c>
      <c r="F27" s="599">
        <v>157058</v>
      </c>
      <c r="G27" s="82"/>
      <c r="I27" s="98"/>
      <c r="J27" s="75">
        <v>192027</v>
      </c>
      <c r="K27" s="75">
        <v>25041</v>
      </c>
    </row>
    <row r="28" spans="2:12">
      <c r="B28" s="1299" t="s">
        <v>810</v>
      </c>
      <c r="C28" s="1299"/>
      <c r="D28" s="75"/>
      <c r="E28" s="1044"/>
      <c r="F28" s="599"/>
      <c r="G28" s="82"/>
    </row>
    <row r="29" spans="2:12">
      <c r="B29" s="1298" t="s">
        <v>811</v>
      </c>
      <c r="C29" s="1298"/>
      <c r="D29" s="75"/>
      <c r="E29" s="1044"/>
      <c r="F29" s="599"/>
      <c r="G29" s="82"/>
    </row>
    <row r="30" spans="2:12">
      <c r="B30" s="1298" t="s">
        <v>853</v>
      </c>
      <c r="C30" s="1298"/>
      <c r="D30" s="75"/>
      <c r="E30" s="1047"/>
      <c r="F30" s="603"/>
      <c r="G30" s="101">
        <v>0</v>
      </c>
      <c r="K30" s="75">
        <v>0</v>
      </c>
      <c r="L30" s="75">
        <v>0</v>
      </c>
    </row>
    <row r="31" spans="2:12">
      <c r="B31" s="99" t="s">
        <v>812</v>
      </c>
      <c r="C31" s="75"/>
      <c r="D31" s="75"/>
      <c r="E31" s="1047">
        <v>0</v>
      </c>
      <c r="F31" s="603">
        <v>-13597</v>
      </c>
      <c r="G31" s="101">
        <v>0</v>
      </c>
      <c r="J31" s="75">
        <v>-12010</v>
      </c>
      <c r="K31" s="75">
        <v>52840</v>
      </c>
      <c r="L31" s="75">
        <v>0</v>
      </c>
    </row>
    <row r="32" spans="2:12">
      <c r="B32" s="99" t="s">
        <v>813</v>
      </c>
      <c r="C32" s="75"/>
      <c r="D32" s="75"/>
      <c r="E32" s="1047">
        <v>0</v>
      </c>
      <c r="F32" s="603">
        <v>56046</v>
      </c>
      <c r="G32" s="101">
        <v>0</v>
      </c>
      <c r="J32" s="75">
        <v>-24620</v>
      </c>
      <c r="K32" s="75">
        <v>114146</v>
      </c>
      <c r="L32" s="75">
        <v>0</v>
      </c>
    </row>
    <row r="33" spans="2:12">
      <c r="B33" s="92"/>
      <c r="C33" s="92"/>
      <c r="D33" s="92"/>
      <c r="E33" s="1048">
        <f>SUM(E27:E32)</f>
        <v>0</v>
      </c>
      <c r="F33" s="604">
        <v>199507</v>
      </c>
      <c r="G33" s="92">
        <f>SUM(G27:G32)</f>
        <v>0</v>
      </c>
      <c r="H33" s="604">
        <f>SUM(H27:H32)</f>
        <v>0</v>
      </c>
      <c r="J33" s="75">
        <v>155397</v>
      </c>
      <c r="K33" s="75">
        <v>192027</v>
      </c>
      <c r="L33" s="75">
        <v>0</v>
      </c>
    </row>
    <row r="34" spans="2:12">
      <c r="B34" s="81" t="s">
        <v>814</v>
      </c>
      <c r="C34" s="75"/>
      <c r="D34" s="75"/>
      <c r="E34" s="1049"/>
      <c r="F34" s="600"/>
      <c r="G34" s="102"/>
    </row>
    <row r="35" spans="2:12">
      <c r="B35" s="78" t="s">
        <v>815</v>
      </c>
      <c r="C35" s="75"/>
      <c r="D35" s="75"/>
      <c r="E35" s="1049">
        <v>0</v>
      </c>
      <c r="F35" s="600">
        <v>0</v>
      </c>
      <c r="G35" s="102"/>
    </row>
    <row r="36" spans="2:12" ht="28.8">
      <c r="B36" s="103" t="s">
        <v>816</v>
      </c>
      <c r="C36" s="75"/>
      <c r="D36" s="75"/>
      <c r="E36" s="1049"/>
      <c r="F36" s="600"/>
      <c r="G36" s="102"/>
    </row>
    <row r="37" spans="2:12">
      <c r="B37" s="78" t="s">
        <v>817</v>
      </c>
      <c r="C37" s="75"/>
      <c r="D37" s="75"/>
      <c r="E37" s="1049">
        <v>0</v>
      </c>
      <c r="F37" s="603">
        <v>0</v>
      </c>
      <c r="G37" s="95">
        <v>0</v>
      </c>
    </row>
    <row r="38" spans="2:12">
      <c r="B38" s="92"/>
      <c r="C38" s="92"/>
      <c r="D38" s="92"/>
      <c r="E38" s="1048">
        <f>SUM(E35:E37)</f>
        <v>0</v>
      </c>
      <c r="F38" s="605">
        <v>0</v>
      </c>
      <c r="G38" s="95"/>
      <c r="H38" s="604">
        <f>SUM(H35:H37)</f>
        <v>0</v>
      </c>
    </row>
    <row r="39" spans="2:12" ht="15" thickBot="1">
      <c r="B39" s="104" t="s">
        <v>818</v>
      </c>
      <c r="C39" s="105"/>
      <c r="D39" s="105"/>
      <c r="E39" s="1050">
        <f>+E20+E25+E33-E27</f>
        <v>730309</v>
      </c>
      <c r="F39" s="606">
        <v>730309</v>
      </c>
      <c r="G39" s="92" t="e">
        <f>+G25+G33+G37</f>
        <v>#VALUE!</v>
      </c>
      <c r="H39" s="606">
        <f>+H20+H25+H33-H27</f>
        <v>0</v>
      </c>
      <c r="I39" s="98"/>
    </row>
    <row r="40" spans="2:12" ht="10.5" customHeight="1" thickTop="1">
      <c r="B40" s="78"/>
      <c r="C40" s="102"/>
      <c r="D40" s="102"/>
      <c r="E40" s="600"/>
      <c r="F40" s="599"/>
      <c r="G40" s="102"/>
    </row>
    <row r="41" spans="2:12">
      <c r="B41" s="1297" t="s">
        <v>819</v>
      </c>
      <c r="C41" s="1297"/>
    </row>
    <row r="42" spans="2:12">
      <c r="B42" s="76" t="s">
        <v>820</v>
      </c>
    </row>
    <row r="43" spans="2:12" ht="29.25" customHeight="1">
      <c r="B43" s="1284" t="s">
        <v>821</v>
      </c>
      <c r="C43" s="1284"/>
      <c r="D43" s="1284"/>
      <c r="E43" s="1284"/>
      <c r="F43" s="1284"/>
      <c r="G43" s="1284"/>
    </row>
    <row r="44" spans="2:12" ht="15.75" customHeight="1">
      <c r="E44" s="1051" t="s">
        <v>1567</v>
      </c>
      <c r="F44" s="106" t="s">
        <v>1350</v>
      </c>
      <c r="G44" s="92" t="s">
        <v>804</v>
      </c>
    </row>
    <row r="45" spans="2:12">
      <c r="B45" s="75" t="s">
        <v>269</v>
      </c>
      <c r="E45" s="107"/>
      <c r="F45" s="107">
        <v>7.3999999999999996E-2</v>
      </c>
      <c r="G45" s="108">
        <v>7.9799999999999996E-2</v>
      </c>
    </row>
    <row r="46" spans="2:12">
      <c r="B46" s="75" t="s">
        <v>822</v>
      </c>
      <c r="E46" s="107"/>
      <c r="F46" s="107">
        <v>7.4999999999999997E-2</v>
      </c>
      <c r="G46" s="108">
        <v>0.105</v>
      </c>
    </row>
    <row r="47" spans="2:12">
      <c r="B47" s="75" t="s">
        <v>823</v>
      </c>
      <c r="D47" s="109" t="s">
        <v>824</v>
      </c>
      <c r="E47" s="107"/>
      <c r="F47" s="107"/>
      <c r="G47" s="108"/>
    </row>
    <row r="48" spans="2:12">
      <c r="D48" s="109" t="s">
        <v>825</v>
      </c>
      <c r="E48" s="107"/>
      <c r="F48" s="107">
        <v>0.05</v>
      </c>
      <c r="G48" s="108"/>
    </row>
    <row r="49" spans="2:7">
      <c r="D49" s="109" t="s">
        <v>826</v>
      </c>
      <c r="E49" s="107"/>
      <c r="F49" s="107">
        <v>0.03</v>
      </c>
      <c r="G49" s="108"/>
    </row>
    <row r="50" spans="2:7">
      <c r="D50" s="109" t="s">
        <v>827</v>
      </c>
      <c r="E50" s="107"/>
      <c r="F50" s="107">
        <v>0.02</v>
      </c>
      <c r="G50" s="108"/>
    </row>
    <row r="51" spans="2:7" ht="43.2">
      <c r="B51" s="75" t="s">
        <v>828</v>
      </c>
      <c r="E51" s="107"/>
      <c r="F51" s="107" t="s">
        <v>1049</v>
      </c>
      <c r="G51" s="108"/>
    </row>
    <row r="52" spans="2:7">
      <c r="E52" s="107"/>
      <c r="F52" s="107"/>
      <c r="G52" s="108"/>
    </row>
    <row r="53" spans="2:7" ht="41.25" customHeight="1">
      <c r="B53" s="1284" t="s">
        <v>1050</v>
      </c>
      <c r="C53" s="1284"/>
      <c r="D53" s="1284"/>
      <c r="E53" s="1284"/>
      <c r="F53" s="1284"/>
      <c r="G53" s="1284"/>
    </row>
    <row r="54" spans="2:7" ht="30" customHeight="1">
      <c r="B54" s="1289" t="s">
        <v>851</v>
      </c>
      <c r="C54" s="1289"/>
      <c r="D54" s="1289"/>
      <c r="E54" s="1289"/>
      <c r="F54" s="1289"/>
      <c r="G54" s="80"/>
    </row>
    <row r="55" spans="2:7" ht="31.5" customHeight="1">
      <c r="B55" s="1289" t="s">
        <v>852</v>
      </c>
      <c r="C55" s="1289"/>
      <c r="D55" s="1289"/>
      <c r="E55" s="1289"/>
      <c r="F55" s="1289"/>
      <c r="G55" s="80"/>
    </row>
    <row r="56" spans="2:7">
      <c r="B56" s="76" t="s">
        <v>829</v>
      </c>
    </row>
    <row r="57" spans="2:7" ht="52.5" customHeight="1">
      <c r="B57" s="1284" t="s">
        <v>830</v>
      </c>
      <c r="C57" s="1284"/>
      <c r="D57" s="1284"/>
      <c r="E57" s="1284"/>
      <c r="F57" s="1284"/>
      <c r="G57" s="1284"/>
    </row>
    <row r="58" spans="2:7">
      <c r="B58" s="88"/>
      <c r="C58" s="1290" t="s">
        <v>1567</v>
      </c>
      <c r="D58" s="1290"/>
      <c r="E58" s="1291" t="s">
        <v>1350</v>
      </c>
      <c r="F58" s="1291"/>
      <c r="G58" s="79"/>
    </row>
    <row r="59" spans="2:7">
      <c r="B59" s="88"/>
      <c r="C59" s="1052" t="s">
        <v>831</v>
      </c>
      <c r="D59" s="1052" t="s">
        <v>832</v>
      </c>
      <c r="E59" s="110" t="s">
        <v>831</v>
      </c>
      <c r="F59" s="110" t="s">
        <v>832</v>
      </c>
      <c r="G59" s="79"/>
    </row>
    <row r="60" spans="2:7" ht="32.25" customHeight="1">
      <c r="B60" s="111" t="s">
        <v>833</v>
      </c>
      <c r="C60" s="112"/>
      <c r="D60" s="112"/>
      <c r="E60" s="112">
        <v>-8.8800000000000004E-2</v>
      </c>
      <c r="F60" s="112">
        <v>0.10050000000000001</v>
      </c>
      <c r="G60" s="113"/>
    </row>
    <row r="61" spans="2:7" ht="30.75" customHeight="1">
      <c r="B61" s="111" t="s">
        <v>834</v>
      </c>
      <c r="C61" s="112"/>
      <c r="D61" s="112"/>
      <c r="E61" s="112">
        <v>9.9900000000000003E-2</v>
      </c>
      <c r="F61" s="112">
        <v>-8.9200000000000002E-2</v>
      </c>
      <c r="G61" s="113"/>
    </row>
    <row r="62" spans="2:7" ht="15.6">
      <c r="B62" s="1287"/>
      <c r="C62" s="1287"/>
      <c r="D62" s="1287"/>
      <c r="E62" s="1287"/>
      <c r="F62" s="1287"/>
      <c r="G62" s="1287"/>
    </row>
    <row r="64" spans="2:7">
      <c r="B64" s="1288" t="s">
        <v>835</v>
      </c>
      <c r="C64" s="1288"/>
      <c r="D64" s="1288"/>
      <c r="E64" s="1288"/>
      <c r="F64" s="88"/>
      <c r="G64" s="88"/>
    </row>
    <row r="65" spans="2:10" ht="34.5" customHeight="1">
      <c r="B65" s="88"/>
      <c r="C65" s="75"/>
      <c r="D65" s="75"/>
      <c r="E65" s="1053" t="str">
        <f>C58</f>
        <v>31st March, 2024</v>
      </c>
      <c r="F65" s="114" t="str">
        <f>E58</f>
        <v>31st March, 2023</v>
      </c>
      <c r="G65" s="88"/>
      <c r="I65" s="29"/>
    </row>
    <row r="66" spans="2:10">
      <c r="B66" s="1286" t="s">
        <v>836</v>
      </c>
      <c r="C66" s="1286"/>
      <c r="D66" s="115"/>
      <c r="E66" s="607"/>
      <c r="F66" s="1110">
        <v>20802</v>
      </c>
      <c r="G66" s="608"/>
      <c r="I66" s="116">
        <f>ROUND(9203,0)</f>
        <v>9203</v>
      </c>
    </row>
    <row r="67" spans="2:10">
      <c r="B67" s="88" t="s">
        <v>837</v>
      </c>
      <c r="C67" s="88"/>
      <c r="D67" s="88"/>
      <c r="E67" s="607"/>
      <c r="F67" s="1110">
        <v>20779</v>
      </c>
      <c r="G67" s="608"/>
      <c r="I67" s="116">
        <f>ROUND(15613,0)</f>
        <v>15613</v>
      </c>
    </row>
    <row r="68" spans="2:10">
      <c r="B68" s="88" t="s">
        <v>838</v>
      </c>
      <c r="C68" s="88"/>
      <c r="D68" s="88"/>
      <c r="E68" s="607"/>
      <c r="F68" s="1110">
        <v>23591</v>
      </c>
      <c r="G68" s="608"/>
      <c r="I68" s="116">
        <f>ROUND(16503,0)</f>
        <v>16503</v>
      </c>
    </row>
    <row r="69" spans="2:10">
      <c r="B69" s="88" t="s">
        <v>839</v>
      </c>
      <c r="C69" s="88"/>
      <c r="D69" s="88"/>
      <c r="E69" s="607"/>
      <c r="F69" s="1110">
        <v>27502</v>
      </c>
      <c r="G69" s="608"/>
      <c r="I69" s="116">
        <f>ROUND(17995,0)</f>
        <v>17995</v>
      </c>
    </row>
    <row r="70" spans="2:10">
      <c r="B70" s="88" t="s">
        <v>840</v>
      </c>
      <c r="C70" s="88"/>
      <c r="D70" s="88"/>
      <c r="E70" s="607"/>
      <c r="F70" s="1110">
        <v>31414</v>
      </c>
      <c r="G70" s="608"/>
      <c r="I70" s="116">
        <f>ROUND(20251,0)</f>
        <v>20251</v>
      </c>
    </row>
    <row r="71" spans="2:10">
      <c r="B71" s="88" t="s">
        <v>841</v>
      </c>
      <c r="C71" s="88"/>
      <c r="D71" s="88"/>
      <c r="E71" s="607"/>
      <c r="F71" s="1110">
        <v>30296</v>
      </c>
      <c r="G71" s="608"/>
      <c r="I71" s="116">
        <f>ROUND(20377,0)</f>
        <v>20377</v>
      </c>
    </row>
    <row r="72" spans="2:10">
      <c r="B72" s="88" t="s">
        <v>842</v>
      </c>
      <c r="C72" s="88"/>
      <c r="D72" s="88"/>
      <c r="E72" s="607"/>
      <c r="F72" s="1110">
        <v>30735</v>
      </c>
      <c r="G72" s="608"/>
      <c r="I72" s="116">
        <f>ROUND(19546,0)</f>
        <v>19546</v>
      </c>
    </row>
    <row r="73" spans="2:10">
      <c r="B73" s="88" t="s">
        <v>843</v>
      </c>
      <c r="C73" s="88"/>
      <c r="D73" s="88"/>
      <c r="E73" s="607"/>
      <c r="F73" s="1110">
        <v>29807</v>
      </c>
      <c r="G73" s="608"/>
      <c r="I73" s="116">
        <f>ROUND(20193,0)</f>
        <v>20193</v>
      </c>
    </row>
    <row r="74" spans="2:10">
      <c r="B74" s="88" t="s">
        <v>844</v>
      </c>
      <c r="C74" s="88"/>
      <c r="D74" s="88"/>
      <c r="E74" s="607"/>
      <c r="F74" s="1110">
        <v>42893</v>
      </c>
      <c r="G74" s="608"/>
      <c r="I74" s="116">
        <f>ROUND(19368,0)</f>
        <v>19368</v>
      </c>
    </row>
    <row r="75" spans="2:10">
      <c r="B75" s="88" t="s">
        <v>845</v>
      </c>
      <c r="C75" s="88"/>
      <c r="D75" s="88"/>
      <c r="E75" s="607"/>
      <c r="F75" s="1110">
        <v>3600549</v>
      </c>
      <c r="G75" s="608"/>
      <c r="I75" s="116">
        <f>ROUND(2404691,0)</f>
        <v>2404691</v>
      </c>
    </row>
    <row r="76" spans="2:10">
      <c r="B76" s="88"/>
      <c r="C76" s="88"/>
      <c r="D76" s="88"/>
      <c r="E76" s="88"/>
      <c r="F76" s="88"/>
      <c r="G76" s="88"/>
    </row>
    <row r="77" spans="2:10" ht="31.5" customHeight="1">
      <c r="B77" s="1284" t="s">
        <v>1681</v>
      </c>
      <c r="C77" s="1284"/>
      <c r="D77" s="1284"/>
      <c r="E77" s="1284"/>
      <c r="F77" s="1284"/>
      <c r="G77" s="1284"/>
    </row>
    <row r="78" spans="2:10">
      <c r="B78" s="79"/>
      <c r="C78" s="79"/>
      <c r="D78" s="79"/>
      <c r="E78" s="79"/>
      <c r="F78" s="79"/>
      <c r="G78" s="79"/>
    </row>
    <row r="79" spans="2:10">
      <c r="B79" s="81" t="s">
        <v>846</v>
      </c>
      <c r="C79" s="79"/>
      <c r="D79" s="79"/>
      <c r="E79" s="79"/>
      <c r="F79" s="79"/>
      <c r="G79" s="79"/>
    </row>
    <row r="80" spans="2:10" ht="44.25" customHeight="1">
      <c r="B80" s="1285" t="s">
        <v>1624</v>
      </c>
      <c r="C80" s="1285"/>
      <c r="D80" s="1285"/>
      <c r="E80" s="1285"/>
      <c r="F80" s="1285"/>
      <c r="G80" s="79"/>
      <c r="I80" s="75">
        <f>+Notes!D463</f>
        <v>0</v>
      </c>
      <c r="J80" s="75">
        <f>+Notes!E463</f>
        <v>479272</v>
      </c>
    </row>
    <row r="81" spans="1:7">
      <c r="B81" s="1286"/>
      <c r="C81" s="1286"/>
      <c r="D81" s="1286"/>
      <c r="E81" s="1286"/>
      <c r="F81" s="1286"/>
      <c r="G81" s="1286"/>
    </row>
    <row r="82" spans="1:7" hidden="1">
      <c r="A82" s="15">
        <f>+A5+1</f>
        <v>37</v>
      </c>
      <c r="B82" s="16" t="s">
        <v>847</v>
      </c>
      <c r="C82" s="12"/>
      <c r="D82" s="12"/>
    </row>
    <row r="83" spans="1:7" hidden="1">
      <c r="A83" s="17">
        <v>1</v>
      </c>
      <c r="B83" s="16" t="s">
        <v>762</v>
      </c>
      <c r="C83" s="12"/>
      <c r="D83" s="12"/>
    </row>
    <row r="84" spans="1:7" hidden="1">
      <c r="A84" s="13"/>
      <c r="B84" s="16"/>
      <c r="C84" s="12"/>
      <c r="D84" s="12"/>
    </row>
    <row r="85" spans="1:7" hidden="1">
      <c r="A85" s="17" t="s">
        <v>388</v>
      </c>
      <c r="B85" s="16" t="s">
        <v>763</v>
      </c>
      <c r="C85" s="12"/>
      <c r="D85" s="12"/>
    </row>
    <row r="86" spans="1:7" hidden="1">
      <c r="A86" s="15" t="s">
        <v>764</v>
      </c>
      <c r="B86" s="11" t="s">
        <v>765</v>
      </c>
      <c r="C86" s="12"/>
      <c r="D86" s="12"/>
    </row>
    <row r="87" spans="1:7" hidden="1">
      <c r="A87" s="18"/>
      <c r="B87" s="19" t="s">
        <v>766</v>
      </c>
      <c r="C87" s="12"/>
      <c r="D87" s="12"/>
    </row>
    <row r="88" spans="1:7" hidden="1">
      <c r="A88" s="18"/>
      <c r="B88" s="19"/>
      <c r="C88" s="12"/>
      <c r="D88" s="455"/>
    </row>
    <row r="89" spans="1:7" hidden="1">
      <c r="A89" s="15" t="s">
        <v>425</v>
      </c>
      <c r="B89" s="11" t="s">
        <v>767</v>
      </c>
      <c r="C89" s="20"/>
      <c r="D89" s="20"/>
    </row>
    <row r="90" spans="1:7" hidden="1">
      <c r="A90" s="18" t="s">
        <v>764</v>
      </c>
      <c r="B90" s="19" t="s">
        <v>768</v>
      </c>
      <c r="C90" s="20"/>
      <c r="D90" s="20"/>
    </row>
    <row r="91" spans="1:7" hidden="1">
      <c r="A91" s="18" t="s">
        <v>769</v>
      </c>
      <c r="B91" s="19" t="s">
        <v>770</v>
      </c>
      <c r="C91" s="12"/>
      <c r="D91" s="12"/>
    </row>
    <row r="92" spans="1:7" hidden="1">
      <c r="A92" s="18" t="s">
        <v>771</v>
      </c>
      <c r="B92" s="19" t="s">
        <v>772</v>
      </c>
      <c r="C92" s="12"/>
      <c r="D92" s="12"/>
    </row>
    <row r="93" spans="1:7" hidden="1">
      <c r="A93" s="18" t="s">
        <v>773</v>
      </c>
      <c r="B93" s="19" t="s">
        <v>848</v>
      </c>
      <c r="C93" s="12"/>
      <c r="D93" s="12"/>
    </row>
    <row r="94" spans="1:7" hidden="1">
      <c r="A94" s="18" t="s">
        <v>774</v>
      </c>
      <c r="B94" s="19" t="s">
        <v>775</v>
      </c>
      <c r="C94" s="12"/>
      <c r="D94" s="12"/>
    </row>
    <row r="95" spans="1:7" hidden="1">
      <c r="A95" s="18"/>
      <c r="B95" s="456"/>
      <c r="C95" s="12"/>
      <c r="D95" s="12"/>
    </row>
    <row r="96" spans="1:7" hidden="1">
      <c r="A96" s="17" t="s">
        <v>769</v>
      </c>
      <c r="B96" s="16" t="s">
        <v>779</v>
      </c>
      <c r="C96" s="12"/>
      <c r="D96" s="12"/>
    </row>
    <row r="97" spans="1:5" hidden="1">
      <c r="A97" s="18"/>
      <c r="B97" s="19" t="s">
        <v>140</v>
      </c>
      <c r="C97" s="12"/>
      <c r="D97" s="12"/>
    </row>
    <row r="98" spans="1:5" hidden="1">
      <c r="A98" s="18"/>
      <c r="B98" s="19" t="s">
        <v>141</v>
      </c>
      <c r="C98" s="12"/>
      <c r="D98" s="12"/>
    </row>
    <row r="99" spans="1:5" hidden="1">
      <c r="A99" s="18"/>
      <c r="B99" s="19" t="s">
        <v>787</v>
      </c>
      <c r="C99" s="12"/>
      <c r="D99" s="12"/>
    </row>
    <row r="100" spans="1:5" hidden="1">
      <c r="A100" s="18"/>
      <c r="B100" s="19" t="s">
        <v>777</v>
      </c>
      <c r="C100" s="12"/>
      <c r="D100" s="12"/>
    </row>
    <row r="101" spans="1:5" hidden="1">
      <c r="A101" s="18"/>
      <c r="B101" s="19"/>
      <c r="C101" s="12"/>
      <c r="D101" s="12"/>
    </row>
    <row r="102" spans="1:5" hidden="1">
      <c r="A102" s="17" t="s">
        <v>771</v>
      </c>
      <c r="B102" s="11" t="s">
        <v>849</v>
      </c>
      <c r="C102" s="12"/>
      <c r="D102" s="12"/>
    </row>
    <row r="103" spans="1:5" hidden="1">
      <c r="A103" s="17"/>
      <c r="B103" s="19" t="s">
        <v>780</v>
      </c>
      <c r="C103" s="12"/>
      <c r="D103" s="12"/>
    </row>
    <row r="104" spans="1:5">
      <c r="B104" s="17"/>
      <c r="C104" s="19"/>
      <c r="D104" s="12"/>
      <c r="E104" s="12"/>
    </row>
  </sheetData>
  <mergeCells count="28">
    <mergeCell ref="B9:G9"/>
    <mergeCell ref="A1:F1"/>
    <mergeCell ref="A2:F2"/>
    <mergeCell ref="A3:F3"/>
    <mergeCell ref="B7:G7"/>
    <mergeCell ref="B8:G8"/>
    <mergeCell ref="B53:G53"/>
    <mergeCell ref="B41:C41"/>
    <mergeCell ref="B30:C30"/>
    <mergeCell ref="B29:C29"/>
    <mergeCell ref="B28:C28"/>
    <mergeCell ref="B10:G10"/>
    <mergeCell ref="B11:G11"/>
    <mergeCell ref="B16:G16"/>
    <mergeCell ref="E18:G18"/>
    <mergeCell ref="B43:G43"/>
    <mergeCell ref="B17:G17"/>
    <mergeCell ref="B54:F54"/>
    <mergeCell ref="B55:F55"/>
    <mergeCell ref="B57:G57"/>
    <mergeCell ref="C58:D58"/>
    <mergeCell ref="E58:F58"/>
    <mergeCell ref="B77:G77"/>
    <mergeCell ref="B80:F80"/>
    <mergeCell ref="B81:G81"/>
    <mergeCell ref="B62:G62"/>
    <mergeCell ref="B64:E64"/>
    <mergeCell ref="B66:C66"/>
  </mergeCells>
  <pageMargins left="0.74803149606299213" right="0.70866141732283472" top="0.51181102362204722" bottom="0.43307086614173229" header="0.31496062992125984" footer="0.31496062992125984"/>
  <pageSetup paperSize="9" scale="83" orientation="portrait" r:id="rId1"/>
  <rowBreaks count="1" manualBreakCount="1">
    <brk id="5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Q145"/>
  <sheetViews>
    <sheetView tabSelected="1" topLeftCell="A37" zoomScaleNormal="100" workbookViewId="0">
      <selection activeCell="H43" sqref="H43:H44"/>
    </sheetView>
  </sheetViews>
  <sheetFormatPr defaultRowHeight="14.4"/>
  <cols>
    <col min="1" max="1" width="4.21875" style="1143" customWidth="1"/>
    <col min="2" max="2" width="57.21875" style="1143" customWidth="1"/>
    <col min="3" max="3" width="14.21875" style="1144" customWidth="1"/>
    <col min="4" max="4" width="14.44140625" style="1143" customWidth="1"/>
    <col min="5" max="5" width="13" style="1143" customWidth="1"/>
    <col min="6" max="6" width="14.5546875" style="1143" bestFit="1" customWidth="1"/>
    <col min="7" max="7" width="9.21875" style="1143"/>
    <col min="8" max="8" width="10.88671875" style="1143" bestFit="1" customWidth="1"/>
    <col min="9" max="9" width="17.21875" style="1143" customWidth="1"/>
    <col min="10" max="12" width="9.21875" style="1143"/>
    <col min="13" max="13" width="14.77734375" style="1143" bestFit="1" customWidth="1"/>
    <col min="14" max="15" width="9.21875" style="1143"/>
    <col min="16" max="16" width="16" style="1143" customWidth="1"/>
    <col min="17" max="17" width="9.44140625" style="1143" bestFit="1" customWidth="1"/>
    <col min="18" max="257" width="9.21875" style="1143"/>
    <col min="258" max="258" width="4.21875" style="1143" customWidth="1"/>
    <col min="259" max="259" width="59.77734375" style="1143" customWidth="1"/>
    <col min="260" max="260" width="13.21875" style="1143" customWidth="1"/>
    <col min="261" max="261" width="12.21875" style="1143" customWidth="1"/>
    <col min="262" max="262" width="11.44140625" style="1143" customWidth="1"/>
    <col min="263" max="263" width="12.77734375" style="1143" customWidth="1"/>
    <col min="264" max="264" width="13" style="1143" customWidth="1"/>
    <col min="265" max="265" width="11.5546875" style="1143" customWidth="1"/>
    <col min="266" max="513" width="9.21875" style="1143"/>
    <col min="514" max="514" width="4.21875" style="1143" customWidth="1"/>
    <col min="515" max="515" width="59.77734375" style="1143" customWidth="1"/>
    <col min="516" max="516" width="13.21875" style="1143" customWidth="1"/>
    <col min="517" max="517" width="12.21875" style="1143" customWidth="1"/>
    <col min="518" max="518" width="11.44140625" style="1143" customWidth="1"/>
    <col min="519" max="519" width="12.77734375" style="1143" customWidth="1"/>
    <col min="520" max="520" width="13" style="1143" customWidth="1"/>
    <col min="521" max="521" width="11.5546875" style="1143" customWidth="1"/>
    <col min="522" max="769" width="9.21875" style="1143"/>
    <col min="770" max="770" width="4.21875" style="1143" customWidth="1"/>
    <col min="771" max="771" width="59.77734375" style="1143" customWidth="1"/>
    <col min="772" max="772" width="13.21875" style="1143" customWidth="1"/>
    <col min="773" max="773" width="12.21875" style="1143" customWidth="1"/>
    <col min="774" max="774" width="11.44140625" style="1143" customWidth="1"/>
    <col min="775" max="775" width="12.77734375" style="1143" customWidth="1"/>
    <col min="776" max="776" width="13" style="1143" customWidth="1"/>
    <col min="777" max="777" width="11.5546875" style="1143" customWidth="1"/>
    <col min="778" max="1025" width="9.21875" style="1143"/>
    <col min="1026" max="1026" width="4.21875" style="1143" customWidth="1"/>
    <col min="1027" max="1027" width="59.77734375" style="1143" customWidth="1"/>
    <col min="1028" max="1028" width="13.21875" style="1143" customWidth="1"/>
    <col min="1029" max="1029" width="12.21875" style="1143" customWidth="1"/>
    <col min="1030" max="1030" width="11.44140625" style="1143" customWidth="1"/>
    <col min="1031" max="1031" width="12.77734375" style="1143" customWidth="1"/>
    <col min="1032" max="1032" width="13" style="1143" customWidth="1"/>
    <col min="1033" max="1033" width="11.5546875" style="1143" customWidth="1"/>
    <col min="1034" max="1281" width="9.21875" style="1143"/>
    <col min="1282" max="1282" width="4.21875" style="1143" customWidth="1"/>
    <col min="1283" max="1283" width="59.77734375" style="1143" customWidth="1"/>
    <col min="1284" max="1284" width="13.21875" style="1143" customWidth="1"/>
    <col min="1285" max="1285" width="12.21875" style="1143" customWidth="1"/>
    <col min="1286" max="1286" width="11.44140625" style="1143" customWidth="1"/>
    <col min="1287" max="1287" width="12.77734375" style="1143" customWidth="1"/>
    <col min="1288" max="1288" width="13" style="1143" customWidth="1"/>
    <col min="1289" max="1289" width="11.5546875" style="1143" customWidth="1"/>
    <col min="1290" max="1537" width="9.21875" style="1143"/>
    <col min="1538" max="1538" width="4.21875" style="1143" customWidth="1"/>
    <col min="1539" max="1539" width="59.77734375" style="1143" customWidth="1"/>
    <col min="1540" max="1540" width="13.21875" style="1143" customWidth="1"/>
    <col min="1541" max="1541" width="12.21875" style="1143" customWidth="1"/>
    <col min="1542" max="1542" width="11.44140625" style="1143" customWidth="1"/>
    <col min="1543" max="1543" width="12.77734375" style="1143" customWidth="1"/>
    <col min="1544" max="1544" width="13" style="1143" customWidth="1"/>
    <col min="1545" max="1545" width="11.5546875" style="1143" customWidth="1"/>
    <col min="1546" max="1793" width="9.21875" style="1143"/>
    <col min="1794" max="1794" width="4.21875" style="1143" customWidth="1"/>
    <col min="1795" max="1795" width="59.77734375" style="1143" customWidth="1"/>
    <col min="1796" max="1796" width="13.21875" style="1143" customWidth="1"/>
    <col min="1797" max="1797" width="12.21875" style="1143" customWidth="1"/>
    <col min="1798" max="1798" width="11.44140625" style="1143" customWidth="1"/>
    <col min="1799" max="1799" width="12.77734375" style="1143" customWidth="1"/>
    <col min="1800" max="1800" width="13" style="1143" customWidth="1"/>
    <col min="1801" max="1801" width="11.5546875" style="1143" customWidth="1"/>
    <col min="1802" max="2049" width="9.21875" style="1143"/>
    <col min="2050" max="2050" width="4.21875" style="1143" customWidth="1"/>
    <col min="2051" max="2051" width="59.77734375" style="1143" customWidth="1"/>
    <col min="2052" max="2052" width="13.21875" style="1143" customWidth="1"/>
    <col min="2053" max="2053" width="12.21875" style="1143" customWidth="1"/>
    <col min="2054" max="2054" width="11.44140625" style="1143" customWidth="1"/>
    <col min="2055" max="2055" width="12.77734375" style="1143" customWidth="1"/>
    <col min="2056" max="2056" width="13" style="1143" customWidth="1"/>
    <col min="2057" max="2057" width="11.5546875" style="1143" customWidth="1"/>
    <col min="2058" max="2305" width="9.21875" style="1143"/>
    <col min="2306" max="2306" width="4.21875" style="1143" customWidth="1"/>
    <col min="2307" max="2307" width="59.77734375" style="1143" customWidth="1"/>
    <col min="2308" max="2308" width="13.21875" style="1143" customWidth="1"/>
    <col min="2309" max="2309" width="12.21875" style="1143" customWidth="1"/>
    <col min="2310" max="2310" width="11.44140625" style="1143" customWidth="1"/>
    <col min="2311" max="2311" width="12.77734375" style="1143" customWidth="1"/>
    <col min="2312" max="2312" width="13" style="1143" customWidth="1"/>
    <col min="2313" max="2313" width="11.5546875" style="1143" customWidth="1"/>
    <col min="2314" max="2561" width="9.21875" style="1143"/>
    <col min="2562" max="2562" width="4.21875" style="1143" customWidth="1"/>
    <col min="2563" max="2563" width="59.77734375" style="1143" customWidth="1"/>
    <col min="2564" max="2564" width="13.21875" style="1143" customWidth="1"/>
    <col min="2565" max="2565" width="12.21875" style="1143" customWidth="1"/>
    <col min="2566" max="2566" width="11.44140625" style="1143" customWidth="1"/>
    <col min="2567" max="2567" width="12.77734375" style="1143" customWidth="1"/>
    <col min="2568" max="2568" width="13" style="1143" customWidth="1"/>
    <col min="2569" max="2569" width="11.5546875" style="1143" customWidth="1"/>
    <col min="2570" max="2817" width="9.21875" style="1143"/>
    <col min="2818" max="2818" width="4.21875" style="1143" customWidth="1"/>
    <col min="2819" max="2819" width="59.77734375" style="1143" customWidth="1"/>
    <col min="2820" max="2820" width="13.21875" style="1143" customWidth="1"/>
    <col min="2821" max="2821" width="12.21875" style="1143" customWidth="1"/>
    <col min="2822" max="2822" width="11.44140625" style="1143" customWidth="1"/>
    <col min="2823" max="2823" width="12.77734375" style="1143" customWidth="1"/>
    <col min="2824" max="2824" width="13" style="1143" customWidth="1"/>
    <col min="2825" max="2825" width="11.5546875" style="1143" customWidth="1"/>
    <col min="2826" max="3073" width="9.21875" style="1143"/>
    <col min="3074" max="3074" width="4.21875" style="1143" customWidth="1"/>
    <col min="3075" max="3075" width="59.77734375" style="1143" customWidth="1"/>
    <col min="3076" max="3076" width="13.21875" style="1143" customWidth="1"/>
    <col min="3077" max="3077" width="12.21875" style="1143" customWidth="1"/>
    <col min="3078" max="3078" width="11.44140625" style="1143" customWidth="1"/>
    <col min="3079" max="3079" width="12.77734375" style="1143" customWidth="1"/>
    <col min="3080" max="3080" width="13" style="1143" customWidth="1"/>
    <col min="3081" max="3081" width="11.5546875" style="1143" customWidth="1"/>
    <col min="3082" max="3329" width="9.21875" style="1143"/>
    <col min="3330" max="3330" width="4.21875" style="1143" customWidth="1"/>
    <col min="3331" max="3331" width="59.77734375" style="1143" customWidth="1"/>
    <col min="3332" max="3332" width="13.21875" style="1143" customWidth="1"/>
    <col min="3333" max="3333" width="12.21875" style="1143" customWidth="1"/>
    <col min="3334" max="3334" width="11.44140625" style="1143" customWidth="1"/>
    <col min="3335" max="3335" width="12.77734375" style="1143" customWidth="1"/>
    <col min="3336" max="3336" width="13" style="1143" customWidth="1"/>
    <col min="3337" max="3337" width="11.5546875" style="1143" customWidth="1"/>
    <col min="3338" max="3585" width="9.21875" style="1143"/>
    <col min="3586" max="3586" width="4.21875" style="1143" customWidth="1"/>
    <col min="3587" max="3587" width="59.77734375" style="1143" customWidth="1"/>
    <col min="3588" max="3588" width="13.21875" style="1143" customWidth="1"/>
    <col min="3589" max="3589" width="12.21875" style="1143" customWidth="1"/>
    <col min="3590" max="3590" width="11.44140625" style="1143" customWidth="1"/>
    <col min="3591" max="3591" width="12.77734375" style="1143" customWidth="1"/>
    <col min="3592" max="3592" width="13" style="1143" customWidth="1"/>
    <col min="3593" max="3593" width="11.5546875" style="1143" customWidth="1"/>
    <col min="3594" max="3841" width="9.21875" style="1143"/>
    <col min="3842" max="3842" width="4.21875" style="1143" customWidth="1"/>
    <col min="3843" max="3843" width="59.77734375" style="1143" customWidth="1"/>
    <col min="3844" max="3844" width="13.21875" style="1143" customWidth="1"/>
    <col min="3845" max="3845" width="12.21875" style="1143" customWidth="1"/>
    <col min="3846" max="3846" width="11.44140625" style="1143" customWidth="1"/>
    <col min="3847" max="3847" width="12.77734375" style="1143" customWidth="1"/>
    <col min="3848" max="3848" width="13" style="1143" customWidth="1"/>
    <col min="3849" max="3849" width="11.5546875" style="1143" customWidth="1"/>
    <col min="3850" max="4097" width="9.21875" style="1143"/>
    <col min="4098" max="4098" width="4.21875" style="1143" customWidth="1"/>
    <col min="4099" max="4099" width="59.77734375" style="1143" customWidth="1"/>
    <col min="4100" max="4100" width="13.21875" style="1143" customWidth="1"/>
    <col min="4101" max="4101" width="12.21875" style="1143" customWidth="1"/>
    <col min="4102" max="4102" width="11.44140625" style="1143" customWidth="1"/>
    <col min="4103" max="4103" width="12.77734375" style="1143" customWidth="1"/>
    <col min="4104" max="4104" width="13" style="1143" customWidth="1"/>
    <col min="4105" max="4105" width="11.5546875" style="1143" customWidth="1"/>
    <col min="4106" max="4353" width="9.21875" style="1143"/>
    <col min="4354" max="4354" width="4.21875" style="1143" customWidth="1"/>
    <col min="4355" max="4355" width="59.77734375" style="1143" customWidth="1"/>
    <col min="4356" max="4356" width="13.21875" style="1143" customWidth="1"/>
    <col min="4357" max="4357" width="12.21875" style="1143" customWidth="1"/>
    <col min="4358" max="4358" width="11.44140625" style="1143" customWidth="1"/>
    <col min="4359" max="4359" width="12.77734375" style="1143" customWidth="1"/>
    <col min="4360" max="4360" width="13" style="1143" customWidth="1"/>
    <col min="4361" max="4361" width="11.5546875" style="1143" customWidth="1"/>
    <col min="4362" max="4609" width="9.21875" style="1143"/>
    <col min="4610" max="4610" width="4.21875" style="1143" customWidth="1"/>
    <col min="4611" max="4611" width="59.77734375" style="1143" customWidth="1"/>
    <col min="4612" max="4612" width="13.21875" style="1143" customWidth="1"/>
    <col min="4613" max="4613" width="12.21875" style="1143" customWidth="1"/>
    <col min="4614" max="4614" width="11.44140625" style="1143" customWidth="1"/>
    <col min="4615" max="4615" width="12.77734375" style="1143" customWidth="1"/>
    <col min="4616" max="4616" width="13" style="1143" customWidth="1"/>
    <col min="4617" max="4617" width="11.5546875" style="1143" customWidth="1"/>
    <col min="4618" max="4865" width="9.21875" style="1143"/>
    <col min="4866" max="4866" width="4.21875" style="1143" customWidth="1"/>
    <col min="4867" max="4867" width="59.77734375" style="1143" customWidth="1"/>
    <col min="4868" max="4868" width="13.21875" style="1143" customWidth="1"/>
    <col min="4869" max="4869" width="12.21875" style="1143" customWidth="1"/>
    <col min="4870" max="4870" width="11.44140625" style="1143" customWidth="1"/>
    <col min="4871" max="4871" width="12.77734375" style="1143" customWidth="1"/>
    <col min="4872" max="4872" width="13" style="1143" customWidth="1"/>
    <col min="4873" max="4873" width="11.5546875" style="1143" customWidth="1"/>
    <col min="4874" max="5121" width="9.21875" style="1143"/>
    <col min="5122" max="5122" width="4.21875" style="1143" customWidth="1"/>
    <col min="5123" max="5123" width="59.77734375" style="1143" customWidth="1"/>
    <col min="5124" max="5124" width="13.21875" style="1143" customWidth="1"/>
    <col min="5125" max="5125" width="12.21875" style="1143" customWidth="1"/>
    <col min="5126" max="5126" width="11.44140625" style="1143" customWidth="1"/>
    <col min="5127" max="5127" width="12.77734375" style="1143" customWidth="1"/>
    <col min="5128" max="5128" width="13" style="1143" customWidth="1"/>
    <col min="5129" max="5129" width="11.5546875" style="1143" customWidth="1"/>
    <col min="5130" max="5377" width="9.21875" style="1143"/>
    <col min="5378" max="5378" width="4.21875" style="1143" customWidth="1"/>
    <col min="5379" max="5379" width="59.77734375" style="1143" customWidth="1"/>
    <col min="5380" max="5380" width="13.21875" style="1143" customWidth="1"/>
    <col min="5381" max="5381" width="12.21875" style="1143" customWidth="1"/>
    <col min="5382" max="5382" width="11.44140625" style="1143" customWidth="1"/>
    <col min="5383" max="5383" width="12.77734375" style="1143" customWidth="1"/>
    <col min="5384" max="5384" width="13" style="1143" customWidth="1"/>
    <col min="5385" max="5385" width="11.5546875" style="1143" customWidth="1"/>
    <col min="5386" max="5633" width="9.21875" style="1143"/>
    <col min="5634" max="5634" width="4.21875" style="1143" customWidth="1"/>
    <col min="5635" max="5635" width="59.77734375" style="1143" customWidth="1"/>
    <col min="5636" max="5636" width="13.21875" style="1143" customWidth="1"/>
    <col min="5637" max="5637" width="12.21875" style="1143" customWidth="1"/>
    <col min="5638" max="5638" width="11.44140625" style="1143" customWidth="1"/>
    <col min="5639" max="5639" width="12.77734375" style="1143" customWidth="1"/>
    <col min="5640" max="5640" width="13" style="1143" customWidth="1"/>
    <col min="5641" max="5641" width="11.5546875" style="1143" customWidth="1"/>
    <col min="5642" max="5889" width="9.21875" style="1143"/>
    <col min="5890" max="5890" width="4.21875" style="1143" customWidth="1"/>
    <col min="5891" max="5891" width="59.77734375" style="1143" customWidth="1"/>
    <col min="5892" max="5892" width="13.21875" style="1143" customWidth="1"/>
    <col min="5893" max="5893" width="12.21875" style="1143" customWidth="1"/>
    <col min="5894" max="5894" width="11.44140625" style="1143" customWidth="1"/>
    <col min="5895" max="5895" width="12.77734375" style="1143" customWidth="1"/>
    <col min="5896" max="5896" width="13" style="1143" customWidth="1"/>
    <col min="5897" max="5897" width="11.5546875" style="1143" customWidth="1"/>
    <col min="5898" max="6145" width="9.21875" style="1143"/>
    <col min="6146" max="6146" width="4.21875" style="1143" customWidth="1"/>
    <col min="6147" max="6147" width="59.77734375" style="1143" customWidth="1"/>
    <col min="6148" max="6148" width="13.21875" style="1143" customWidth="1"/>
    <col min="6149" max="6149" width="12.21875" style="1143" customWidth="1"/>
    <col min="6150" max="6150" width="11.44140625" style="1143" customWidth="1"/>
    <col min="6151" max="6151" width="12.77734375" style="1143" customWidth="1"/>
    <col min="6152" max="6152" width="13" style="1143" customWidth="1"/>
    <col min="6153" max="6153" width="11.5546875" style="1143" customWidth="1"/>
    <col min="6154" max="6401" width="9.21875" style="1143"/>
    <col min="6402" max="6402" width="4.21875" style="1143" customWidth="1"/>
    <col min="6403" max="6403" width="59.77734375" style="1143" customWidth="1"/>
    <col min="6404" max="6404" width="13.21875" style="1143" customWidth="1"/>
    <col min="6405" max="6405" width="12.21875" style="1143" customWidth="1"/>
    <col min="6406" max="6406" width="11.44140625" style="1143" customWidth="1"/>
    <col min="6407" max="6407" width="12.77734375" style="1143" customWidth="1"/>
    <col min="6408" max="6408" width="13" style="1143" customWidth="1"/>
    <col min="6409" max="6409" width="11.5546875" style="1143" customWidth="1"/>
    <col min="6410" max="6657" width="9.21875" style="1143"/>
    <col min="6658" max="6658" width="4.21875" style="1143" customWidth="1"/>
    <col min="6659" max="6659" width="59.77734375" style="1143" customWidth="1"/>
    <col min="6660" max="6660" width="13.21875" style="1143" customWidth="1"/>
    <col min="6661" max="6661" width="12.21875" style="1143" customWidth="1"/>
    <col min="6662" max="6662" width="11.44140625" style="1143" customWidth="1"/>
    <col min="6663" max="6663" width="12.77734375" style="1143" customWidth="1"/>
    <col min="6664" max="6664" width="13" style="1143" customWidth="1"/>
    <col min="6665" max="6665" width="11.5546875" style="1143" customWidth="1"/>
    <col min="6666" max="6913" width="9.21875" style="1143"/>
    <col min="6914" max="6914" width="4.21875" style="1143" customWidth="1"/>
    <col min="6915" max="6915" width="59.77734375" style="1143" customWidth="1"/>
    <col min="6916" max="6916" width="13.21875" style="1143" customWidth="1"/>
    <col min="6917" max="6917" width="12.21875" style="1143" customWidth="1"/>
    <col min="6918" max="6918" width="11.44140625" style="1143" customWidth="1"/>
    <col min="6919" max="6919" width="12.77734375" style="1143" customWidth="1"/>
    <col min="6920" max="6920" width="13" style="1143" customWidth="1"/>
    <col min="6921" max="6921" width="11.5546875" style="1143" customWidth="1"/>
    <col min="6922" max="7169" width="9.21875" style="1143"/>
    <col min="7170" max="7170" width="4.21875" style="1143" customWidth="1"/>
    <col min="7171" max="7171" width="59.77734375" style="1143" customWidth="1"/>
    <col min="7172" max="7172" width="13.21875" style="1143" customWidth="1"/>
    <col min="7173" max="7173" width="12.21875" style="1143" customWidth="1"/>
    <col min="7174" max="7174" width="11.44140625" style="1143" customWidth="1"/>
    <col min="7175" max="7175" width="12.77734375" style="1143" customWidth="1"/>
    <col min="7176" max="7176" width="13" style="1143" customWidth="1"/>
    <col min="7177" max="7177" width="11.5546875" style="1143" customWidth="1"/>
    <col min="7178" max="7425" width="9.21875" style="1143"/>
    <col min="7426" max="7426" width="4.21875" style="1143" customWidth="1"/>
    <col min="7427" max="7427" width="59.77734375" style="1143" customWidth="1"/>
    <col min="7428" max="7428" width="13.21875" style="1143" customWidth="1"/>
    <col min="7429" max="7429" width="12.21875" style="1143" customWidth="1"/>
    <col min="7430" max="7430" width="11.44140625" style="1143" customWidth="1"/>
    <col min="7431" max="7431" width="12.77734375" style="1143" customWidth="1"/>
    <col min="7432" max="7432" width="13" style="1143" customWidth="1"/>
    <col min="7433" max="7433" width="11.5546875" style="1143" customWidth="1"/>
    <col min="7434" max="7681" width="9.21875" style="1143"/>
    <col min="7682" max="7682" width="4.21875" style="1143" customWidth="1"/>
    <col min="7683" max="7683" width="59.77734375" style="1143" customWidth="1"/>
    <col min="7684" max="7684" width="13.21875" style="1143" customWidth="1"/>
    <col min="7685" max="7685" width="12.21875" style="1143" customWidth="1"/>
    <col min="7686" max="7686" width="11.44140625" style="1143" customWidth="1"/>
    <col min="7687" max="7687" width="12.77734375" style="1143" customWidth="1"/>
    <col min="7688" max="7688" width="13" style="1143" customWidth="1"/>
    <col min="7689" max="7689" width="11.5546875" style="1143" customWidth="1"/>
    <col min="7690" max="7937" width="9.21875" style="1143"/>
    <col min="7938" max="7938" width="4.21875" style="1143" customWidth="1"/>
    <col min="7939" max="7939" width="59.77734375" style="1143" customWidth="1"/>
    <col min="7940" max="7940" width="13.21875" style="1143" customWidth="1"/>
    <col min="7941" max="7941" width="12.21875" style="1143" customWidth="1"/>
    <col min="7942" max="7942" width="11.44140625" style="1143" customWidth="1"/>
    <col min="7943" max="7943" width="12.77734375" style="1143" customWidth="1"/>
    <col min="7944" max="7944" width="13" style="1143" customWidth="1"/>
    <col min="7945" max="7945" width="11.5546875" style="1143" customWidth="1"/>
    <col min="7946" max="8193" width="9.21875" style="1143"/>
    <col min="8194" max="8194" width="4.21875" style="1143" customWidth="1"/>
    <col min="8195" max="8195" width="59.77734375" style="1143" customWidth="1"/>
    <col min="8196" max="8196" width="13.21875" style="1143" customWidth="1"/>
    <col min="8197" max="8197" width="12.21875" style="1143" customWidth="1"/>
    <col min="8198" max="8198" width="11.44140625" style="1143" customWidth="1"/>
    <col min="8199" max="8199" width="12.77734375" style="1143" customWidth="1"/>
    <col min="8200" max="8200" width="13" style="1143" customWidth="1"/>
    <col min="8201" max="8201" width="11.5546875" style="1143" customWidth="1"/>
    <col min="8202" max="8449" width="9.21875" style="1143"/>
    <col min="8450" max="8450" width="4.21875" style="1143" customWidth="1"/>
    <col min="8451" max="8451" width="59.77734375" style="1143" customWidth="1"/>
    <col min="8452" max="8452" width="13.21875" style="1143" customWidth="1"/>
    <col min="8453" max="8453" width="12.21875" style="1143" customWidth="1"/>
    <col min="8454" max="8454" width="11.44140625" style="1143" customWidth="1"/>
    <col min="8455" max="8455" width="12.77734375" style="1143" customWidth="1"/>
    <col min="8456" max="8456" width="13" style="1143" customWidth="1"/>
    <col min="8457" max="8457" width="11.5546875" style="1143" customWidth="1"/>
    <col min="8458" max="8705" width="9.21875" style="1143"/>
    <col min="8706" max="8706" width="4.21875" style="1143" customWidth="1"/>
    <col min="8707" max="8707" width="59.77734375" style="1143" customWidth="1"/>
    <col min="8708" max="8708" width="13.21875" style="1143" customWidth="1"/>
    <col min="8709" max="8709" width="12.21875" style="1143" customWidth="1"/>
    <col min="8710" max="8710" width="11.44140625" style="1143" customWidth="1"/>
    <col min="8711" max="8711" width="12.77734375" style="1143" customWidth="1"/>
    <col min="8712" max="8712" width="13" style="1143" customWidth="1"/>
    <col min="8713" max="8713" width="11.5546875" style="1143" customWidth="1"/>
    <col min="8714" max="8961" width="9.21875" style="1143"/>
    <col min="8962" max="8962" width="4.21875" style="1143" customWidth="1"/>
    <col min="8963" max="8963" width="59.77734375" style="1143" customWidth="1"/>
    <col min="8964" max="8964" width="13.21875" style="1143" customWidth="1"/>
    <col min="8965" max="8965" width="12.21875" style="1143" customWidth="1"/>
    <col min="8966" max="8966" width="11.44140625" style="1143" customWidth="1"/>
    <col min="8967" max="8967" width="12.77734375" style="1143" customWidth="1"/>
    <col min="8968" max="8968" width="13" style="1143" customWidth="1"/>
    <col min="8969" max="8969" width="11.5546875" style="1143" customWidth="1"/>
    <col min="8970" max="9217" width="9.21875" style="1143"/>
    <col min="9218" max="9218" width="4.21875" style="1143" customWidth="1"/>
    <col min="9219" max="9219" width="59.77734375" style="1143" customWidth="1"/>
    <col min="9220" max="9220" width="13.21875" style="1143" customWidth="1"/>
    <col min="9221" max="9221" width="12.21875" style="1143" customWidth="1"/>
    <col min="9222" max="9222" width="11.44140625" style="1143" customWidth="1"/>
    <col min="9223" max="9223" width="12.77734375" style="1143" customWidth="1"/>
    <col min="9224" max="9224" width="13" style="1143" customWidth="1"/>
    <col min="9225" max="9225" width="11.5546875" style="1143" customWidth="1"/>
    <col min="9226" max="9473" width="9.21875" style="1143"/>
    <col min="9474" max="9474" width="4.21875" style="1143" customWidth="1"/>
    <col min="9475" max="9475" width="59.77734375" style="1143" customWidth="1"/>
    <col min="9476" max="9476" width="13.21875" style="1143" customWidth="1"/>
    <col min="9477" max="9477" width="12.21875" style="1143" customWidth="1"/>
    <col min="9478" max="9478" width="11.44140625" style="1143" customWidth="1"/>
    <col min="9479" max="9479" width="12.77734375" style="1143" customWidth="1"/>
    <col min="9480" max="9480" width="13" style="1143" customWidth="1"/>
    <col min="9481" max="9481" width="11.5546875" style="1143" customWidth="1"/>
    <col min="9482" max="9729" width="9.21875" style="1143"/>
    <col min="9730" max="9730" width="4.21875" style="1143" customWidth="1"/>
    <col min="9731" max="9731" width="59.77734375" style="1143" customWidth="1"/>
    <col min="9732" max="9732" width="13.21875" style="1143" customWidth="1"/>
    <col min="9733" max="9733" width="12.21875" style="1143" customWidth="1"/>
    <col min="9734" max="9734" width="11.44140625" style="1143" customWidth="1"/>
    <col min="9735" max="9735" width="12.77734375" style="1143" customWidth="1"/>
    <col min="9736" max="9736" width="13" style="1143" customWidth="1"/>
    <col min="9737" max="9737" width="11.5546875" style="1143" customWidth="1"/>
    <col min="9738" max="9985" width="9.21875" style="1143"/>
    <col min="9986" max="9986" width="4.21875" style="1143" customWidth="1"/>
    <col min="9987" max="9987" width="59.77734375" style="1143" customWidth="1"/>
    <col min="9988" max="9988" width="13.21875" style="1143" customWidth="1"/>
    <col min="9989" max="9989" width="12.21875" style="1143" customWidth="1"/>
    <col min="9990" max="9990" width="11.44140625" style="1143" customWidth="1"/>
    <col min="9991" max="9991" width="12.77734375" style="1143" customWidth="1"/>
    <col min="9992" max="9992" width="13" style="1143" customWidth="1"/>
    <col min="9993" max="9993" width="11.5546875" style="1143" customWidth="1"/>
    <col min="9994" max="10241" width="9.21875" style="1143"/>
    <col min="10242" max="10242" width="4.21875" style="1143" customWidth="1"/>
    <col min="10243" max="10243" width="59.77734375" style="1143" customWidth="1"/>
    <col min="10244" max="10244" width="13.21875" style="1143" customWidth="1"/>
    <col min="10245" max="10245" width="12.21875" style="1143" customWidth="1"/>
    <col min="10246" max="10246" width="11.44140625" style="1143" customWidth="1"/>
    <col min="10247" max="10247" width="12.77734375" style="1143" customWidth="1"/>
    <col min="10248" max="10248" width="13" style="1143" customWidth="1"/>
    <col min="10249" max="10249" width="11.5546875" style="1143" customWidth="1"/>
    <col min="10250" max="10497" width="9.21875" style="1143"/>
    <col min="10498" max="10498" width="4.21875" style="1143" customWidth="1"/>
    <col min="10499" max="10499" width="59.77734375" style="1143" customWidth="1"/>
    <col min="10500" max="10500" width="13.21875" style="1143" customWidth="1"/>
    <col min="10501" max="10501" width="12.21875" style="1143" customWidth="1"/>
    <col min="10502" max="10502" width="11.44140625" style="1143" customWidth="1"/>
    <col min="10503" max="10503" width="12.77734375" style="1143" customWidth="1"/>
    <col min="10504" max="10504" width="13" style="1143" customWidth="1"/>
    <col min="10505" max="10505" width="11.5546875" style="1143" customWidth="1"/>
    <col min="10506" max="10753" width="9.21875" style="1143"/>
    <col min="10754" max="10754" width="4.21875" style="1143" customWidth="1"/>
    <col min="10755" max="10755" width="59.77734375" style="1143" customWidth="1"/>
    <col min="10756" max="10756" width="13.21875" style="1143" customWidth="1"/>
    <col min="10757" max="10757" width="12.21875" style="1143" customWidth="1"/>
    <col min="10758" max="10758" width="11.44140625" style="1143" customWidth="1"/>
    <col min="10759" max="10759" width="12.77734375" style="1143" customWidth="1"/>
    <col min="10760" max="10760" width="13" style="1143" customWidth="1"/>
    <col min="10761" max="10761" width="11.5546875" style="1143" customWidth="1"/>
    <col min="10762" max="11009" width="9.21875" style="1143"/>
    <col min="11010" max="11010" width="4.21875" style="1143" customWidth="1"/>
    <col min="11011" max="11011" width="59.77734375" style="1143" customWidth="1"/>
    <col min="11012" max="11012" width="13.21875" style="1143" customWidth="1"/>
    <col min="11013" max="11013" width="12.21875" style="1143" customWidth="1"/>
    <col min="11014" max="11014" width="11.44140625" style="1143" customWidth="1"/>
    <col min="11015" max="11015" width="12.77734375" style="1143" customWidth="1"/>
    <col min="11016" max="11016" width="13" style="1143" customWidth="1"/>
    <col min="11017" max="11017" width="11.5546875" style="1143" customWidth="1"/>
    <col min="11018" max="11265" width="9.21875" style="1143"/>
    <col min="11266" max="11266" width="4.21875" style="1143" customWidth="1"/>
    <col min="11267" max="11267" width="59.77734375" style="1143" customWidth="1"/>
    <col min="11268" max="11268" width="13.21875" style="1143" customWidth="1"/>
    <col min="11269" max="11269" width="12.21875" style="1143" customWidth="1"/>
    <col min="11270" max="11270" width="11.44140625" style="1143" customWidth="1"/>
    <col min="11271" max="11271" width="12.77734375" style="1143" customWidth="1"/>
    <col min="11272" max="11272" width="13" style="1143" customWidth="1"/>
    <col min="11273" max="11273" width="11.5546875" style="1143" customWidth="1"/>
    <col min="11274" max="11521" width="9.21875" style="1143"/>
    <col min="11522" max="11522" width="4.21875" style="1143" customWidth="1"/>
    <col min="11523" max="11523" width="59.77734375" style="1143" customWidth="1"/>
    <col min="11524" max="11524" width="13.21875" style="1143" customWidth="1"/>
    <col min="11525" max="11525" width="12.21875" style="1143" customWidth="1"/>
    <col min="11526" max="11526" width="11.44140625" style="1143" customWidth="1"/>
    <col min="11527" max="11527" width="12.77734375" style="1143" customWidth="1"/>
    <col min="11528" max="11528" width="13" style="1143" customWidth="1"/>
    <col min="11529" max="11529" width="11.5546875" style="1143" customWidth="1"/>
    <col min="11530" max="11777" width="9.21875" style="1143"/>
    <col min="11778" max="11778" width="4.21875" style="1143" customWidth="1"/>
    <col min="11779" max="11779" width="59.77734375" style="1143" customWidth="1"/>
    <col min="11780" max="11780" width="13.21875" style="1143" customWidth="1"/>
    <col min="11781" max="11781" width="12.21875" style="1143" customWidth="1"/>
    <col min="11782" max="11782" width="11.44140625" style="1143" customWidth="1"/>
    <col min="11783" max="11783" width="12.77734375" style="1143" customWidth="1"/>
    <col min="11784" max="11784" width="13" style="1143" customWidth="1"/>
    <col min="11785" max="11785" width="11.5546875" style="1143" customWidth="1"/>
    <col min="11786" max="12033" width="9.21875" style="1143"/>
    <col min="12034" max="12034" width="4.21875" style="1143" customWidth="1"/>
    <col min="12035" max="12035" width="59.77734375" style="1143" customWidth="1"/>
    <col min="12036" max="12036" width="13.21875" style="1143" customWidth="1"/>
    <col min="12037" max="12037" width="12.21875" style="1143" customWidth="1"/>
    <col min="12038" max="12038" width="11.44140625" style="1143" customWidth="1"/>
    <col min="12039" max="12039" width="12.77734375" style="1143" customWidth="1"/>
    <col min="12040" max="12040" width="13" style="1143" customWidth="1"/>
    <col min="12041" max="12041" width="11.5546875" style="1143" customWidth="1"/>
    <col min="12042" max="12289" width="9.21875" style="1143"/>
    <col min="12290" max="12290" width="4.21875" style="1143" customWidth="1"/>
    <col min="12291" max="12291" width="59.77734375" style="1143" customWidth="1"/>
    <col min="12292" max="12292" width="13.21875" style="1143" customWidth="1"/>
    <col min="12293" max="12293" width="12.21875" style="1143" customWidth="1"/>
    <col min="12294" max="12294" width="11.44140625" style="1143" customWidth="1"/>
    <col min="12295" max="12295" width="12.77734375" style="1143" customWidth="1"/>
    <col min="12296" max="12296" width="13" style="1143" customWidth="1"/>
    <col min="12297" max="12297" width="11.5546875" style="1143" customWidth="1"/>
    <col min="12298" max="12545" width="9.21875" style="1143"/>
    <col min="12546" max="12546" width="4.21875" style="1143" customWidth="1"/>
    <col min="12547" max="12547" width="59.77734375" style="1143" customWidth="1"/>
    <col min="12548" max="12548" width="13.21875" style="1143" customWidth="1"/>
    <col min="12549" max="12549" width="12.21875" style="1143" customWidth="1"/>
    <col min="12550" max="12550" width="11.44140625" style="1143" customWidth="1"/>
    <col min="12551" max="12551" width="12.77734375" style="1143" customWidth="1"/>
    <col min="12552" max="12552" width="13" style="1143" customWidth="1"/>
    <col min="12553" max="12553" width="11.5546875" style="1143" customWidth="1"/>
    <col min="12554" max="12801" width="9.21875" style="1143"/>
    <col min="12802" max="12802" width="4.21875" style="1143" customWidth="1"/>
    <col min="12803" max="12803" width="59.77734375" style="1143" customWidth="1"/>
    <col min="12804" max="12804" width="13.21875" style="1143" customWidth="1"/>
    <col min="12805" max="12805" width="12.21875" style="1143" customWidth="1"/>
    <col min="12806" max="12806" width="11.44140625" style="1143" customWidth="1"/>
    <col min="12807" max="12807" width="12.77734375" style="1143" customWidth="1"/>
    <col min="12808" max="12808" width="13" style="1143" customWidth="1"/>
    <col min="12809" max="12809" width="11.5546875" style="1143" customWidth="1"/>
    <col min="12810" max="13057" width="9.21875" style="1143"/>
    <col min="13058" max="13058" width="4.21875" style="1143" customWidth="1"/>
    <col min="13059" max="13059" width="59.77734375" style="1143" customWidth="1"/>
    <col min="13060" max="13060" width="13.21875" style="1143" customWidth="1"/>
    <col min="13061" max="13061" width="12.21875" style="1143" customWidth="1"/>
    <col min="13062" max="13062" width="11.44140625" style="1143" customWidth="1"/>
    <col min="13063" max="13063" width="12.77734375" style="1143" customWidth="1"/>
    <col min="13064" max="13064" width="13" style="1143" customWidth="1"/>
    <col min="13065" max="13065" width="11.5546875" style="1143" customWidth="1"/>
    <col min="13066" max="13313" width="9.21875" style="1143"/>
    <col min="13314" max="13314" width="4.21875" style="1143" customWidth="1"/>
    <col min="13315" max="13315" width="59.77734375" style="1143" customWidth="1"/>
    <col min="13316" max="13316" width="13.21875" style="1143" customWidth="1"/>
    <col min="13317" max="13317" width="12.21875" style="1143" customWidth="1"/>
    <col min="13318" max="13318" width="11.44140625" style="1143" customWidth="1"/>
    <col min="13319" max="13319" width="12.77734375" style="1143" customWidth="1"/>
    <col min="13320" max="13320" width="13" style="1143" customWidth="1"/>
    <col min="13321" max="13321" width="11.5546875" style="1143" customWidth="1"/>
    <col min="13322" max="13569" width="9.21875" style="1143"/>
    <col min="13570" max="13570" width="4.21875" style="1143" customWidth="1"/>
    <col min="13571" max="13571" width="59.77734375" style="1143" customWidth="1"/>
    <col min="13572" max="13572" width="13.21875" style="1143" customWidth="1"/>
    <col min="13573" max="13573" width="12.21875" style="1143" customWidth="1"/>
    <col min="13574" max="13574" width="11.44140625" style="1143" customWidth="1"/>
    <col min="13575" max="13575" width="12.77734375" style="1143" customWidth="1"/>
    <col min="13576" max="13576" width="13" style="1143" customWidth="1"/>
    <col min="13577" max="13577" width="11.5546875" style="1143" customWidth="1"/>
    <col min="13578" max="13825" width="9.21875" style="1143"/>
    <col min="13826" max="13826" width="4.21875" style="1143" customWidth="1"/>
    <col min="13827" max="13827" width="59.77734375" style="1143" customWidth="1"/>
    <col min="13828" max="13828" width="13.21875" style="1143" customWidth="1"/>
    <col min="13829" max="13829" width="12.21875" style="1143" customWidth="1"/>
    <col min="13830" max="13830" width="11.44140625" style="1143" customWidth="1"/>
    <col min="13831" max="13831" width="12.77734375" style="1143" customWidth="1"/>
    <col min="13832" max="13832" width="13" style="1143" customWidth="1"/>
    <col min="13833" max="13833" width="11.5546875" style="1143" customWidth="1"/>
    <col min="13834" max="14081" width="9.21875" style="1143"/>
    <col min="14082" max="14082" width="4.21875" style="1143" customWidth="1"/>
    <col min="14083" max="14083" width="59.77734375" style="1143" customWidth="1"/>
    <col min="14084" max="14084" width="13.21875" style="1143" customWidth="1"/>
    <col min="14085" max="14085" width="12.21875" style="1143" customWidth="1"/>
    <col min="14086" max="14086" width="11.44140625" style="1143" customWidth="1"/>
    <col min="14087" max="14087" width="12.77734375" style="1143" customWidth="1"/>
    <col min="14088" max="14088" width="13" style="1143" customWidth="1"/>
    <col min="14089" max="14089" width="11.5546875" style="1143" customWidth="1"/>
    <col min="14090" max="14337" width="9.21875" style="1143"/>
    <col min="14338" max="14338" width="4.21875" style="1143" customWidth="1"/>
    <col min="14339" max="14339" width="59.77734375" style="1143" customWidth="1"/>
    <col min="14340" max="14340" width="13.21875" style="1143" customWidth="1"/>
    <col min="14341" max="14341" width="12.21875" style="1143" customWidth="1"/>
    <col min="14342" max="14342" width="11.44140625" style="1143" customWidth="1"/>
    <col min="14343" max="14343" width="12.77734375" style="1143" customWidth="1"/>
    <col min="14344" max="14344" width="13" style="1143" customWidth="1"/>
    <col min="14345" max="14345" width="11.5546875" style="1143" customWidth="1"/>
    <col min="14346" max="14593" width="9.21875" style="1143"/>
    <col min="14594" max="14594" width="4.21875" style="1143" customWidth="1"/>
    <col min="14595" max="14595" width="59.77734375" style="1143" customWidth="1"/>
    <col min="14596" max="14596" width="13.21875" style="1143" customWidth="1"/>
    <col min="14597" max="14597" width="12.21875" style="1143" customWidth="1"/>
    <col min="14598" max="14598" width="11.44140625" style="1143" customWidth="1"/>
    <col min="14599" max="14599" width="12.77734375" style="1143" customWidth="1"/>
    <col min="14600" max="14600" width="13" style="1143" customWidth="1"/>
    <col min="14601" max="14601" width="11.5546875" style="1143" customWidth="1"/>
    <col min="14602" max="14849" width="9.21875" style="1143"/>
    <col min="14850" max="14850" width="4.21875" style="1143" customWidth="1"/>
    <col min="14851" max="14851" width="59.77734375" style="1143" customWidth="1"/>
    <col min="14852" max="14852" width="13.21875" style="1143" customWidth="1"/>
    <col min="14853" max="14853" width="12.21875" style="1143" customWidth="1"/>
    <col min="14854" max="14854" width="11.44140625" style="1143" customWidth="1"/>
    <col min="14855" max="14855" width="12.77734375" style="1143" customWidth="1"/>
    <col min="14856" max="14856" width="13" style="1143" customWidth="1"/>
    <col min="14857" max="14857" width="11.5546875" style="1143" customWidth="1"/>
    <col min="14858" max="15105" width="9.21875" style="1143"/>
    <col min="15106" max="15106" width="4.21875" style="1143" customWidth="1"/>
    <col min="15107" max="15107" width="59.77734375" style="1143" customWidth="1"/>
    <col min="15108" max="15108" width="13.21875" style="1143" customWidth="1"/>
    <col min="15109" max="15109" width="12.21875" style="1143" customWidth="1"/>
    <col min="15110" max="15110" width="11.44140625" style="1143" customWidth="1"/>
    <col min="15111" max="15111" width="12.77734375" style="1143" customWidth="1"/>
    <col min="15112" max="15112" width="13" style="1143" customWidth="1"/>
    <col min="15113" max="15113" width="11.5546875" style="1143" customWidth="1"/>
    <col min="15114" max="15361" width="9.21875" style="1143"/>
    <col min="15362" max="15362" width="4.21875" style="1143" customWidth="1"/>
    <col min="15363" max="15363" width="59.77734375" style="1143" customWidth="1"/>
    <col min="15364" max="15364" width="13.21875" style="1143" customWidth="1"/>
    <col min="15365" max="15365" width="12.21875" style="1143" customWidth="1"/>
    <col min="15366" max="15366" width="11.44140625" style="1143" customWidth="1"/>
    <col min="15367" max="15367" width="12.77734375" style="1143" customWidth="1"/>
    <col min="15368" max="15368" width="13" style="1143" customWidth="1"/>
    <col min="15369" max="15369" width="11.5546875" style="1143" customWidth="1"/>
    <col min="15370" max="15617" width="9.21875" style="1143"/>
    <col min="15618" max="15618" width="4.21875" style="1143" customWidth="1"/>
    <col min="15619" max="15619" width="59.77734375" style="1143" customWidth="1"/>
    <col min="15620" max="15620" width="13.21875" style="1143" customWidth="1"/>
    <col min="15621" max="15621" width="12.21875" style="1143" customWidth="1"/>
    <col min="15622" max="15622" width="11.44140625" style="1143" customWidth="1"/>
    <col min="15623" max="15623" width="12.77734375" style="1143" customWidth="1"/>
    <col min="15624" max="15624" width="13" style="1143" customWidth="1"/>
    <col min="15625" max="15625" width="11.5546875" style="1143" customWidth="1"/>
    <col min="15626" max="15873" width="9.21875" style="1143"/>
    <col min="15874" max="15874" width="4.21875" style="1143" customWidth="1"/>
    <col min="15875" max="15875" width="59.77734375" style="1143" customWidth="1"/>
    <col min="15876" max="15876" width="13.21875" style="1143" customWidth="1"/>
    <col min="15877" max="15877" width="12.21875" style="1143" customWidth="1"/>
    <col min="15878" max="15878" width="11.44140625" style="1143" customWidth="1"/>
    <col min="15879" max="15879" width="12.77734375" style="1143" customWidth="1"/>
    <col min="15880" max="15880" width="13" style="1143" customWidth="1"/>
    <col min="15881" max="15881" width="11.5546875" style="1143" customWidth="1"/>
    <col min="15882" max="16129" width="9.21875" style="1143"/>
    <col min="16130" max="16130" width="4.21875" style="1143" customWidth="1"/>
    <col min="16131" max="16131" width="59.77734375" style="1143" customWidth="1"/>
    <col min="16132" max="16132" width="13.21875" style="1143" customWidth="1"/>
    <col min="16133" max="16133" width="12.21875" style="1143" customWidth="1"/>
    <col min="16134" max="16134" width="11.44140625" style="1143" customWidth="1"/>
    <col min="16135" max="16135" width="12.77734375" style="1143" customWidth="1"/>
    <col min="16136" max="16136" width="13" style="1143" customWidth="1"/>
    <col min="16137" max="16137" width="11.5546875" style="1143" customWidth="1"/>
    <col min="16138" max="16384" width="9.21875" style="1143"/>
  </cols>
  <sheetData>
    <row r="1" spans="1:14">
      <c r="A1" s="1142" t="s">
        <v>1084</v>
      </c>
    </row>
    <row r="2" spans="1:14">
      <c r="A2" s="1303" t="s">
        <v>1635</v>
      </c>
      <c r="B2" s="1303"/>
      <c r="C2" s="1303"/>
      <c r="D2" s="1303"/>
      <c r="E2" s="1303"/>
      <c r="F2" s="1303"/>
    </row>
    <row r="3" spans="1:14">
      <c r="A3" s="1305" t="str">
        <f>[75]BS!A3</f>
        <v>[Currency: Indian Rupees(Rs.'000)]</v>
      </c>
      <c r="B3" s="1305"/>
      <c r="C3" s="1305"/>
      <c r="D3" s="1305"/>
      <c r="E3" s="1305"/>
      <c r="F3" s="1305"/>
    </row>
    <row r="4" spans="1:14">
      <c r="A4" s="1145">
        <f>'Employee benefits Note 36'!A5+1</f>
        <v>37</v>
      </c>
      <c r="B4" s="1146" t="s">
        <v>847</v>
      </c>
      <c r="C4" s="1143"/>
    </row>
    <row r="5" spans="1:14">
      <c r="A5" s="1147">
        <v>1</v>
      </c>
      <c r="B5" s="1146" t="s">
        <v>762</v>
      </c>
      <c r="C5" s="1143"/>
    </row>
    <row r="6" spans="1:14">
      <c r="A6" s="1148"/>
      <c r="B6" s="1146"/>
      <c r="C6" s="1143"/>
    </row>
    <row r="7" spans="1:14">
      <c r="A7" s="1147" t="s">
        <v>388</v>
      </c>
      <c r="B7" s="1146" t="s">
        <v>763</v>
      </c>
      <c r="C7" s="1143"/>
    </row>
    <row r="8" spans="1:14">
      <c r="A8" s="1145" t="s">
        <v>764</v>
      </c>
      <c r="B8" s="1142" t="s">
        <v>765</v>
      </c>
      <c r="C8" s="1143"/>
    </row>
    <row r="9" spans="1:14">
      <c r="A9" s="1149"/>
      <c r="B9" s="1150" t="s">
        <v>768</v>
      </c>
      <c r="C9" s="1143"/>
      <c r="H9" s="1151"/>
    </row>
    <row r="10" spans="1:14">
      <c r="A10" s="1149"/>
      <c r="B10" s="1150" t="s">
        <v>1484</v>
      </c>
      <c r="C10" s="1143"/>
      <c r="H10" s="1151"/>
    </row>
    <row r="11" spans="1:14">
      <c r="A11" s="1149"/>
      <c r="B11" s="1150"/>
      <c r="C11" s="1143"/>
      <c r="H11" s="1151"/>
      <c r="M11" s="1152">
        <v>45382</v>
      </c>
    </row>
    <row r="12" spans="1:14" s="1153" customFormat="1">
      <c r="A12" s="1145" t="s">
        <v>425</v>
      </c>
      <c r="B12" s="1306" t="s">
        <v>767</v>
      </c>
      <c r="C12" s="1306"/>
      <c r="D12" s="1306"/>
      <c r="E12" s="1306"/>
      <c r="F12" s="1306"/>
      <c r="M12" s="1154">
        <v>45291</v>
      </c>
      <c r="N12" s="1153">
        <f>M12-M11</f>
        <v>-91</v>
      </c>
    </row>
    <row r="13" spans="1:14" s="1153" customFormat="1">
      <c r="A13" s="1149" t="s">
        <v>764</v>
      </c>
      <c r="B13" s="1150" t="s">
        <v>1453</v>
      </c>
    </row>
    <row r="14" spans="1:14">
      <c r="A14" s="1149" t="s">
        <v>769</v>
      </c>
      <c r="B14" s="1150" t="s">
        <v>1485</v>
      </c>
      <c r="C14" s="1143"/>
    </row>
    <row r="15" spans="1:14">
      <c r="A15" s="1149" t="s">
        <v>771</v>
      </c>
      <c r="B15" s="1150" t="s">
        <v>1486</v>
      </c>
      <c r="C15" s="1143"/>
    </row>
    <row r="16" spans="1:14">
      <c r="A16" s="1149" t="s">
        <v>773</v>
      </c>
      <c r="B16" s="1150" t="s">
        <v>777</v>
      </c>
      <c r="C16" s="1143"/>
    </row>
    <row r="17" spans="1:6">
      <c r="A17" s="1149" t="s">
        <v>774</v>
      </c>
      <c r="B17" s="1150" t="s">
        <v>980</v>
      </c>
      <c r="C17" s="1143"/>
    </row>
    <row r="18" spans="1:6">
      <c r="A18" s="1149" t="s">
        <v>776</v>
      </c>
      <c r="B18" s="1150" t="s">
        <v>1016</v>
      </c>
      <c r="C18" s="1143"/>
    </row>
    <row r="19" spans="1:6">
      <c r="A19" s="1149" t="s">
        <v>778</v>
      </c>
      <c r="B19" s="1143" t="s">
        <v>1085</v>
      </c>
      <c r="C19" s="1143"/>
    </row>
    <row r="20" spans="1:6">
      <c r="A20" s="1149" t="s">
        <v>1006</v>
      </c>
      <c r="B20" s="1143" t="s">
        <v>1450</v>
      </c>
      <c r="C20" s="1143"/>
    </row>
    <row r="21" spans="1:6">
      <c r="A21" s="1149" t="s">
        <v>1019</v>
      </c>
      <c r="B21" s="1143" t="s">
        <v>1636</v>
      </c>
      <c r="C21" s="1143"/>
    </row>
    <row r="22" spans="1:6">
      <c r="A22" s="1149"/>
      <c r="C22" s="1143"/>
    </row>
    <row r="23" spans="1:6">
      <c r="A23" s="1147" t="s">
        <v>769</v>
      </c>
      <c r="B23" s="1146" t="s">
        <v>779</v>
      </c>
      <c r="C23" s="1143"/>
    </row>
    <row r="24" spans="1:6">
      <c r="A24" s="1149"/>
      <c r="B24" s="1150" t="s">
        <v>140</v>
      </c>
      <c r="C24" s="1143"/>
    </row>
    <row r="25" spans="1:6">
      <c r="A25" s="1149"/>
      <c r="B25" s="1150" t="s">
        <v>1637</v>
      </c>
      <c r="C25" s="1143"/>
    </row>
    <row r="26" spans="1:6">
      <c r="A26" s="1149"/>
      <c r="B26" s="1150" t="s">
        <v>1638</v>
      </c>
      <c r="C26" s="1143"/>
    </row>
    <row r="27" spans="1:6">
      <c r="A27" s="1149"/>
      <c r="B27" s="1150" t="s">
        <v>1639</v>
      </c>
      <c r="C27" s="1143"/>
    </row>
    <row r="28" spans="1:6">
      <c r="A28" s="1149"/>
      <c r="B28" s="1150" t="s">
        <v>1640</v>
      </c>
      <c r="C28" s="1143"/>
    </row>
    <row r="29" spans="1:6">
      <c r="A29" s="1149"/>
      <c r="B29" s="1150"/>
      <c r="C29" s="1143"/>
    </row>
    <row r="30" spans="1:6">
      <c r="A30" s="1147" t="s">
        <v>771</v>
      </c>
      <c r="B30" s="1304" t="s">
        <v>849</v>
      </c>
      <c r="C30" s="1304"/>
      <c r="D30" s="1304"/>
      <c r="E30" s="1304"/>
      <c r="F30" s="1304"/>
    </row>
    <row r="31" spans="1:6">
      <c r="A31" s="1147"/>
      <c r="B31" s="1150" t="s">
        <v>1148</v>
      </c>
      <c r="C31" s="1143"/>
    </row>
    <row r="32" spans="1:6">
      <c r="A32" s="1149"/>
      <c r="B32" s="1150"/>
      <c r="C32" s="1143"/>
    </row>
    <row r="33" spans="1:11">
      <c r="A33" s="1147" t="s">
        <v>771</v>
      </c>
      <c r="B33" s="1304" t="s">
        <v>849</v>
      </c>
      <c r="C33" s="1304"/>
      <c r="D33" s="1304"/>
      <c r="E33" s="1304"/>
      <c r="F33" s="1304"/>
    </row>
    <row r="34" spans="1:11">
      <c r="A34" s="1147"/>
      <c r="B34" s="1150" t="s">
        <v>1086</v>
      </c>
      <c r="C34" s="1143"/>
    </row>
    <row r="35" spans="1:11">
      <c r="A35" s="1148"/>
      <c r="B35" s="725"/>
      <c r="K35" s="1143" t="s">
        <v>747</v>
      </c>
    </row>
    <row r="36" spans="1:11">
      <c r="A36" s="1147" t="s">
        <v>1087</v>
      </c>
      <c r="B36" s="725" t="s">
        <v>781</v>
      </c>
    </row>
    <row r="37" spans="1:11" ht="7.05" customHeight="1">
      <c r="A37" s="1148"/>
      <c r="B37" s="725"/>
    </row>
    <row r="38" spans="1:11" ht="57.6">
      <c r="A38" s="1148"/>
      <c r="B38" s="1155" t="s">
        <v>782</v>
      </c>
      <c r="C38" s="1156" t="s">
        <v>765</v>
      </c>
      <c r="D38" s="1156" t="s">
        <v>779</v>
      </c>
      <c r="E38" s="1157" t="s">
        <v>1088</v>
      </c>
      <c r="F38" s="1156" t="s">
        <v>1089</v>
      </c>
    </row>
    <row r="39" spans="1:11">
      <c r="A39" s="1148"/>
      <c r="B39" s="1158" t="s">
        <v>1652</v>
      </c>
      <c r="C39" s="1159"/>
      <c r="D39" s="1159"/>
      <c r="E39" s="1159"/>
      <c r="F39" s="1159"/>
    </row>
    <row r="40" spans="1:11">
      <c r="A40" s="1148"/>
      <c r="B40" s="1160" t="s">
        <v>783</v>
      </c>
      <c r="C40" s="1161">
        <v>0</v>
      </c>
      <c r="D40" s="1161">
        <v>0</v>
      </c>
      <c r="E40" s="1161">
        <v>0</v>
      </c>
      <c r="F40" s="1161">
        <v>0</v>
      </c>
      <c r="H40" s="1162"/>
    </row>
    <row r="41" spans="1:11">
      <c r="A41" s="1148"/>
      <c r="B41" s="1160"/>
      <c r="C41" s="1161">
        <v>-1109218</v>
      </c>
      <c r="D41" s="1159">
        <v>0</v>
      </c>
      <c r="E41" s="1159">
        <v>0</v>
      </c>
      <c r="F41" s="1159">
        <v>0</v>
      </c>
    </row>
    <row r="42" spans="1:11">
      <c r="A42" s="1148"/>
      <c r="B42" s="1160" t="s">
        <v>980</v>
      </c>
      <c r="C42" s="1159">
        <v>0</v>
      </c>
      <c r="D42" s="1159">
        <v>0</v>
      </c>
      <c r="E42" s="1159">
        <v>0</v>
      </c>
      <c r="F42" s="1161" t="s">
        <v>1641</v>
      </c>
    </row>
    <row r="43" spans="1:11" ht="15.6">
      <c r="A43" s="1148"/>
      <c r="B43" s="1160"/>
      <c r="C43" s="1159">
        <v>0</v>
      </c>
      <c r="D43" s="1159">
        <v>0</v>
      </c>
      <c r="E43" s="1159">
        <v>0</v>
      </c>
      <c r="F43" s="1161">
        <v>-700439</v>
      </c>
      <c r="H43" s="1390"/>
      <c r="I43" s="1390"/>
    </row>
    <row r="44" spans="1:11" ht="15.6">
      <c r="A44" s="1148"/>
      <c r="B44" s="1160" t="s">
        <v>1450</v>
      </c>
      <c r="C44" s="1159">
        <v>0</v>
      </c>
      <c r="D44" s="1159">
        <v>0</v>
      </c>
      <c r="E44" s="1159">
        <v>0</v>
      </c>
      <c r="F44" s="1161">
        <v>36250</v>
      </c>
      <c r="H44" s="1390"/>
      <c r="I44" s="1390"/>
    </row>
    <row r="45" spans="1:11" ht="15.6">
      <c r="A45" s="1148"/>
      <c r="B45" s="1160"/>
      <c r="C45" s="1159">
        <v>0</v>
      </c>
      <c r="D45" s="1159">
        <v>0</v>
      </c>
      <c r="E45" s="1159">
        <v>0</v>
      </c>
      <c r="F45" s="1161">
        <v>-1028500</v>
      </c>
      <c r="I45" s="1390"/>
    </row>
    <row r="46" spans="1:11">
      <c r="A46" s="1148"/>
      <c r="B46" s="1160" t="s">
        <v>1451</v>
      </c>
      <c r="C46" s="1159">
        <v>0</v>
      </c>
      <c r="D46" s="1159">
        <v>0</v>
      </c>
      <c r="E46" s="1159">
        <v>0</v>
      </c>
      <c r="F46" s="1161" t="s">
        <v>1641</v>
      </c>
    </row>
    <row r="47" spans="1:11">
      <c r="A47" s="1148"/>
      <c r="B47" s="1160"/>
      <c r="C47" s="1159">
        <v>0</v>
      </c>
      <c r="D47" s="1159">
        <v>0</v>
      </c>
      <c r="E47" s="1159">
        <v>0</v>
      </c>
      <c r="F47" s="1161">
        <v>-733115</v>
      </c>
    </row>
    <row r="48" spans="1:11">
      <c r="A48" s="1148"/>
      <c r="B48" s="1160"/>
      <c r="C48" s="1159"/>
      <c r="D48" s="1159"/>
      <c r="E48" s="1159"/>
      <c r="F48" s="1161"/>
    </row>
    <row r="49" spans="1:17">
      <c r="A49" s="1148"/>
      <c r="B49" s="1158" t="s">
        <v>1651</v>
      </c>
      <c r="C49" s="1161"/>
      <c r="D49" s="1161"/>
      <c r="E49" s="1161"/>
      <c r="F49" s="1161"/>
      <c r="M49" s="1163"/>
      <c r="O49" s="1143" t="s">
        <v>747</v>
      </c>
    </row>
    <row r="50" spans="1:17">
      <c r="A50" s="1148"/>
      <c r="B50" s="1160" t="s">
        <v>784</v>
      </c>
      <c r="C50" s="1161">
        <f>9323+2542+1583428-198158+22241</f>
        <v>1419376</v>
      </c>
      <c r="D50" s="1159">
        <v>0</v>
      </c>
      <c r="E50" s="1159">
        <v>0</v>
      </c>
      <c r="F50" s="1159">
        <v>0</v>
      </c>
      <c r="J50" s="1164"/>
      <c r="M50" s="1163"/>
    </row>
    <row r="51" spans="1:17">
      <c r="A51" s="1148"/>
      <c r="B51" s="1160"/>
      <c r="C51" s="1161">
        <v>-32597</v>
      </c>
      <c r="D51" s="1159">
        <v>0</v>
      </c>
      <c r="E51" s="1159">
        <v>0</v>
      </c>
      <c r="F51" s="1159">
        <v>0</v>
      </c>
      <c r="J51" s="1164"/>
      <c r="M51" s="1163"/>
    </row>
    <row r="52" spans="1:17">
      <c r="A52" s="1148"/>
      <c r="B52" s="1160" t="s">
        <v>1485</v>
      </c>
      <c r="C52" s="1159">
        <v>0</v>
      </c>
      <c r="D52" s="1159">
        <v>0</v>
      </c>
      <c r="E52" s="1159">
        <v>0</v>
      </c>
      <c r="F52" s="1161">
        <f>8216+4068</f>
        <v>12284</v>
      </c>
    </row>
    <row r="53" spans="1:17">
      <c r="A53" s="1148"/>
      <c r="B53" s="1160"/>
      <c r="C53" s="1159">
        <v>0</v>
      </c>
      <c r="D53" s="1159">
        <v>0</v>
      </c>
      <c r="E53" s="1159">
        <v>0</v>
      </c>
      <c r="F53" s="1161">
        <v>-383977</v>
      </c>
    </row>
    <row r="54" spans="1:17">
      <c r="A54" s="1148"/>
      <c r="B54" s="1160" t="s">
        <v>140</v>
      </c>
      <c r="C54" s="1159">
        <v>0</v>
      </c>
      <c r="D54" s="1161">
        <f>106884+3887</f>
        <v>110771</v>
      </c>
      <c r="E54" s="1159">
        <v>0</v>
      </c>
      <c r="F54" s="1159">
        <v>0</v>
      </c>
      <c r="J54" s="1164"/>
    </row>
    <row r="55" spans="1:17">
      <c r="A55" s="1148"/>
      <c r="B55" s="1160"/>
      <c r="C55" s="1159">
        <v>0</v>
      </c>
      <c r="D55" s="1161">
        <v>-18075</v>
      </c>
      <c r="E55" s="1159">
        <v>0</v>
      </c>
      <c r="F55" s="1159">
        <v>0</v>
      </c>
      <c r="J55" s="1164"/>
    </row>
    <row r="56" spans="1:17">
      <c r="A56" s="1148"/>
      <c r="B56" s="1160" t="s">
        <v>141</v>
      </c>
      <c r="C56" s="1159">
        <v>0</v>
      </c>
      <c r="D56" s="1161">
        <v>40010</v>
      </c>
      <c r="E56" s="1159">
        <v>0</v>
      </c>
      <c r="F56" s="1159">
        <v>0</v>
      </c>
      <c r="H56" s="1162"/>
    </row>
    <row r="57" spans="1:17">
      <c r="A57" s="1148"/>
      <c r="B57" s="1160"/>
      <c r="C57" s="1159">
        <v>0</v>
      </c>
      <c r="D57" s="1161">
        <v>-27257</v>
      </c>
      <c r="E57" s="1159">
        <v>0</v>
      </c>
      <c r="F57" s="1159">
        <v>0</v>
      </c>
    </row>
    <row r="58" spans="1:17">
      <c r="A58" s="1148"/>
      <c r="B58" s="1160" t="s">
        <v>1015</v>
      </c>
      <c r="C58" s="1159">
        <v>0</v>
      </c>
      <c r="D58" s="1161">
        <v>38475</v>
      </c>
      <c r="E58" s="1159">
        <v>0</v>
      </c>
      <c r="F58" s="1159">
        <v>0</v>
      </c>
    </row>
    <row r="59" spans="1:17">
      <c r="A59" s="1148"/>
      <c r="B59" s="1160"/>
      <c r="C59" s="1159">
        <v>0</v>
      </c>
      <c r="D59" s="1161">
        <v>-57200</v>
      </c>
      <c r="E59" s="1159">
        <v>0</v>
      </c>
      <c r="F59" s="1159">
        <v>0</v>
      </c>
    </row>
    <row r="60" spans="1:17">
      <c r="A60" s="1148"/>
      <c r="B60" s="1160" t="s">
        <v>785</v>
      </c>
      <c r="C60" s="1159">
        <v>0</v>
      </c>
      <c r="D60" s="1159">
        <v>0</v>
      </c>
      <c r="E60" s="1159">
        <v>0</v>
      </c>
      <c r="F60" s="1161">
        <v>190</v>
      </c>
      <c r="Q60" s="1163"/>
    </row>
    <row r="61" spans="1:17">
      <c r="A61" s="1148"/>
      <c r="B61" s="1160"/>
      <c r="C61" s="1159">
        <v>0</v>
      </c>
      <c r="D61" s="1161" t="s">
        <v>1641</v>
      </c>
      <c r="E61" s="1159">
        <v>0</v>
      </c>
      <c r="F61" s="1161">
        <v>-1693</v>
      </c>
      <c r="Q61" s="1163"/>
    </row>
    <row r="62" spans="1:17">
      <c r="A62" s="1148"/>
      <c r="B62" s="1160" t="s">
        <v>1016</v>
      </c>
      <c r="C62" s="1159">
        <v>0</v>
      </c>
      <c r="D62" s="1159">
        <v>0</v>
      </c>
      <c r="E62" s="1159">
        <v>0</v>
      </c>
      <c r="F62" s="1161">
        <v>3177</v>
      </c>
      <c r="Q62" s="1163"/>
    </row>
    <row r="63" spans="1:17">
      <c r="A63" s="1148"/>
      <c r="B63" s="1160"/>
      <c r="C63" s="1159">
        <v>0</v>
      </c>
      <c r="D63" s="1159">
        <v>0</v>
      </c>
      <c r="E63" s="1159">
        <v>0</v>
      </c>
      <c r="F63" s="1161" t="s">
        <v>1641</v>
      </c>
      <c r="Q63" s="1163"/>
    </row>
    <row r="64" spans="1:17">
      <c r="A64" s="1148"/>
      <c r="B64" s="1160"/>
      <c r="C64" s="1159"/>
      <c r="D64" s="1159"/>
      <c r="E64" s="1159"/>
      <c r="F64" s="1161"/>
      <c r="Q64" s="1163"/>
    </row>
    <row r="65" spans="1:17">
      <c r="A65" s="1148"/>
      <c r="B65" s="1158" t="s">
        <v>1487</v>
      </c>
      <c r="C65" s="1161"/>
      <c r="D65" s="1161"/>
      <c r="E65" s="1161"/>
      <c r="F65" s="1161"/>
      <c r="Q65" s="1163"/>
    </row>
    <row r="66" spans="1:17">
      <c r="A66" s="1148"/>
      <c r="B66" s="1160" t="s">
        <v>770</v>
      </c>
      <c r="C66" s="1159">
        <v>0</v>
      </c>
      <c r="D66" s="1159">
        <v>0</v>
      </c>
      <c r="E66" s="1159">
        <v>0</v>
      </c>
      <c r="F66" s="1161">
        <v>52056</v>
      </c>
      <c r="Q66" s="1163"/>
    </row>
    <row r="67" spans="1:17">
      <c r="A67" s="1148"/>
      <c r="B67" s="1160"/>
      <c r="C67" s="1159">
        <v>0</v>
      </c>
      <c r="D67" s="1159">
        <v>0</v>
      </c>
      <c r="E67" s="1159">
        <v>0</v>
      </c>
      <c r="F67" s="1161" t="s">
        <v>1641</v>
      </c>
      <c r="Q67" s="1163"/>
    </row>
    <row r="68" spans="1:17">
      <c r="A68" s="1148"/>
      <c r="B68" s="1160" t="s">
        <v>784</v>
      </c>
      <c r="C68" s="1161">
        <v>12073</v>
      </c>
      <c r="D68" s="1159">
        <v>0</v>
      </c>
      <c r="E68" s="1159">
        <v>0</v>
      </c>
      <c r="F68" s="1159">
        <v>0</v>
      </c>
      <c r="Q68" s="1163"/>
    </row>
    <row r="69" spans="1:17">
      <c r="A69" s="1148"/>
      <c r="B69" s="1160"/>
      <c r="C69" s="1161" t="s">
        <v>1641</v>
      </c>
      <c r="D69" s="1159">
        <v>0</v>
      </c>
      <c r="E69" s="1159">
        <v>0</v>
      </c>
      <c r="F69" s="1159">
        <v>0</v>
      </c>
      <c r="Q69" s="1163"/>
    </row>
    <row r="70" spans="1:17">
      <c r="A70" s="1148"/>
      <c r="B70" s="1160" t="s">
        <v>371</v>
      </c>
      <c r="C70" s="1161">
        <v>21168</v>
      </c>
      <c r="D70" s="1159">
        <v>0</v>
      </c>
      <c r="E70" s="1159">
        <v>0</v>
      </c>
      <c r="F70" s="1159">
        <v>0</v>
      </c>
      <c r="Q70" s="1163"/>
    </row>
    <row r="71" spans="1:17">
      <c r="A71" s="1148"/>
      <c r="B71" s="1160"/>
      <c r="C71" s="1161" t="s">
        <v>1641</v>
      </c>
      <c r="D71" s="1159">
        <v>0</v>
      </c>
      <c r="E71" s="1159">
        <v>0</v>
      </c>
      <c r="F71" s="1159">
        <v>0</v>
      </c>
      <c r="Q71" s="1163"/>
    </row>
    <row r="72" spans="1:17">
      <c r="A72" s="1148"/>
      <c r="B72" s="1160" t="s">
        <v>1642</v>
      </c>
      <c r="C72" s="1159">
        <v>0</v>
      </c>
      <c r="D72" s="1161">
        <v>4951</v>
      </c>
      <c r="E72" s="1159">
        <v>0</v>
      </c>
      <c r="F72" s="1159">
        <v>0</v>
      </c>
      <c r="Q72" s="1163"/>
    </row>
    <row r="73" spans="1:17">
      <c r="A73" s="1148"/>
      <c r="B73" s="1160"/>
      <c r="C73" s="1159">
        <v>0</v>
      </c>
      <c r="D73" s="1161" t="s">
        <v>1641</v>
      </c>
      <c r="E73" s="1159">
        <v>0</v>
      </c>
      <c r="F73" s="1159">
        <v>0</v>
      </c>
      <c r="Q73" s="1163"/>
    </row>
    <row r="74" spans="1:17">
      <c r="A74" s="1148"/>
      <c r="B74" s="1160" t="s">
        <v>1643</v>
      </c>
      <c r="C74" s="1159">
        <v>0</v>
      </c>
      <c r="D74" s="1161">
        <v>2926</v>
      </c>
      <c r="E74" s="1159">
        <v>0</v>
      </c>
      <c r="F74" s="1159">
        <v>0</v>
      </c>
      <c r="Q74" s="1163"/>
    </row>
    <row r="75" spans="1:17">
      <c r="A75" s="1148"/>
      <c r="B75" s="1160"/>
      <c r="C75" s="1159">
        <v>0</v>
      </c>
      <c r="D75" s="1161" t="s">
        <v>1641</v>
      </c>
      <c r="E75" s="1159">
        <v>0</v>
      </c>
      <c r="F75" s="1159">
        <v>0</v>
      </c>
      <c r="Q75" s="1163"/>
    </row>
    <row r="76" spans="1:17">
      <c r="A76" s="1148"/>
      <c r="B76" s="1160"/>
      <c r="C76" s="1159"/>
      <c r="D76" s="1161"/>
      <c r="E76" s="1159"/>
      <c r="F76" s="1159"/>
      <c r="Q76" s="1163"/>
    </row>
    <row r="77" spans="1:17">
      <c r="A77" s="1148"/>
      <c r="B77" s="1165" t="s">
        <v>1644</v>
      </c>
      <c r="C77" s="1161"/>
      <c r="D77" s="1161"/>
      <c r="E77" s="1161"/>
      <c r="F77" s="1161"/>
      <c r="Q77" s="1163"/>
    </row>
    <row r="78" spans="1:17">
      <c r="A78" s="1148"/>
      <c r="B78" s="1160" t="s">
        <v>784</v>
      </c>
      <c r="C78" s="1159">
        <v>0</v>
      </c>
      <c r="D78" s="1159">
        <v>0</v>
      </c>
      <c r="E78" s="1159">
        <v>0</v>
      </c>
      <c r="F78" s="1161" t="s">
        <v>1641</v>
      </c>
      <c r="Q78" s="1163"/>
    </row>
    <row r="79" spans="1:17">
      <c r="A79" s="1148"/>
      <c r="B79" s="1160"/>
      <c r="C79" s="1159">
        <v>0</v>
      </c>
      <c r="D79" s="1159">
        <v>0</v>
      </c>
      <c r="E79" s="1159">
        <v>0</v>
      </c>
      <c r="F79" s="1161">
        <v>-350175</v>
      </c>
      <c r="Q79" s="1163"/>
    </row>
    <row r="80" spans="1:17">
      <c r="A80" s="1148"/>
      <c r="B80" s="1160"/>
      <c r="C80" s="1161"/>
      <c r="D80" s="1161"/>
      <c r="E80" s="1161"/>
      <c r="F80" s="1161"/>
      <c r="Q80" s="1163"/>
    </row>
    <row r="81" spans="1:17">
      <c r="A81" s="1148"/>
      <c r="B81" s="1158" t="s">
        <v>1645</v>
      </c>
      <c r="C81" s="1161"/>
      <c r="D81" s="1161"/>
      <c r="E81" s="1161"/>
      <c r="F81" s="1161"/>
      <c r="Q81" s="1163"/>
    </row>
    <row r="82" spans="1:17">
      <c r="A82" s="1148"/>
      <c r="B82" s="1160" t="s">
        <v>784</v>
      </c>
      <c r="C82" s="1159">
        <v>0</v>
      </c>
      <c r="D82" s="1159">
        <v>0</v>
      </c>
      <c r="E82" s="1159">
        <v>0</v>
      </c>
      <c r="F82" s="1161" t="s">
        <v>1641</v>
      </c>
      <c r="Q82" s="1163"/>
    </row>
    <row r="83" spans="1:17">
      <c r="A83" s="1148"/>
      <c r="B83" s="1166"/>
      <c r="C83" s="1167">
        <v>0</v>
      </c>
      <c r="D83" s="1168">
        <v>0</v>
      </c>
      <c r="E83" s="1168">
        <v>0</v>
      </c>
      <c r="F83" s="1169">
        <v>-498211</v>
      </c>
      <c r="Q83" s="1163"/>
    </row>
    <row r="84" spans="1:17">
      <c r="A84" s="1148"/>
      <c r="B84" s="728"/>
      <c r="C84" s="1170"/>
      <c r="D84" s="1170"/>
      <c r="E84" s="1170"/>
      <c r="F84" s="1171" t="s">
        <v>1090</v>
      </c>
      <c r="Q84" s="1163"/>
    </row>
    <row r="85" spans="1:17">
      <c r="A85" s="1147" t="s">
        <v>1087</v>
      </c>
      <c r="B85" s="725" t="s">
        <v>1091</v>
      </c>
      <c r="C85" s="1172"/>
      <c r="D85" s="1172"/>
      <c r="E85" s="1172"/>
      <c r="F85" s="1172"/>
      <c r="Q85" s="1163"/>
    </row>
    <row r="86" spans="1:17">
      <c r="A86" s="1148"/>
      <c r="B86" s="725"/>
      <c r="C86" s="1172"/>
      <c r="D86" s="1172"/>
      <c r="E86" s="1172"/>
      <c r="F86" s="1172"/>
      <c r="Q86" s="1163"/>
    </row>
    <row r="87" spans="1:17" ht="57.6">
      <c r="A87" s="1148"/>
      <c r="B87" s="1155" t="s">
        <v>782</v>
      </c>
      <c r="C87" s="1173" t="s">
        <v>765</v>
      </c>
      <c r="D87" s="1173" t="s">
        <v>779</v>
      </c>
      <c r="E87" s="1174" t="s">
        <v>1088</v>
      </c>
      <c r="F87" s="1174" t="s">
        <v>1089</v>
      </c>
      <c r="Q87" s="1163"/>
    </row>
    <row r="88" spans="1:17">
      <c r="A88" s="1148"/>
      <c r="B88" s="1196"/>
      <c r="C88" s="1197"/>
      <c r="D88" s="1197"/>
      <c r="E88" s="1197"/>
      <c r="F88" s="1197"/>
      <c r="Q88" s="1163"/>
    </row>
    <row r="89" spans="1:17">
      <c r="A89" s="1148"/>
      <c r="B89" s="1158" t="s">
        <v>1092</v>
      </c>
      <c r="C89" s="1161"/>
      <c r="D89" s="1161"/>
      <c r="E89" s="1161"/>
      <c r="F89" s="1161"/>
      <c r="Q89" s="1163"/>
    </row>
    <row r="90" spans="1:17">
      <c r="A90" s="1148"/>
      <c r="B90" s="1175" t="s">
        <v>784</v>
      </c>
      <c r="C90" s="1176">
        <v>0</v>
      </c>
      <c r="D90" s="1176">
        <v>0</v>
      </c>
      <c r="E90" s="1176">
        <v>0</v>
      </c>
      <c r="F90" s="1161">
        <v>0</v>
      </c>
      <c r="Q90" s="1163"/>
    </row>
    <row r="91" spans="1:17">
      <c r="A91" s="1148"/>
      <c r="B91" s="1175"/>
      <c r="C91" s="1176">
        <v>0</v>
      </c>
      <c r="D91" s="1176">
        <v>0</v>
      </c>
      <c r="E91" s="1176">
        <v>0</v>
      </c>
      <c r="F91" s="1161">
        <v>-8414</v>
      </c>
      <c r="Q91" s="1163"/>
    </row>
    <row r="92" spans="1:17">
      <c r="A92" s="1148"/>
      <c r="B92" s="1175" t="s">
        <v>1488</v>
      </c>
      <c r="C92" s="1176">
        <v>0</v>
      </c>
      <c r="D92" s="1176">
        <v>0</v>
      </c>
      <c r="E92" s="1176">
        <v>0</v>
      </c>
      <c r="F92" s="1161">
        <v>0</v>
      </c>
      <c r="Q92" s="1163"/>
    </row>
    <row r="93" spans="1:17">
      <c r="A93" s="1148"/>
      <c r="B93" s="1175"/>
      <c r="C93" s="1176">
        <v>0</v>
      </c>
      <c r="D93" s="1176">
        <v>0</v>
      </c>
      <c r="E93" s="1176">
        <v>0</v>
      </c>
      <c r="F93" s="1161">
        <v>-2100</v>
      </c>
      <c r="Q93" s="1163"/>
    </row>
    <row r="94" spans="1:17">
      <c r="A94" s="1148"/>
      <c r="B94" s="1175"/>
      <c r="C94" s="1176"/>
      <c r="D94" s="1176"/>
      <c r="E94" s="1176"/>
      <c r="F94" s="1161"/>
      <c r="Q94" s="1163"/>
    </row>
    <row r="95" spans="1:17">
      <c r="A95" s="1148"/>
      <c r="B95" s="1177" t="s">
        <v>1646</v>
      </c>
      <c r="C95" s="1161"/>
      <c r="D95" s="1161"/>
      <c r="E95" s="1161"/>
      <c r="F95" s="1161"/>
      <c r="Q95" s="1163"/>
    </row>
    <row r="96" spans="1:17">
      <c r="A96" s="1148"/>
      <c r="B96" s="1175" t="s">
        <v>784</v>
      </c>
      <c r="C96" s="1176">
        <v>0</v>
      </c>
      <c r="D96" s="1176">
        <v>0</v>
      </c>
      <c r="E96" s="1176">
        <v>0</v>
      </c>
      <c r="F96" s="1161">
        <v>0</v>
      </c>
      <c r="Q96" s="1163"/>
    </row>
    <row r="97" spans="1:17">
      <c r="A97" s="1148"/>
      <c r="B97" s="1175"/>
      <c r="C97" s="1176">
        <v>0</v>
      </c>
      <c r="D97" s="1176">
        <v>0</v>
      </c>
      <c r="E97" s="1176">
        <v>0</v>
      </c>
      <c r="F97" s="1161">
        <v>-60000</v>
      </c>
      <c r="Q97" s="1163"/>
    </row>
    <row r="98" spans="1:17">
      <c r="A98" s="1148"/>
      <c r="B98" s="1175"/>
      <c r="C98" s="1176"/>
      <c r="D98" s="1176"/>
      <c r="E98" s="1176"/>
      <c r="F98" s="1161"/>
      <c r="Q98" s="1163"/>
    </row>
    <row r="99" spans="1:17">
      <c r="A99" s="1148"/>
      <c r="B99" s="1177" t="s">
        <v>1454</v>
      </c>
      <c r="C99" s="1161"/>
      <c r="D99" s="1161"/>
      <c r="E99" s="1161"/>
      <c r="F99" s="1161"/>
      <c r="Q99" s="1163"/>
    </row>
    <row r="100" spans="1:17">
      <c r="A100" s="1148"/>
      <c r="B100" s="1175" t="s">
        <v>1007</v>
      </c>
      <c r="C100" s="1176">
        <v>0</v>
      </c>
      <c r="D100" s="1159">
        <v>0</v>
      </c>
      <c r="E100" s="1159">
        <v>0</v>
      </c>
      <c r="F100" s="1161">
        <v>20000</v>
      </c>
      <c r="Q100" s="1163"/>
    </row>
    <row r="101" spans="1:17">
      <c r="A101" s="1148"/>
      <c r="B101" s="1175"/>
      <c r="C101" s="1176">
        <v>0</v>
      </c>
      <c r="D101" s="1159">
        <v>0</v>
      </c>
      <c r="E101" s="1159">
        <v>0</v>
      </c>
      <c r="F101" s="1161">
        <v>-60000</v>
      </c>
      <c r="Q101" s="1163"/>
    </row>
    <row r="102" spans="1:17">
      <c r="A102" s="1148"/>
      <c r="B102" s="1175"/>
      <c r="C102" s="1176"/>
      <c r="D102" s="1159"/>
      <c r="E102" s="1159"/>
      <c r="F102" s="1161"/>
      <c r="Q102" s="1163"/>
    </row>
    <row r="103" spans="1:17">
      <c r="A103" s="1148"/>
      <c r="B103" s="1177" t="s">
        <v>1093</v>
      </c>
      <c r="C103" s="1161"/>
      <c r="D103" s="1161"/>
      <c r="E103" s="1161"/>
      <c r="F103" s="1161"/>
      <c r="Q103" s="1163"/>
    </row>
    <row r="104" spans="1:17">
      <c r="A104" s="1148"/>
      <c r="B104" s="1175" t="s">
        <v>980</v>
      </c>
      <c r="C104" s="1176">
        <v>0</v>
      </c>
      <c r="D104" s="1176">
        <v>0</v>
      </c>
      <c r="E104" s="1176">
        <v>0</v>
      </c>
      <c r="F104" s="1161">
        <v>0</v>
      </c>
      <c r="Q104" s="1163"/>
    </row>
    <row r="105" spans="1:17">
      <c r="A105" s="1148"/>
      <c r="B105" s="1160"/>
      <c r="C105" s="1176">
        <v>0</v>
      </c>
      <c r="D105" s="1176">
        <v>0</v>
      </c>
      <c r="E105" s="1176">
        <v>0</v>
      </c>
      <c r="F105" s="1161">
        <v>-267335</v>
      </c>
      <c r="Q105" s="1163"/>
    </row>
    <row r="106" spans="1:17">
      <c r="A106" s="1148"/>
      <c r="B106" s="1160"/>
      <c r="C106" s="1176"/>
      <c r="D106" s="1176"/>
      <c r="E106" s="1176"/>
      <c r="F106" s="1161"/>
      <c r="Q106" s="1163"/>
    </row>
    <row r="107" spans="1:17">
      <c r="A107" s="1148"/>
      <c r="B107" s="1158" t="s">
        <v>1647</v>
      </c>
      <c r="C107" s="1161"/>
      <c r="D107" s="1161"/>
      <c r="E107" s="1161"/>
      <c r="F107" s="1161"/>
      <c r="Q107" s="1163"/>
    </row>
    <row r="108" spans="1:17">
      <c r="A108" s="1148"/>
      <c r="B108" s="1160" t="s">
        <v>784</v>
      </c>
      <c r="C108" s="1161">
        <v>38900000</v>
      </c>
      <c r="D108" s="1176">
        <v>0</v>
      </c>
      <c r="E108" s="1176">
        <v>0</v>
      </c>
      <c r="F108" s="1176">
        <v>0</v>
      </c>
      <c r="Q108" s="1163"/>
    </row>
    <row r="109" spans="1:17">
      <c r="A109" s="1148"/>
      <c r="B109" s="1160"/>
      <c r="C109" s="1176">
        <v>0</v>
      </c>
      <c r="D109" s="1176">
        <v>0</v>
      </c>
      <c r="E109" s="1176">
        <v>0</v>
      </c>
      <c r="F109" s="1176">
        <v>0</v>
      </c>
      <c r="Q109" s="1163"/>
    </row>
    <row r="110" spans="1:17">
      <c r="A110" s="1148"/>
      <c r="B110" s="1160"/>
      <c r="C110" s="1176"/>
      <c r="D110" s="1176"/>
      <c r="E110" s="1176"/>
      <c r="F110" s="1176"/>
      <c r="Q110" s="1163"/>
    </row>
    <row r="111" spans="1:17">
      <c r="A111" s="1148"/>
      <c r="B111" s="1158" t="s">
        <v>1648</v>
      </c>
      <c r="C111" s="1176">
        <v>0</v>
      </c>
      <c r="D111" s="1176">
        <v>0</v>
      </c>
      <c r="E111" s="1176">
        <v>0</v>
      </c>
      <c r="F111" s="1176">
        <v>0</v>
      </c>
      <c r="Q111" s="1163"/>
    </row>
    <row r="112" spans="1:17">
      <c r="A112" s="1148"/>
      <c r="B112" s="1175" t="s">
        <v>784</v>
      </c>
      <c r="C112" s="1161">
        <f>C108-1634615</f>
        <v>37265385</v>
      </c>
      <c r="D112" s="1176">
        <v>0</v>
      </c>
      <c r="E112" s="1176">
        <v>0</v>
      </c>
      <c r="F112" s="1176">
        <v>0</v>
      </c>
      <c r="H112" s="1143">
        <v>37265385</v>
      </c>
      <c r="Q112" s="1163"/>
    </row>
    <row r="113" spans="1:17">
      <c r="A113" s="1148"/>
      <c r="B113" s="1160"/>
      <c r="C113" s="1161"/>
      <c r="D113" s="1161"/>
      <c r="E113" s="1161"/>
      <c r="F113" s="1161"/>
      <c r="Q113" s="1163"/>
    </row>
    <row r="114" spans="1:17">
      <c r="A114" s="1148"/>
      <c r="B114" s="1158" t="s">
        <v>1008</v>
      </c>
      <c r="C114" s="1161"/>
      <c r="D114" s="1161"/>
      <c r="E114" s="1161"/>
      <c r="F114" s="1161"/>
      <c r="Q114" s="1163"/>
    </row>
    <row r="115" spans="1:17">
      <c r="A115" s="1148"/>
      <c r="B115" s="1175" t="s">
        <v>784</v>
      </c>
      <c r="C115" s="1161">
        <v>1134939</v>
      </c>
      <c r="D115" s="1176">
        <v>0</v>
      </c>
      <c r="E115" s="1176">
        <v>0</v>
      </c>
      <c r="F115" s="1176">
        <v>0</v>
      </c>
      <c r="Q115" s="1163"/>
    </row>
    <row r="116" spans="1:17">
      <c r="A116" s="1148"/>
      <c r="B116" s="1175"/>
      <c r="C116" s="1161">
        <v>0</v>
      </c>
      <c r="D116" s="1176">
        <v>0</v>
      </c>
      <c r="E116" s="1176">
        <v>0</v>
      </c>
      <c r="F116" s="1176">
        <v>0</v>
      </c>
      <c r="Q116" s="1163"/>
    </row>
    <row r="117" spans="1:17">
      <c r="A117" s="1148"/>
      <c r="B117" s="1175"/>
      <c r="C117" s="1161"/>
      <c r="D117" s="1176"/>
      <c r="E117" s="1176"/>
      <c r="F117" s="1176"/>
      <c r="Q117" s="1163"/>
    </row>
    <row r="118" spans="1:17">
      <c r="A118" s="1148"/>
      <c r="B118" s="1158" t="s">
        <v>1729</v>
      </c>
      <c r="C118" s="1161"/>
      <c r="D118" s="1176"/>
      <c r="E118" s="1176"/>
      <c r="F118" s="1176"/>
      <c r="Q118" s="1163"/>
    </row>
    <row r="119" spans="1:17">
      <c r="A119" s="1148"/>
      <c r="B119" s="1175" t="s">
        <v>784</v>
      </c>
      <c r="C119" s="1161">
        <f>C115*90%</f>
        <v>1021445.1</v>
      </c>
      <c r="D119" s="1161">
        <v>0</v>
      </c>
      <c r="E119" s="1161">
        <v>0</v>
      </c>
      <c r="F119" s="1161">
        <v>0</v>
      </c>
      <c r="Q119" s="1163"/>
    </row>
    <row r="120" spans="1:17">
      <c r="A120" s="1148"/>
      <c r="B120" s="1175"/>
      <c r="C120" s="1161">
        <v>0</v>
      </c>
      <c r="D120" s="1161">
        <v>0</v>
      </c>
      <c r="E120" s="1161">
        <v>0</v>
      </c>
      <c r="F120" s="1161">
        <v>0</v>
      </c>
      <c r="Q120" s="1163"/>
    </row>
    <row r="121" spans="1:17">
      <c r="A121" s="1148"/>
      <c r="B121" s="1165" t="s">
        <v>1649</v>
      </c>
      <c r="C121" s="1176"/>
      <c r="D121" s="1176"/>
      <c r="E121" s="1176"/>
      <c r="F121" s="1176"/>
      <c r="Q121" s="1163"/>
    </row>
    <row r="122" spans="1:17">
      <c r="A122" s="1148"/>
      <c r="B122" s="1178" t="s">
        <v>784</v>
      </c>
      <c r="C122" s="1161">
        <v>174000</v>
      </c>
      <c r="D122" s="1176">
        <v>0</v>
      </c>
      <c r="E122" s="1176">
        <v>0</v>
      </c>
      <c r="F122" s="1176">
        <v>0</v>
      </c>
      <c r="Q122" s="1163"/>
    </row>
    <row r="123" spans="1:17">
      <c r="A123" s="1148"/>
      <c r="B123" s="1160"/>
      <c r="C123" s="1176">
        <v>0</v>
      </c>
      <c r="D123" s="1176">
        <v>0</v>
      </c>
      <c r="E123" s="1176">
        <v>0</v>
      </c>
      <c r="F123" s="1176">
        <v>0</v>
      </c>
      <c r="Q123" s="1163"/>
    </row>
    <row r="124" spans="1:17">
      <c r="A124" s="1148"/>
      <c r="B124" s="1160"/>
      <c r="C124" s="1176"/>
      <c r="D124" s="1176"/>
      <c r="E124" s="1176"/>
      <c r="F124" s="1176"/>
      <c r="Q124" s="1163"/>
    </row>
    <row r="125" spans="1:17">
      <c r="A125" s="1148"/>
      <c r="B125" s="1158" t="s">
        <v>1650</v>
      </c>
      <c r="C125" s="1176"/>
      <c r="D125" s="1176"/>
      <c r="E125" s="1176"/>
      <c r="F125" s="1176"/>
      <c r="Q125" s="1163"/>
    </row>
    <row r="126" spans="1:17">
      <c r="A126" s="1148"/>
      <c r="B126" s="1160" t="s">
        <v>1085</v>
      </c>
      <c r="C126" s="1176">
        <v>0</v>
      </c>
      <c r="D126" s="1176">
        <v>0</v>
      </c>
      <c r="E126" s="1176">
        <v>0</v>
      </c>
      <c r="F126" s="1176">
        <v>0</v>
      </c>
      <c r="Q126" s="1163"/>
    </row>
    <row r="127" spans="1:17">
      <c r="A127" s="1148"/>
      <c r="B127" s="1160"/>
      <c r="C127" s="1176">
        <v>0</v>
      </c>
      <c r="D127" s="1176">
        <v>0</v>
      </c>
      <c r="E127" s="1176">
        <v>0</v>
      </c>
      <c r="F127" s="1161">
        <v>121869</v>
      </c>
      <c r="Q127" s="1163"/>
    </row>
    <row r="128" spans="1:17">
      <c r="A128" s="1148"/>
      <c r="B128" s="1160"/>
      <c r="C128" s="1176"/>
      <c r="D128" s="1176"/>
      <c r="E128" s="1176"/>
      <c r="F128" s="1176"/>
      <c r="Q128" s="1163"/>
    </row>
    <row r="129" spans="1:6">
      <c r="A129" s="1148"/>
      <c r="B129" s="1189" t="s">
        <v>786</v>
      </c>
      <c r="C129" s="1176">
        <v>0</v>
      </c>
      <c r="D129" s="1176">
        <v>0</v>
      </c>
      <c r="E129" s="1176">
        <v>0</v>
      </c>
      <c r="F129" s="1176">
        <v>0</v>
      </c>
    </row>
    <row r="130" spans="1:6">
      <c r="A130" s="1148"/>
      <c r="B130" s="1198"/>
      <c r="C130" s="1167">
        <v>0</v>
      </c>
      <c r="D130" s="1167">
        <v>0</v>
      </c>
      <c r="E130" s="1167">
        <v>0</v>
      </c>
      <c r="F130" s="1169">
        <v>-121869</v>
      </c>
    </row>
    <row r="131" spans="1:6" s="1144" customFormat="1">
      <c r="A131" s="1192"/>
      <c r="B131" s="1199"/>
      <c r="C131" s="1200"/>
      <c r="D131" s="1200"/>
      <c r="E131" s="1200"/>
      <c r="F131" s="1201"/>
    </row>
    <row r="132" spans="1:6">
      <c r="A132" s="1190"/>
      <c r="B132" s="1193" t="s">
        <v>1724</v>
      </c>
      <c r="C132" s="1194"/>
      <c r="D132" s="1194"/>
      <c r="E132" s="1194"/>
      <c r="F132" s="1195"/>
    </row>
    <row r="133" spans="1:6">
      <c r="C133" s="1179"/>
      <c r="D133" s="1191"/>
      <c r="E133" s="1179"/>
      <c r="F133" s="1179"/>
    </row>
    <row r="134" spans="1:6">
      <c r="C134" s="1179"/>
      <c r="D134" s="1179"/>
      <c r="E134" s="1179"/>
      <c r="F134" s="1179"/>
    </row>
    <row r="135" spans="1:6">
      <c r="C135" s="1179"/>
      <c r="D135" s="1179"/>
      <c r="E135" s="1179"/>
      <c r="F135" s="1179"/>
    </row>
    <row r="136" spans="1:6">
      <c r="C136" s="1179"/>
      <c r="D136" s="1179"/>
      <c r="E136" s="1179"/>
      <c r="F136" s="1179"/>
    </row>
    <row r="137" spans="1:6">
      <c r="C137" s="1179"/>
      <c r="D137" s="1179"/>
      <c r="E137" s="1179"/>
      <c r="F137" s="1179"/>
    </row>
    <row r="138" spans="1:6">
      <c r="C138" s="1179"/>
      <c r="D138" s="1179"/>
      <c r="E138" s="1179"/>
      <c r="F138" s="1179"/>
    </row>
    <row r="139" spans="1:6">
      <c r="C139" s="1179"/>
      <c r="D139" s="1179"/>
      <c r="E139" s="1179"/>
      <c r="F139" s="1179"/>
    </row>
    <row r="140" spans="1:6">
      <c r="C140" s="1179"/>
      <c r="D140" s="1179"/>
      <c r="E140" s="1179"/>
      <c r="F140" s="1179"/>
    </row>
    <row r="141" spans="1:6">
      <c r="C141" s="1179"/>
      <c r="D141" s="1179"/>
      <c r="E141" s="1179"/>
      <c r="F141" s="1179"/>
    </row>
    <row r="142" spans="1:6">
      <c r="C142" s="1179"/>
      <c r="D142" s="1179"/>
      <c r="E142" s="1179"/>
      <c r="F142" s="1179"/>
    </row>
    <row r="143" spans="1:6">
      <c r="C143" s="1179"/>
      <c r="D143" s="1179"/>
      <c r="E143" s="1179"/>
      <c r="F143" s="1179"/>
    </row>
    <row r="144" spans="1:6">
      <c r="C144" s="1179"/>
      <c r="D144" s="1179"/>
      <c r="E144" s="1179"/>
      <c r="F144" s="1179"/>
    </row>
    <row r="145" spans="3:6">
      <c r="C145" s="1179"/>
      <c r="D145" s="1179"/>
      <c r="E145" s="1179"/>
      <c r="F145" s="1179"/>
    </row>
  </sheetData>
  <mergeCells count="5">
    <mergeCell ref="A2:F2"/>
    <mergeCell ref="B33:F33"/>
    <mergeCell ref="A3:F3"/>
    <mergeCell ref="B12:F12"/>
    <mergeCell ref="B30:F30"/>
  </mergeCells>
  <pageMargins left="0.59055118110236227" right="0.59055118110236227" top="0.59055118110236227" bottom="0.59055118110236227" header="0.31496062992125984" footer="0.31496062992125984"/>
  <pageSetup paperSize="9" scale="71" orientation="portrait" r:id="rId1"/>
  <rowBreaks count="1" manualBreakCount="1">
    <brk id="64"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G30"/>
  <sheetViews>
    <sheetView showGridLines="0" view="pageBreakPreview" topLeftCell="A4" zoomScale="60" zoomScaleNormal="100" workbookViewId="0">
      <selection activeCell="N45" sqref="N45"/>
    </sheetView>
  </sheetViews>
  <sheetFormatPr defaultColWidth="9.21875" defaultRowHeight="14.4"/>
  <cols>
    <col min="1" max="1" width="2.77734375" style="151" bestFit="1" customWidth="1"/>
    <col min="2" max="2" width="23.77734375" style="151" bestFit="1" customWidth="1"/>
    <col min="3" max="3" width="24.5546875" style="151" customWidth="1"/>
    <col min="4" max="4" width="20.44140625" style="151" customWidth="1"/>
    <col min="5" max="5" width="12.44140625" style="151" customWidth="1"/>
    <col min="6" max="6" width="13.21875" style="151" customWidth="1"/>
    <col min="7" max="7" width="8.44140625" style="151" bestFit="1" customWidth="1"/>
    <col min="8" max="16384" width="9.21875" style="151"/>
  </cols>
  <sheetData>
    <row r="1" spans="1:7">
      <c r="A1" s="1300" t="s">
        <v>880</v>
      </c>
      <c r="B1" s="1300"/>
      <c r="C1" s="1300"/>
      <c r="D1" s="1300"/>
      <c r="E1" s="1300"/>
      <c r="F1" s="1300"/>
    </row>
    <row r="2" spans="1:7">
      <c r="A2" s="1300" t="s">
        <v>881</v>
      </c>
      <c r="B2" s="1300"/>
      <c r="C2" s="1300"/>
      <c r="D2" s="1300"/>
      <c r="E2" s="1300"/>
      <c r="F2" s="1300"/>
    </row>
    <row r="3" spans="1:7">
      <c r="A3" s="1301" t="str">
        <f>'FA prev year'!A3</f>
        <v>[Currency: Indian Rupees(Rs.'000)]</v>
      </c>
      <c r="B3" s="1301"/>
      <c r="C3" s="1301"/>
      <c r="D3" s="1301"/>
      <c r="E3" s="1301"/>
      <c r="F3" s="1301"/>
    </row>
    <row r="6" spans="1:7">
      <c r="A6" s="5">
        <f>'Note 37'!A4+1</f>
        <v>38</v>
      </c>
      <c r="B6" s="379" t="s">
        <v>1263</v>
      </c>
    </row>
    <row r="8" spans="1:7" s="444" customFormat="1" ht="28.8">
      <c r="B8" s="445" t="s">
        <v>0</v>
      </c>
      <c r="C8" s="445" t="s">
        <v>1313</v>
      </c>
      <c r="D8" s="445" t="s">
        <v>1314</v>
      </c>
      <c r="E8" s="445" t="s">
        <v>1315</v>
      </c>
      <c r="F8" s="445" t="s">
        <v>1316</v>
      </c>
      <c r="G8" s="445" t="s">
        <v>1317</v>
      </c>
    </row>
    <row r="9" spans="1:7">
      <c r="B9" s="70" t="s">
        <v>1264</v>
      </c>
      <c r="C9" s="386" t="s">
        <v>128</v>
      </c>
      <c r="D9" s="386" t="s">
        <v>106</v>
      </c>
      <c r="E9" s="446">
        <f>BS!F26/BS!F52</f>
        <v>0.83727967286907834</v>
      </c>
      <c r="F9" s="446">
        <f>BS!G26/BS!G52</f>
        <v>2.2706760761383924</v>
      </c>
      <c r="G9" s="447">
        <f t="shared" ref="G9:G18" si="0">(E9-F9)/F9</f>
        <v>-0.63126415006186554</v>
      </c>
    </row>
    <row r="10" spans="1:7" s="448" customFormat="1">
      <c r="B10" s="70" t="s">
        <v>1265</v>
      </c>
      <c r="C10" s="386" t="s">
        <v>1318</v>
      </c>
      <c r="D10" s="386" t="s">
        <v>1319</v>
      </c>
      <c r="E10" s="446">
        <f>(BS!F41+BS!F46)/BS!F35</f>
        <v>1.6038426403083894</v>
      </c>
      <c r="F10" s="446">
        <f>(BS!G41+BS!G46)/BS!G35</f>
        <v>5.9150706617139864E-2</v>
      </c>
      <c r="G10" s="447">
        <f t="shared" si="0"/>
        <v>26.114513621780645</v>
      </c>
    </row>
    <row r="11" spans="1:7" ht="28.8">
      <c r="B11" s="70" t="s">
        <v>1266</v>
      </c>
      <c r="C11" s="386" t="s">
        <v>1320</v>
      </c>
      <c r="D11" s="386" t="s">
        <v>1321</v>
      </c>
      <c r="E11" s="449">
        <f>(PL!F23+PL!F16+PL!F17)/(BS!F46+PL!F16)</f>
        <v>-4.1453003941393582</v>
      </c>
      <c r="F11" s="449">
        <f>(PL!G23+PL!G16+PL!G17)/(BS!G46+PL!G16)</f>
        <v>-7.2937794778975089</v>
      </c>
      <c r="G11" s="447">
        <f t="shared" si="0"/>
        <v>-0.43166633887123296</v>
      </c>
    </row>
    <row r="12" spans="1:7" ht="28.8">
      <c r="B12" s="70" t="s">
        <v>1267</v>
      </c>
      <c r="C12" s="386" t="s">
        <v>1322</v>
      </c>
      <c r="D12" s="386" t="s">
        <v>1323</v>
      </c>
      <c r="E12" s="450">
        <f>PL!F27/((BS!F35+BS!G35)/2)</f>
        <v>-1.6116007744074261</v>
      </c>
      <c r="F12" s="450">
        <f>PL!G27/((BS!G35+BS!H35)/2)</f>
        <v>-2.6554050529264233</v>
      </c>
      <c r="G12" s="447">
        <f t="shared" si="0"/>
        <v>-0.3930866507046295</v>
      </c>
    </row>
    <row r="13" spans="1:7">
      <c r="B13" s="70" t="s">
        <v>1268</v>
      </c>
      <c r="C13" s="386" t="s">
        <v>1324</v>
      </c>
      <c r="D13" s="386" t="s">
        <v>1325</v>
      </c>
      <c r="E13" s="449">
        <f>(PL!F13+PL!F14)/((BS!F20+BS!G20)/2)</f>
        <v>1.7696477010656109</v>
      </c>
      <c r="F13" s="449">
        <f>(PL!G13+PL!G14)/((BS!G20+BS!H20)/2)</f>
        <v>2.1708904179936983</v>
      </c>
      <c r="G13" s="447">
        <f t="shared" si="0"/>
        <v>-0.18482863695114995</v>
      </c>
    </row>
    <row r="14" spans="1:7" ht="28.8">
      <c r="B14" s="70" t="s">
        <v>1269</v>
      </c>
      <c r="C14" s="386" t="s">
        <v>1326</v>
      </c>
      <c r="D14" s="386" t="s">
        <v>1327</v>
      </c>
      <c r="E14" s="449">
        <f>(PL!F8)/((BS!F22+BS!G22)/2)</f>
        <v>17.450107454478911</v>
      </c>
      <c r="F14" s="449">
        <f>(PL!G8)/((BS!G22+BS!H22)/2)</f>
        <v>13.334378612994772</v>
      </c>
      <c r="G14" s="447">
        <f t="shared" si="0"/>
        <v>0.30865546576525366</v>
      </c>
    </row>
    <row r="15" spans="1:7" ht="28.8">
      <c r="B15" s="70" t="s">
        <v>1270</v>
      </c>
      <c r="C15" s="386" t="s">
        <v>1328</v>
      </c>
      <c r="D15" s="386" t="s">
        <v>1329</v>
      </c>
      <c r="E15" s="451">
        <f>PL!F13/((BS!F48+BS!F49+BS!G49+BS!G48)/2)</f>
        <v>1.201501549084975</v>
      </c>
      <c r="F15" s="449">
        <f>PL!G13/((BS!G48+BS!G49+BS!H49+BS!H48)/2)</f>
        <v>2.2211127249711797</v>
      </c>
      <c r="G15" s="447">
        <f t="shared" si="0"/>
        <v>-0.45905422287805531</v>
      </c>
    </row>
    <row r="16" spans="1:7" ht="28.8">
      <c r="B16" s="70" t="s">
        <v>1271</v>
      </c>
      <c r="C16" s="386" t="s">
        <v>1330</v>
      </c>
      <c r="D16" s="386" t="s">
        <v>1331</v>
      </c>
      <c r="E16" s="449">
        <f>PL!F8/((BS!F35+BS!G35)/2)</f>
        <v>1.4779865296581025</v>
      </c>
      <c r="F16" s="449">
        <f>PL!G8/((BS!G35+BS!H35)/2)</f>
        <v>2.8473091492463785</v>
      </c>
      <c r="G16" s="447">
        <f t="shared" si="0"/>
        <v>-0.48091813983413295</v>
      </c>
    </row>
    <row r="17" spans="2:7">
      <c r="B17" s="70" t="s">
        <v>1272</v>
      </c>
      <c r="C17" s="386" t="s">
        <v>1332</v>
      </c>
      <c r="D17" s="386" t="s">
        <v>1330</v>
      </c>
      <c r="E17" s="452">
        <f>PL!F27/PL!F8</f>
        <v>-1.0904028839696072</v>
      </c>
      <c r="F17" s="452">
        <f>PL!G27/PL!G8</f>
        <v>-0.93260159460705283</v>
      </c>
      <c r="G17" s="447">
        <f t="shared" si="0"/>
        <v>0.16920546809599135</v>
      </c>
    </row>
    <row r="18" spans="2:7" ht="28.8">
      <c r="B18" s="70" t="s">
        <v>1273</v>
      </c>
      <c r="C18" s="386" t="s">
        <v>1333</v>
      </c>
      <c r="D18" s="386" t="s">
        <v>1330</v>
      </c>
      <c r="E18" s="452">
        <f>(PL!F21+PL!F16)/PL!F8</f>
        <v>-1.0726010569366753</v>
      </c>
      <c r="F18" s="452">
        <f>(PL!G21+PL!G16)/PL!G8</f>
        <v>-0.86146854137657347</v>
      </c>
      <c r="G18" s="447">
        <f t="shared" si="0"/>
        <v>0.24508441738653058</v>
      </c>
    </row>
    <row r="19" spans="2:7" ht="28.8">
      <c r="B19" s="70" t="s">
        <v>1274</v>
      </c>
      <c r="C19" s="386" t="s">
        <v>1334</v>
      </c>
      <c r="D19" s="386" t="s">
        <v>1335</v>
      </c>
      <c r="E19" s="453" t="s">
        <v>1148</v>
      </c>
      <c r="F19" s="453" t="s">
        <v>1148</v>
      </c>
      <c r="G19" s="454"/>
    </row>
    <row r="20" spans="2:7">
      <c r="B20" s="71"/>
      <c r="C20" s="73"/>
      <c r="D20" s="100"/>
      <c r="E20" s="405"/>
      <c r="F20" s="405"/>
      <c r="G20" s="405"/>
    </row>
    <row r="21" spans="2:7">
      <c r="B21" s="72" t="s">
        <v>1336</v>
      </c>
      <c r="C21" s="73"/>
      <c r="E21" s="405"/>
      <c r="F21" s="405"/>
      <c r="G21" s="405"/>
    </row>
    <row r="22" spans="2:7">
      <c r="B22" s="73" t="s">
        <v>1495</v>
      </c>
      <c r="C22" s="73"/>
      <c r="E22" s="405"/>
      <c r="F22" s="405"/>
      <c r="G22" s="405"/>
    </row>
    <row r="23" spans="2:7">
      <c r="B23" s="73" t="s">
        <v>1496</v>
      </c>
      <c r="C23" s="73"/>
      <c r="E23" s="405"/>
      <c r="F23" s="405"/>
      <c r="G23" s="405"/>
    </row>
    <row r="24" spans="2:7">
      <c r="B24" s="73" t="s">
        <v>1497</v>
      </c>
    </row>
    <row r="25" spans="2:7">
      <c r="B25" s="73" t="s">
        <v>1498</v>
      </c>
    </row>
    <row r="26" spans="2:7">
      <c r="B26" s="73" t="s">
        <v>1499</v>
      </c>
    </row>
    <row r="27" spans="2:7">
      <c r="B27" s="73" t="s">
        <v>1337</v>
      </c>
    </row>
    <row r="28" spans="2:7">
      <c r="B28" s="73" t="s">
        <v>1338</v>
      </c>
    </row>
    <row r="29" spans="2:7">
      <c r="B29" s="73"/>
    </row>
    <row r="30" spans="2:7">
      <c r="B30" s="72"/>
    </row>
  </sheetData>
  <mergeCells count="3">
    <mergeCell ref="A1:F1"/>
    <mergeCell ref="A2:F2"/>
    <mergeCell ref="A3:F3"/>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92D050"/>
  </sheetPr>
  <dimension ref="A1:K55"/>
  <sheetViews>
    <sheetView showGridLines="0" view="pageBreakPreview" topLeftCell="A26" zoomScaleSheetLayoutView="100" workbookViewId="0">
      <selection activeCell="E11" sqref="E11"/>
    </sheetView>
  </sheetViews>
  <sheetFormatPr defaultColWidth="9.21875" defaultRowHeight="14.4"/>
  <cols>
    <col min="1" max="1" width="3" style="398" bestFit="1" customWidth="1"/>
    <col min="2" max="2" width="40.21875" style="73" customWidth="1"/>
    <col min="3" max="3" width="14.77734375" style="73" bestFit="1" customWidth="1"/>
    <col min="4" max="4" width="15.5546875" style="73" customWidth="1"/>
    <col min="5" max="5" width="16.21875" style="73" bestFit="1" customWidth="1"/>
    <col min="6" max="6" width="16" style="73" bestFit="1" customWidth="1"/>
    <col min="7" max="7" width="14.21875" style="73" customWidth="1"/>
    <col min="8" max="8" width="8.5546875" style="73" customWidth="1"/>
    <col min="9" max="9" width="10.77734375" style="73" hidden="1" customWidth="1"/>
    <col min="10" max="11" width="11.77734375" style="73" hidden="1" customWidth="1"/>
    <col min="12" max="12" width="0" style="73" hidden="1" customWidth="1"/>
    <col min="13" max="16384" width="9.21875" style="73"/>
  </cols>
  <sheetData>
    <row r="1" spans="1:8">
      <c r="A1" s="1300" t="s">
        <v>880</v>
      </c>
      <c r="B1" s="1300"/>
      <c r="C1" s="1300"/>
      <c r="D1" s="1300"/>
      <c r="E1" s="1300"/>
      <c r="F1" s="1300"/>
    </row>
    <row r="2" spans="1:8">
      <c r="A2" s="1300" t="s">
        <v>881</v>
      </c>
      <c r="B2" s="1300"/>
      <c r="C2" s="1300"/>
      <c r="D2" s="1300"/>
      <c r="E2" s="1300"/>
      <c r="F2" s="1300"/>
    </row>
    <row r="3" spans="1:8">
      <c r="A3" s="1301" t="str">
        <f>BS!A3</f>
        <v>[Currency: Indian Rupees(Rs.'000)]</v>
      </c>
      <c r="B3" s="1301"/>
      <c r="C3" s="1301"/>
      <c r="D3" s="1301"/>
      <c r="E3" s="1301"/>
      <c r="F3" s="1301"/>
    </row>
    <row r="4" spans="1:8">
      <c r="A4" s="29"/>
      <c r="B4" s="29"/>
      <c r="C4" s="29"/>
      <c r="D4" s="29"/>
      <c r="E4" s="29"/>
      <c r="F4" s="29"/>
    </row>
    <row r="5" spans="1:8">
      <c r="A5" s="396">
        <f>'Note 38 ratios'!A6+1</f>
        <v>39</v>
      </c>
      <c r="B5" s="379" t="s">
        <v>389</v>
      </c>
      <c r="H5" s="375"/>
    </row>
    <row r="6" spans="1:8">
      <c r="A6" s="396">
        <v>1</v>
      </c>
      <c r="B6" s="397" t="s">
        <v>390</v>
      </c>
    </row>
    <row r="7" spans="1:8" ht="7.5" customHeight="1">
      <c r="B7" s="397"/>
      <c r="H7" s="399"/>
    </row>
    <row r="8" spans="1:8">
      <c r="B8" s="1311" t="s">
        <v>0</v>
      </c>
      <c r="C8" s="1313" t="s">
        <v>1566</v>
      </c>
      <c r="D8" s="1314"/>
      <c r="E8" s="1313" t="s">
        <v>1446</v>
      </c>
      <c r="F8" s="1314"/>
      <c r="G8" s="1318"/>
      <c r="H8" s="1319"/>
    </row>
    <row r="9" spans="1:8">
      <c r="B9" s="1312"/>
      <c r="C9" s="340" t="s">
        <v>391</v>
      </c>
      <c r="D9" s="340" t="s">
        <v>392</v>
      </c>
      <c r="E9" s="340" t="s">
        <v>391</v>
      </c>
      <c r="F9" s="340" t="s">
        <v>392</v>
      </c>
      <c r="G9" s="359"/>
      <c r="H9" s="395"/>
    </row>
    <row r="10" spans="1:8">
      <c r="B10" s="64" t="s">
        <v>754</v>
      </c>
      <c r="C10" s="372"/>
      <c r="D10" s="372"/>
      <c r="E10" s="372"/>
      <c r="F10" s="372"/>
      <c r="G10" s="359"/>
      <c r="H10" s="395"/>
    </row>
    <row r="11" spans="1:8">
      <c r="B11" s="65" t="s">
        <v>150</v>
      </c>
      <c r="C11" s="609">
        <f>+Notes!C63</f>
        <v>0</v>
      </c>
      <c r="D11" s="609">
        <f>+Notes!C62+Notes!C61</f>
        <v>0</v>
      </c>
      <c r="E11" s="609">
        <f>+Notes!E63</f>
        <v>275926</v>
      </c>
      <c r="F11" s="609">
        <f>+Notes!E62+Notes!E61</f>
        <v>129044</v>
      </c>
      <c r="G11" s="361"/>
      <c r="H11" s="367"/>
    </row>
    <row r="12" spans="1:8">
      <c r="B12" s="400"/>
      <c r="C12" s="610"/>
      <c r="D12" s="610"/>
      <c r="E12" s="610"/>
      <c r="F12" s="610"/>
      <c r="G12" s="359"/>
      <c r="H12" s="395"/>
    </row>
    <row r="13" spans="1:8">
      <c r="B13" s="64" t="s">
        <v>394</v>
      </c>
      <c r="C13" s="611"/>
      <c r="D13" s="609"/>
      <c r="E13" s="612"/>
      <c r="F13" s="612"/>
      <c r="G13" s="402"/>
      <c r="H13" s="403"/>
    </row>
    <row r="14" spans="1:8">
      <c r="B14" s="65" t="s">
        <v>395</v>
      </c>
      <c r="C14" s="611"/>
      <c r="D14" s="609">
        <f>BS!D22</f>
        <v>16202</v>
      </c>
      <c r="E14" s="612"/>
      <c r="F14" s="612">
        <v>2662259</v>
      </c>
      <c r="G14" s="404"/>
      <c r="H14" s="405"/>
    </row>
    <row r="15" spans="1:8">
      <c r="B15" s="65" t="s">
        <v>144</v>
      </c>
      <c r="C15" s="611"/>
      <c r="D15" s="609">
        <f>BS!D23</f>
        <v>471884</v>
      </c>
      <c r="E15" s="612"/>
      <c r="F15" s="612">
        <v>43169</v>
      </c>
      <c r="G15" s="404"/>
      <c r="H15" s="405"/>
    </row>
    <row r="16" spans="1:8" hidden="1">
      <c r="B16" s="65" t="s">
        <v>396</v>
      </c>
      <c r="C16" s="611"/>
      <c r="D16" s="609"/>
      <c r="E16" s="612"/>
      <c r="F16" s="612"/>
      <c r="G16" s="404"/>
      <c r="H16" s="405"/>
    </row>
    <row r="17" spans="2:11">
      <c r="B17" s="65" t="s">
        <v>397</v>
      </c>
      <c r="C17" s="611"/>
      <c r="D17" s="609">
        <f>BS!D24</f>
        <v>25019</v>
      </c>
      <c r="E17" s="612"/>
      <c r="F17" s="612">
        <v>3679</v>
      </c>
      <c r="G17" s="404"/>
      <c r="H17" s="405"/>
    </row>
    <row r="18" spans="2:11">
      <c r="B18" s="64" t="s">
        <v>398</v>
      </c>
      <c r="C18" s="611"/>
      <c r="D18" s="609"/>
      <c r="E18" s="612"/>
      <c r="F18" s="612"/>
      <c r="G18" s="404"/>
      <c r="H18" s="405"/>
    </row>
    <row r="19" spans="2:11">
      <c r="B19" s="65" t="s">
        <v>1097</v>
      </c>
      <c r="C19" s="611"/>
      <c r="D19" s="609">
        <f>+BS!D40</f>
        <v>0</v>
      </c>
      <c r="E19" s="612"/>
      <c r="F19" s="612">
        <v>0</v>
      </c>
      <c r="G19" s="404"/>
      <c r="H19" s="405"/>
    </row>
    <row r="20" spans="2:11">
      <c r="B20" s="64" t="s">
        <v>399</v>
      </c>
      <c r="C20" s="611"/>
      <c r="D20" s="609"/>
      <c r="E20" s="612"/>
      <c r="F20" s="612"/>
      <c r="G20" s="404"/>
      <c r="H20" s="405"/>
    </row>
    <row r="21" spans="2:11">
      <c r="B21" s="65" t="s">
        <v>400</v>
      </c>
      <c r="C21" s="611"/>
      <c r="D21" s="609">
        <f>BS!D48+BS!D49</f>
        <v>6979746</v>
      </c>
      <c r="E21" s="612"/>
      <c r="F21" s="612">
        <v>48366092</v>
      </c>
      <c r="G21" s="404"/>
      <c r="H21" s="405"/>
    </row>
    <row r="22" spans="2:11">
      <c r="B22" s="66" t="s">
        <v>119</v>
      </c>
      <c r="C22" s="613"/>
      <c r="D22" s="614">
        <f>BS!D50</f>
        <v>285928</v>
      </c>
      <c r="E22" s="615"/>
      <c r="F22" s="615">
        <v>1893151</v>
      </c>
      <c r="G22" s="404"/>
      <c r="H22" s="405"/>
    </row>
    <row r="23" spans="2:11">
      <c r="B23" s="397"/>
    </row>
    <row r="24" spans="2:11">
      <c r="B24" s="407" t="s">
        <v>401</v>
      </c>
      <c r="C24" s="408"/>
      <c r="D24" s="408"/>
      <c r="E24" s="408"/>
      <c r="F24" s="408"/>
      <c r="G24" s="408"/>
      <c r="H24" s="409"/>
    </row>
    <row r="25" spans="2:11" ht="112.5" customHeight="1">
      <c r="B25" s="1320" t="s">
        <v>854</v>
      </c>
      <c r="C25" s="1320"/>
      <c r="D25" s="1320"/>
      <c r="E25" s="1320"/>
      <c r="F25" s="1320"/>
      <c r="G25" s="1320"/>
      <c r="H25" s="1320"/>
      <c r="I25" s="47"/>
      <c r="J25" s="47"/>
      <c r="K25" s="47"/>
    </row>
    <row r="26" spans="2:11" ht="31.5" customHeight="1">
      <c r="B26" s="1321" t="s">
        <v>1492</v>
      </c>
      <c r="C26" s="1321"/>
      <c r="D26" s="1321"/>
      <c r="E26" s="1321"/>
      <c r="F26" s="1321"/>
      <c r="G26" s="1321"/>
      <c r="H26" s="1321"/>
      <c r="I26" s="47"/>
      <c r="J26" s="47"/>
      <c r="K26" s="47"/>
    </row>
    <row r="27" spans="2:11" ht="54" customHeight="1">
      <c r="B27" s="1320" t="s">
        <v>1493</v>
      </c>
      <c r="C27" s="1320"/>
      <c r="D27" s="1320"/>
      <c r="E27" s="1320"/>
      <c r="F27" s="1320"/>
      <c r="G27" s="1320"/>
      <c r="H27" s="1320"/>
      <c r="I27" s="47"/>
      <c r="J27" s="47"/>
      <c r="K27" s="47"/>
    </row>
    <row r="28" spans="2:11" ht="33.75" customHeight="1">
      <c r="B28" s="1320" t="s">
        <v>1494</v>
      </c>
      <c r="C28" s="1320"/>
      <c r="D28" s="1320"/>
      <c r="E28" s="1320"/>
      <c r="F28" s="1320"/>
      <c r="G28" s="1320"/>
      <c r="H28" s="1320"/>
      <c r="I28" s="47"/>
      <c r="J28" s="47"/>
      <c r="K28" s="47"/>
    </row>
    <row r="29" spans="2:11">
      <c r="B29" s="410" t="s">
        <v>402</v>
      </c>
      <c r="C29" s="45"/>
      <c r="D29" s="45"/>
      <c r="E29" s="45"/>
      <c r="F29" s="45"/>
      <c r="G29" s="45"/>
      <c r="H29" s="45"/>
    </row>
    <row r="30" spans="2:11" ht="24" customHeight="1">
      <c r="B30" s="1307" t="s">
        <v>756</v>
      </c>
      <c r="C30" s="1307"/>
      <c r="D30" s="1307"/>
      <c r="E30" s="1307"/>
      <c r="F30" s="1307"/>
      <c r="G30" s="1307"/>
      <c r="H30" s="1307"/>
    </row>
    <row r="31" spans="2:11">
      <c r="B31" s="411" t="s">
        <v>403</v>
      </c>
      <c r="D31" s="412"/>
      <c r="E31" s="412"/>
      <c r="F31" s="412"/>
      <c r="G31" s="412"/>
      <c r="H31" s="413"/>
    </row>
    <row r="32" spans="2:11" ht="8.25" customHeight="1">
      <c r="B32" s="411"/>
      <c r="D32" s="412"/>
      <c r="E32" s="412"/>
      <c r="F32" s="412"/>
      <c r="G32" s="412"/>
      <c r="H32" s="413"/>
    </row>
    <row r="33" spans="2:11">
      <c r="B33" s="1324" t="s">
        <v>0</v>
      </c>
      <c r="C33" s="1315" t="str">
        <f>++C8</f>
        <v xml:space="preserve"> As at 31st March, 2024</v>
      </c>
      <c r="D33" s="1316"/>
      <c r="E33" s="1317"/>
      <c r="F33" s="1315" t="str">
        <f>+E8</f>
        <v xml:space="preserve"> As at 31st March, 2023</v>
      </c>
      <c r="G33" s="1316"/>
      <c r="H33" s="1317"/>
      <c r="I33" s="1315">
        <v>42461</v>
      </c>
      <c r="J33" s="1316"/>
      <c r="K33" s="1317"/>
    </row>
    <row r="34" spans="2:11">
      <c r="B34" s="1312"/>
      <c r="C34" s="340" t="s">
        <v>404</v>
      </c>
      <c r="D34" s="340" t="s">
        <v>405</v>
      </c>
      <c r="E34" s="414" t="s">
        <v>406</v>
      </c>
      <c r="F34" s="340" t="s">
        <v>404</v>
      </c>
      <c r="G34" s="340" t="s">
        <v>405</v>
      </c>
      <c r="H34" s="414" t="s">
        <v>406</v>
      </c>
      <c r="I34" s="340" t="s">
        <v>404</v>
      </c>
      <c r="J34" s="340" t="s">
        <v>405</v>
      </c>
      <c r="K34" s="414" t="s">
        <v>406</v>
      </c>
    </row>
    <row r="35" spans="2:11">
      <c r="B35" s="415" t="s">
        <v>393</v>
      </c>
      <c r="C35" s="416"/>
      <c r="D35" s="417"/>
      <c r="E35" s="417"/>
      <c r="F35" s="418"/>
      <c r="G35" s="419"/>
      <c r="H35" s="419"/>
      <c r="I35" s="418"/>
      <c r="J35" s="419"/>
      <c r="K35" s="401"/>
    </row>
    <row r="36" spans="2:11">
      <c r="B36" s="65" t="s">
        <v>753</v>
      </c>
      <c r="C36" s="611">
        <v>0</v>
      </c>
      <c r="D36" s="611">
        <v>0</v>
      </c>
      <c r="E36" s="611">
        <f>+C11</f>
        <v>0</v>
      </c>
      <c r="F36" s="616">
        <v>0</v>
      </c>
      <c r="G36" s="617">
        <v>0</v>
      </c>
      <c r="H36" s="616">
        <f>+E11</f>
        <v>275926</v>
      </c>
      <c r="I36" s="421"/>
      <c r="J36" s="422">
        <v>0</v>
      </c>
      <c r="K36" s="421">
        <v>0</v>
      </c>
    </row>
    <row r="37" spans="2:11">
      <c r="B37" s="67"/>
      <c r="C37" s="406"/>
      <c r="D37" s="423"/>
      <c r="E37" s="423"/>
      <c r="F37" s="424"/>
      <c r="G37" s="425"/>
      <c r="H37" s="425"/>
      <c r="I37" s="424">
        <v>0</v>
      </c>
      <c r="J37" s="426">
        <v>0</v>
      </c>
      <c r="K37" s="406"/>
    </row>
    <row r="38" spans="2:11" ht="11.25" customHeight="1">
      <c r="B38" s="411"/>
      <c r="D38" s="412"/>
      <c r="E38" s="412"/>
      <c r="F38" s="412"/>
      <c r="G38" s="412"/>
      <c r="H38" s="413"/>
    </row>
    <row r="39" spans="2:11" hidden="1">
      <c r="B39" s="427" t="s">
        <v>407</v>
      </c>
      <c r="D39" s="412"/>
      <c r="E39" s="412"/>
      <c r="F39" s="412"/>
      <c r="G39" s="412"/>
      <c r="H39" s="413"/>
    </row>
    <row r="40" spans="2:11" ht="11.25" hidden="1" customHeight="1">
      <c r="B40" s="411"/>
      <c r="D40" s="412"/>
      <c r="E40" s="412"/>
      <c r="F40" s="412"/>
      <c r="G40" s="412"/>
      <c r="H40" s="413"/>
    </row>
    <row r="41" spans="2:11" hidden="1">
      <c r="B41" s="1325" t="s">
        <v>0</v>
      </c>
      <c r="C41" s="1308" t="str">
        <f>+C33</f>
        <v xml:space="preserve"> As at 31st March, 2024</v>
      </c>
      <c r="D41" s="1309"/>
      <c r="E41" s="1310"/>
      <c r="F41" s="1308" t="str">
        <f>+F33</f>
        <v xml:space="preserve"> As at 31st March, 2023</v>
      </c>
      <c r="G41" s="1309"/>
      <c r="H41" s="1310"/>
      <c r="I41" s="1308">
        <v>42461</v>
      </c>
      <c r="J41" s="1309"/>
      <c r="K41" s="1310"/>
    </row>
    <row r="42" spans="2:11" hidden="1">
      <c r="B42" s="1325"/>
      <c r="C42" s="414" t="s">
        <v>404</v>
      </c>
      <c r="D42" s="414" t="s">
        <v>405</v>
      </c>
      <c r="E42" s="414" t="s">
        <v>406</v>
      </c>
      <c r="F42" s="414" t="s">
        <v>404</v>
      </c>
      <c r="G42" s="414" t="s">
        <v>405</v>
      </c>
      <c r="H42" s="414" t="s">
        <v>406</v>
      </c>
      <c r="I42" s="414" t="s">
        <v>404</v>
      </c>
      <c r="J42" s="414" t="s">
        <v>405</v>
      </c>
      <c r="K42" s="414" t="s">
        <v>406</v>
      </c>
    </row>
    <row r="43" spans="2:11" hidden="1">
      <c r="B43" s="428" t="s">
        <v>408</v>
      </c>
      <c r="C43" s="429"/>
      <c r="D43" s="430"/>
      <c r="E43" s="430"/>
      <c r="F43" s="431"/>
      <c r="G43" s="432"/>
      <c r="H43" s="433"/>
      <c r="I43" s="431"/>
      <c r="J43" s="432"/>
      <c r="K43" s="430"/>
    </row>
    <row r="44" spans="2:11" hidden="1">
      <c r="B44" s="434" t="s">
        <v>755</v>
      </c>
      <c r="C44" s="420">
        <v>0</v>
      </c>
      <c r="D44" s="435">
        <v>0</v>
      </c>
      <c r="E44" s="436">
        <f>+D19</f>
        <v>0</v>
      </c>
      <c r="F44" s="421">
        <v>0</v>
      </c>
      <c r="G44" s="436">
        <v>0</v>
      </c>
      <c r="H44" s="437">
        <f>+F19</f>
        <v>0</v>
      </c>
      <c r="I44" s="421"/>
      <c r="J44" s="421"/>
      <c r="K44" s="438"/>
    </row>
    <row r="45" spans="2:11" ht="11.25" hidden="1" customHeight="1">
      <c r="B45" s="68"/>
      <c r="C45" s="439"/>
      <c r="D45" s="440"/>
      <c r="E45" s="440"/>
      <c r="F45" s="441"/>
      <c r="G45" s="442"/>
      <c r="H45" s="440"/>
      <c r="I45" s="441"/>
      <c r="J45" s="442"/>
      <c r="K45" s="440"/>
    </row>
    <row r="46" spans="2:11" ht="11.25" customHeight="1">
      <c r="B46" s="411"/>
      <c r="D46" s="412"/>
      <c r="E46" s="412"/>
      <c r="F46" s="412"/>
      <c r="G46" s="412"/>
      <c r="H46" s="413"/>
    </row>
    <row r="47" spans="2:11">
      <c r="B47" s="411" t="s">
        <v>409</v>
      </c>
      <c r="D47" s="412"/>
      <c r="E47" s="412"/>
      <c r="F47" s="412"/>
      <c r="G47" s="412"/>
      <c r="H47" s="413"/>
    </row>
    <row r="48" spans="2:11">
      <c r="B48" s="1326" t="s">
        <v>410</v>
      </c>
      <c r="C48" s="1326"/>
      <c r="D48" s="1326"/>
      <c r="E48" s="1326"/>
      <c r="F48" s="1326"/>
      <c r="G48" s="1326"/>
      <c r="H48" s="1326"/>
    </row>
    <row r="49" spans="2:11" ht="36.75" customHeight="1">
      <c r="B49" s="1320" t="s">
        <v>411</v>
      </c>
      <c r="C49" s="1322"/>
      <c r="D49" s="1322"/>
      <c r="E49" s="1322"/>
      <c r="F49" s="1322"/>
      <c r="G49" s="1322"/>
      <c r="H49" s="1322"/>
      <c r="I49" s="69"/>
      <c r="J49" s="69"/>
      <c r="K49" s="69"/>
    </row>
    <row r="50" spans="2:11" ht="35.25" customHeight="1">
      <c r="B50" s="1323" t="s">
        <v>412</v>
      </c>
      <c r="C50" s="1322"/>
      <c r="D50" s="1322"/>
      <c r="E50" s="1322"/>
      <c r="F50" s="1322"/>
      <c r="G50" s="1322"/>
      <c r="H50" s="1322"/>
      <c r="I50" s="443"/>
      <c r="J50" s="443"/>
      <c r="K50" s="443"/>
    </row>
    <row r="52" spans="2:11" ht="33.75" customHeight="1">
      <c r="I52" s="379"/>
    </row>
    <row r="55" spans="2:11" ht="45" customHeight="1">
      <c r="I55" s="379"/>
    </row>
  </sheetData>
  <mergeCells count="23">
    <mergeCell ref="B49:H49"/>
    <mergeCell ref="B50:H50"/>
    <mergeCell ref="B33:B34"/>
    <mergeCell ref="C33:E33"/>
    <mergeCell ref="F33:H33"/>
    <mergeCell ref="B41:B42"/>
    <mergeCell ref="C41:E41"/>
    <mergeCell ref="F41:H41"/>
    <mergeCell ref="B48:H48"/>
    <mergeCell ref="A1:F1"/>
    <mergeCell ref="A2:F2"/>
    <mergeCell ref="A3:F3"/>
    <mergeCell ref="B30:H30"/>
    <mergeCell ref="I41:K41"/>
    <mergeCell ref="B8:B9"/>
    <mergeCell ref="C8:D8"/>
    <mergeCell ref="E8:F8"/>
    <mergeCell ref="I33:K33"/>
    <mergeCell ref="G8:H8"/>
    <mergeCell ref="B25:H25"/>
    <mergeCell ref="B26:H26"/>
    <mergeCell ref="B27:H27"/>
    <mergeCell ref="B28:H28"/>
  </mergeCells>
  <hyperlinks>
    <hyperlink ref="B22" location="'Other Current Liabilities'!A1" display="Other current liabilities"/>
  </hyperlinks>
  <pageMargins left="0.59" right="7.0000000000000007E-2" top="0.74803149606299213" bottom="0.74803149606299213" header="0.31496062992125984" footer="0.31496062992125984"/>
  <pageSetup paperSize="9" scale="74"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rgb="FF92D050"/>
  </sheetPr>
  <dimension ref="A1:J41"/>
  <sheetViews>
    <sheetView showGridLines="0" view="pageBreakPreview" topLeftCell="A16" zoomScale="62" zoomScaleSheetLayoutView="62" workbookViewId="0">
      <selection activeCell="I4" sqref="I4"/>
    </sheetView>
  </sheetViews>
  <sheetFormatPr defaultColWidth="9.21875" defaultRowHeight="14.4"/>
  <cols>
    <col min="1" max="1" width="4.44140625" style="395" customWidth="1"/>
    <col min="2" max="2" width="34.44140625" style="47" customWidth="1"/>
    <col min="3" max="3" width="16" style="73" bestFit="1" customWidth="1"/>
    <col min="4" max="4" width="25.21875" style="73" customWidth="1"/>
    <col min="5" max="5" width="24.77734375" style="73" customWidth="1"/>
    <col min="6" max="8" width="9.21875" style="73"/>
    <col min="9" max="9" width="9.77734375" style="73" bestFit="1" customWidth="1"/>
    <col min="10" max="16384" width="9.21875" style="73"/>
  </cols>
  <sheetData>
    <row r="1" spans="1:5">
      <c r="A1" s="368">
        <v>2</v>
      </c>
      <c r="B1" s="369" t="s">
        <v>413</v>
      </c>
      <c r="C1" s="370"/>
      <c r="D1" s="370"/>
      <c r="E1" s="371"/>
    </row>
    <row r="2" spans="1:5" ht="8.25" customHeight="1">
      <c r="A2" s="372"/>
      <c r="B2" s="46"/>
      <c r="E2" s="345"/>
    </row>
    <row r="3" spans="1:5" ht="97.5" customHeight="1">
      <c r="A3" s="372"/>
      <c r="B3" s="1330" t="s">
        <v>414</v>
      </c>
      <c r="C3" s="1326"/>
      <c r="D3" s="1326"/>
      <c r="E3" s="1331"/>
    </row>
    <row r="4" spans="1:5" ht="7.5" customHeight="1">
      <c r="A4" s="372"/>
      <c r="B4" s="46"/>
      <c r="E4" s="345"/>
    </row>
    <row r="5" spans="1:5">
      <c r="A5" s="340" t="s">
        <v>388</v>
      </c>
      <c r="B5" s="341" t="s">
        <v>415</v>
      </c>
      <c r="C5" s="346"/>
      <c r="D5" s="346"/>
      <c r="E5" s="347"/>
    </row>
    <row r="6" spans="1:5" ht="31.5" customHeight="1">
      <c r="A6" s="372"/>
      <c r="B6" s="1327" t="s">
        <v>416</v>
      </c>
      <c r="C6" s="1328"/>
      <c r="D6" s="1328"/>
      <c r="E6" s="1329"/>
    </row>
    <row r="7" spans="1:5" ht="8.25" customHeight="1">
      <c r="A7" s="372"/>
      <c r="B7" s="1327"/>
      <c r="C7" s="1328"/>
      <c r="D7" s="1328"/>
      <c r="E7" s="1329"/>
    </row>
    <row r="8" spans="1:5">
      <c r="A8" s="372"/>
      <c r="B8" s="1332" t="s">
        <v>417</v>
      </c>
      <c r="C8" s="1333"/>
      <c r="D8" s="1333"/>
      <c r="E8" s="1334"/>
    </row>
    <row r="9" spans="1:5" ht="79.5" customHeight="1">
      <c r="A9" s="372"/>
      <c r="B9" s="1330" t="s">
        <v>418</v>
      </c>
      <c r="C9" s="1326"/>
      <c r="D9" s="1326"/>
      <c r="E9" s="1331"/>
    </row>
    <row r="10" spans="1:5" ht="31.5" customHeight="1">
      <c r="A10" s="372"/>
      <c r="B10" s="1327" t="s">
        <v>419</v>
      </c>
      <c r="C10" s="1328"/>
      <c r="D10" s="1328"/>
      <c r="E10" s="1329"/>
    </row>
    <row r="11" spans="1:5" ht="9" customHeight="1">
      <c r="A11" s="372"/>
      <c r="B11" s="46"/>
      <c r="C11" s="47"/>
      <c r="D11" s="47"/>
      <c r="E11" s="48"/>
    </row>
    <row r="12" spans="1:5" ht="29.25" customHeight="1">
      <c r="A12" s="372"/>
      <c r="B12" s="49" t="s">
        <v>420</v>
      </c>
      <c r="C12" s="47"/>
      <c r="D12" s="47"/>
      <c r="E12" s="48"/>
    </row>
    <row r="13" spans="1:5" ht="38.25" customHeight="1">
      <c r="A13" s="372"/>
      <c r="B13" s="50" t="s">
        <v>0</v>
      </c>
      <c r="C13" s="51"/>
      <c r="D13" s="52" t="str">
        <f>+Notes!C6</f>
        <v xml:space="preserve"> As at  31st March, 2024</v>
      </c>
      <c r="E13" s="52" t="str">
        <f>+Notes!E6</f>
        <v xml:space="preserve"> As at  31st March, 2023</v>
      </c>
    </row>
    <row r="14" spans="1:5">
      <c r="A14" s="372"/>
      <c r="B14" s="46" t="s">
        <v>421</v>
      </c>
      <c r="C14" s="48"/>
      <c r="D14" s="618"/>
      <c r="E14" s="618">
        <v>1045430</v>
      </c>
    </row>
    <row r="15" spans="1:5">
      <c r="A15" s="372"/>
      <c r="B15" s="46" t="s">
        <v>422</v>
      </c>
      <c r="C15" s="48"/>
      <c r="D15" s="618">
        <f>Notes!C111</f>
        <v>16201.600000000035</v>
      </c>
      <c r="E15" s="618">
        <v>1120823</v>
      </c>
    </row>
    <row r="16" spans="1:5">
      <c r="A16" s="372"/>
      <c r="B16" s="46" t="s">
        <v>423</v>
      </c>
      <c r="C16" s="48"/>
      <c r="D16" s="618"/>
      <c r="E16" s="618">
        <v>111587</v>
      </c>
    </row>
    <row r="17" spans="1:10">
      <c r="A17" s="372"/>
      <c r="B17" s="46" t="s">
        <v>424</v>
      </c>
      <c r="C17" s="48"/>
      <c r="D17" s="619"/>
      <c r="E17" s="619">
        <v>384419</v>
      </c>
    </row>
    <row r="18" spans="1:10">
      <c r="A18" s="372"/>
      <c r="B18" s="53" t="s">
        <v>51</v>
      </c>
      <c r="C18" s="54"/>
      <c r="D18" s="620">
        <f>SUM(D14:D17)</f>
        <v>16201.600000000035</v>
      </c>
      <c r="E18" s="1086">
        <f>SUM(E14:E17)</f>
        <v>2662259</v>
      </c>
      <c r="G18" s="367">
        <f>BS!D22</f>
        <v>16202</v>
      </c>
      <c r="H18" s="367"/>
      <c r="I18" s="367">
        <f>BS!F22</f>
        <v>2662259</v>
      </c>
    </row>
    <row r="19" spans="1:10">
      <c r="A19" s="373"/>
      <c r="B19" s="62"/>
      <c r="C19" s="63"/>
      <c r="D19" s="63"/>
      <c r="E19" s="374"/>
      <c r="I19" s="375"/>
      <c r="J19" s="375"/>
    </row>
    <row r="20" spans="1:10">
      <c r="A20" s="340" t="s">
        <v>425</v>
      </c>
      <c r="B20" s="376" t="s">
        <v>426</v>
      </c>
      <c r="C20" s="377"/>
      <c r="D20" s="377"/>
      <c r="E20" s="378"/>
    </row>
    <row r="21" spans="1:10" ht="45.75" customHeight="1">
      <c r="A21" s="372"/>
      <c r="B21" s="1327" t="s">
        <v>427</v>
      </c>
      <c r="C21" s="1328"/>
      <c r="D21" s="1328"/>
      <c r="E21" s="1329"/>
    </row>
    <row r="22" spans="1:10" ht="8.25" customHeight="1">
      <c r="A22" s="372"/>
      <c r="B22" s="1327"/>
      <c r="C22" s="1328"/>
      <c r="D22" s="1328"/>
      <c r="E22" s="1329"/>
    </row>
    <row r="23" spans="1:10">
      <c r="A23" s="372"/>
      <c r="B23" s="1341" t="s">
        <v>428</v>
      </c>
      <c r="C23" s="1342"/>
      <c r="D23" s="1342"/>
      <c r="E23" s="1343"/>
    </row>
    <row r="24" spans="1:10" ht="66.75" customHeight="1">
      <c r="A24" s="372"/>
      <c r="B24" s="1330" t="s">
        <v>429</v>
      </c>
      <c r="C24" s="1326"/>
      <c r="D24" s="1326"/>
      <c r="E24" s="1331"/>
    </row>
    <row r="25" spans="1:10">
      <c r="A25" s="373"/>
      <c r="B25" s="1344"/>
      <c r="C25" s="1345"/>
      <c r="D25" s="1345"/>
      <c r="E25" s="1346"/>
    </row>
    <row r="26" spans="1:10">
      <c r="A26" s="340" t="s">
        <v>430</v>
      </c>
      <c r="B26" s="380" t="s">
        <v>431</v>
      </c>
      <c r="C26" s="381"/>
      <c r="D26" s="381"/>
      <c r="E26" s="382"/>
    </row>
    <row r="27" spans="1:10">
      <c r="A27" s="344"/>
      <c r="B27" s="362"/>
      <c r="E27" s="345"/>
    </row>
    <row r="28" spans="1:10">
      <c r="A28" s="340" t="s">
        <v>432</v>
      </c>
      <c r="B28" s="380" t="s">
        <v>433</v>
      </c>
      <c r="C28" s="383"/>
      <c r="D28" s="383"/>
      <c r="E28" s="384"/>
      <c r="F28" s="379"/>
    </row>
    <row r="29" spans="1:10" ht="16.5" customHeight="1">
      <c r="A29" s="385"/>
      <c r="B29" s="1338" t="s">
        <v>969</v>
      </c>
      <c r="C29" s="1338"/>
      <c r="D29" s="1338"/>
      <c r="E29" s="1338"/>
      <c r="F29" s="387"/>
    </row>
    <row r="30" spans="1:10" hidden="1">
      <c r="A30" s="344"/>
      <c r="B30" s="388"/>
      <c r="C30" s="348"/>
      <c r="D30" s="348"/>
      <c r="E30" s="349"/>
      <c r="F30" s="348"/>
    </row>
    <row r="31" spans="1:10" ht="84" hidden="1" customHeight="1">
      <c r="A31" s="344"/>
      <c r="B31" s="1339" t="s">
        <v>435</v>
      </c>
      <c r="C31" s="1320"/>
      <c r="D31" s="1320"/>
      <c r="E31" s="1340"/>
      <c r="F31" s="47"/>
    </row>
    <row r="32" spans="1:10" hidden="1">
      <c r="A32" s="344"/>
      <c r="B32" s="362"/>
      <c r="E32" s="345"/>
    </row>
    <row r="33" spans="1:5" hidden="1">
      <c r="A33" s="344"/>
      <c r="B33" s="55" t="s">
        <v>436</v>
      </c>
      <c r="C33" s="56"/>
      <c r="D33" s="57" t="s">
        <v>469</v>
      </c>
      <c r="E33" s="57" t="s">
        <v>54</v>
      </c>
    </row>
    <row r="34" spans="1:5" ht="15" hidden="1" customHeight="1">
      <c r="A34" s="344"/>
      <c r="B34" s="58" t="s">
        <v>437</v>
      </c>
      <c r="C34" s="59"/>
      <c r="D34" s="60">
        <v>0</v>
      </c>
      <c r="E34" s="61">
        <f>SUM('Note 39 FVM_1'!C39:C39)*5%</f>
        <v>0</v>
      </c>
    </row>
    <row r="35" spans="1:5" ht="15" hidden="1" customHeight="1">
      <c r="A35" s="344"/>
      <c r="B35" s="62" t="s">
        <v>438</v>
      </c>
      <c r="C35" s="63"/>
      <c r="D35" s="43">
        <v>0</v>
      </c>
      <c r="E35" s="44">
        <f>-SUM('Note 39 FVM_1'!C39:C39)*5%</f>
        <v>0</v>
      </c>
    </row>
    <row r="36" spans="1:5" hidden="1">
      <c r="A36" s="350"/>
      <c r="B36" s="364"/>
      <c r="C36" s="351"/>
      <c r="D36" s="351"/>
      <c r="E36" s="352"/>
    </row>
    <row r="38" spans="1:5">
      <c r="A38" s="389">
        <f>+A1+1</f>
        <v>3</v>
      </c>
      <c r="B38" s="380" t="s">
        <v>439</v>
      </c>
      <c r="C38" s="381"/>
      <c r="D38" s="381"/>
      <c r="E38" s="382"/>
    </row>
    <row r="39" spans="1:5">
      <c r="A39" s="390"/>
      <c r="B39" s="391"/>
      <c r="C39" s="392"/>
      <c r="D39" s="392"/>
      <c r="E39" s="393"/>
    </row>
    <row r="40" spans="1:5">
      <c r="A40" s="372" t="s">
        <v>384</v>
      </c>
      <c r="B40" s="394" t="s">
        <v>440</v>
      </c>
      <c r="C40" s="351"/>
      <c r="D40" s="351"/>
      <c r="E40" s="352"/>
    </row>
    <row r="41" spans="1:5" ht="131.25" customHeight="1">
      <c r="A41" s="350"/>
      <c r="B41" s="1335" t="s">
        <v>441</v>
      </c>
      <c r="C41" s="1336"/>
      <c r="D41" s="1336"/>
      <c r="E41" s="1337"/>
    </row>
  </sheetData>
  <mergeCells count="14">
    <mergeCell ref="B41:E41"/>
    <mergeCell ref="B29:E29"/>
    <mergeCell ref="B31:E31"/>
    <mergeCell ref="B21:E21"/>
    <mergeCell ref="B22:E22"/>
    <mergeCell ref="B23:E23"/>
    <mergeCell ref="B24:E24"/>
    <mergeCell ref="B25:E25"/>
    <mergeCell ref="B10:E10"/>
    <mergeCell ref="B3:E3"/>
    <mergeCell ref="B6:E6"/>
    <mergeCell ref="B7:E7"/>
    <mergeCell ref="B8:E8"/>
    <mergeCell ref="B9:E9"/>
  </mergeCells>
  <pageMargins left="0.70866141732283472" right="0.70866141732283472" top="0.5" bottom="0.43307086614173229" header="0.31496062992125984" footer="0.31496062992125984"/>
  <pageSetup paperSize="9" scale="7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92D050"/>
    <pageSetUpPr fitToPage="1"/>
  </sheetPr>
  <dimension ref="A1:K18"/>
  <sheetViews>
    <sheetView showGridLines="0" view="pageBreakPreview" zoomScale="96" zoomScaleSheetLayoutView="96" workbookViewId="0">
      <selection activeCell="J9" sqref="J9"/>
    </sheetView>
  </sheetViews>
  <sheetFormatPr defaultColWidth="9.21875" defaultRowHeight="14.4"/>
  <cols>
    <col min="1" max="1" width="9.21875" style="367"/>
    <col min="2" max="2" width="18.21875" style="73" customWidth="1"/>
    <col min="3" max="3" width="12" style="73" customWidth="1"/>
    <col min="4" max="4" width="12.5546875" style="73" customWidth="1"/>
    <col min="5" max="5" width="14.77734375" style="73" customWidth="1"/>
    <col min="6" max="6" width="11.5546875" style="73" customWidth="1"/>
    <col min="7" max="7" width="12.5546875" style="73" customWidth="1"/>
    <col min="8" max="8" width="11" style="73" customWidth="1"/>
    <col min="9" max="11" width="8.21875" style="73" customWidth="1"/>
    <col min="12" max="16384" width="9.21875" style="73"/>
  </cols>
  <sheetData>
    <row r="1" spans="1:11">
      <c r="A1" s="340" t="s">
        <v>430</v>
      </c>
      <c r="B1" s="341" t="s">
        <v>431</v>
      </c>
      <c r="C1" s="342"/>
      <c r="D1" s="342"/>
      <c r="E1" s="342"/>
      <c r="F1" s="342"/>
      <c r="G1" s="342"/>
      <c r="H1" s="342"/>
      <c r="I1" s="342"/>
      <c r="J1" s="342"/>
      <c r="K1" s="343"/>
    </row>
    <row r="2" spans="1:11">
      <c r="A2" s="344"/>
      <c r="K2" s="345"/>
    </row>
    <row r="3" spans="1:11">
      <c r="A3" s="340" t="s">
        <v>432</v>
      </c>
      <c r="B3" s="346" t="s">
        <v>433</v>
      </c>
      <c r="C3" s="346"/>
      <c r="D3" s="346"/>
      <c r="E3" s="346"/>
      <c r="F3" s="346"/>
      <c r="G3" s="346"/>
      <c r="H3" s="346"/>
      <c r="I3" s="346"/>
      <c r="J3" s="346"/>
      <c r="K3" s="347"/>
    </row>
    <row r="4" spans="1:11" ht="30" customHeight="1">
      <c r="A4" s="344"/>
      <c r="B4" s="1347" t="s">
        <v>434</v>
      </c>
      <c r="C4" s="1348"/>
      <c r="D4" s="1348"/>
      <c r="E4" s="1348"/>
      <c r="F4" s="1348"/>
      <c r="G4" s="1348"/>
      <c r="H4" s="1348"/>
      <c r="I4" s="1348"/>
      <c r="J4" s="1348"/>
      <c r="K4" s="1349"/>
    </row>
    <row r="5" spans="1:11" ht="7.5" customHeight="1">
      <c r="A5" s="344"/>
      <c r="B5" s="348"/>
      <c r="C5" s="348"/>
      <c r="D5" s="348"/>
      <c r="E5" s="348"/>
      <c r="F5" s="348"/>
      <c r="G5" s="348"/>
      <c r="H5" s="348"/>
      <c r="I5" s="348"/>
      <c r="J5" s="348"/>
      <c r="K5" s="349"/>
    </row>
    <row r="6" spans="1:11" ht="63.75" customHeight="1">
      <c r="A6" s="344"/>
      <c r="B6" s="1326" t="s">
        <v>435</v>
      </c>
      <c r="C6" s="1326"/>
      <c r="D6" s="1326"/>
      <c r="E6" s="1326"/>
      <c r="F6" s="1326"/>
      <c r="G6" s="1326"/>
      <c r="H6" s="1326"/>
      <c r="I6" s="1326"/>
      <c r="J6" s="1326"/>
      <c r="K6" s="1331"/>
    </row>
    <row r="7" spans="1:11">
      <c r="A7" s="344"/>
      <c r="K7" s="345"/>
    </row>
    <row r="8" spans="1:11" ht="28.8">
      <c r="A8" s="344"/>
      <c r="B8" s="1350" t="s">
        <v>436</v>
      </c>
      <c r="C8" s="1350"/>
      <c r="D8" s="1350"/>
      <c r="E8" s="1350"/>
      <c r="F8" s="40" t="str">
        <f>+Notes!C6</f>
        <v xml:space="preserve"> As at  31st March, 2024</v>
      </c>
      <c r="G8" s="40" t="str">
        <f>+Notes!E6</f>
        <v xml:space="preserve"> As at  31st March, 2023</v>
      </c>
      <c r="K8" s="345"/>
    </row>
    <row r="9" spans="1:11">
      <c r="A9" s="344"/>
      <c r="B9" s="1351" t="s">
        <v>437</v>
      </c>
      <c r="C9" s="1351"/>
      <c r="D9" s="1351"/>
      <c r="E9" s="1351"/>
      <c r="F9" s="41">
        <v>0</v>
      </c>
      <c r="G9" s="42">
        <f>SUM('Note 39 FVM_1'!E13:E13)*5%</f>
        <v>0</v>
      </c>
      <c r="K9" s="345"/>
    </row>
    <row r="10" spans="1:11">
      <c r="A10" s="344"/>
      <c r="B10" s="1352" t="s">
        <v>438</v>
      </c>
      <c r="C10" s="1352"/>
      <c r="D10" s="1352"/>
      <c r="E10" s="1352"/>
      <c r="F10" s="43">
        <v>0</v>
      </c>
      <c r="G10" s="44">
        <f>-SUM('Note 39 FVM_1'!E13:E13)*5%</f>
        <v>0</v>
      </c>
      <c r="K10" s="345"/>
    </row>
    <row r="11" spans="1:11">
      <c r="A11" s="350"/>
      <c r="B11" s="351"/>
      <c r="C11" s="351"/>
      <c r="D11" s="351"/>
      <c r="E11" s="351"/>
      <c r="F11" s="351"/>
      <c r="G11" s="351"/>
      <c r="H11" s="351"/>
      <c r="I11" s="351"/>
      <c r="J11" s="351"/>
      <c r="K11" s="352"/>
    </row>
    <row r="13" spans="1:11">
      <c r="A13" s="353">
        <v>3</v>
      </c>
      <c r="B13" s="354" t="s">
        <v>439</v>
      </c>
      <c r="C13" s="355"/>
      <c r="D13" s="355"/>
      <c r="E13" s="355"/>
      <c r="F13" s="355"/>
      <c r="G13" s="355"/>
      <c r="H13" s="355"/>
      <c r="I13" s="355"/>
      <c r="J13" s="355"/>
      <c r="K13" s="356"/>
    </row>
    <row r="14" spans="1:11" ht="8.25" customHeight="1">
      <c r="A14" s="357"/>
      <c r="B14" s="358"/>
      <c r="C14" s="355"/>
      <c r="D14" s="355"/>
      <c r="E14" s="355"/>
      <c r="F14" s="355"/>
      <c r="G14" s="355"/>
      <c r="H14" s="355"/>
      <c r="I14" s="355"/>
      <c r="J14" s="355"/>
      <c r="K14" s="356"/>
    </row>
    <row r="15" spans="1:11">
      <c r="A15" s="359" t="s">
        <v>384</v>
      </c>
      <c r="B15" s="360" t="s">
        <v>440</v>
      </c>
      <c r="K15" s="345"/>
    </row>
    <row r="16" spans="1:11" ht="120.75" customHeight="1">
      <c r="A16" s="361"/>
      <c r="B16" s="1330" t="s">
        <v>441</v>
      </c>
      <c r="C16" s="1326"/>
      <c r="D16" s="1326"/>
      <c r="E16" s="1326"/>
      <c r="F16" s="1326"/>
      <c r="G16" s="1326"/>
      <c r="H16" s="1326"/>
      <c r="I16" s="1326"/>
      <c r="J16" s="1326"/>
      <c r="K16" s="1331"/>
    </row>
    <row r="17" spans="1:11" ht="10.5" customHeight="1">
      <c r="A17" s="361"/>
      <c r="B17" s="362"/>
      <c r="K17" s="345"/>
    </row>
    <row r="18" spans="1:11">
      <c r="A18" s="363"/>
      <c r="B18" s="364"/>
      <c r="C18" s="365"/>
      <c r="D18" s="366"/>
      <c r="E18" s="366"/>
      <c r="F18" s="351"/>
      <c r="G18" s="351"/>
      <c r="H18" s="351"/>
      <c r="I18" s="351"/>
      <c r="J18" s="351"/>
      <c r="K18" s="352"/>
    </row>
  </sheetData>
  <mergeCells count="6">
    <mergeCell ref="B16:K16"/>
    <mergeCell ref="B4:K4"/>
    <mergeCell ref="B6:K6"/>
    <mergeCell ref="B8:E8"/>
    <mergeCell ref="B9:E9"/>
    <mergeCell ref="B10:E10"/>
  </mergeCells>
  <pageMargins left="0.7" right="0.7" top="0.75" bottom="0.75" header="0.3" footer="0.3"/>
  <pageSetup paperSize="9" scale="6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53"/>
  <sheetViews>
    <sheetView showGridLines="0" view="pageBreakPreview" topLeftCell="A13" zoomScale="106" zoomScaleSheetLayoutView="106" workbookViewId="0">
      <selection sqref="A1:F1"/>
    </sheetView>
  </sheetViews>
  <sheetFormatPr defaultColWidth="9.21875" defaultRowHeight="14.4"/>
  <cols>
    <col min="1" max="1" width="5.5546875" style="151" customWidth="1"/>
    <col min="2" max="3" width="9.21875" style="151"/>
    <col min="4" max="4" width="18.77734375" style="151" customWidth="1"/>
    <col min="5" max="5" width="26.44140625" style="151" customWidth="1"/>
    <col min="6" max="6" width="26" style="151" customWidth="1"/>
    <col min="7" max="16384" width="9.21875" style="151"/>
  </cols>
  <sheetData>
    <row r="1" spans="1:6">
      <c r="A1" s="1300" t="s">
        <v>880</v>
      </c>
      <c r="B1" s="1300"/>
      <c r="C1" s="1300"/>
      <c r="D1" s="1300"/>
      <c r="E1" s="1300"/>
      <c r="F1" s="1300"/>
    </row>
    <row r="2" spans="1:6">
      <c r="A2" s="1300" t="s">
        <v>881</v>
      </c>
      <c r="B2" s="1300"/>
      <c r="C2" s="1300"/>
      <c r="D2" s="1300"/>
      <c r="E2" s="1300"/>
      <c r="F2" s="1300"/>
    </row>
    <row r="3" spans="1:6">
      <c r="A3" s="1301" t="str">
        <f>BS!A3</f>
        <v>[Currency: Indian Rupees(Rs.'000)]</v>
      </c>
      <c r="B3" s="1301"/>
      <c r="C3" s="1301"/>
      <c r="D3" s="1301"/>
      <c r="E3" s="1301"/>
      <c r="F3" s="1301"/>
    </row>
    <row r="4" spans="1:6">
      <c r="A4" s="29"/>
      <c r="B4" s="29"/>
      <c r="C4" s="29"/>
      <c r="D4" s="29"/>
      <c r="E4" s="29"/>
      <c r="F4" s="29"/>
    </row>
    <row r="5" spans="1:6">
      <c r="A5" s="33">
        <f>'Note 39 FVM_1'!A5+1</f>
        <v>40</v>
      </c>
      <c r="B5" s="34" t="s">
        <v>855</v>
      </c>
      <c r="C5" s="34"/>
      <c r="D5" s="34"/>
    </row>
    <row r="6" spans="1:6" s="337" customFormat="1" ht="10.199999999999999">
      <c r="A6" s="336"/>
      <c r="B6" s="336"/>
      <c r="C6" s="336"/>
      <c r="D6" s="336"/>
    </row>
    <row r="7" spans="1:6">
      <c r="A7" s="1"/>
      <c r="B7" s="5" t="s">
        <v>856</v>
      </c>
      <c r="C7" s="1"/>
      <c r="D7" s="1"/>
    </row>
    <row r="8" spans="1:6">
      <c r="A8" s="1"/>
      <c r="B8" s="1" t="s">
        <v>857</v>
      </c>
      <c r="C8" s="1"/>
      <c r="D8" s="1"/>
    </row>
    <row r="9" spans="1:6" s="337" customFormat="1" ht="3" customHeight="1">
      <c r="A9" s="336"/>
      <c r="B9" s="336"/>
      <c r="C9" s="336"/>
      <c r="D9" s="336"/>
    </row>
    <row r="10" spans="1:6">
      <c r="A10" s="1"/>
      <c r="B10" s="5" t="s">
        <v>858</v>
      </c>
      <c r="C10" s="1"/>
      <c r="D10" s="1"/>
    </row>
    <row r="11" spans="1:6">
      <c r="A11" s="1"/>
      <c r="B11" s="1" t="s">
        <v>1672</v>
      </c>
      <c r="C11" s="1"/>
      <c r="D11" s="1"/>
    </row>
    <row r="12" spans="1:6" s="337" customFormat="1" ht="6.75" customHeight="1">
      <c r="A12" s="336"/>
      <c r="B12" s="336"/>
      <c r="C12" s="336"/>
      <c r="D12" s="336"/>
    </row>
    <row r="13" spans="1:6">
      <c r="A13" s="35">
        <f>+A5+1</f>
        <v>41</v>
      </c>
      <c r="B13" s="1354" t="s">
        <v>859</v>
      </c>
      <c r="C13" s="1354"/>
      <c r="D13" s="1354"/>
    </row>
    <row r="14" spans="1:6" ht="49.5" customHeight="1">
      <c r="A14" s="1"/>
      <c r="B14" s="1353" t="s">
        <v>860</v>
      </c>
      <c r="C14" s="1353"/>
      <c r="D14" s="1353"/>
      <c r="E14" s="1353"/>
      <c r="F14" s="1353"/>
    </row>
    <row r="15" spans="1:6" ht="30" customHeight="1">
      <c r="A15" s="1"/>
      <c r="B15" s="1353" t="s">
        <v>861</v>
      </c>
      <c r="C15" s="1353"/>
      <c r="D15" s="1353"/>
      <c r="E15" s="1353"/>
      <c r="F15" s="1353"/>
    </row>
    <row r="16" spans="1:6">
      <c r="A16" s="1"/>
      <c r="B16" s="1"/>
      <c r="C16" s="1"/>
      <c r="E16" s="1"/>
      <c r="F16" s="36" t="s">
        <v>1673</v>
      </c>
    </row>
    <row r="17" spans="1:6" ht="43.5" customHeight="1">
      <c r="A17" s="1"/>
      <c r="B17" s="257" t="s">
        <v>862</v>
      </c>
      <c r="C17" s="1"/>
      <c r="E17" s="338" t="str">
        <f>'Note 39 FRM2_Currency &amp; price'!F8</f>
        <v xml:space="preserve"> As at  31st March, 2024</v>
      </c>
      <c r="F17" s="338" t="str">
        <f>'Note 39 FRM2_Currency &amp; price'!G8</f>
        <v xml:space="preserve"> As at  31st March, 2023</v>
      </c>
    </row>
    <row r="18" spans="1:6">
      <c r="A18" s="1"/>
      <c r="B18" s="1" t="s">
        <v>863</v>
      </c>
      <c r="C18" s="1"/>
      <c r="E18" s="621">
        <f>+PL!D8</f>
        <v>15762039</v>
      </c>
      <c r="F18" s="621">
        <f>+PL!F8</f>
        <v>64296378</v>
      </c>
    </row>
    <row r="19" spans="1:6">
      <c r="A19" s="1"/>
      <c r="B19" s="1" t="s">
        <v>864</v>
      </c>
      <c r="C19" s="1"/>
      <c r="E19" s="621">
        <v>0</v>
      </c>
      <c r="F19" s="621">
        <v>0</v>
      </c>
    </row>
    <row r="20" spans="1:6">
      <c r="A20" s="1"/>
      <c r="B20" s="5" t="s">
        <v>865</v>
      </c>
      <c r="C20" s="1"/>
      <c r="E20" s="622">
        <f>+SUM(E18:E19)</f>
        <v>15762039</v>
      </c>
      <c r="F20" s="622">
        <f>+SUM(F18:F19)</f>
        <v>64296378</v>
      </c>
    </row>
    <row r="21" spans="1:6" s="337" customFormat="1" ht="5.25" customHeight="1">
      <c r="A21" s="336"/>
      <c r="B21" s="336"/>
      <c r="C21" s="336"/>
      <c r="D21" s="336"/>
    </row>
    <row r="22" spans="1:6">
      <c r="A22" s="1"/>
      <c r="B22" s="1" t="s">
        <v>866</v>
      </c>
      <c r="C22" s="1"/>
      <c r="D22" s="1"/>
    </row>
    <row r="23" spans="1:6" s="337" customFormat="1" ht="6" customHeight="1"/>
    <row r="24" spans="1:6">
      <c r="A24" s="35">
        <f>A13+1</f>
        <v>42</v>
      </c>
      <c r="B24" s="5" t="s">
        <v>867</v>
      </c>
      <c r="C24" s="1"/>
      <c r="D24" s="1"/>
    </row>
    <row r="25" spans="1:6" ht="30.75" customHeight="1">
      <c r="B25" s="1353" t="s">
        <v>868</v>
      </c>
      <c r="C25" s="1353"/>
      <c r="D25" s="1353"/>
      <c r="E25" s="1353"/>
      <c r="F25" s="1353"/>
    </row>
    <row r="26" spans="1:6" ht="42" customHeight="1">
      <c r="B26" s="1353" t="s">
        <v>869</v>
      </c>
      <c r="C26" s="1353"/>
      <c r="D26" s="1353"/>
      <c r="E26" s="1353"/>
      <c r="F26" s="1353"/>
    </row>
    <row r="27" spans="1:6">
      <c r="A27" s="339" t="s">
        <v>432</v>
      </c>
      <c r="B27" s="5" t="s">
        <v>870</v>
      </c>
    </row>
    <row r="28" spans="1:6" ht="48.75" customHeight="1">
      <c r="B28" s="1353" t="s">
        <v>957</v>
      </c>
      <c r="C28" s="1353"/>
      <c r="D28" s="1353"/>
      <c r="E28" s="1353"/>
      <c r="F28" s="1353"/>
    </row>
    <row r="29" spans="1:6" s="337" customFormat="1" ht="10.199999999999999"/>
    <row r="30" spans="1:6">
      <c r="A30" s="339" t="s">
        <v>565</v>
      </c>
      <c r="B30" s="5" t="s">
        <v>871</v>
      </c>
    </row>
    <row r="31" spans="1:6" ht="75.75" customHeight="1">
      <c r="B31" s="1353" t="s">
        <v>872</v>
      </c>
      <c r="C31" s="1353"/>
      <c r="D31" s="1353"/>
      <c r="E31" s="1353"/>
      <c r="F31" s="1353"/>
    </row>
    <row r="32" spans="1:6" s="337" customFormat="1" ht="10.199999999999999"/>
    <row r="33" spans="1:6">
      <c r="A33" s="339" t="s">
        <v>601</v>
      </c>
      <c r="B33" s="5" t="s">
        <v>873</v>
      </c>
    </row>
    <row r="34" spans="1:6" ht="15" customHeight="1">
      <c r="B34" s="1211" t="s">
        <v>874</v>
      </c>
      <c r="C34" s="1211"/>
      <c r="D34" s="1211"/>
      <c r="E34" s="1211"/>
      <c r="F34" s="1211"/>
    </row>
    <row r="35" spans="1:6" s="337" customFormat="1" ht="10.199999999999999"/>
    <row r="36" spans="1:6">
      <c r="A36" s="38" t="s">
        <v>604</v>
      </c>
      <c r="B36" s="5" t="s">
        <v>875</v>
      </c>
    </row>
    <row r="37" spans="1:6" ht="36" customHeight="1">
      <c r="B37" s="1353" t="s">
        <v>958</v>
      </c>
      <c r="C37" s="1353"/>
      <c r="D37" s="1353"/>
      <c r="E37" s="1353"/>
      <c r="F37" s="1353"/>
    </row>
    <row r="38" spans="1:6" s="337" customFormat="1" ht="10.199999999999999"/>
    <row r="39" spans="1:6" hidden="1">
      <c r="A39" s="180">
        <f>A24+1</f>
        <v>43</v>
      </c>
      <c r="B39" s="39" t="s">
        <v>876</v>
      </c>
    </row>
    <row r="40" spans="1:6" ht="46.5" hidden="1" customHeight="1">
      <c r="B40" s="1353" t="s">
        <v>877</v>
      </c>
      <c r="C40" s="1353"/>
      <c r="D40" s="1353"/>
      <c r="E40" s="1353"/>
      <c r="F40" s="1353"/>
    </row>
    <row r="41" spans="1:6" hidden="1"/>
    <row r="42" spans="1:6" hidden="1">
      <c r="B42" s="5" t="s">
        <v>342</v>
      </c>
      <c r="D42" s="1"/>
      <c r="E42" s="1"/>
      <c r="F42" s="1"/>
    </row>
    <row r="43" spans="1:6" hidden="1">
      <c r="B43" s="1" t="s">
        <v>323</v>
      </c>
      <c r="D43" s="1"/>
      <c r="E43" s="1"/>
      <c r="F43" s="1"/>
    </row>
    <row r="44" spans="1:6" hidden="1">
      <c r="B44" s="6" t="s">
        <v>343</v>
      </c>
      <c r="D44" s="1"/>
      <c r="E44" s="1"/>
      <c r="F44" s="1"/>
    </row>
    <row r="45" spans="1:6" hidden="1">
      <c r="B45" s="1"/>
      <c r="D45" s="1"/>
      <c r="E45" s="1"/>
      <c r="F45" s="1"/>
    </row>
    <row r="46" spans="1:6" s="337" customFormat="1" ht="10.199999999999999">
      <c r="B46" s="336"/>
      <c r="D46" s="336"/>
      <c r="E46" s="336"/>
      <c r="F46" s="336"/>
    </row>
    <row r="47" spans="1:6" s="337" customFormat="1" ht="10.199999999999999">
      <c r="B47" s="336"/>
      <c r="D47" s="336"/>
      <c r="E47" s="336"/>
      <c r="F47" s="336"/>
    </row>
    <row r="48" spans="1:6">
      <c r="D48" s="1"/>
      <c r="E48" s="1"/>
    </row>
    <row r="49" spans="4:6">
      <c r="D49" s="1"/>
      <c r="E49" s="1"/>
    </row>
    <row r="50" spans="4:6">
      <c r="D50" s="1"/>
      <c r="E50" s="1"/>
    </row>
    <row r="51" spans="4:6">
      <c r="D51" s="1"/>
      <c r="E51" s="1"/>
      <c r="F51" s="1"/>
    </row>
    <row r="52" spans="4:6">
      <c r="D52" s="1"/>
      <c r="E52" s="1"/>
      <c r="F52" s="1"/>
    </row>
    <row r="53" spans="4:6">
      <c r="D53" s="1"/>
      <c r="E53" s="1"/>
      <c r="F53" s="1"/>
    </row>
  </sheetData>
  <mergeCells count="13">
    <mergeCell ref="B37:F37"/>
    <mergeCell ref="B40:F40"/>
    <mergeCell ref="B26:F26"/>
    <mergeCell ref="B13:D13"/>
    <mergeCell ref="B14:F14"/>
    <mergeCell ref="B15:F15"/>
    <mergeCell ref="B25:F25"/>
    <mergeCell ref="B34:F34"/>
    <mergeCell ref="A1:F1"/>
    <mergeCell ref="A2:F2"/>
    <mergeCell ref="A3:F3"/>
    <mergeCell ref="B28:F28"/>
    <mergeCell ref="B31:F31"/>
  </mergeCells>
  <pageMargins left="0.70866141732283472" right="0.70866141732283472" top="0.82677165354330717" bottom="0.74803149606299213" header="0.31496062992125984" footer="0.31496062992125984"/>
  <pageSetup paperSize="9" scale="90" orientation="portrait" r:id="rId1"/>
  <rowBreaks count="1" manualBreakCount="1">
    <brk id="38"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92D050"/>
  </sheetPr>
  <dimension ref="A1:G47"/>
  <sheetViews>
    <sheetView showGridLines="0" view="pageBreakPreview" zoomScale="98" zoomScaleSheetLayoutView="98" workbookViewId="0">
      <selection activeCell="C9" sqref="C9:E9"/>
    </sheetView>
  </sheetViews>
  <sheetFormatPr defaultColWidth="9.21875" defaultRowHeight="15"/>
  <cols>
    <col min="1" max="1" width="3.77734375" style="323" bestFit="1" customWidth="1"/>
    <col min="2" max="2" width="4.44140625" style="323" customWidth="1"/>
    <col min="3" max="3" width="14.21875" style="323" customWidth="1"/>
    <col min="4" max="4" width="20" style="323" customWidth="1"/>
    <col min="5" max="5" width="23" style="323" customWidth="1"/>
    <col min="6" max="6" width="18.5546875" style="323" customWidth="1"/>
    <col min="7" max="7" width="25" style="323" customWidth="1"/>
    <col min="8" max="16384" width="9.21875" style="323"/>
  </cols>
  <sheetData>
    <row r="1" spans="1:7">
      <c r="A1" s="1300" t="s">
        <v>880</v>
      </c>
      <c r="B1" s="1300"/>
      <c r="C1" s="1300"/>
      <c r="D1" s="1300"/>
      <c r="E1" s="1300"/>
      <c r="F1" s="1300"/>
    </row>
    <row r="2" spans="1:7">
      <c r="A2" s="1300" t="s">
        <v>881</v>
      </c>
      <c r="B2" s="1300"/>
      <c r="C2" s="1300"/>
      <c r="D2" s="1300"/>
      <c r="E2" s="1300"/>
      <c r="F2" s="1300"/>
    </row>
    <row r="3" spans="1:7">
      <c r="A3" s="1301" t="str">
        <f>BS!A3</f>
        <v>[Currency: Indian Rupees(Rs.'000)]</v>
      </c>
      <c r="B3" s="1301"/>
      <c r="C3" s="1301"/>
      <c r="D3" s="1301"/>
      <c r="E3" s="1301"/>
      <c r="F3" s="1301"/>
    </row>
    <row r="5" spans="1:7">
      <c r="A5" s="324">
        <f>+'Notes 40 to 42'!A24+1</f>
        <v>43</v>
      </c>
      <c r="B5" s="324" t="s">
        <v>799</v>
      </c>
      <c r="C5" s="324"/>
    </row>
    <row r="6" spans="1:7">
      <c r="B6" s="325" t="s">
        <v>0</v>
      </c>
      <c r="C6" s="326"/>
      <c r="D6" s="326"/>
      <c r="E6" s="327"/>
      <c r="F6" s="328" t="str">
        <f>'Employee benefits Note 36'!E19</f>
        <v>31st March, 2024</v>
      </c>
      <c r="G6" s="328" t="str">
        <f>'Employee benefits Note 36'!F19</f>
        <v>31st March, 2023</v>
      </c>
    </row>
    <row r="7" spans="1:7">
      <c r="B7" s="329"/>
      <c r="C7" s="330"/>
      <c r="D7" s="330"/>
      <c r="E7" s="330"/>
      <c r="F7" s="331"/>
      <c r="G7" s="332"/>
    </row>
    <row r="8" spans="1:7" ht="54.75" customHeight="1">
      <c r="B8" s="333" t="s">
        <v>563</v>
      </c>
      <c r="C8" s="1357" t="s">
        <v>797</v>
      </c>
      <c r="D8" s="1357"/>
      <c r="E8" s="1357"/>
      <c r="F8" s="623">
        <f>+BS!D48</f>
        <v>212179</v>
      </c>
      <c r="G8" s="623">
        <f>+BS!F48</f>
        <v>21277182</v>
      </c>
    </row>
    <row r="9" spans="1:7" ht="76.5" customHeight="1">
      <c r="B9" s="333" t="s">
        <v>567</v>
      </c>
      <c r="C9" s="1357" t="s">
        <v>795</v>
      </c>
      <c r="D9" s="1357"/>
      <c r="E9" s="1357"/>
      <c r="F9" s="30">
        <v>0</v>
      </c>
      <c r="G9" s="30">
        <v>0</v>
      </c>
    </row>
    <row r="10" spans="1:7" ht="87" customHeight="1">
      <c r="B10" s="333" t="s">
        <v>576</v>
      </c>
      <c r="C10" s="1357" t="s">
        <v>975</v>
      </c>
      <c r="D10" s="1357"/>
      <c r="E10" s="1357"/>
      <c r="F10" s="30">
        <v>0</v>
      </c>
      <c r="G10" s="30">
        <v>0</v>
      </c>
    </row>
    <row r="11" spans="1:7" ht="42.75" customHeight="1">
      <c r="B11" s="333" t="s">
        <v>628</v>
      </c>
      <c r="C11" s="1357" t="s">
        <v>796</v>
      </c>
      <c r="D11" s="1357"/>
      <c r="E11" s="1357"/>
      <c r="F11" s="30">
        <v>0</v>
      </c>
      <c r="G11" s="30">
        <v>0</v>
      </c>
    </row>
    <row r="12" spans="1:7" ht="93" customHeight="1">
      <c r="B12" s="334" t="s">
        <v>592</v>
      </c>
      <c r="C12" s="1358" t="s">
        <v>798</v>
      </c>
      <c r="D12" s="1358"/>
      <c r="E12" s="1358"/>
      <c r="F12" s="31">
        <v>0</v>
      </c>
      <c r="G12" s="31">
        <v>0</v>
      </c>
    </row>
    <row r="14" spans="1:7">
      <c r="A14" s="324">
        <f>+A5+1</f>
        <v>44</v>
      </c>
      <c r="B14" s="323" t="s">
        <v>1684</v>
      </c>
    </row>
    <row r="16" spans="1:7">
      <c r="A16" s="1099" t="s">
        <v>764</v>
      </c>
      <c r="B16" s="323" t="s">
        <v>1685</v>
      </c>
    </row>
    <row r="17" spans="1:7">
      <c r="A17" s="1099" t="s">
        <v>769</v>
      </c>
      <c r="B17" s="323" t="s">
        <v>1686</v>
      </c>
    </row>
    <row r="18" spans="1:7" ht="108.6" customHeight="1">
      <c r="A18" s="1100" t="s">
        <v>771</v>
      </c>
      <c r="B18" s="1359" t="s">
        <v>1687</v>
      </c>
      <c r="C18" s="1359"/>
      <c r="D18" s="1359"/>
      <c r="E18" s="1359"/>
      <c r="F18" s="1359"/>
      <c r="G18" s="1359"/>
    </row>
    <row r="19" spans="1:7" ht="78" customHeight="1">
      <c r="A19" s="1100" t="s">
        <v>773</v>
      </c>
      <c r="B19" s="1359" t="s">
        <v>1688</v>
      </c>
      <c r="C19" s="1359"/>
      <c r="D19" s="1359"/>
      <c r="E19" s="1359"/>
      <c r="F19" s="1359"/>
      <c r="G19" s="1359"/>
    </row>
    <row r="20" spans="1:7" ht="34.799999999999997" customHeight="1">
      <c r="A20" s="1100" t="s">
        <v>774</v>
      </c>
      <c r="B20" s="1359" t="s">
        <v>1689</v>
      </c>
      <c r="C20" s="1359"/>
      <c r="D20" s="1359"/>
      <c r="E20" s="1359"/>
      <c r="F20" s="1359"/>
      <c r="G20" s="1359"/>
    </row>
    <row r="21" spans="1:7">
      <c r="A21" s="1100"/>
      <c r="B21" s="1101"/>
      <c r="C21" s="1101"/>
      <c r="D21" s="1101"/>
      <c r="E21" s="1101"/>
      <c r="F21" s="1101"/>
      <c r="G21" s="1101"/>
    </row>
    <row r="22" spans="1:7">
      <c r="A22" s="1114">
        <f>+A14+1</f>
        <v>45</v>
      </c>
      <c r="B22" s="1113" t="s">
        <v>1674</v>
      </c>
      <c r="C22" s="1101"/>
      <c r="D22" s="1101"/>
      <c r="E22" s="1101"/>
      <c r="F22" s="1101"/>
      <c r="G22" s="1101"/>
    </row>
    <row r="23" spans="1:7">
      <c r="A23" s="1100"/>
      <c r="B23" s="1055"/>
      <c r="C23" s="1103" t="s">
        <v>0</v>
      </c>
      <c r="D23" s="1101"/>
      <c r="F23" s="1103" t="s">
        <v>1691</v>
      </c>
      <c r="G23" s="1103"/>
    </row>
    <row r="24" spans="1:7">
      <c r="A24" s="1100"/>
      <c r="B24" s="1101">
        <v>1</v>
      </c>
      <c r="C24" s="1104" t="s">
        <v>1692</v>
      </c>
      <c r="D24" s="1104"/>
      <c r="F24" s="1111">
        <f>'PL Grouping'!K62</f>
        <v>37265381</v>
      </c>
      <c r="G24" s="1101"/>
    </row>
    <row r="25" spans="1:7">
      <c r="A25" s="1100"/>
      <c r="B25" s="1101">
        <f>B24+1</f>
        <v>2</v>
      </c>
      <c r="C25" s="1104" t="s">
        <v>1693</v>
      </c>
      <c r="D25" s="1101"/>
      <c r="E25" s="1101"/>
      <c r="F25" s="1111">
        <f>'PL Grouping'!K64</f>
        <v>1021445</v>
      </c>
      <c r="G25" s="1101"/>
    </row>
    <row r="26" spans="1:7">
      <c r="A26" s="1100"/>
      <c r="B26" s="1101"/>
      <c r="C26" s="1101"/>
      <c r="D26" s="1102" t="s">
        <v>51</v>
      </c>
      <c r="E26" s="1102"/>
      <c r="F26" s="1112">
        <f>SUM(F24:F25)</f>
        <v>38286826</v>
      </c>
      <c r="G26" s="1101"/>
    </row>
    <row r="27" spans="1:7">
      <c r="A27" s="1100"/>
      <c r="B27" s="1101"/>
      <c r="C27" s="1101"/>
      <c r="D27" s="1101"/>
      <c r="E27" s="1101"/>
      <c r="F27" s="1101"/>
      <c r="G27" s="1101"/>
    </row>
    <row r="28" spans="1:7" ht="33.6" customHeight="1">
      <c r="A28" s="335">
        <f>A22+1</f>
        <v>46</v>
      </c>
      <c r="B28" s="1357" t="s">
        <v>1721</v>
      </c>
      <c r="C28" s="1357"/>
      <c r="D28" s="1357"/>
      <c r="E28" s="1357"/>
      <c r="F28" s="1357"/>
      <c r="G28" s="1357"/>
    </row>
    <row r="29" spans="1:7" ht="51.6" customHeight="1">
      <c r="B29" s="1357" t="s">
        <v>1728</v>
      </c>
      <c r="C29" s="1357"/>
      <c r="D29" s="1357"/>
      <c r="E29" s="1357"/>
      <c r="F29" s="1357"/>
      <c r="G29" s="1357"/>
    </row>
    <row r="30" spans="1:7">
      <c r="B30" s="1055"/>
    </row>
    <row r="31" spans="1:7" ht="37.799999999999997" customHeight="1">
      <c r="A31" s="335">
        <f>+A28+1</f>
        <v>47</v>
      </c>
      <c r="B31" s="1357" t="s">
        <v>1727</v>
      </c>
      <c r="C31" s="1357"/>
      <c r="D31" s="1357"/>
      <c r="E31" s="1357"/>
      <c r="F31" s="1357"/>
      <c r="G31" s="1357"/>
    </row>
    <row r="32" spans="1:7" ht="16.5" customHeight="1">
      <c r="B32" s="1356"/>
      <c r="C32" s="1356"/>
      <c r="D32" s="1356"/>
      <c r="E32" s="1356"/>
      <c r="F32" s="1"/>
      <c r="G32" s="1"/>
    </row>
    <row r="33" spans="1:7" ht="28.5" customHeight="1">
      <c r="A33" s="335">
        <f>+A31+1</f>
        <v>48</v>
      </c>
      <c r="B33" s="1355" t="s">
        <v>878</v>
      </c>
      <c r="C33" s="1355"/>
      <c r="D33" s="1355"/>
      <c r="E33" s="1355"/>
      <c r="F33" s="1355"/>
      <c r="G33" s="1355"/>
    </row>
    <row r="34" spans="1:7">
      <c r="B34" s="32"/>
      <c r="C34" s="32"/>
      <c r="D34" s="32"/>
      <c r="E34" s="32"/>
      <c r="F34" s="32"/>
      <c r="G34" s="32"/>
    </row>
    <row r="35" spans="1:7">
      <c r="B35" s="1" t="str">
        <f>"Signature to notes to Financial Statements 1 to " &amp;A33</f>
        <v>Signature to notes to Financial Statements 1 to 48</v>
      </c>
      <c r="C35" s="32"/>
      <c r="D35" s="32"/>
      <c r="E35" s="32"/>
      <c r="F35" s="32"/>
      <c r="G35" s="32"/>
    </row>
    <row r="36" spans="1:7">
      <c r="B36" s="1"/>
      <c r="C36" s="32"/>
      <c r="D36" s="32"/>
      <c r="E36" s="32"/>
      <c r="F36" s="32"/>
      <c r="G36" s="32"/>
    </row>
    <row r="37" spans="1:7">
      <c r="B37" s="5" t="s">
        <v>342</v>
      </c>
      <c r="D37" s="32"/>
      <c r="E37" s="5" t="s">
        <v>322</v>
      </c>
      <c r="F37" s="32"/>
      <c r="G37" s="32"/>
    </row>
    <row r="38" spans="1:7">
      <c r="B38" s="1" t="s">
        <v>323</v>
      </c>
      <c r="C38" s="1"/>
      <c r="D38" s="32"/>
      <c r="E38" s="32"/>
      <c r="F38" s="32"/>
      <c r="G38" s="32"/>
    </row>
    <row r="39" spans="1:7">
      <c r="B39" s="6" t="s">
        <v>343</v>
      </c>
      <c r="C39" s="1"/>
      <c r="D39" s="32"/>
      <c r="E39" s="32"/>
      <c r="F39" s="32"/>
      <c r="G39" s="32"/>
    </row>
    <row r="40" spans="1:7">
      <c r="B40" s="6"/>
      <c r="C40" s="1"/>
      <c r="D40" s="32"/>
      <c r="E40" s="32"/>
      <c r="F40" s="32"/>
      <c r="G40" s="32"/>
    </row>
    <row r="41" spans="1:7">
      <c r="B41" s="6"/>
      <c r="C41" s="1"/>
      <c r="D41" s="32"/>
      <c r="E41" s="32"/>
      <c r="F41" s="32"/>
      <c r="G41" s="32"/>
    </row>
    <row r="42" spans="1:7">
      <c r="B42" s="6"/>
      <c r="C42" s="1"/>
      <c r="D42" s="32"/>
      <c r="E42" s="32"/>
      <c r="F42" s="32"/>
      <c r="G42" s="32"/>
    </row>
    <row r="43" spans="1:7">
      <c r="B43" s="5" t="s">
        <v>344</v>
      </c>
      <c r="E43" s="5" t="str">
        <f>+BS!C63</f>
        <v>Deep A. Lalvani</v>
      </c>
      <c r="G43" s="5" t="str">
        <f>+BS!F63</f>
        <v>Jatin D. Pokarne</v>
      </c>
    </row>
    <row r="44" spans="1:7">
      <c r="B44" s="1" t="s">
        <v>346</v>
      </c>
      <c r="E44" s="1" t="str">
        <f>+BS!C64</f>
        <v>Chairman</v>
      </c>
      <c r="G44" s="1" t="str">
        <f>+BS!F64</f>
        <v>Director</v>
      </c>
    </row>
    <row r="45" spans="1:7">
      <c r="B45" s="163" t="s">
        <v>348</v>
      </c>
      <c r="E45" s="1" t="str">
        <f>+BS!C65</f>
        <v>DIN: 01771000</v>
      </c>
      <c r="G45" s="1" t="str">
        <f>+BS!F65</f>
        <v>DIN: 10205733</v>
      </c>
    </row>
    <row r="46" spans="1:7">
      <c r="B46" s="1" t="str">
        <f>+BS!B66</f>
        <v>Place : Mumbai</v>
      </c>
      <c r="E46" s="1" t="str">
        <f>+BS!C66</f>
        <v>Place : Mumbai</v>
      </c>
      <c r="G46" s="1" t="str">
        <f>+BS!F66</f>
        <v>Place : Mumbai</v>
      </c>
    </row>
    <row r="47" spans="1:7">
      <c r="B47" s="1" t="str">
        <f>+BS!B67</f>
        <v>Date : 8th May, 2024</v>
      </c>
      <c r="E47" s="1" t="str">
        <f>+BS!C67</f>
        <v>Date : 8th May, 2024</v>
      </c>
      <c r="G47" s="1" t="str">
        <f>+BS!F67</f>
        <v>Date : 8th May, 2024</v>
      </c>
    </row>
  </sheetData>
  <mergeCells count="16">
    <mergeCell ref="A1:F1"/>
    <mergeCell ref="A2:F2"/>
    <mergeCell ref="A3:F3"/>
    <mergeCell ref="B33:G33"/>
    <mergeCell ref="B32:E32"/>
    <mergeCell ref="C8:E8"/>
    <mergeCell ref="C9:E9"/>
    <mergeCell ref="C10:E10"/>
    <mergeCell ref="C11:E11"/>
    <mergeCell ref="C12:E12"/>
    <mergeCell ref="B18:G18"/>
    <mergeCell ref="B19:G19"/>
    <mergeCell ref="B20:G20"/>
    <mergeCell ref="B28:G28"/>
    <mergeCell ref="B29:G29"/>
    <mergeCell ref="B31:G31"/>
  </mergeCells>
  <pageMargins left="0.70866141732283472" right="0.51181102362204722" top="0.74803149606299213" bottom="0.74803149606299213" header="0.31496062992125984" footer="0.31496062992125984"/>
  <pageSetup paperSize="9" scale="82" orientation="portrait" blackAndWhite="1" r:id="rId1"/>
  <rowBreaks count="1" manualBreakCount="1">
    <brk id="27" max="6"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406"/>
  <sheetViews>
    <sheetView zoomScaleNormal="100" workbookViewId="0">
      <pane xSplit="2" ySplit="5" topLeftCell="C6" activePane="bottomRight" state="frozen"/>
      <selection activeCell="B25" sqref="B25"/>
      <selection pane="topRight" activeCell="B25" sqref="B25"/>
      <selection pane="bottomLeft" activeCell="B25" sqref="B25"/>
      <selection pane="bottomRight" activeCell="C6" sqref="C6"/>
    </sheetView>
  </sheetViews>
  <sheetFormatPr defaultColWidth="9.21875" defaultRowHeight="14.4"/>
  <cols>
    <col min="1" max="1" width="30.21875" style="444" customWidth="1"/>
    <col min="2" max="2" width="12.21875" style="151" bestFit="1" customWidth="1"/>
    <col min="3" max="3" width="16" style="202" bestFit="1" customWidth="1"/>
    <col min="4" max="4" width="15.21875" style="202" bestFit="1" customWidth="1"/>
    <col min="5" max="5" width="12.5546875" style="202" bestFit="1" customWidth="1"/>
    <col min="6" max="6" width="10.21875" style="202" customWidth="1"/>
    <col min="7" max="7" width="13" style="202" bestFit="1" customWidth="1"/>
    <col min="8" max="8" width="13.77734375" style="202" bestFit="1" customWidth="1"/>
    <col min="9" max="9" width="14.21875" style="202" bestFit="1" customWidth="1"/>
    <col min="10" max="10" width="13.77734375" style="202" bestFit="1" customWidth="1"/>
    <col min="11" max="11" width="16.21875" style="202" bestFit="1" customWidth="1"/>
    <col min="12" max="20" width="16.21875" style="202" customWidth="1"/>
    <col min="21" max="21" width="16" style="202" bestFit="1" customWidth="1"/>
    <col min="22" max="22" width="15.21875" style="202" bestFit="1" customWidth="1"/>
    <col min="23" max="23" width="12.5546875" style="202" bestFit="1" customWidth="1"/>
    <col min="24" max="24" width="10.21875" style="202" customWidth="1"/>
    <col min="25" max="25" width="13" style="202" bestFit="1" customWidth="1"/>
    <col min="26" max="26" width="13.77734375" style="202" bestFit="1" customWidth="1"/>
    <col min="27" max="27" width="14.21875" style="202" bestFit="1" customWidth="1"/>
    <col min="28" max="28" width="13.77734375" style="202" bestFit="1" customWidth="1"/>
    <col min="29" max="29" width="16.21875" style="202" bestFit="1" customWidth="1"/>
    <col min="30" max="30" width="16" style="202" bestFit="1" customWidth="1"/>
    <col min="31" max="31" width="15.21875" style="202" bestFit="1" customWidth="1"/>
    <col min="32" max="32" width="12.5546875" style="202" bestFit="1" customWidth="1"/>
    <col min="33" max="33" width="10.21875" style="202" customWidth="1"/>
    <col min="34" max="34" width="13" style="202" bestFit="1" customWidth="1"/>
    <col min="35" max="35" width="13.77734375" style="202" bestFit="1" customWidth="1"/>
    <col min="36" max="36" width="14.21875" style="202" bestFit="1" customWidth="1"/>
    <col min="37" max="37" width="13.77734375" style="202" bestFit="1" customWidth="1"/>
    <col min="38" max="38" width="16.21875" style="202" bestFit="1" customWidth="1"/>
    <col min="39" max="41" width="15.21875" style="202" customWidth="1"/>
    <col min="42" max="42" width="12.44140625" style="202" customWidth="1"/>
    <col min="43" max="46" width="15.21875" style="202" customWidth="1"/>
    <col min="47" max="47" width="16.21875" style="202" customWidth="1"/>
    <col min="48" max="48" width="14.77734375" style="151" customWidth="1"/>
    <col min="49" max="49" width="11.77734375" style="151" bestFit="1" customWidth="1"/>
    <col min="50" max="50" width="12.5546875" style="151" bestFit="1" customWidth="1"/>
    <col min="51" max="51" width="9.21875" style="151" bestFit="1" customWidth="1"/>
    <col min="52" max="16384" width="9.21875" style="151"/>
  </cols>
  <sheetData>
    <row r="1" spans="1:52" s="5" customFormat="1">
      <c r="A1" s="5" t="str">
        <f>BS!A1</f>
        <v>1908 E-Ventures Private Limited</v>
      </c>
      <c r="B1" s="162"/>
      <c r="C1" s="474" t="s">
        <v>1553</v>
      </c>
      <c r="D1" s="474" t="s">
        <v>1396</v>
      </c>
      <c r="E1" s="474"/>
      <c r="F1" s="641"/>
      <c r="G1" s="474"/>
      <c r="H1" s="474"/>
      <c r="I1" s="474"/>
      <c r="J1" s="474"/>
      <c r="K1" s="475">
        <f>-K606-K612-K620-K629-K643-K647-K654-K668-K672-K679-K683-K687-K691-K756-K695-K704-K700-K709-K716-K633+K637</f>
        <v>0</v>
      </c>
      <c r="L1" s="475" t="s">
        <v>1553</v>
      </c>
      <c r="M1" s="475" t="s">
        <v>1396</v>
      </c>
      <c r="N1" s="475"/>
      <c r="O1" s="475"/>
      <c r="P1" s="475"/>
      <c r="Q1" s="475"/>
      <c r="R1" s="475"/>
      <c r="S1" s="475"/>
      <c r="T1" s="475">
        <v>0</v>
      </c>
      <c r="U1" s="474"/>
      <c r="V1" s="474" t="s">
        <v>1396</v>
      </c>
      <c r="W1" s="474"/>
      <c r="X1" s="474"/>
      <c r="Y1" s="474"/>
      <c r="Z1" s="474"/>
      <c r="AA1" s="474"/>
      <c r="AB1" s="474"/>
      <c r="AC1" s="475">
        <v>0</v>
      </c>
      <c r="AD1" s="474"/>
      <c r="AE1" s="474" t="s">
        <v>1396</v>
      </c>
      <c r="AF1" s="474"/>
      <c r="AG1" s="474"/>
      <c r="AH1" s="474"/>
      <c r="AI1" s="474"/>
      <c r="AJ1" s="474"/>
      <c r="AK1" s="474"/>
      <c r="AL1" s="475">
        <v>0</v>
      </c>
      <c r="AM1" s="474"/>
      <c r="AN1" s="474"/>
      <c r="AO1" s="474"/>
      <c r="AP1" s="474"/>
      <c r="AQ1" s="474"/>
      <c r="AR1" s="474"/>
      <c r="AS1" s="474"/>
      <c r="AT1" s="474"/>
      <c r="AU1" s="474">
        <v>0</v>
      </c>
      <c r="AV1" s="476"/>
    </row>
    <row r="2" spans="1:52" s="5" customFormat="1">
      <c r="A2" s="162" t="s">
        <v>1448</v>
      </c>
      <c r="B2" s="162"/>
      <c r="C2" s="474"/>
      <c r="D2" s="474"/>
      <c r="E2" s="474"/>
      <c r="F2" s="641"/>
      <c r="G2" s="474"/>
      <c r="H2" s="474"/>
      <c r="I2" s="474"/>
      <c r="J2" s="474"/>
      <c r="K2" s="475" t="s">
        <v>1394</v>
      </c>
      <c r="L2" s="475"/>
      <c r="M2" s="475"/>
      <c r="N2" s="475"/>
      <c r="O2" s="475"/>
      <c r="P2" s="475"/>
      <c r="Q2" s="475"/>
      <c r="R2" s="475"/>
      <c r="S2" s="475"/>
      <c r="T2" s="475" t="s">
        <v>1394</v>
      </c>
      <c r="U2" s="474"/>
      <c r="V2" s="474"/>
      <c r="W2" s="474"/>
      <c r="X2" s="474"/>
      <c r="Y2" s="474"/>
      <c r="Z2" s="474"/>
      <c r="AA2" s="474"/>
      <c r="AB2" s="474"/>
      <c r="AC2" s="475" t="s">
        <v>1394</v>
      </c>
      <c r="AD2" s="474"/>
      <c r="AE2" s="474"/>
      <c r="AF2" s="474"/>
      <c r="AG2" s="474"/>
      <c r="AH2" s="474"/>
      <c r="AI2" s="474"/>
      <c r="AJ2" s="474"/>
      <c r="AK2" s="474"/>
      <c r="AL2" s="475" t="s">
        <v>1394</v>
      </c>
      <c r="AM2" s="477">
        <v>0</v>
      </c>
      <c r="AN2" s="474"/>
      <c r="AO2" s="474"/>
      <c r="AP2" s="474"/>
      <c r="AQ2" s="474"/>
      <c r="AR2" s="474"/>
      <c r="AS2" s="474"/>
      <c r="AT2" s="474"/>
      <c r="AU2" s="474"/>
      <c r="AV2" s="162"/>
    </row>
    <row r="3" spans="1:52" s="1" customFormat="1" ht="15" thickBot="1">
      <c r="A3" s="478"/>
      <c r="C3" s="23">
        <f>C386</f>
        <v>-33348.239999994636</v>
      </c>
      <c r="D3" s="23"/>
      <c r="E3" s="23">
        <f>E386</f>
        <v>-7.0000000006984919E-2</v>
      </c>
      <c r="F3" s="23"/>
      <c r="G3" s="23">
        <f>G386</f>
        <v>1.0000000023865141E-2</v>
      </c>
      <c r="H3" s="23"/>
      <c r="I3" s="23">
        <f>I386</f>
        <v>6.0000000055879354E-2</v>
      </c>
      <c r="J3" s="23"/>
      <c r="K3" s="23"/>
      <c r="L3" s="23">
        <v>-0.98000000044703484</v>
      </c>
      <c r="M3" s="23"/>
      <c r="N3" s="23">
        <v>-7.0000000006984919E-2</v>
      </c>
      <c r="O3" s="23"/>
      <c r="P3" s="23">
        <v>-1.0399999999790452</v>
      </c>
      <c r="Q3" s="23"/>
      <c r="R3" s="23">
        <v>-0.93999999994412065</v>
      </c>
      <c r="S3" s="23"/>
      <c r="T3" s="23"/>
      <c r="U3" s="23">
        <v>-4937.4900000058115</v>
      </c>
      <c r="V3" s="23"/>
      <c r="W3" s="23">
        <v>0</v>
      </c>
      <c r="X3" s="23"/>
      <c r="Y3" s="23">
        <v>0</v>
      </c>
      <c r="Z3" s="23"/>
      <c r="AA3" s="23">
        <v>0</v>
      </c>
      <c r="AB3" s="23"/>
      <c r="AC3" s="23"/>
      <c r="AD3" s="23"/>
      <c r="AE3" s="23"/>
      <c r="AF3" s="23"/>
      <c r="AG3" s="23"/>
      <c r="AH3" s="23">
        <v>18640762</v>
      </c>
      <c r="AI3" s="23">
        <v>18509809</v>
      </c>
      <c r="AJ3" s="23">
        <v>130953</v>
      </c>
      <c r="AK3" s="23"/>
      <c r="AL3" s="23"/>
      <c r="AM3" s="23"/>
      <c r="AN3" s="23"/>
      <c r="AO3" s="23"/>
      <c r="AP3" s="23"/>
      <c r="AQ3" s="23"/>
      <c r="AR3" s="23"/>
      <c r="AS3" s="23"/>
      <c r="AT3" s="23"/>
      <c r="AU3" s="23"/>
    </row>
    <row r="4" spans="1:52" s="1" customFormat="1" ht="16.5" customHeight="1" thickTop="1" thickBot="1">
      <c r="A4" s="479" t="s">
        <v>0</v>
      </c>
      <c r="B4" s="480"/>
      <c r="C4" s="1360" t="s">
        <v>1570</v>
      </c>
      <c r="D4" s="1361"/>
      <c r="E4" s="1361"/>
      <c r="F4" s="1361"/>
      <c r="G4" s="1361"/>
      <c r="H4" s="1361"/>
      <c r="I4" s="1361"/>
      <c r="J4" s="1361"/>
      <c r="K4" s="1362"/>
      <c r="L4" s="996" t="s">
        <v>1535</v>
      </c>
      <c r="M4" s="973"/>
      <c r="N4" s="973"/>
      <c r="O4" s="973"/>
      <c r="P4" s="973"/>
      <c r="Q4" s="973"/>
      <c r="R4" s="973"/>
      <c r="S4" s="973"/>
      <c r="T4" s="973"/>
      <c r="U4" s="1360" t="s">
        <v>1506</v>
      </c>
      <c r="V4" s="1361"/>
      <c r="W4" s="1361"/>
      <c r="X4" s="1361"/>
      <c r="Y4" s="1361"/>
      <c r="Z4" s="1361"/>
      <c r="AA4" s="1361"/>
      <c r="AB4" s="1361"/>
      <c r="AC4" s="1362"/>
      <c r="AD4" s="1360" t="s">
        <v>1354</v>
      </c>
      <c r="AE4" s="1361"/>
      <c r="AF4" s="1361"/>
      <c r="AG4" s="1361"/>
      <c r="AH4" s="1361"/>
      <c r="AI4" s="1361"/>
      <c r="AJ4" s="1361"/>
      <c r="AK4" s="1361"/>
      <c r="AL4" s="1362"/>
      <c r="AM4" s="1363" t="s">
        <v>1118</v>
      </c>
      <c r="AN4" s="1361"/>
      <c r="AO4" s="1361"/>
      <c r="AP4" s="1361"/>
      <c r="AQ4" s="1361"/>
      <c r="AR4" s="1361"/>
      <c r="AS4" s="1361"/>
      <c r="AT4" s="1361"/>
      <c r="AU4" s="1364"/>
      <c r="AV4" s="481"/>
    </row>
    <row r="5" spans="1:52" s="1" customFormat="1" ht="15.6" thickTop="1" thickBot="1">
      <c r="A5" s="482"/>
      <c r="B5" s="483" t="s">
        <v>1125</v>
      </c>
      <c r="C5" s="484" t="s">
        <v>95</v>
      </c>
      <c r="D5" s="484" t="s">
        <v>1124</v>
      </c>
      <c r="E5" s="484" t="s">
        <v>1082</v>
      </c>
      <c r="F5" s="484" t="s">
        <v>1124</v>
      </c>
      <c r="G5" s="484" t="s">
        <v>1081</v>
      </c>
      <c r="H5" s="484" t="s">
        <v>1124</v>
      </c>
      <c r="I5" s="484" t="s">
        <v>1429</v>
      </c>
      <c r="J5" s="484" t="s">
        <v>1124</v>
      </c>
      <c r="K5" s="485" t="s">
        <v>51</v>
      </c>
      <c r="L5" s="485" t="s">
        <v>95</v>
      </c>
      <c r="M5" s="485" t="s">
        <v>1124</v>
      </c>
      <c r="N5" s="485" t="s">
        <v>1082</v>
      </c>
      <c r="O5" s="485" t="s">
        <v>1124</v>
      </c>
      <c r="P5" s="485" t="s">
        <v>1081</v>
      </c>
      <c r="Q5" s="485" t="s">
        <v>1124</v>
      </c>
      <c r="R5" s="485" t="s">
        <v>1429</v>
      </c>
      <c r="S5" s="485" t="s">
        <v>1124</v>
      </c>
      <c r="T5" s="485" t="s">
        <v>51</v>
      </c>
      <c r="U5" s="484" t="s">
        <v>95</v>
      </c>
      <c r="V5" s="484" t="s">
        <v>1124</v>
      </c>
      <c r="W5" s="484" t="s">
        <v>1082</v>
      </c>
      <c r="X5" s="484" t="s">
        <v>1124</v>
      </c>
      <c r="Y5" s="484" t="s">
        <v>1081</v>
      </c>
      <c r="Z5" s="484" t="s">
        <v>1124</v>
      </c>
      <c r="AA5" s="484" t="s">
        <v>1429</v>
      </c>
      <c r="AB5" s="484" t="s">
        <v>1124</v>
      </c>
      <c r="AC5" s="485" t="s">
        <v>51</v>
      </c>
      <c r="AD5" s="484" t="s">
        <v>95</v>
      </c>
      <c r="AE5" s="484" t="s">
        <v>1124</v>
      </c>
      <c r="AF5" s="484" t="s">
        <v>1082</v>
      </c>
      <c r="AG5" s="484" t="s">
        <v>1124</v>
      </c>
      <c r="AH5" s="484" t="s">
        <v>1081</v>
      </c>
      <c r="AI5" s="484" t="s">
        <v>1124</v>
      </c>
      <c r="AJ5" s="484" t="s">
        <v>1429</v>
      </c>
      <c r="AK5" s="484" t="s">
        <v>1124</v>
      </c>
      <c r="AL5" s="485" t="s">
        <v>51</v>
      </c>
      <c r="AM5" s="484" t="s">
        <v>95</v>
      </c>
      <c r="AN5" s="484" t="s">
        <v>1124</v>
      </c>
      <c r="AO5" s="484" t="s">
        <v>1082</v>
      </c>
      <c r="AP5" s="484" t="s">
        <v>1124</v>
      </c>
      <c r="AQ5" s="484" t="s">
        <v>1081</v>
      </c>
      <c r="AR5" s="484" t="s">
        <v>1124</v>
      </c>
      <c r="AS5" s="484" t="s">
        <v>1430</v>
      </c>
      <c r="AT5" s="484" t="s">
        <v>1124</v>
      </c>
      <c r="AU5" s="486" t="s">
        <v>51</v>
      </c>
      <c r="AV5" s="481" t="s">
        <v>1355</v>
      </c>
      <c r="AY5" s="1">
        <v>24500</v>
      </c>
      <c r="AZ5" s="1" t="s">
        <v>1119</v>
      </c>
    </row>
    <row r="6" spans="1:52" ht="15" thickTop="1">
      <c r="A6" s="487" t="s">
        <v>28</v>
      </c>
      <c r="B6" s="488"/>
      <c r="C6" s="477"/>
      <c r="D6" s="489"/>
      <c r="E6" s="489"/>
      <c r="F6" s="489"/>
      <c r="G6" s="489"/>
      <c r="H6" s="489"/>
      <c r="I6" s="489"/>
      <c r="J6" s="489"/>
      <c r="K6" s="490"/>
      <c r="L6" s="311"/>
      <c r="M6" s="311"/>
      <c r="N6" s="311"/>
      <c r="O6" s="311"/>
      <c r="P6" s="311"/>
      <c r="Q6" s="311"/>
      <c r="R6" s="311"/>
      <c r="S6" s="311"/>
      <c r="T6" s="311"/>
      <c r="U6" s="477"/>
      <c r="V6" s="489"/>
      <c r="W6" s="489"/>
      <c r="X6" s="489"/>
      <c r="Y6" s="489"/>
      <c r="Z6" s="489"/>
      <c r="AA6" s="489"/>
      <c r="AB6" s="489"/>
      <c r="AC6" s="490"/>
      <c r="AD6" s="477"/>
      <c r="AE6" s="489"/>
      <c r="AF6" s="489"/>
      <c r="AG6" s="489"/>
      <c r="AH6" s="489"/>
      <c r="AI6" s="489"/>
      <c r="AJ6" s="489"/>
      <c r="AK6" s="489"/>
      <c r="AL6" s="490"/>
      <c r="AM6" s="477"/>
      <c r="AN6" s="489"/>
      <c r="AO6" s="489"/>
      <c r="AP6" s="489"/>
      <c r="AQ6" s="489"/>
      <c r="AR6" s="489"/>
      <c r="AS6" s="489"/>
      <c r="AT6" s="489"/>
      <c r="AU6" s="490"/>
      <c r="AY6" s="151">
        <v>9000</v>
      </c>
      <c r="AZ6" s="151" t="s">
        <v>1120</v>
      </c>
    </row>
    <row r="7" spans="1:52">
      <c r="A7" s="444" t="s">
        <v>233</v>
      </c>
      <c r="B7" s="488"/>
      <c r="C7" s="477"/>
      <c r="D7" s="489"/>
      <c r="E7" s="489"/>
      <c r="F7" s="489"/>
      <c r="G7" s="489"/>
      <c r="H7" s="489"/>
      <c r="I7" s="489"/>
      <c r="J7" s="489"/>
      <c r="K7" s="490">
        <f>SUM(C7:H7)</f>
        <v>0</v>
      </c>
      <c r="L7" s="311"/>
      <c r="M7" s="311"/>
      <c r="N7" s="311"/>
      <c r="O7" s="311"/>
      <c r="P7" s="311"/>
      <c r="Q7" s="311"/>
      <c r="R7" s="311"/>
      <c r="S7" s="311"/>
      <c r="T7" s="311">
        <v>0</v>
      </c>
      <c r="U7" s="477"/>
      <c r="V7" s="489"/>
      <c r="W7" s="489"/>
      <c r="X7" s="489"/>
      <c r="Y7" s="489"/>
      <c r="Z7" s="489"/>
      <c r="AA7" s="489"/>
      <c r="AB7" s="489"/>
      <c r="AC7" s="490">
        <v>0</v>
      </c>
      <c r="AD7" s="477"/>
      <c r="AE7" s="489"/>
      <c r="AF7" s="489"/>
      <c r="AG7" s="489"/>
      <c r="AH7" s="489"/>
      <c r="AI7" s="489"/>
      <c r="AJ7" s="489"/>
      <c r="AK7" s="489"/>
      <c r="AL7" s="490">
        <v>0</v>
      </c>
      <c r="AM7" s="477"/>
      <c r="AN7" s="489"/>
      <c r="AO7" s="489"/>
      <c r="AP7" s="489"/>
      <c r="AQ7" s="489"/>
      <c r="AR7" s="489"/>
      <c r="AS7" s="489"/>
      <c r="AT7" s="489"/>
      <c r="AU7" s="490">
        <v>0</v>
      </c>
      <c r="AV7" s="491"/>
      <c r="AY7" s="151">
        <v>10000</v>
      </c>
      <c r="AZ7" s="151" t="s">
        <v>277</v>
      </c>
    </row>
    <row r="8" spans="1:52">
      <c r="A8" s="444" t="s">
        <v>153</v>
      </c>
      <c r="B8" s="488" t="s">
        <v>449</v>
      </c>
      <c r="C8" s="477" cm="1">
        <f t="array" ref="C8">_xlfn.XLOOKUP(A8,'TB upload'!A:A,'TB upload'!C:C-'TB upload'!B:B,0,0)</f>
        <v>15008351.130000001</v>
      </c>
      <c r="D8" s="489"/>
      <c r="E8" s="477" cm="1">
        <f t="array" ref="E8">_xlfn.XLOOKUP(A8,'TB upload'!A:A,'TB upload'!E:E-'TB upload'!D:D,0,0)</f>
        <v>160223.51999999999</v>
      </c>
      <c r="F8" s="489"/>
      <c r="G8" s="477" cm="1">
        <f t="array" ref="G8">_xlfn.XLOOKUP(A8,'TB upload'!A:A,'TB upload'!G:G-'TB upload'!F:F,0,0)</f>
        <v>84213.15</v>
      </c>
      <c r="H8" s="489"/>
      <c r="I8" s="477" cm="1">
        <f t="array" ref="I8">_xlfn.XLOOKUP(A8,'TB upload'!A:A,'TB upload'!I:I-'TB upload'!H:H,0,0)</f>
        <v>509250.89</v>
      </c>
      <c r="J8" s="489"/>
      <c r="K8" s="490">
        <f>SUM(C8:J8)</f>
        <v>15762038.690000001</v>
      </c>
      <c r="L8" s="311">
        <v>13800442.859999999</v>
      </c>
      <c r="M8" s="311"/>
      <c r="N8" s="311">
        <v>160223.51999999999</v>
      </c>
      <c r="O8" s="311"/>
      <c r="P8" s="311">
        <v>74660.600000000006</v>
      </c>
      <c r="Q8" s="311"/>
      <c r="R8" s="311">
        <v>509250.89</v>
      </c>
      <c r="S8" s="311"/>
      <c r="T8" s="311">
        <v>14544577.869999999</v>
      </c>
      <c r="U8" s="477">
        <v>10577358.979999999</v>
      </c>
      <c r="V8" s="489"/>
      <c r="W8" s="489">
        <v>63758</v>
      </c>
      <c r="X8" s="489"/>
      <c r="Y8" s="489">
        <v>74660</v>
      </c>
      <c r="Z8" s="489"/>
      <c r="AA8" s="489">
        <v>294942</v>
      </c>
      <c r="AB8" s="489"/>
      <c r="AC8" s="490">
        <v>11010718.979999999</v>
      </c>
      <c r="AD8" s="477">
        <v>63860391.359999999</v>
      </c>
      <c r="AE8" s="489"/>
      <c r="AF8" s="489">
        <v>159005.92000000001</v>
      </c>
      <c r="AG8" s="489">
        <v>-125415.76</v>
      </c>
      <c r="AH8" s="489">
        <v>91360.19</v>
      </c>
      <c r="AI8" s="489">
        <v>-95909.75</v>
      </c>
      <c r="AJ8" s="489">
        <v>406946.2</v>
      </c>
      <c r="AK8" s="489"/>
      <c r="AL8" s="490">
        <v>64296378.160000004</v>
      </c>
      <c r="AM8" s="477">
        <v>60671545.950000003</v>
      </c>
      <c r="AN8" s="489"/>
      <c r="AO8" s="489">
        <v>315818</v>
      </c>
      <c r="AP8" s="489">
        <v>-201412</v>
      </c>
      <c r="AQ8" s="489">
        <v>3683319</v>
      </c>
      <c r="AR8" s="489">
        <v>-9378</v>
      </c>
      <c r="AS8" s="489"/>
      <c r="AT8" s="489"/>
      <c r="AU8" s="490">
        <v>64459892.950000003</v>
      </c>
      <c r="AV8" s="491"/>
      <c r="AY8" s="151">
        <v>13000</v>
      </c>
      <c r="AZ8" s="151" t="s">
        <v>1121</v>
      </c>
    </row>
    <row r="9" spans="1:52" ht="15" thickBot="1">
      <c r="A9" s="648" t="s">
        <v>1518</v>
      </c>
      <c r="B9" s="488" t="s">
        <v>77</v>
      </c>
      <c r="C9" s="477"/>
      <c r="D9" s="489"/>
      <c r="E9" s="489"/>
      <c r="F9" s="489"/>
      <c r="G9" s="489"/>
      <c r="H9" s="489"/>
      <c r="I9" s="489"/>
      <c r="J9" s="489"/>
      <c r="K9" s="490">
        <f>SUM(C9:J9)</f>
        <v>0</v>
      </c>
      <c r="L9" s="311"/>
      <c r="M9" s="311"/>
      <c r="N9" s="311"/>
      <c r="O9" s="311"/>
      <c r="P9" s="311"/>
      <c r="Q9" s="311"/>
      <c r="R9" s="311"/>
      <c r="S9" s="311"/>
      <c r="T9" s="311">
        <v>0</v>
      </c>
      <c r="U9" s="477"/>
      <c r="V9" s="489"/>
      <c r="W9" s="489"/>
      <c r="X9" s="489"/>
      <c r="Y9" s="489"/>
      <c r="Z9" s="489"/>
      <c r="AA9" s="489"/>
      <c r="AB9" s="489"/>
      <c r="AC9" s="490">
        <v>0</v>
      </c>
      <c r="AD9" s="477"/>
      <c r="AE9" s="489"/>
      <c r="AF9" s="489"/>
      <c r="AG9" s="489"/>
      <c r="AH9" s="489"/>
      <c r="AI9" s="489"/>
      <c r="AJ9" s="489"/>
      <c r="AK9" s="489"/>
      <c r="AL9" s="490"/>
      <c r="AM9" s="477"/>
      <c r="AN9" s="489"/>
      <c r="AO9" s="489"/>
      <c r="AP9" s="489"/>
      <c r="AQ9" s="489"/>
      <c r="AR9" s="489"/>
      <c r="AS9" s="489"/>
      <c r="AT9" s="489"/>
      <c r="AU9" s="490">
        <v>0</v>
      </c>
      <c r="AV9" s="491"/>
      <c r="AY9" s="151">
        <v>5000</v>
      </c>
      <c r="AZ9" s="151" t="s">
        <v>1122</v>
      </c>
    </row>
    <row r="10" spans="1:52" ht="15.6" thickTop="1" thickBot="1">
      <c r="A10" s="492"/>
      <c r="B10" s="493" t="s">
        <v>51</v>
      </c>
      <c r="C10" s="494">
        <f>SUM(C7:C9)</f>
        <v>15008351.130000001</v>
      </c>
      <c r="D10" s="495">
        <f t="shared" ref="D10:K10" si="0">SUM(D7:D9)</f>
        <v>0</v>
      </c>
      <c r="E10" s="495">
        <f t="shared" si="0"/>
        <v>160223.51999999999</v>
      </c>
      <c r="F10" s="495">
        <f t="shared" si="0"/>
        <v>0</v>
      </c>
      <c r="G10" s="495">
        <f t="shared" si="0"/>
        <v>84213.15</v>
      </c>
      <c r="H10" s="495">
        <f t="shared" si="0"/>
        <v>0</v>
      </c>
      <c r="I10" s="495">
        <f t="shared" si="0"/>
        <v>509250.89</v>
      </c>
      <c r="J10" s="495">
        <f t="shared" si="0"/>
        <v>0</v>
      </c>
      <c r="K10" s="496">
        <f t="shared" si="0"/>
        <v>15762038.690000001</v>
      </c>
      <c r="L10" s="990">
        <v>13800442.859999999</v>
      </c>
      <c r="M10" s="990">
        <v>0</v>
      </c>
      <c r="N10" s="990">
        <v>160223.51999999999</v>
      </c>
      <c r="O10" s="990">
        <v>0</v>
      </c>
      <c r="P10" s="990">
        <v>74660.600000000006</v>
      </c>
      <c r="Q10" s="990">
        <v>0</v>
      </c>
      <c r="R10" s="990">
        <v>509250.89</v>
      </c>
      <c r="S10" s="990">
        <v>0</v>
      </c>
      <c r="T10" s="990">
        <v>14544577.869999999</v>
      </c>
      <c r="U10" s="494">
        <v>10577358.979999999</v>
      </c>
      <c r="V10" s="495">
        <v>0</v>
      </c>
      <c r="W10" s="495">
        <v>63758</v>
      </c>
      <c r="X10" s="495">
        <v>0</v>
      </c>
      <c r="Y10" s="495">
        <v>74660</v>
      </c>
      <c r="Z10" s="495">
        <v>0</v>
      </c>
      <c r="AA10" s="495">
        <v>294942</v>
      </c>
      <c r="AB10" s="495">
        <v>0</v>
      </c>
      <c r="AC10" s="496">
        <v>11010718.979999999</v>
      </c>
      <c r="AD10" s="494">
        <v>63860391.359999999</v>
      </c>
      <c r="AE10" s="495">
        <v>0</v>
      </c>
      <c r="AF10" s="495">
        <v>159005.92000000001</v>
      </c>
      <c r="AG10" s="495">
        <v>-125415.76</v>
      </c>
      <c r="AH10" s="495">
        <v>91360.19</v>
      </c>
      <c r="AI10" s="495">
        <v>-95909.75</v>
      </c>
      <c r="AJ10" s="495">
        <v>406946.2</v>
      </c>
      <c r="AK10" s="495">
        <v>0</v>
      </c>
      <c r="AL10" s="496">
        <v>64296378.160000004</v>
      </c>
      <c r="AM10" s="494">
        <v>60671545.950000003</v>
      </c>
      <c r="AN10" s="495">
        <v>0</v>
      </c>
      <c r="AO10" s="495">
        <v>315818</v>
      </c>
      <c r="AP10" s="495">
        <v>-201412</v>
      </c>
      <c r="AQ10" s="495">
        <v>3683319</v>
      </c>
      <c r="AR10" s="495">
        <v>-9378</v>
      </c>
      <c r="AS10" s="495">
        <v>0</v>
      </c>
      <c r="AT10" s="495">
        <v>0</v>
      </c>
      <c r="AU10" s="497">
        <v>64459892.950000003</v>
      </c>
      <c r="AV10" s="491">
        <f>AL10-AU10</f>
        <v>-163514.78999999911</v>
      </c>
      <c r="AY10" s="151">
        <v>11000</v>
      </c>
      <c r="AZ10" s="151" t="s">
        <v>1123</v>
      </c>
    </row>
    <row r="11" spans="1:52" ht="15" thickTop="1">
      <c r="B11" s="488"/>
      <c r="C11" s="477"/>
      <c r="D11" s="489"/>
      <c r="E11" s="489"/>
      <c r="F11" s="489"/>
      <c r="G11" s="489"/>
      <c r="H11" s="489"/>
      <c r="I11" s="489"/>
      <c r="J11" s="489"/>
      <c r="K11" s="490"/>
      <c r="L11" s="311"/>
      <c r="M11" s="311"/>
      <c r="N11" s="311"/>
      <c r="O11" s="311"/>
      <c r="P11" s="311"/>
      <c r="Q11" s="311"/>
      <c r="R11" s="311"/>
      <c r="S11" s="311"/>
      <c r="T11" s="311"/>
      <c r="U11" s="477"/>
      <c r="V11" s="489"/>
      <c r="W11" s="489"/>
      <c r="X11" s="489"/>
      <c r="Y11" s="489"/>
      <c r="Z11" s="489"/>
      <c r="AA11" s="489"/>
      <c r="AB11" s="489"/>
      <c r="AC11" s="490"/>
      <c r="AD11" s="477"/>
      <c r="AE11" s="489"/>
      <c r="AF11" s="489"/>
      <c r="AG11" s="489"/>
      <c r="AH11" s="489"/>
      <c r="AI11" s="489"/>
      <c r="AJ11" s="489"/>
      <c r="AK11" s="489"/>
      <c r="AL11" s="490"/>
      <c r="AM11" s="477"/>
      <c r="AN11" s="489"/>
      <c r="AO11" s="489"/>
      <c r="AP11" s="489"/>
      <c r="AQ11" s="489"/>
      <c r="AR11" s="489"/>
      <c r="AS11" s="489"/>
      <c r="AT11" s="489"/>
      <c r="AU11" s="490"/>
    </row>
    <row r="12" spans="1:52">
      <c r="A12" s="498" t="s">
        <v>234</v>
      </c>
      <c r="B12" s="488" t="s">
        <v>1129</v>
      </c>
      <c r="C12" s="477"/>
      <c r="D12" s="489"/>
      <c r="E12" s="489"/>
      <c r="F12" s="489"/>
      <c r="G12" s="489"/>
      <c r="H12" s="489"/>
      <c r="I12" s="489"/>
      <c r="J12" s="489"/>
      <c r="K12" s="490">
        <f>SUM(C12:J12)</f>
        <v>0</v>
      </c>
      <c r="L12" s="311"/>
      <c r="M12" s="311"/>
      <c r="N12" s="311"/>
      <c r="O12" s="311"/>
      <c r="P12" s="311"/>
      <c r="Q12" s="311"/>
      <c r="R12" s="311"/>
      <c r="S12" s="311"/>
      <c r="T12" s="311">
        <v>0</v>
      </c>
      <c r="U12" s="477"/>
      <c r="V12" s="489"/>
      <c r="W12" s="489"/>
      <c r="X12" s="489"/>
      <c r="Y12" s="489"/>
      <c r="Z12" s="489"/>
      <c r="AA12" s="489"/>
      <c r="AB12" s="489"/>
      <c r="AC12" s="490">
        <v>0</v>
      </c>
      <c r="AD12" s="477"/>
      <c r="AE12" s="489"/>
      <c r="AF12" s="489"/>
      <c r="AG12" s="489"/>
      <c r="AH12" s="489"/>
      <c r="AI12" s="489"/>
      <c r="AJ12" s="489"/>
      <c r="AK12" s="489"/>
      <c r="AL12" s="490">
        <v>0</v>
      </c>
      <c r="AM12" s="477"/>
      <c r="AN12" s="489"/>
      <c r="AO12" s="489"/>
      <c r="AP12" s="489"/>
      <c r="AQ12" s="489"/>
      <c r="AR12" s="489"/>
      <c r="AS12" s="489"/>
      <c r="AT12" s="489"/>
      <c r="AU12" s="490">
        <v>0</v>
      </c>
      <c r="AY12" s="151">
        <f>SUM(AY5:AY11)</f>
        <v>72500</v>
      </c>
    </row>
    <row r="13" spans="1:52">
      <c r="B13" s="488"/>
      <c r="C13" s="477"/>
      <c r="D13" s="489"/>
      <c r="E13" s="489"/>
      <c r="F13" s="489"/>
      <c r="G13" s="489"/>
      <c r="H13" s="489"/>
      <c r="I13" s="489"/>
      <c r="J13" s="489"/>
      <c r="K13" s="490"/>
      <c r="L13" s="311"/>
      <c r="M13" s="311"/>
      <c r="N13" s="311"/>
      <c r="O13" s="311"/>
      <c r="P13" s="311"/>
      <c r="Q13" s="311"/>
      <c r="R13" s="311"/>
      <c r="S13" s="311"/>
      <c r="T13" s="311"/>
      <c r="U13" s="477"/>
      <c r="V13" s="489"/>
      <c r="W13" s="489"/>
      <c r="X13" s="489"/>
      <c r="Y13" s="489"/>
      <c r="Z13" s="489"/>
      <c r="AA13" s="489"/>
      <c r="AB13" s="489"/>
      <c r="AC13" s="490"/>
      <c r="AD13" s="477"/>
      <c r="AE13" s="489"/>
      <c r="AF13" s="489"/>
      <c r="AG13" s="489"/>
      <c r="AH13" s="489"/>
      <c r="AI13" s="489"/>
      <c r="AJ13" s="489"/>
      <c r="AK13" s="489"/>
      <c r="AL13" s="490"/>
      <c r="AM13" s="477"/>
      <c r="AN13" s="489"/>
      <c r="AO13" s="489"/>
      <c r="AP13" s="489"/>
      <c r="AQ13" s="489"/>
      <c r="AR13" s="489"/>
      <c r="AS13" s="489"/>
      <c r="AT13" s="489"/>
      <c r="AU13" s="490"/>
    </row>
    <row r="14" spans="1:52">
      <c r="B14" s="488"/>
      <c r="C14" s="477"/>
      <c r="D14" s="489"/>
      <c r="E14" s="489"/>
      <c r="F14" s="489"/>
      <c r="G14" s="489"/>
      <c r="H14" s="489"/>
      <c r="I14" s="489"/>
      <c r="J14" s="489"/>
      <c r="K14" s="490"/>
      <c r="L14" s="311"/>
      <c r="M14" s="311"/>
      <c r="N14" s="311"/>
      <c r="O14" s="311"/>
      <c r="P14" s="311"/>
      <c r="Q14" s="311"/>
      <c r="R14" s="311"/>
      <c r="S14" s="311"/>
      <c r="T14" s="311"/>
      <c r="U14" s="477"/>
      <c r="V14" s="489"/>
      <c r="W14" s="489"/>
      <c r="X14" s="489"/>
      <c r="Y14" s="489"/>
      <c r="Z14" s="489"/>
      <c r="AA14" s="489"/>
      <c r="AB14" s="489"/>
      <c r="AC14" s="490"/>
      <c r="AD14" s="477"/>
      <c r="AE14" s="489"/>
      <c r="AF14" s="489"/>
      <c r="AG14" s="489"/>
      <c r="AH14" s="489"/>
      <c r="AI14" s="489"/>
      <c r="AJ14" s="489"/>
      <c r="AK14" s="489"/>
      <c r="AL14" s="490"/>
      <c r="AM14" s="477"/>
      <c r="AN14" s="489"/>
      <c r="AO14" s="489"/>
      <c r="AP14" s="489"/>
      <c r="AQ14" s="489"/>
      <c r="AR14" s="489"/>
      <c r="AS14" s="489"/>
      <c r="AT14" s="489"/>
      <c r="AU14" s="490"/>
    </row>
    <row r="15" spans="1:52">
      <c r="A15" s="498" t="s">
        <v>29</v>
      </c>
      <c r="B15" s="488"/>
      <c r="C15" s="477"/>
      <c r="D15" s="489"/>
      <c r="E15" s="489"/>
      <c r="F15" s="489"/>
      <c r="G15" s="489"/>
      <c r="H15" s="489"/>
      <c r="I15" s="489"/>
      <c r="J15" s="489"/>
      <c r="K15" s="490"/>
      <c r="L15" s="311"/>
      <c r="M15" s="311"/>
      <c r="N15" s="311"/>
      <c r="O15" s="311"/>
      <c r="P15" s="311"/>
      <c r="Q15" s="311"/>
      <c r="R15" s="311"/>
      <c r="S15" s="311"/>
      <c r="T15" s="311"/>
      <c r="U15" s="477"/>
      <c r="V15" s="489"/>
      <c r="W15" s="489"/>
      <c r="X15" s="489"/>
      <c r="Y15" s="489"/>
      <c r="Z15" s="489"/>
      <c r="AA15" s="489"/>
      <c r="AB15" s="489"/>
      <c r="AC15" s="490"/>
      <c r="AD15" s="477"/>
      <c r="AE15" s="489"/>
      <c r="AF15" s="489"/>
      <c r="AG15" s="489"/>
      <c r="AH15" s="489"/>
      <c r="AI15" s="489"/>
      <c r="AJ15" s="489"/>
      <c r="AK15" s="489"/>
      <c r="AL15" s="490"/>
      <c r="AM15" s="477"/>
      <c r="AN15" s="489"/>
      <c r="AO15" s="489"/>
      <c r="AP15" s="489"/>
      <c r="AQ15" s="489"/>
      <c r="AR15" s="489"/>
      <c r="AS15" s="489"/>
      <c r="AT15" s="489"/>
      <c r="AU15" s="490"/>
    </row>
    <row r="16" spans="1:52">
      <c r="B16" s="488"/>
      <c r="C16" s="477"/>
      <c r="D16" s="489"/>
      <c r="E16" s="489"/>
      <c r="F16" s="489"/>
      <c r="G16" s="489"/>
      <c r="H16" s="489"/>
      <c r="I16" s="489"/>
      <c r="J16" s="489"/>
      <c r="K16" s="490"/>
      <c r="L16" s="311"/>
      <c r="M16" s="311"/>
      <c r="N16" s="311"/>
      <c r="O16" s="311"/>
      <c r="P16" s="311"/>
      <c r="Q16" s="311"/>
      <c r="R16" s="311"/>
      <c r="S16" s="311"/>
      <c r="T16" s="311"/>
      <c r="U16" s="477"/>
      <c r="V16" s="489"/>
      <c r="W16" s="489"/>
      <c r="X16" s="489"/>
      <c r="Y16" s="489"/>
      <c r="Z16" s="489"/>
      <c r="AA16" s="489"/>
      <c r="AB16" s="489"/>
      <c r="AC16" s="490"/>
      <c r="AD16" s="477"/>
      <c r="AE16" s="489"/>
      <c r="AF16" s="489"/>
      <c r="AG16" s="489"/>
      <c r="AH16" s="489"/>
      <c r="AI16" s="489"/>
      <c r="AJ16" s="489"/>
      <c r="AK16" s="489"/>
      <c r="AL16" s="490"/>
      <c r="AM16" s="477"/>
      <c r="AN16" s="489"/>
      <c r="AO16" s="489"/>
      <c r="AP16" s="489"/>
      <c r="AQ16" s="489"/>
      <c r="AR16" s="489"/>
      <c r="AS16" s="489"/>
      <c r="AT16" s="489"/>
      <c r="AU16" s="490"/>
    </row>
    <row r="17" spans="1:48">
      <c r="A17" s="444" t="s">
        <v>1135</v>
      </c>
      <c r="B17" s="488"/>
      <c r="C17" s="477"/>
      <c r="D17" s="489"/>
      <c r="E17" s="489"/>
      <c r="F17" s="489"/>
      <c r="G17" s="489"/>
      <c r="H17" s="489"/>
      <c r="I17" s="489"/>
      <c r="J17" s="489"/>
      <c r="K17" s="490"/>
      <c r="L17" s="311"/>
      <c r="M17" s="311"/>
      <c r="N17" s="311"/>
      <c r="O17" s="311"/>
      <c r="P17" s="311"/>
      <c r="Q17" s="311"/>
      <c r="R17" s="311"/>
      <c r="S17" s="311"/>
      <c r="T17" s="311"/>
      <c r="U17" s="477"/>
      <c r="V17" s="489"/>
      <c r="W17" s="489"/>
      <c r="X17" s="489"/>
      <c r="Y17" s="489"/>
      <c r="Z17" s="489"/>
      <c r="AA17" s="489"/>
      <c r="AB17" s="489"/>
      <c r="AC17" s="490"/>
      <c r="AD17" s="477"/>
      <c r="AE17" s="489"/>
      <c r="AF17" s="489"/>
      <c r="AG17" s="489"/>
      <c r="AH17" s="489"/>
      <c r="AI17" s="489"/>
      <c r="AJ17" s="489"/>
      <c r="AK17" s="489"/>
      <c r="AL17" s="490"/>
      <c r="AM17" s="477"/>
      <c r="AN17" s="489"/>
      <c r="AO17" s="489"/>
      <c r="AP17" s="489"/>
      <c r="AQ17" s="489"/>
      <c r="AR17" s="489"/>
      <c r="AS17" s="489"/>
      <c r="AT17" s="489"/>
      <c r="AU17" s="490"/>
    </row>
    <row r="18" spans="1:48">
      <c r="A18" s="444" t="s">
        <v>163</v>
      </c>
      <c r="B18" s="488" t="s">
        <v>449</v>
      </c>
      <c r="C18" s="477" cm="1">
        <f t="array" ref="C18">_xlfn.XLOOKUP(A18,'TB upload'!A:A,'TB upload'!C:C-'TB upload'!B:B,0,0)</f>
        <v>5231</v>
      </c>
      <c r="D18" s="489"/>
      <c r="E18" s="477" cm="1">
        <f t="array" ref="E18">_xlfn.XLOOKUP(A18,'TB upload'!A:A,'TB upload'!E:E-'TB upload'!D:D,0,0)</f>
        <v>0</v>
      </c>
      <c r="F18" s="489"/>
      <c r="G18" s="477" cm="1">
        <f t="array" ref="G18">_xlfn.XLOOKUP(A18,'TB upload'!A:A,'TB upload'!G:G-'TB upload'!F:F,0,0)</f>
        <v>0</v>
      </c>
      <c r="H18" s="489"/>
      <c r="I18" s="477" cm="1">
        <f t="array" ref="I18">_xlfn.XLOOKUP(A18,'TB upload'!A:A,'TB upload'!I:I-'TB upload'!H:H,0,0)</f>
        <v>0</v>
      </c>
      <c r="J18" s="489"/>
      <c r="K18" s="490">
        <f>SUM(C18:J18)</f>
        <v>5231</v>
      </c>
      <c r="L18" s="311">
        <v>5705</v>
      </c>
      <c r="M18" s="311"/>
      <c r="N18" s="311">
        <v>0</v>
      </c>
      <c r="O18" s="311"/>
      <c r="P18" s="311">
        <v>0</v>
      </c>
      <c r="Q18" s="311"/>
      <c r="R18" s="311">
        <v>0</v>
      </c>
      <c r="S18" s="311"/>
      <c r="T18" s="311">
        <v>5705</v>
      </c>
      <c r="U18" s="477">
        <v>5705</v>
      </c>
      <c r="V18" s="489"/>
      <c r="W18" s="489"/>
      <c r="X18" s="489"/>
      <c r="Y18" s="489"/>
      <c r="Z18" s="489"/>
      <c r="AA18" s="489"/>
      <c r="AB18" s="489"/>
      <c r="AC18" s="490">
        <v>5705</v>
      </c>
      <c r="AD18" s="477">
        <v>5186</v>
      </c>
      <c r="AE18" s="489"/>
      <c r="AF18" s="489">
        <v>0</v>
      </c>
      <c r="AG18" s="489"/>
      <c r="AH18" s="489">
        <v>0</v>
      </c>
      <c r="AI18" s="489"/>
      <c r="AJ18" s="489">
        <v>0</v>
      </c>
      <c r="AK18" s="489"/>
      <c r="AL18" s="490">
        <v>5186</v>
      </c>
      <c r="AM18" s="477">
        <v>4729</v>
      </c>
      <c r="AN18" s="489"/>
      <c r="AO18" s="489"/>
      <c r="AP18" s="489"/>
      <c r="AQ18" s="489"/>
      <c r="AR18" s="489"/>
      <c r="AS18" s="489"/>
      <c r="AT18" s="489"/>
      <c r="AU18" s="490">
        <v>4729</v>
      </c>
      <c r="AV18" s="491"/>
    </row>
    <row r="19" spans="1:48" ht="15" thickBot="1">
      <c r="B19" s="488"/>
      <c r="C19" s="477"/>
      <c r="D19" s="489"/>
      <c r="E19" s="489"/>
      <c r="F19" s="489"/>
      <c r="G19" s="489"/>
      <c r="H19" s="489"/>
      <c r="I19" s="489"/>
      <c r="J19" s="489"/>
      <c r="K19" s="490"/>
      <c r="L19" s="311"/>
      <c r="M19" s="311"/>
      <c r="N19" s="311"/>
      <c r="O19" s="311"/>
      <c r="P19" s="311"/>
      <c r="Q19" s="311"/>
      <c r="R19" s="311"/>
      <c r="S19" s="311"/>
      <c r="T19" s="311"/>
      <c r="U19" s="477"/>
      <c r="V19" s="489"/>
      <c r="W19" s="489"/>
      <c r="X19" s="489"/>
      <c r="Y19" s="489"/>
      <c r="Z19" s="489"/>
      <c r="AA19" s="489"/>
      <c r="AB19" s="489"/>
      <c r="AC19" s="490"/>
      <c r="AD19" s="477"/>
      <c r="AE19" s="489"/>
      <c r="AF19" s="489"/>
      <c r="AG19" s="489"/>
      <c r="AH19" s="489"/>
      <c r="AI19" s="489"/>
      <c r="AJ19" s="489"/>
      <c r="AK19" s="489"/>
      <c r="AL19" s="490"/>
      <c r="AM19" s="477"/>
      <c r="AN19" s="489"/>
      <c r="AO19" s="489"/>
      <c r="AP19" s="489"/>
      <c r="AQ19" s="489"/>
      <c r="AR19" s="489"/>
      <c r="AS19" s="489"/>
      <c r="AT19" s="489"/>
      <c r="AU19" s="490"/>
    </row>
    <row r="20" spans="1:48" ht="15.6" thickTop="1" thickBot="1">
      <c r="A20" s="492"/>
      <c r="B20" s="493" t="s">
        <v>51</v>
      </c>
      <c r="C20" s="494">
        <f>SUM(C18:C19)</f>
        <v>5231</v>
      </c>
      <c r="D20" s="495">
        <f t="shared" ref="D20:K20" si="1">SUM(D18:D19)</f>
        <v>0</v>
      </c>
      <c r="E20" s="495">
        <f t="shared" si="1"/>
        <v>0</v>
      </c>
      <c r="F20" s="495">
        <f t="shared" si="1"/>
        <v>0</v>
      </c>
      <c r="G20" s="495">
        <f t="shared" si="1"/>
        <v>0</v>
      </c>
      <c r="H20" s="495">
        <f t="shared" si="1"/>
        <v>0</v>
      </c>
      <c r="I20" s="495">
        <f t="shared" si="1"/>
        <v>0</v>
      </c>
      <c r="J20" s="495">
        <f t="shared" si="1"/>
        <v>0</v>
      </c>
      <c r="K20" s="496">
        <f t="shared" si="1"/>
        <v>5231</v>
      </c>
      <c r="L20" s="990">
        <v>5705</v>
      </c>
      <c r="M20" s="990">
        <v>0</v>
      </c>
      <c r="N20" s="990">
        <v>0</v>
      </c>
      <c r="O20" s="990">
        <v>0</v>
      </c>
      <c r="P20" s="990">
        <v>0</v>
      </c>
      <c r="Q20" s="990">
        <v>0</v>
      </c>
      <c r="R20" s="990">
        <v>0</v>
      </c>
      <c r="S20" s="990">
        <v>0</v>
      </c>
      <c r="T20" s="990">
        <v>5705</v>
      </c>
      <c r="U20" s="494">
        <v>5705</v>
      </c>
      <c r="V20" s="495">
        <v>0</v>
      </c>
      <c r="W20" s="495">
        <v>0</v>
      </c>
      <c r="X20" s="495">
        <v>0</v>
      </c>
      <c r="Y20" s="495">
        <v>0</v>
      </c>
      <c r="Z20" s="495">
        <v>0</v>
      </c>
      <c r="AA20" s="495">
        <v>0</v>
      </c>
      <c r="AB20" s="495">
        <v>0</v>
      </c>
      <c r="AC20" s="496">
        <v>5705</v>
      </c>
      <c r="AD20" s="494">
        <v>5186</v>
      </c>
      <c r="AE20" s="495">
        <v>0</v>
      </c>
      <c r="AF20" s="495">
        <v>0</v>
      </c>
      <c r="AG20" s="495">
        <v>0</v>
      </c>
      <c r="AH20" s="495">
        <v>0</v>
      </c>
      <c r="AI20" s="495">
        <v>0</v>
      </c>
      <c r="AJ20" s="495">
        <v>0</v>
      </c>
      <c r="AK20" s="495">
        <v>0</v>
      </c>
      <c r="AL20" s="496">
        <v>5186</v>
      </c>
      <c r="AM20" s="494">
        <v>4729</v>
      </c>
      <c r="AN20" s="495">
        <v>0</v>
      </c>
      <c r="AO20" s="495">
        <v>0</v>
      </c>
      <c r="AP20" s="495">
        <v>0</v>
      </c>
      <c r="AQ20" s="495">
        <v>0</v>
      </c>
      <c r="AR20" s="495">
        <v>0</v>
      </c>
      <c r="AS20" s="495">
        <v>0</v>
      </c>
      <c r="AT20" s="495">
        <v>0</v>
      </c>
      <c r="AU20" s="497">
        <v>4729</v>
      </c>
      <c r="AV20" s="491">
        <f>AL20-AU20</f>
        <v>457</v>
      </c>
    </row>
    <row r="21" spans="1:48" ht="15" thickTop="1">
      <c r="B21" s="488"/>
      <c r="C21" s="477"/>
      <c r="D21" s="489"/>
      <c r="E21" s="489"/>
      <c r="F21" s="489"/>
      <c r="G21" s="489"/>
      <c r="H21" s="489"/>
      <c r="I21" s="489"/>
      <c r="J21" s="489"/>
      <c r="K21" s="490"/>
      <c r="L21" s="311"/>
      <c r="M21" s="311"/>
      <c r="N21" s="311"/>
      <c r="O21" s="311"/>
      <c r="P21" s="311"/>
      <c r="Q21" s="311"/>
      <c r="R21" s="311"/>
      <c r="S21" s="311"/>
      <c r="T21" s="311"/>
      <c r="U21" s="477"/>
      <c r="V21" s="489"/>
      <c r="W21" s="489"/>
      <c r="X21" s="489"/>
      <c r="Y21" s="489"/>
      <c r="Z21" s="489"/>
      <c r="AA21" s="489"/>
      <c r="AB21" s="489"/>
      <c r="AC21" s="490"/>
      <c r="AD21" s="477"/>
      <c r="AE21" s="489"/>
      <c r="AF21" s="489"/>
      <c r="AG21" s="489"/>
      <c r="AH21" s="489"/>
      <c r="AI21" s="489"/>
      <c r="AJ21" s="489"/>
      <c r="AK21" s="489"/>
      <c r="AL21" s="490"/>
      <c r="AM21" s="477"/>
      <c r="AN21" s="489"/>
      <c r="AO21" s="489"/>
      <c r="AP21" s="489"/>
      <c r="AQ21" s="489"/>
      <c r="AR21" s="489"/>
      <c r="AS21" s="489"/>
      <c r="AT21" s="489"/>
      <c r="AU21" s="490"/>
    </row>
    <row r="22" spans="1:48">
      <c r="A22" s="444" t="s">
        <v>1136</v>
      </c>
      <c r="B22" s="488"/>
      <c r="C22" s="477"/>
      <c r="D22" s="489"/>
      <c r="E22" s="489"/>
      <c r="F22" s="489"/>
      <c r="G22" s="489"/>
      <c r="H22" s="489"/>
      <c r="I22" s="489"/>
      <c r="J22" s="489"/>
      <c r="K22" s="490"/>
      <c r="L22" s="311"/>
      <c r="M22" s="311"/>
      <c r="N22" s="311"/>
      <c r="O22" s="311"/>
      <c r="P22" s="311"/>
      <c r="Q22" s="311"/>
      <c r="R22" s="311"/>
      <c r="S22" s="311"/>
      <c r="T22" s="311"/>
      <c r="U22" s="477"/>
      <c r="V22" s="489"/>
      <c r="W22" s="489"/>
      <c r="X22" s="489"/>
      <c r="Y22" s="489"/>
      <c r="Z22" s="489"/>
      <c r="AA22" s="489"/>
      <c r="AB22" s="489"/>
      <c r="AC22" s="490"/>
      <c r="AD22" s="477"/>
      <c r="AE22" s="489"/>
      <c r="AF22" s="489"/>
      <c r="AG22" s="489"/>
      <c r="AH22" s="489"/>
      <c r="AI22" s="489"/>
      <c r="AJ22" s="489"/>
      <c r="AK22" s="489"/>
      <c r="AL22" s="490"/>
      <c r="AM22" s="477"/>
      <c r="AN22" s="489"/>
      <c r="AO22" s="489"/>
      <c r="AP22" s="489"/>
      <c r="AQ22" s="489"/>
      <c r="AR22" s="489"/>
      <c r="AS22" s="489"/>
      <c r="AT22" s="489"/>
      <c r="AU22" s="490"/>
    </row>
    <row r="23" spans="1:48">
      <c r="A23" s="444" t="s">
        <v>443</v>
      </c>
      <c r="B23" s="488" t="s">
        <v>449</v>
      </c>
      <c r="C23" s="477" cm="1">
        <f t="array" ref="C23">_xlfn.XLOOKUP(A23,'TB upload'!A:A,'TB upload'!C:C-'TB upload'!B:B,0,0)</f>
        <v>5804</v>
      </c>
      <c r="D23" s="489"/>
      <c r="E23" s="477" cm="1">
        <f t="array" ref="E23">_xlfn.XLOOKUP(A23,'TB upload'!A:A,'TB upload'!E:E-'TB upload'!D:D,0,0)</f>
        <v>0</v>
      </c>
      <c r="F23" s="489"/>
      <c r="G23" s="477" cm="1">
        <f t="array" ref="G23">_xlfn.XLOOKUP(A23,'TB upload'!A:A,'TB upload'!G:G-'TB upload'!F:F,0,0)</f>
        <v>0</v>
      </c>
      <c r="H23" s="489"/>
      <c r="I23" s="477" cm="1">
        <f t="array" ref="I23">_xlfn.XLOOKUP(A23,'TB upload'!A:A,'TB upload'!I:I-'TB upload'!H:H,0,0)</f>
        <v>0</v>
      </c>
      <c r="J23" s="489"/>
      <c r="K23" s="490">
        <f>SUM(C23:J23)</f>
        <v>5804</v>
      </c>
      <c r="L23" s="311">
        <v>5804</v>
      </c>
      <c r="M23" s="311"/>
      <c r="N23" s="311">
        <v>0</v>
      </c>
      <c r="O23" s="311"/>
      <c r="P23" s="311">
        <v>0</v>
      </c>
      <c r="Q23" s="311"/>
      <c r="R23" s="311">
        <v>0</v>
      </c>
      <c r="S23" s="311"/>
      <c r="T23" s="311">
        <v>5804</v>
      </c>
      <c r="U23" s="477">
        <v>0</v>
      </c>
      <c r="V23" s="489"/>
      <c r="W23" s="489"/>
      <c r="X23" s="489"/>
      <c r="Y23" s="489"/>
      <c r="Z23" s="489"/>
      <c r="AA23" s="489"/>
      <c r="AB23" s="489"/>
      <c r="AC23" s="490">
        <v>0</v>
      </c>
      <c r="AD23" s="477">
        <v>2797</v>
      </c>
      <c r="AE23" s="489"/>
      <c r="AF23" s="489">
        <v>0</v>
      </c>
      <c r="AG23" s="489"/>
      <c r="AH23" s="489">
        <v>0</v>
      </c>
      <c r="AI23" s="489"/>
      <c r="AJ23" s="489">
        <v>0</v>
      </c>
      <c r="AK23" s="489"/>
      <c r="AL23" s="490">
        <v>2797</v>
      </c>
      <c r="AM23" s="477">
        <v>8748</v>
      </c>
      <c r="AN23" s="489"/>
      <c r="AO23" s="489"/>
      <c r="AP23" s="489"/>
      <c r="AQ23" s="489"/>
      <c r="AR23" s="489"/>
      <c r="AS23" s="489"/>
      <c r="AT23" s="489"/>
      <c r="AU23" s="490">
        <v>8748</v>
      </c>
      <c r="AV23" s="491"/>
    </row>
    <row r="24" spans="1:48">
      <c r="A24" s="444" t="s">
        <v>1545</v>
      </c>
      <c r="B24" s="488" t="s">
        <v>449</v>
      </c>
      <c r="C24" s="477" cm="1">
        <f t="array" ref="C24">_xlfn.XLOOKUP(A24,'TB upload'!A:A,'TB upload'!C:C-'TB upload'!B:B,0,0)</f>
        <v>0</v>
      </c>
      <c r="D24" s="489">
        <f>-C24</f>
        <v>0</v>
      </c>
      <c r="E24" s="477" cm="1">
        <f t="array" ref="E24">_xlfn.XLOOKUP(A24,'TB upload'!A:A,'TB upload'!E:E-'TB upload'!D:D,0,0)</f>
        <v>0</v>
      </c>
      <c r="F24" s="489"/>
      <c r="G24" s="477" cm="1">
        <f t="array" ref="G24">_xlfn.XLOOKUP(A24,'TB upload'!A:A,'TB upload'!G:G-'TB upload'!F:F,0,0)</f>
        <v>0</v>
      </c>
      <c r="H24" s="489"/>
      <c r="I24" s="477" cm="1">
        <f t="array" ref="I24">_xlfn.XLOOKUP(A24,'TB upload'!A:A,'TB upload'!I:I-'TB upload'!H:H,0,0)</f>
        <v>0</v>
      </c>
      <c r="J24" s="489"/>
      <c r="K24" s="490">
        <f>SUM(C24:J24)</f>
        <v>0</v>
      </c>
      <c r="L24" s="311">
        <v>145120</v>
      </c>
      <c r="M24" s="311">
        <v>-145120</v>
      </c>
      <c r="N24" s="311">
        <v>0</v>
      </c>
      <c r="O24" s="311"/>
      <c r="P24" s="311">
        <v>0</v>
      </c>
      <c r="Q24" s="311"/>
      <c r="R24" s="311">
        <v>0</v>
      </c>
      <c r="S24" s="311"/>
      <c r="T24" s="311">
        <v>0</v>
      </c>
      <c r="U24" s="477">
        <v>0</v>
      </c>
      <c r="V24" s="489"/>
      <c r="W24" s="489"/>
      <c r="X24" s="489"/>
      <c r="Y24" s="489"/>
      <c r="Z24" s="489"/>
      <c r="AA24" s="489"/>
      <c r="AB24" s="489"/>
      <c r="AC24" s="490">
        <v>0</v>
      </c>
      <c r="AD24" s="477">
        <v>0</v>
      </c>
      <c r="AE24" s="489"/>
      <c r="AF24" s="489">
        <v>0</v>
      </c>
      <c r="AG24" s="489"/>
      <c r="AH24" s="489">
        <v>0</v>
      </c>
      <c r="AI24" s="489"/>
      <c r="AJ24" s="489">
        <v>0</v>
      </c>
      <c r="AK24" s="489"/>
      <c r="AL24" s="490">
        <v>0</v>
      </c>
      <c r="AM24" s="477"/>
      <c r="AN24" s="489"/>
      <c r="AO24" s="489"/>
      <c r="AP24" s="489"/>
      <c r="AQ24" s="489"/>
      <c r="AR24" s="489"/>
      <c r="AS24" s="489"/>
      <c r="AT24" s="489"/>
      <c r="AU24" s="490">
        <v>0</v>
      </c>
      <c r="AV24" s="491"/>
    </row>
    <row r="25" spans="1:48" ht="15" thickBot="1">
      <c r="B25" s="488"/>
      <c r="C25" s="477"/>
      <c r="D25" s="489"/>
      <c r="E25" s="489"/>
      <c r="F25" s="489"/>
      <c r="G25" s="489"/>
      <c r="H25" s="489"/>
      <c r="I25" s="489"/>
      <c r="J25" s="489"/>
      <c r="K25" s="490"/>
      <c r="L25" s="311"/>
      <c r="M25" s="311"/>
      <c r="N25" s="311"/>
      <c r="O25" s="311"/>
      <c r="P25" s="311"/>
      <c r="Q25" s="311"/>
      <c r="R25" s="311"/>
      <c r="S25" s="311"/>
      <c r="T25" s="311"/>
      <c r="U25" s="477"/>
      <c r="V25" s="489"/>
      <c r="W25" s="489"/>
      <c r="X25" s="489"/>
      <c r="Y25" s="489"/>
      <c r="Z25" s="489"/>
      <c r="AA25" s="489"/>
      <c r="AB25" s="489"/>
      <c r="AC25" s="490"/>
      <c r="AD25" s="477"/>
      <c r="AE25" s="489"/>
      <c r="AF25" s="489"/>
      <c r="AG25" s="489"/>
      <c r="AH25" s="489"/>
      <c r="AI25" s="489"/>
      <c r="AJ25" s="489"/>
      <c r="AK25" s="489"/>
      <c r="AL25" s="490"/>
      <c r="AM25" s="477"/>
      <c r="AN25" s="489"/>
      <c r="AO25" s="489"/>
      <c r="AP25" s="489"/>
      <c r="AQ25" s="489"/>
      <c r="AR25" s="489"/>
      <c r="AS25" s="489"/>
      <c r="AT25" s="489"/>
      <c r="AU25" s="490"/>
    </row>
    <row r="26" spans="1:48" ht="15.6" thickTop="1" thickBot="1">
      <c r="A26" s="492"/>
      <c r="B26" s="493" t="s">
        <v>51</v>
      </c>
      <c r="C26" s="494">
        <f>SUM(C23:C25)</f>
        <v>5804</v>
      </c>
      <c r="D26" s="494">
        <f t="shared" ref="D26:K26" si="2">SUM(D23:D25)</f>
        <v>0</v>
      </c>
      <c r="E26" s="494">
        <f t="shared" si="2"/>
        <v>0</v>
      </c>
      <c r="F26" s="494">
        <f t="shared" si="2"/>
        <v>0</v>
      </c>
      <c r="G26" s="494">
        <f t="shared" si="2"/>
        <v>0</v>
      </c>
      <c r="H26" s="494">
        <f t="shared" si="2"/>
        <v>0</v>
      </c>
      <c r="I26" s="494">
        <f t="shared" si="2"/>
        <v>0</v>
      </c>
      <c r="J26" s="494">
        <f t="shared" si="2"/>
        <v>0</v>
      </c>
      <c r="K26" s="494">
        <f t="shared" si="2"/>
        <v>5804</v>
      </c>
      <c r="L26" s="494">
        <v>150924</v>
      </c>
      <c r="M26" s="494">
        <v>-145120</v>
      </c>
      <c r="N26" s="494">
        <v>0</v>
      </c>
      <c r="O26" s="494">
        <v>0</v>
      </c>
      <c r="P26" s="494">
        <v>0</v>
      </c>
      <c r="Q26" s="494">
        <v>0</v>
      </c>
      <c r="R26" s="494">
        <v>0</v>
      </c>
      <c r="S26" s="494">
        <v>0</v>
      </c>
      <c r="T26" s="494">
        <v>5804</v>
      </c>
      <c r="U26" s="494">
        <v>0</v>
      </c>
      <c r="V26" s="494">
        <v>0</v>
      </c>
      <c r="W26" s="494">
        <v>0</v>
      </c>
      <c r="X26" s="494">
        <v>0</v>
      </c>
      <c r="Y26" s="494">
        <v>0</v>
      </c>
      <c r="Z26" s="494">
        <v>0</v>
      </c>
      <c r="AA26" s="494">
        <v>0</v>
      </c>
      <c r="AB26" s="494">
        <v>0</v>
      </c>
      <c r="AC26" s="494">
        <v>0</v>
      </c>
      <c r="AD26" s="494">
        <v>2797</v>
      </c>
      <c r="AE26" s="494">
        <v>0</v>
      </c>
      <c r="AF26" s="494">
        <v>0</v>
      </c>
      <c r="AG26" s="494">
        <v>0</v>
      </c>
      <c r="AH26" s="494">
        <v>0</v>
      </c>
      <c r="AI26" s="494">
        <v>0</v>
      </c>
      <c r="AJ26" s="494">
        <v>0</v>
      </c>
      <c r="AK26" s="494">
        <v>0</v>
      </c>
      <c r="AL26" s="494">
        <v>2797</v>
      </c>
      <c r="AM26" s="494">
        <v>8748</v>
      </c>
      <c r="AN26" s="494">
        <v>0</v>
      </c>
      <c r="AO26" s="494">
        <v>0</v>
      </c>
      <c r="AP26" s="494">
        <v>0</v>
      </c>
      <c r="AQ26" s="494">
        <v>0</v>
      </c>
      <c r="AR26" s="494">
        <v>0</v>
      </c>
      <c r="AS26" s="494">
        <v>0</v>
      </c>
      <c r="AT26" s="494">
        <v>0</v>
      </c>
      <c r="AU26" s="494">
        <v>8748</v>
      </c>
      <c r="AV26" s="491">
        <f>AL26-AU26</f>
        <v>-5951</v>
      </c>
    </row>
    <row r="27" spans="1:48" ht="15" thickTop="1">
      <c r="B27" s="488"/>
      <c r="C27" s="477"/>
      <c r="D27" s="489"/>
      <c r="E27" s="489"/>
      <c r="F27" s="489"/>
      <c r="G27" s="489"/>
      <c r="H27" s="489"/>
      <c r="I27" s="489"/>
      <c r="J27" s="489"/>
      <c r="K27" s="490"/>
      <c r="L27" s="311"/>
      <c r="M27" s="311"/>
      <c r="N27" s="311"/>
      <c r="O27" s="311"/>
      <c r="P27" s="311"/>
      <c r="Q27" s="311"/>
      <c r="R27" s="311"/>
      <c r="S27" s="311"/>
      <c r="T27" s="311"/>
      <c r="U27" s="477"/>
      <c r="V27" s="489"/>
      <c r="W27" s="489"/>
      <c r="X27" s="489"/>
      <c r="Y27" s="489"/>
      <c r="Z27" s="489"/>
      <c r="AA27" s="489"/>
      <c r="AB27" s="489"/>
      <c r="AC27" s="490"/>
      <c r="AD27" s="477"/>
      <c r="AE27" s="489"/>
      <c r="AF27" s="489"/>
      <c r="AG27" s="489"/>
      <c r="AH27" s="489"/>
      <c r="AI27" s="489"/>
      <c r="AJ27" s="489"/>
      <c r="AK27" s="489"/>
      <c r="AL27" s="490"/>
      <c r="AM27" s="477"/>
      <c r="AN27" s="489"/>
      <c r="AO27" s="489"/>
      <c r="AP27" s="489"/>
      <c r="AQ27" s="489"/>
      <c r="AR27" s="489"/>
      <c r="AS27" s="489"/>
      <c r="AT27" s="489"/>
      <c r="AU27" s="490"/>
    </row>
    <row r="28" spans="1:48">
      <c r="A28" s="444" t="s">
        <v>1183</v>
      </c>
      <c r="B28" s="488"/>
      <c r="C28" s="477"/>
      <c r="D28" s="489"/>
      <c r="E28" s="489"/>
      <c r="F28" s="489"/>
      <c r="G28" s="489"/>
      <c r="H28" s="489"/>
      <c r="I28" s="489"/>
      <c r="J28" s="489"/>
      <c r="K28" s="490"/>
      <c r="L28" s="311"/>
      <c r="M28" s="311"/>
      <c r="N28" s="311"/>
      <c r="O28" s="311"/>
      <c r="P28" s="311"/>
      <c r="Q28" s="311"/>
      <c r="R28" s="311"/>
      <c r="S28" s="311"/>
      <c r="T28" s="311"/>
      <c r="U28" s="477"/>
      <c r="V28" s="489"/>
      <c r="W28" s="489"/>
      <c r="X28" s="489"/>
      <c r="Y28" s="489"/>
      <c r="Z28" s="489"/>
      <c r="AA28" s="489"/>
      <c r="AB28" s="489"/>
      <c r="AC28" s="490"/>
      <c r="AD28" s="477"/>
      <c r="AE28" s="489"/>
      <c r="AF28" s="489"/>
      <c r="AG28" s="489"/>
      <c r="AH28" s="489"/>
      <c r="AI28" s="489"/>
      <c r="AJ28" s="489"/>
      <c r="AK28" s="489"/>
      <c r="AL28" s="490"/>
      <c r="AM28" s="477"/>
      <c r="AN28" s="489"/>
      <c r="AO28" s="489"/>
      <c r="AP28" s="489"/>
      <c r="AQ28" s="489"/>
      <c r="AR28" s="489"/>
      <c r="AS28" s="489"/>
      <c r="AT28" s="489"/>
      <c r="AU28" s="490"/>
    </row>
    <row r="29" spans="1:48">
      <c r="A29" s="444" t="s">
        <v>1409</v>
      </c>
      <c r="B29" s="488" t="s">
        <v>449</v>
      </c>
      <c r="C29" s="477" cm="1">
        <f t="array" ref="C29">_xlfn.XLOOKUP(A29,'TB upload'!A:A,'TB upload'!C:C-'TB upload'!B:B,0,0)</f>
        <v>0</v>
      </c>
      <c r="D29" s="489"/>
      <c r="E29" s="477" cm="1">
        <f t="array" ref="E29">_xlfn.XLOOKUP(A29,'TB upload'!A:A,'TB upload'!E:E-'TB upload'!D:D,0,0)</f>
        <v>0</v>
      </c>
      <c r="F29" s="489"/>
      <c r="G29" s="477" cm="1">
        <f t="array" ref="G29">_xlfn.XLOOKUP(A29,'TB upload'!A:A,'TB upload'!G:G-'TB upload'!F:F,0,0)</f>
        <v>0</v>
      </c>
      <c r="H29" s="489"/>
      <c r="I29" s="477" cm="1">
        <f t="array" ref="I29">_xlfn.XLOOKUP(A29,'TB upload'!A:A,'TB upload'!I:I-'TB upload'!H:H,0,0)</f>
        <v>0</v>
      </c>
      <c r="J29" s="489"/>
      <c r="K29" s="490">
        <f>SUM(C29:J29)</f>
        <v>0</v>
      </c>
      <c r="L29" s="311">
        <v>0</v>
      </c>
      <c r="M29" s="311"/>
      <c r="N29" s="311">
        <v>0</v>
      </c>
      <c r="O29" s="311"/>
      <c r="P29" s="311">
        <v>0</v>
      </c>
      <c r="Q29" s="311"/>
      <c r="R29" s="311">
        <v>0</v>
      </c>
      <c r="S29" s="311"/>
      <c r="T29" s="311">
        <v>0</v>
      </c>
      <c r="U29" s="477">
        <v>0</v>
      </c>
      <c r="V29" s="489"/>
      <c r="W29" s="489"/>
      <c r="X29" s="489"/>
      <c r="Y29" s="489"/>
      <c r="Z29" s="489"/>
      <c r="AA29" s="489"/>
      <c r="AB29" s="489"/>
      <c r="AC29" s="490">
        <v>0</v>
      </c>
      <c r="AD29" s="477">
        <v>0</v>
      </c>
      <c r="AE29" s="489"/>
      <c r="AF29" s="489">
        <v>0</v>
      </c>
      <c r="AG29" s="489"/>
      <c r="AH29" s="489">
        <v>0</v>
      </c>
      <c r="AI29" s="489"/>
      <c r="AJ29" s="489">
        <v>0</v>
      </c>
      <c r="AK29" s="489"/>
      <c r="AL29" s="490">
        <v>0</v>
      </c>
      <c r="AM29" s="477"/>
      <c r="AN29" s="489"/>
      <c r="AO29" s="489"/>
      <c r="AP29" s="489"/>
      <c r="AQ29" s="489"/>
      <c r="AR29" s="489"/>
      <c r="AS29" s="489"/>
      <c r="AT29" s="489"/>
      <c r="AU29" s="490">
        <v>0</v>
      </c>
      <c r="AV29" s="491"/>
    </row>
    <row r="30" spans="1:48" ht="15" thickBot="1">
      <c r="B30" s="488"/>
      <c r="C30" s="477"/>
      <c r="D30" s="489"/>
      <c r="E30" s="489"/>
      <c r="F30" s="489"/>
      <c r="G30" s="489"/>
      <c r="H30" s="489"/>
      <c r="I30" s="489"/>
      <c r="J30" s="489"/>
      <c r="K30" s="490"/>
      <c r="L30" s="311"/>
      <c r="M30" s="311"/>
      <c r="N30" s="311"/>
      <c r="O30" s="311"/>
      <c r="P30" s="311"/>
      <c r="Q30" s="311"/>
      <c r="R30" s="311"/>
      <c r="S30" s="311"/>
      <c r="T30" s="311"/>
      <c r="U30" s="477"/>
      <c r="V30" s="489"/>
      <c r="W30" s="489"/>
      <c r="X30" s="489"/>
      <c r="Y30" s="489"/>
      <c r="Z30" s="489"/>
      <c r="AA30" s="489"/>
      <c r="AB30" s="489"/>
      <c r="AC30" s="490"/>
      <c r="AD30" s="477"/>
      <c r="AE30" s="489"/>
      <c r="AF30" s="489"/>
      <c r="AG30" s="489"/>
      <c r="AH30" s="489"/>
      <c r="AI30" s="489"/>
      <c r="AJ30" s="489"/>
      <c r="AK30" s="489"/>
      <c r="AL30" s="490"/>
      <c r="AM30" s="477"/>
      <c r="AN30" s="489"/>
      <c r="AO30" s="489"/>
      <c r="AP30" s="489"/>
      <c r="AQ30" s="489"/>
      <c r="AR30" s="489"/>
      <c r="AS30" s="489"/>
      <c r="AT30" s="489"/>
      <c r="AU30" s="490"/>
    </row>
    <row r="31" spans="1:48" ht="15.6" thickTop="1" thickBot="1">
      <c r="A31" s="492"/>
      <c r="B31" s="493" t="s">
        <v>51</v>
      </c>
      <c r="C31" s="494">
        <f>SUM(C29:C30)</f>
        <v>0</v>
      </c>
      <c r="D31" s="495">
        <f t="shared" ref="D31:K31" si="3">SUM(D29:D30)</f>
        <v>0</v>
      </c>
      <c r="E31" s="495">
        <f t="shared" si="3"/>
        <v>0</v>
      </c>
      <c r="F31" s="495">
        <f t="shared" si="3"/>
        <v>0</v>
      </c>
      <c r="G31" s="495">
        <f t="shared" si="3"/>
        <v>0</v>
      </c>
      <c r="H31" s="495">
        <f t="shared" si="3"/>
        <v>0</v>
      </c>
      <c r="I31" s="495">
        <f t="shared" si="3"/>
        <v>0</v>
      </c>
      <c r="J31" s="495">
        <f t="shared" si="3"/>
        <v>0</v>
      </c>
      <c r="K31" s="497">
        <f t="shared" si="3"/>
        <v>0</v>
      </c>
      <c r="L31" s="991">
        <v>0</v>
      </c>
      <c r="M31" s="991">
        <v>0</v>
      </c>
      <c r="N31" s="991">
        <v>0</v>
      </c>
      <c r="O31" s="991">
        <v>0</v>
      </c>
      <c r="P31" s="991">
        <v>0</v>
      </c>
      <c r="Q31" s="991">
        <v>0</v>
      </c>
      <c r="R31" s="991">
        <v>0</v>
      </c>
      <c r="S31" s="991">
        <v>0</v>
      </c>
      <c r="T31" s="991">
        <v>0</v>
      </c>
      <c r="U31" s="494">
        <v>0</v>
      </c>
      <c r="V31" s="495">
        <v>0</v>
      </c>
      <c r="W31" s="495">
        <v>0</v>
      </c>
      <c r="X31" s="495">
        <v>0</v>
      </c>
      <c r="Y31" s="495">
        <v>0</v>
      </c>
      <c r="Z31" s="495">
        <v>0</v>
      </c>
      <c r="AA31" s="495">
        <v>0</v>
      </c>
      <c r="AB31" s="495">
        <v>0</v>
      </c>
      <c r="AC31" s="497">
        <v>0</v>
      </c>
      <c r="AD31" s="494">
        <v>0</v>
      </c>
      <c r="AE31" s="495">
        <v>0</v>
      </c>
      <c r="AF31" s="495">
        <v>0</v>
      </c>
      <c r="AG31" s="495">
        <v>0</v>
      </c>
      <c r="AH31" s="495">
        <v>0</v>
      </c>
      <c r="AI31" s="495">
        <v>0</v>
      </c>
      <c r="AJ31" s="495">
        <v>0</v>
      </c>
      <c r="AK31" s="495">
        <v>0</v>
      </c>
      <c r="AL31" s="497">
        <v>0</v>
      </c>
      <c r="AM31" s="494">
        <v>0</v>
      </c>
      <c r="AN31" s="495">
        <v>0</v>
      </c>
      <c r="AO31" s="495">
        <v>0</v>
      </c>
      <c r="AP31" s="495">
        <v>0</v>
      </c>
      <c r="AQ31" s="495">
        <v>0</v>
      </c>
      <c r="AR31" s="495">
        <v>0</v>
      </c>
      <c r="AS31" s="495">
        <v>0</v>
      </c>
      <c r="AT31" s="495">
        <v>0</v>
      </c>
      <c r="AU31" s="497">
        <v>0</v>
      </c>
      <c r="AV31" s="491">
        <f>AL31-AU31</f>
        <v>0</v>
      </c>
    </row>
    <row r="32" spans="1:48" ht="15" thickTop="1">
      <c r="A32" s="444" t="s">
        <v>1213</v>
      </c>
      <c r="B32" s="488"/>
      <c r="C32" s="477"/>
      <c r="D32" s="489"/>
      <c r="E32" s="489"/>
      <c r="F32" s="489"/>
      <c r="G32" s="489"/>
      <c r="H32" s="489"/>
      <c r="I32" s="489"/>
      <c r="J32" s="489"/>
      <c r="K32" s="490"/>
      <c r="L32" s="311"/>
      <c r="M32" s="311"/>
      <c r="N32" s="311"/>
      <c r="O32" s="311"/>
      <c r="P32" s="311"/>
      <c r="Q32" s="311"/>
      <c r="R32" s="311"/>
      <c r="S32" s="311"/>
      <c r="T32" s="311"/>
      <c r="U32" s="477"/>
      <c r="V32" s="489"/>
      <c r="W32" s="489"/>
      <c r="X32" s="489"/>
      <c r="Y32" s="489"/>
      <c r="Z32" s="489"/>
      <c r="AA32" s="489"/>
      <c r="AB32" s="489"/>
      <c r="AC32" s="490"/>
      <c r="AD32" s="477"/>
      <c r="AE32" s="489"/>
      <c r="AF32" s="489"/>
      <c r="AG32" s="489"/>
      <c r="AH32" s="489"/>
      <c r="AI32" s="489"/>
      <c r="AJ32" s="489"/>
      <c r="AK32" s="489"/>
      <c r="AL32" s="490"/>
      <c r="AM32" s="477"/>
      <c r="AN32" s="489"/>
      <c r="AO32" s="489"/>
      <c r="AP32" s="489"/>
      <c r="AQ32" s="489"/>
      <c r="AR32" s="489"/>
      <c r="AS32" s="489"/>
      <c r="AT32" s="489"/>
      <c r="AU32" s="490"/>
    </row>
    <row r="33" spans="1:48">
      <c r="A33" s="444" t="s">
        <v>1214</v>
      </c>
      <c r="B33" s="488" t="s">
        <v>449</v>
      </c>
      <c r="C33" s="477">
        <f>'TB upload'!C102</f>
        <v>76.760000000000005</v>
      </c>
      <c r="D33" s="489"/>
      <c r="E33" s="477" cm="1">
        <f t="array" ref="E33">_xlfn.XLOOKUP(A33,'TB upload'!A:A,'TB upload'!E:E-'TB upload'!D:D,0,0)</f>
        <v>0</v>
      </c>
      <c r="F33" s="489"/>
      <c r="G33" s="477" cm="1">
        <f t="array" ref="G33">_xlfn.XLOOKUP(A33,'TB upload'!A:A,'TB upload'!G:G-'TB upload'!F:F,0,0)</f>
        <v>0</v>
      </c>
      <c r="H33" s="489"/>
      <c r="I33" s="477" cm="1">
        <f t="array" ref="I33">_xlfn.XLOOKUP(A33,'TB upload'!A:A,'TB upload'!I:I-'TB upload'!H:H,0,0)</f>
        <v>0</v>
      </c>
      <c r="J33" s="489"/>
      <c r="K33" s="490">
        <f t="shared" ref="K33:K34" si="4">SUM(C33:J33)</f>
        <v>76.760000000000005</v>
      </c>
      <c r="L33" s="311">
        <v>0</v>
      </c>
      <c r="M33" s="311"/>
      <c r="N33" s="311">
        <v>0</v>
      </c>
      <c r="O33" s="311"/>
      <c r="P33" s="311">
        <v>0</v>
      </c>
      <c r="Q33" s="311"/>
      <c r="R33" s="311">
        <v>0</v>
      </c>
      <c r="S33" s="311"/>
      <c r="T33" s="311">
        <v>0</v>
      </c>
      <c r="U33" s="477">
        <v>0</v>
      </c>
      <c r="V33" s="489"/>
      <c r="W33" s="489"/>
      <c r="X33" s="489"/>
      <c r="Y33" s="489"/>
      <c r="Z33" s="489"/>
      <c r="AA33" s="489"/>
      <c r="AB33" s="489"/>
      <c r="AC33" s="490">
        <v>0</v>
      </c>
      <c r="AD33" s="477">
        <v>0</v>
      </c>
      <c r="AE33" s="489"/>
      <c r="AF33" s="489">
        <v>0</v>
      </c>
      <c r="AG33" s="489"/>
      <c r="AH33" s="489">
        <v>0</v>
      </c>
      <c r="AI33" s="489"/>
      <c r="AJ33" s="489">
        <v>0</v>
      </c>
      <c r="AK33" s="489"/>
      <c r="AL33" s="490">
        <v>0</v>
      </c>
      <c r="AM33" s="477">
        <v>2435</v>
      </c>
      <c r="AN33" s="489"/>
      <c r="AO33" s="489"/>
      <c r="AP33" s="489"/>
      <c r="AQ33" s="489"/>
      <c r="AR33" s="489"/>
      <c r="AS33" s="489"/>
      <c r="AT33" s="489"/>
      <c r="AU33" s="490">
        <v>2435</v>
      </c>
      <c r="AV33" s="491"/>
    </row>
    <row r="34" spans="1:48">
      <c r="A34" s="444" t="s">
        <v>1386</v>
      </c>
      <c r="B34" s="488" t="s">
        <v>449</v>
      </c>
      <c r="C34" s="477" cm="1">
        <f t="array" ref="C34">_xlfn.XLOOKUP(A34,'TB upload'!A:A,'TB upload'!C:C-'TB upload'!B:B,0,0)</f>
        <v>-221125.39</v>
      </c>
      <c r="D34" s="489"/>
      <c r="E34" s="477" cm="1">
        <f t="array" ref="E34">_xlfn.XLOOKUP(A34,'TB upload'!A:A,'TB upload'!E:E-'TB upload'!D:D,0,0)</f>
        <v>0</v>
      </c>
      <c r="F34" s="489"/>
      <c r="G34" s="477" cm="1">
        <f t="array" ref="G34">_xlfn.XLOOKUP(A34,'TB upload'!A:A,'TB upload'!G:G-'TB upload'!F:F,0,0)</f>
        <v>0</v>
      </c>
      <c r="H34" s="489"/>
      <c r="I34" s="477" cm="1">
        <f t="array" ref="I34">_xlfn.XLOOKUP(A34,'TB upload'!A:A,'TB upload'!I:I-'TB upload'!H:H,0,0)</f>
        <v>-2016</v>
      </c>
      <c r="J34" s="489"/>
      <c r="K34" s="490">
        <f t="shared" si="4"/>
        <v>-223141.39</v>
      </c>
      <c r="L34" s="311">
        <v>-3084</v>
      </c>
      <c r="M34" s="311"/>
      <c r="N34" s="311">
        <v>0</v>
      </c>
      <c r="O34" s="311"/>
      <c r="P34" s="311">
        <v>0</v>
      </c>
      <c r="Q34" s="311"/>
      <c r="R34" s="311">
        <v>-2016</v>
      </c>
      <c r="S34" s="311"/>
      <c r="T34" s="311">
        <v>-5100</v>
      </c>
      <c r="U34" s="649">
        <v>-3084</v>
      </c>
      <c r="V34" s="489"/>
      <c r="W34" s="489"/>
      <c r="X34" s="489"/>
      <c r="Y34" s="489"/>
      <c r="Z34" s="489"/>
      <c r="AA34" s="489">
        <v>-2016</v>
      </c>
      <c r="AB34" s="489"/>
      <c r="AC34" s="490">
        <v>-5100</v>
      </c>
      <c r="AD34" s="477">
        <v>0</v>
      </c>
      <c r="AE34" s="489"/>
      <c r="AF34" s="489">
        <v>0</v>
      </c>
      <c r="AG34" s="489"/>
      <c r="AH34" s="489">
        <v>0</v>
      </c>
      <c r="AI34" s="489"/>
      <c r="AJ34" s="489">
        <v>0</v>
      </c>
      <c r="AK34" s="489"/>
      <c r="AL34" s="490">
        <v>0</v>
      </c>
      <c r="AM34" s="477">
        <v>0</v>
      </c>
      <c r="AN34" s="489"/>
      <c r="AO34" s="489"/>
      <c r="AP34" s="489"/>
      <c r="AQ34" s="489"/>
      <c r="AR34" s="489"/>
      <c r="AS34" s="489"/>
      <c r="AT34" s="489"/>
      <c r="AU34" s="490">
        <v>0</v>
      </c>
      <c r="AV34" s="491"/>
    </row>
    <row r="35" spans="1:48" ht="15" thickBot="1">
      <c r="B35" s="488"/>
      <c r="C35" s="477"/>
      <c r="D35" s="489"/>
      <c r="E35" s="489"/>
      <c r="F35" s="489"/>
      <c r="G35" s="489"/>
      <c r="H35" s="489"/>
      <c r="I35" s="489"/>
      <c r="J35" s="489"/>
      <c r="K35" s="490"/>
      <c r="L35" s="311"/>
      <c r="M35" s="311"/>
      <c r="N35" s="311"/>
      <c r="O35" s="311"/>
      <c r="P35" s="311"/>
      <c r="Q35" s="311"/>
      <c r="R35" s="311"/>
      <c r="S35" s="311"/>
      <c r="T35" s="311"/>
      <c r="U35" s="477"/>
      <c r="V35" s="489"/>
      <c r="W35" s="489"/>
      <c r="X35" s="489"/>
      <c r="Y35" s="489"/>
      <c r="Z35" s="489"/>
      <c r="AA35" s="489"/>
      <c r="AB35" s="489"/>
      <c r="AC35" s="490"/>
      <c r="AD35" s="477"/>
      <c r="AE35" s="489"/>
      <c r="AF35" s="489"/>
      <c r="AG35" s="489"/>
      <c r="AH35" s="489"/>
      <c r="AI35" s="489"/>
      <c r="AJ35" s="489"/>
      <c r="AK35" s="489"/>
      <c r="AL35" s="490"/>
      <c r="AM35" s="477"/>
      <c r="AN35" s="489"/>
      <c r="AO35" s="489"/>
      <c r="AP35" s="489"/>
      <c r="AQ35" s="489"/>
      <c r="AR35" s="489"/>
      <c r="AS35" s="489"/>
      <c r="AT35" s="489"/>
      <c r="AU35" s="490"/>
    </row>
    <row r="36" spans="1:48" ht="15.6" thickTop="1" thickBot="1">
      <c r="A36" s="492"/>
      <c r="B36" s="493" t="s">
        <v>51</v>
      </c>
      <c r="C36" s="494">
        <f t="shared" ref="C36:H36" si="5">SUM(C33:C35)</f>
        <v>-221048.63</v>
      </c>
      <c r="D36" s="495">
        <f t="shared" si="5"/>
        <v>0</v>
      </c>
      <c r="E36" s="495">
        <f t="shared" si="5"/>
        <v>0</v>
      </c>
      <c r="F36" s="495">
        <f t="shared" si="5"/>
        <v>0</v>
      </c>
      <c r="G36" s="495">
        <f t="shared" si="5"/>
        <v>0</v>
      </c>
      <c r="H36" s="495">
        <f t="shared" si="5"/>
        <v>0</v>
      </c>
      <c r="I36" s="495">
        <f t="shared" ref="I36:K36" si="6">SUM(I33:I35)</f>
        <v>-2016</v>
      </c>
      <c r="J36" s="495">
        <f t="shared" si="6"/>
        <v>0</v>
      </c>
      <c r="K36" s="496">
        <f t="shared" si="6"/>
        <v>-223064.63</v>
      </c>
      <c r="L36" s="990">
        <v>-3084</v>
      </c>
      <c r="M36" s="990">
        <v>0</v>
      </c>
      <c r="N36" s="990">
        <v>0</v>
      </c>
      <c r="O36" s="990">
        <v>0</v>
      </c>
      <c r="P36" s="990">
        <v>0</v>
      </c>
      <c r="Q36" s="990">
        <v>0</v>
      </c>
      <c r="R36" s="990">
        <v>-2016</v>
      </c>
      <c r="S36" s="990">
        <v>0</v>
      </c>
      <c r="T36" s="990">
        <v>-5100</v>
      </c>
      <c r="U36" s="494">
        <v>-3084</v>
      </c>
      <c r="V36" s="495">
        <v>0</v>
      </c>
      <c r="W36" s="495">
        <v>0</v>
      </c>
      <c r="X36" s="495">
        <v>0</v>
      </c>
      <c r="Y36" s="495">
        <v>0</v>
      </c>
      <c r="Z36" s="495">
        <v>0</v>
      </c>
      <c r="AA36" s="495">
        <v>-2016</v>
      </c>
      <c r="AB36" s="495">
        <v>0</v>
      </c>
      <c r="AC36" s="496">
        <v>-5100</v>
      </c>
      <c r="AD36" s="494">
        <v>0</v>
      </c>
      <c r="AE36" s="495">
        <v>0</v>
      </c>
      <c r="AF36" s="495">
        <v>0</v>
      </c>
      <c r="AG36" s="495">
        <v>0</v>
      </c>
      <c r="AH36" s="495">
        <v>0</v>
      </c>
      <c r="AI36" s="495">
        <v>0</v>
      </c>
      <c r="AJ36" s="495">
        <v>0</v>
      </c>
      <c r="AK36" s="495">
        <v>0</v>
      </c>
      <c r="AL36" s="496">
        <v>0</v>
      </c>
      <c r="AM36" s="494">
        <v>2435</v>
      </c>
      <c r="AN36" s="495">
        <v>0</v>
      </c>
      <c r="AO36" s="495">
        <v>0</v>
      </c>
      <c r="AP36" s="495">
        <v>0</v>
      </c>
      <c r="AQ36" s="495">
        <v>0</v>
      </c>
      <c r="AR36" s="495">
        <v>0</v>
      </c>
      <c r="AS36" s="495">
        <v>0</v>
      </c>
      <c r="AT36" s="495">
        <v>0</v>
      </c>
      <c r="AU36" s="497">
        <v>2435</v>
      </c>
      <c r="AV36" s="491">
        <f>AL36-AU36</f>
        <v>-2435</v>
      </c>
    </row>
    <row r="37" spans="1:48" ht="15" thickTop="1">
      <c r="A37" s="444" t="s">
        <v>237</v>
      </c>
      <c r="B37" s="488"/>
      <c r="C37" s="477"/>
      <c r="D37" s="489"/>
      <c r="E37" s="489"/>
      <c r="F37" s="489"/>
      <c r="G37" s="489"/>
      <c r="H37" s="489"/>
      <c r="I37" s="489"/>
      <c r="J37" s="489"/>
      <c r="K37" s="490"/>
      <c r="L37" s="311"/>
      <c r="M37" s="311"/>
      <c r="N37" s="311"/>
      <c r="O37" s="311"/>
      <c r="P37" s="311"/>
      <c r="Q37" s="311"/>
      <c r="R37" s="311"/>
      <c r="S37" s="311"/>
      <c r="T37" s="311"/>
      <c r="U37" s="477"/>
      <c r="V37" s="489"/>
      <c r="W37" s="489"/>
      <c r="X37" s="489"/>
      <c r="Y37" s="489"/>
      <c r="Z37" s="489"/>
      <c r="AA37" s="489"/>
      <c r="AB37" s="489"/>
      <c r="AC37" s="490"/>
      <c r="AD37" s="477"/>
      <c r="AE37" s="489"/>
      <c r="AF37" s="489"/>
      <c r="AG37" s="489"/>
      <c r="AH37" s="489"/>
      <c r="AI37" s="489"/>
      <c r="AJ37" s="489"/>
      <c r="AK37" s="489"/>
      <c r="AL37" s="490"/>
      <c r="AM37" s="477"/>
      <c r="AN37" s="489"/>
      <c r="AO37" s="489"/>
      <c r="AP37" s="489"/>
      <c r="AQ37" s="489"/>
      <c r="AR37" s="489"/>
      <c r="AS37" s="489"/>
      <c r="AT37" s="489"/>
      <c r="AU37" s="490"/>
    </row>
    <row r="38" spans="1:48" ht="28.8">
      <c r="A38" s="444" t="s">
        <v>1391</v>
      </c>
      <c r="B38" s="488" t="s">
        <v>449</v>
      </c>
      <c r="C38" s="477" cm="1">
        <f t="array" ref="C38">_xlfn.XLOOKUP(A38,'TB upload'!A:A,'TB upload'!C:C-'TB upload'!B:B,0,0)</f>
        <v>3408</v>
      </c>
      <c r="D38" s="489"/>
      <c r="E38" s="477" cm="1">
        <f t="array" ref="E38">_xlfn.XLOOKUP(A38,'TB upload'!A:A,'TB upload'!E:E-'TB upload'!D:D,0,0)</f>
        <v>0</v>
      </c>
      <c r="F38" s="489"/>
      <c r="G38" s="477" cm="1">
        <f t="array" ref="G38">_xlfn.XLOOKUP(A38,'TB upload'!A:A,'TB upload'!G:G-'TB upload'!F:F,0,0)</f>
        <v>-1855.7</v>
      </c>
      <c r="H38" s="489"/>
      <c r="I38" s="477" cm="1">
        <f t="array" ref="I38">_xlfn.XLOOKUP(A38,'TB upload'!A:A,'TB upload'!I:I-'TB upload'!H:H,0,0)</f>
        <v>0</v>
      </c>
      <c r="J38" s="489"/>
      <c r="K38" s="490">
        <f t="shared" ref="K38:K39" si="7">SUM(C38:J38)</f>
        <v>1552.3</v>
      </c>
      <c r="L38" s="311">
        <v>0</v>
      </c>
      <c r="M38" s="311"/>
      <c r="N38" s="311">
        <v>0</v>
      </c>
      <c r="O38" s="311"/>
      <c r="P38" s="311">
        <v>-1855.7</v>
      </c>
      <c r="Q38" s="311"/>
      <c r="R38" s="311">
        <v>0</v>
      </c>
      <c r="S38" s="311"/>
      <c r="T38" s="311">
        <v>-1855.7</v>
      </c>
      <c r="U38" s="649">
        <v>-999365.97</v>
      </c>
      <c r="V38" s="489"/>
      <c r="W38" s="489"/>
      <c r="X38" s="489"/>
      <c r="Y38" s="489"/>
      <c r="Z38" s="489"/>
      <c r="AA38" s="489"/>
      <c r="AB38" s="489"/>
      <c r="AC38" s="490">
        <v>-999365.97</v>
      </c>
      <c r="AD38" s="477">
        <v>-23932</v>
      </c>
      <c r="AE38" s="489">
        <v>23932</v>
      </c>
      <c r="AF38" s="489">
        <v>0</v>
      </c>
      <c r="AG38" s="489"/>
      <c r="AH38" s="489">
        <v>0</v>
      </c>
      <c r="AI38" s="489"/>
      <c r="AJ38" s="489">
        <v>0</v>
      </c>
      <c r="AK38" s="489"/>
      <c r="AL38" s="490">
        <v>0</v>
      </c>
      <c r="AM38" s="477">
        <v>0</v>
      </c>
      <c r="AN38" s="489">
        <v>40000</v>
      </c>
      <c r="AO38" s="489"/>
      <c r="AP38" s="489"/>
      <c r="AQ38" s="489"/>
      <c r="AR38" s="489"/>
      <c r="AS38" s="489"/>
      <c r="AT38" s="489"/>
      <c r="AU38" s="490">
        <v>40000</v>
      </c>
    </row>
    <row r="39" spans="1:48" ht="28.8">
      <c r="A39" s="444" t="s">
        <v>512</v>
      </c>
      <c r="B39" s="488" t="s">
        <v>449</v>
      </c>
      <c r="C39" s="477" cm="1">
        <f t="array" ref="C39">_xlfn.XLOOKUP(A39,'TB upload'!A:A,'TB upload'!C:C-'TB upload'!B:B,0,0)</f>
        <v>-6613.32</v>
      </c>
      <c r="D39" s="489">
        <f>-D54</f>
        <v>14105233.050000001</v>
      </c>
      <c r="E39" s="477" cm="1">
        <f t="array" ref="E39">_xlfn.XLOOKUP(A39,'TB upload'!A:A,'TB upload'!E:E-'TB upload'!D:D,0,0)</f>
        <v>0</v>
      </c>
      <c r="F39" s="489"/>
      <c r="G39" s="477" cm="1">
        <f t="array" ref="G39">_xlfn.XLOOKUP(A39,'TB upload'!A:A,'TB upload'!G:G-'TB upload'!F:F,0,0)</f>
        <v>418.22</v>
      </c>
      <c r="H39" s="489"/>
      <c r="I39" s="477" cm="1">
        <f t="array" ref="I39">_xlfn.XLOOKUP(A39,'TB upload'!A:A,'TB upload'!I:I-'TB upload'!H:H,0,0)</f>
        <v>0</v>
      </c>
      <c r="J39" s="489"/>
      <c r="K39" s="490">
        <f t="shared" si="7"/>
        <v>14099037.950000001</v>
      </c>
      <c r="L39" s="311">
        <v>48519.360000000001</v>
      </c>
      <c r="M39" s="311"/>
      <c r="N39" s="311">
        <v>0</v>
      </c>
      <c r="O39" s="311"/>
      <c r="P39" s="311">
        <v>418.22</v>
      </c>
      <c r="Q39" s="311"/>
      <c r="R39" s="311">
        <v>0</v>
      </c>
      <c r="S39" s="311"/>
      <c r="T39" s="311">
        <v>48937.58</v>
      </c>
      <c r="U39" s="477">
        <v>0</v>
      </c>
      <c r="V39" s="489"/>
      <c r="W39" s="489"/>
      <c r="X39" s="489"/>
      <c r="Y39" s="489"/>
      <c r="Z39" s="489"/>
      <c r="AA39" s="489">
        <v>100144</v>
      </c>
      <c r="AB39" s="489"/>
      <c r="AC39" s="490">
        <v>100144</v>
      </c>
      <c r="AD39" s="477">
        <v>13411.11</v>
      </c>
      <c r="AE39" s="489"/>
      <c r="AF39" s="489">
        <v>0</v>
      </c>
      <c r="AG39" s="489"/>
      <c r="AH39" s="489">
        <v>0</v>
      </c>
      <c r="AI39" s="489"/>
      <c r="AJ39" s="489">
        <v>0</v>
      </c>
      <c r="AK39" s="489">
        <v>27434.190000000002</v>
      </c>
      <c r="AL39" s="490">
        <v>40845.300000000003</v>
      </c>
      <c r="AM39" s="477">
        <v>224249.5</v>
      </c>
      <c r="AN39" s="489"/>
      <c r="AO39" s="489"/>
      <c r="AP39" s="489">
        <v>4995</v>
      </c>
      <c r="AQ39" s="489"/>
      <c r="AR39" s="489"/>
      <c r="AS39" s="489"/>
      <c r="AT39" s="489"/>
      <c r="AU39" s="490">
        <v>229244.5</v>
      </c>
    </row>
    <row r="40" spans="1:48" ht="15" thickBot="1">
      <c r="B40" s="488"/>
      <c r="C40" s="477"/>
      <c r="D40" s="489"/>
      <c r="E40" s="489"/>
      <c r="F40" s="489"/>
      <c r="G40" s="489"/>
      <c r="H40" s="489"/>
      <c r="I40" s="489"/>
      <c r="J40" s="489"/>
      <c r="K40" s="490"/>
      <c r="L40" s="311"/>
      <c r="M40" s="311"/>
      <c r="N40" s="311"/>
      <c r="O40" s="311"/>
      <c r="P40" s="311"/>
      <c r="Q40" s="311"/>
      <c r="R40" s="311"/>
      <c r="S40" s="311"/>
      <c r="T40" s="311"/>
      <c r="U40" s="477"/>
      <c r="V40" s="489"/>
      <c r="W40" s="489"/>
      <c r="X40" s="489"/>
      <c r="Y40" s="489"/>
      <c r="Z40" s="489"/>
      <c r="AA40" s="489"/>
      <c r="AB40" s="489"/>
      <c r="AC40" s="490"/>
      <c r="AD40" s="477"/>
      <c r="AE40" s="489"/>
      <c r="AF40" s="489"/>
      <c r="AG40" s="489"/>
      <c r="AH40" s="489"/>
      <c r="AI40" s="489"/>
      <c r="AJ40" s="489"/>
      <c r="AK40" s="489"/>
      <c r="AL40" s="490"/>
      <c r="AM40" s="477"/>
      <c r="AN40" s="489"/>
      <c r="AO40" s="489"/>
      <c r="AP40" s="489"/>
      <c r="AQ40" s="489"/>
      <c r="AR40" s="489"/>
      <c r="AS40" s="489"/>
      <c r="AT40" s="489"/>
      <c r="AU40" s="490"/>
    </row>
    <row r="41" spans="1:48" ht="15.6" thickTop="1" thickBot="1">
      <c r="A41" s="492"/>
      <c r="B41" s="493" t="s">
        <v>51</v>
      </c>
      <c r="C41" s="494">
        <f>SUM(C38:C40)</f>
        <v>-3205.3199999999997</v>
      </c>
      <c r="D41" s="495">
        <f t="shared" ref="D41:K41" si="8">SUM(D38:D40)</f>
        <v>14105233.050000001</v>
      </c>
      <c r="E41" s="495">
        <f t="shared" si="8"/>
        <v>0</v>
      </c>
      <c r="F41" s="495">
        <f t="shared" si="8"/>
        <v>0</v>
      </c>
      <c r="G41" s="495">
        <f t="shared" si="8"/>
        <v>-1437.48</v>
      </c>
      <c r="H41" s="495">
        <f t="shared" si="8"/>
        <v>0</v>
      </c>
      <c r="I41" s="495">
        <f t="shared" si="8"/>
        <v>0</v>
      </c>
      <c r="J41" s="495">
        <f t="shared" si="8"/>
        <v>0</v>
      </c>
      <c r="K41" s="496">
        <f t="shared" si="8"/>
        <v>14100590.250000002</v>
      </c>
      <c r="L41" s="990">
        <v>48519.360000000001</v>
      </c>
      <c r="M41" s="990">
        <v>0</v>
      </c>
      <c r="N41" s="990">
        <v>0</v>
      </c>
      <c r="O41" s="990">
        <v>0</v>
      </c>
      <c r="P41" s="990">
        <v>-1437.48</v>
      </c>
      <c r="Q41" s="990">
        <v>0</v>
      </c>
      <c r="R41" s="990">
        <v>0</v>
      </c>
      <c r="S41" s="990">
        <v>0</v>
      </c>
      <c r="T41" s="990">
        <v>47081.880000000005</v>
      </c>
      <c r="U41" s="494">
        <v>-999365.97</v>
      </c>
      <c r="V41" s="495">
        <v>0</v>
      </c>
      <c r="W41" s="495">
        <v>0</v>
      </c>
      <c r="X41" s="495">
        <v>0</v>
      </c>
      <c r="Y41" s="495">
        <v>0</v>
      </c>
      <c r="Z41" s="495">
        <v>0</v>
      </c>
      <c r="AA41" s="495">
        <v>100144</v>
      </c>
      <c r="AB41" s="495">
        <v>0</v>
      </c>
      <c r="AC41" s="496">
        <v>-899221.97</v>
      </c>
      <c r="AD41" s="494">
        <v>-10520.89</v>
      </c>
      <c r="AE41" s="495">
        <v>23932</v>
      </c>
      <c r="AF41" s="495">
        <v>0</v>
      </c>
      <c r="AG41" s="495">
        <v>0</v>
      </c>
      <c r="AH41" s="495">
        <v>0</v>
      </c>
      <c r="AI41" s="495">
        <v>0</v>
      </c>
      <c r="AJ41" s="495">
        <v>0</v>
      </c>
      <c r="AK41" s="495">
        <v>27434.190000000002</v>
      </c>
      <c r="AL41" s="496">
        <v>40845.300000000003</v>
      </c>
      <c r="AM41" s="494">
        <v>224249.5</v>
      </c>
      <c r="AN41" s="495">
        <v>40000</v>
      </c>
      <c r="AO41" s="495">
        <v>0</v>
      </c>
      <c r="AP41" s="495">
        <v>4995</v>
      </c>
      <c r="AQ41" s="495">
        <v>0</v>
      </c>
      <c r="AR41" s="495">
        <v>0</v>
      </c>
      <c r="AS41" s="495">
        <v>0</v>
      </c>
      <c r="AT41" s="495">
        <v>0</v>
      </c>
      <c r="AU41" s="497">
        <v>269244.5</v>
      </c>
      <c r="AV41" s="491">
        <f>AL41-AU41</f>
        <v>-228399.2</v>
      </c>
    </row>
    <row r="42" spans="1:48" ht="15" thickTop="1">
      <c r="A42" s="444" t="s">
        <v>1407</v>
      </c>
      <c r="B42" s="488"/>
      <c r="C42" s="477"/>
      <c r="D42" s="489"/>
      <c r="E42" s="489"/>
      <c r="F42" s="489"/>
      <c r="G42" s="489"/>
      <c r="H42" s="489"/>
      <c r="I42" s="489"/>
      <c r="J42" s="489"/>
      <c r="K42" s="490"/>
      <c r="L42" s="311"/>
      <c r="M42" s="311"/>
      <c r="N42" s="311"/>
      <c r="O42" s="311"/>
      <c r="P42" s="311"/>
      <c r="Q42" s="311"/>
      <c r="R42" s="311"/>
      <c r="S42" s="311"/>
      <c r="T42" s="311"/>
      <c r="U42" s="477"/>
      <c r="V42" s="489"/>
      <c r="W42" s="489"/>
      <c r="X42" s="489"/>
      <c r="Y42" s="489"/>
      <c r="Z42" s="489"/>
      <c r="AA42" s="489"/>
      <c r="AB42" s="489"/>
      <c r="AC42" s="490"/>
      <c r="AD42" s="477"/>
      <c r="AE42" s="489"/>
      <c r="AF42" s="489"/>
      <c r="AG42" s="489"/>
      <c r="AH42" s="489"/>
      <c r="AI42" s="489"/>
      <c r="AJ42" s="489"/>
      <c r="AK42" s="489"/>
      <c r="AL42" s="490"/>
      <c r="AM42" s="477"/>
      <c r="AN42" s="489"/>
      <c r="AO42" s="489"/>
      <c r="AP42" s="489"/>
      <c r="AQ42" s="489"/>
      <c r="AR42" s="489"/>
      <c r="AS42" s="489"/>
      <c r="AT42" s="489"/>
      <c r="AU42" s="490"/>
    </row>
    <row r="43" spans="1:48">
      <c r="A43" s="444" t="s">
        <v>1065</v>
      </c>
      <c r="B43" s="488" t="s">
        <v>449</v>
      </c>
      <c r="C43" s="477" cm="1">
        <f t="array" ref="C43">_xlfn.XLOOKUP(A43,'TB upload'!A:A,'TB upload'!C:C-'TB upload'!B:B,0,0)</f>
        <v>0</v>
      </c>
      <c r="D43" s="489"/>
      <c r="E43" s="477" cm="1">
        <f t="array" ref="E43">_xlfn.XLOOKUP(A43,'TB upload'!A:A,'TB upload'!E:E-'TB upload'!D:D,0,0)</f>
        <v>0</v>
      </c>
      <c r="F43" s="489"/>
      <c r="G43" s="477" cm="1">
        <f t="array" ref="G43">_xlfn.XLOOKUP(A43,'TB upload'!A:A,'TB upload'!G:G-'TB upload'!F:F,0,0)</f>
        <v>0</v>
      </c>
      <c r="H43" s="489"/>
      <c r="I43" s="477" cm="1">
        <f t="array" ref="I43">_xlfn.XLOOKUP(A43,'TB upload'!A:A,'TB upload'!I:I-'TB upload'!H:H,0,0)</f>
        <v>0</v>
      </c>
      <c r="J43" s="489"/>
      <c r="K43" s="490">
        <f t="shared" ref="K43:K54" si="9">SUM(C43:J43)</f>
        <v>0</v>
      </c>
      <c r="L43" s="311">
        <v>0</v>
      </c>
      <c r="M43" s="311"/>
      <c r="N43" s="311">
        <v>0</v>
      </c>
      <c r="O43" s="311"/>
      <c r="P43" s="311">
        <v>0</v>
      </c>
      <c r="Q43" s="311"/>
      <c r="R43" s="311">
        <v>0</v>
      </c>
      <c r="S43" s="311"/>
      <c r="T43" s="311">
        <v>0</v>
      </c>
      <c r="U43" s="477">
        <v>0</v>
      </c>
      <c r="V43" s="489"/>
      <c r="W43" s="489"/>
      <c r="X43" s="489"/>
      <c r="Y43" s="489"/>
      <c r="Z43" s="489"/>
      <c r="AA43" s="489"/>
      <c r="AB43" s="489"/>
      <c r="AC43" s="490">
        <v>0</v>
      </c>
      <c r="AD43" s="477">
        <v>0</v>
      </c>
      <c r="AE43" s="489"/>
      <c r="AF43" s="489">
        <v>0</v>
      </c>
      <c r="AG43" s="489"/>
      <c r="AH43" s="489">
        <v>0</v>
      </c>
      <c r="AI43" s="489"/>
      <c r="AJ43" s="489">
        <v>0</v>
      </c>
      <c r="AK43" s="489"/>
      <c r="AL43" s="490">
        <v>0</v>
      </c>
      <c r="AM43" s="477">
        <v>0</v>
      </c>
      <c r="AN43" s="489"/>
      <c r="AO43" s="489"/>
      <c r="AP43" s="489"/>
      <c r="AQ43" s="489"/>
      <c r="AR43" s="489"/>
      <c r="AS43" s="489"/>
      <c r="AT43" s="489"/>
      <c r="AU43" s="490">
        <v>0</v>
      </c>
    </row>
    <row r="44" spans="1:48">
      <c r="A44" s="444" t="s">
        <v>1066</v>
      </c>
      <c r="B44" s="488" t="s">
        <v>449</v>
      </c>
      <c r="C44" s="477" cm="1">
        <f t="array" ref="C44">_xlfn.XLOOKUP(A44,'TB upload'!A:A,'TB upload'!C:C-'TB upload'!B:B,0,0)</f>
        <v>0</v>
      </c>
      <c r="D44" s="489"/>
      <c r="E44" s="477" cm="1">
        <f t="array" ref="E44">_xlfn.XLOOKUP(A44,'TB upload'!A:A,'TB upload'!E:E-'TB upload'!D:D,0,0)</f>
        <v>0</v>
      </c>
      <c r="F44" s="489"/>
      <c r="G44" s="477" cm="1">
        <f t="array" ref="G44">_xlfn.XLOOKUP(A44,'TB upload'!A:A,'TB upload'!G:G-'TB upload'!F:F,0,0)</f>
        <v>0</v>
      </c>
      <c r="H44" s="489"/>
      <c r="I44" s="477" cm="1">
        <f t="array" ref="I44">_xlfn.XLOOKUP(A44,'TB upload'!A:A,'TB upload'!I:I-'TB upload'!H:H,0,0)</f>
        <v>0</v>
      </c>
      <c r="J44" s="489"/>
      <c r="K44" s="490">
        <f t="shared" si="9"/>
        <v>0</v>
      </c>
      <c r="L44" s="311">
        <v>0</v>
      </c>
      <c r="M44" s="311"/>
      <c r="N44" s="311">
        <v>0</v>
      </c>
      <c r="O44" s="311"/>
      <c r="P44" s="311">
        <v>0</v>
      </c>
      <c r="Q44" s="311"/>
      <c r="R44" s="311">
        <v>0</v>
      </c>
      <c r="S44" s="311"/>
      <c r="T44" s="311">
        <v>0</v>
      </c>
      <c r="U44" s="477">
        <v>0</v>
      </c>
      <c r="V44" s="489"/>
      <c r="W44" s="489"/>
      <c r="X44" s="489"/>
      <c r="Y44" s="489"/>
      <c r="Z44" s="489"/>
      <c r="AA44" s="489"/>
      <c r="AB44" s="489"/>
      <c r="AC44" s="490">
        <v>0</v>
      </c>
      <c r="AD44" s="477">
        <v>0</v>
      </c>
      <c r="AE44" s="489"/>
      <c r="AF44" s="489">
        <v>0</v>
      </c>
      <c r="AG44" s="489"/>
      <c r="AH44" s="489">
        <v>0</v>
      </c>
      <c r="AI44" s="489"/>
      <c r="AJ44" s="489">
        <v>0</v>
      </c>
      <c r="AK44" s="489"/>
      <c r="AL44" s="490">
        <v>0</v>
      </c>
      <c r="AM44" s="477">
        <v>0</v>
      </c>
      <c r="AN44" s="489"/>
      <c r="AO44" s="489"/>
      <c r="AP44" s="489"/>
      <c r="AQ44" s="489"/>
      <c r="AR44" s="489"/>
      <c r="AS44" s="489"/>
      <c r="AT44" s="489"/>
      <c r="AU44" s="490">
        <v>0</v>
      </c>
    </row>
    <row r="45" spans="1:48">
      <c r="A45" s="444" t="s">
        <v>162</v>
      </c>
      <c r="B45" s="488" t="s">
        <v>449</v>
      </c>
      <c r="C45" s="477" cm="1">
        <f t="array" ref="C45">_xlfn.XLOOKUP(A45,'TB upload'!A:A,'TB upload'!C:C-'TB upload'!B:B,0,0)</f>
        <v>13136.4</v>
      </c>
      <c r="D45" s="489"/>
      <c r="E45" s="477" cm="1">
        <f t="array" ref="E45">_xlfn.XLOOKUP(A45,'TB upload'!A:A,'TB upload'!E:E-'TB upload'!D:D,0,0)</f>
        <v>0</v>
      </c>
      <c r="F45" s="489"/>
      <c r="G45" s="477" cm="1">
        <f t="array" ref="G45">_xlfn.XLOOKUP(A45,'TB upload'!A:A,'TB upload'!G:G-'TB upload'!F:F,0,0)</f>
        <v>0</v>
      </c>
      <c r="H45" s="489"/>
      <c r="I45" s="477" cm="1">
        <f t="array" ref="I45">_xlfn.XLOOKUP(A45,'TB upload'!A:A,'TB upload'!I:I-'TB upload'!H:H,0,0)</f>
        <v>0</v>
      </c>
      <c r="J45" s="489"/>
      <c r="K45" s="490">
        <f t="shared" si="9"/>
        <v>13136.4</v>
      </c>
      <c r="L45" s="311">
        <v>13136.4</v>
      </c>
      <c r="M45" s="311"/>
      <c r="N45" s="311">
        <v>0</v>
      </c>
      <c r="O45" s="311"/>
      <c r="P45" s="311">
        <v>0</v>
      </c>
      <c r="Q45" s="311"/>
      <c r="R45" s="311">
        <v>0</v>
      </c>
      <c r="S45" s="311"/>
      <c r="T45" s="311">
        <v>13136.4</v>
      </c>
      <c r="U45" s="477">
        <v>13136.4</v>
      </c>
      <c r="V45" s="489"/>
      <c r="W45" s="489"/>
      <c r="X45" s="489"/>
      <c r="Y45" s="489"/>
      <c r="Z45" s="489"/>
      <c r="AA45" s="489"/>
      <c r="AB45" s="489"/>
      <c r="AC45" s="490">
        <v>13136.4</v>
      </c>
      <c r="AD45" s="477">
        <v>999.46</v>
      </c>
      <c r="AE45" s="489"/>
      <c r="AF45" s="489">
        <v>0</v>
      </c>
      <c r="AG45" s="489"/>
      <c r="AH45" s="489">
        <v>0</v>
      </c>
      <c r="AI45" s="489"/>
      <c r="AJ45" s="489">
        <v>0</v>
      </c>
      <c r="AK45" s="489"/>
      <c r="AL45" s="490">
        <v>999.46</v>
      </c>
      <c r="AM45" s="477">
        <v>750</v>
      </c>
      <c r="AN45" s="489"/>
      <c r="AO45" s="489"/>
      <c r="AP45" s="489"/>
      <c r="AQ45" s="489"/>
      <c r="AR45" s="489"/>
      <c r="AS45" s="489"/>
      <c r="AT45" s="489"/>
      <c r="AU45" s="490">
        <v>750</v>
      </c>
    </row>
    <row r="46" spans="1:48">
      <c r="A46" s="444" t="s">
        <v>983</v>
      </c>
      <c r="B46" s="488" t="s">
        <v>449</v>
      </c>
      <c r="C46" s="477" cm="1">
        <f t="array" ref="C46">_xlfn.XLOOKUP(A46,'TB upload'!A:A,'TB upload'!C:C-'TB upload'!B:B,0,0)</f>
        <v>0</v>
      </c>
      <c r="D46" s="489"/>
      <c r="E46" s="477" cm="1">
        <f t="array" ref="E46">_xlfn.XLOOKUP(A46,'TB upload'!A:A,'TB upload'!E:E-'TB upload'!D:D,0,0)</f>
        <v>0</v>
      </c>
      <c r="F46" s="489"/>
      <c r="G46" s="477" cm="1">
        <f t="array" ref="G46">_xlfn.XLOOKUP(A46,'TB upload'!A:A,'TB upload'!G:G-'TB upload'!F:F,0,0)</f>
        <v>0</v>
      </c>
      <c r="H46" s="489"/>
      <c r="I46" s="477" cm="1">
        <f t="array" ref="I46">_xlfn.XLOOKUP(A46,'TB upload'!A:A,'TB upload'!I:I-'TB upload'!H:H,0,0)</f>
        <v>0</v>
      </c>
      <c r="J46" s="489"/>
      <c r="K46" s="490">
        <f t="shared" si="9"/>
        <v>0</v>
      </c>
      <c r="L46" s="311">
        <v>0</v>
      </c>
      <c r="M46" s="311"/>
      <c r="N46" s="311">
        <v>0</v>
      </c>
      <c r="O46" s="311"/>
      <c r="P46" s="311">
        <v>0</v>
      </c>
      <c r="Q46" s="311"/>
      <c r="R46" s="311">
        <v>0</v>
      </c>
      <c r="S46" s="311"/>
      <c r="T46" s="311">
        <v>0</v>
      </c>
      <c r="U46" s="477">
        <v>0</v>
      </c>
      <c r="V46" s="489"/>
      <c r="W46" s="489"/>
      <c r="X46" s="489"/>
      <c r="Y46" s="489"/>
      <c r="Z46" s="489"/>
      <c r="AA46" s="489"/>
      <c r="AB46" s="489"/>
      <c r="AC46" s="490">
        <v>0</v>
      </c>
      <c r="AD46" s="477">
        <v>0</v>
      </c>
      <c r="AE46" s="489"/>
      <c r="AF46" s="489">
        <v>0</v>
      </c>
      <c r="AG46" s="489"/>
      <c r="AH46" s="489">
        <v>0</v>
      </c>
      <c r="AI46" s="489"/>
      <c r="AJ46" s="489">
        <v>0</v>
      </c>
      <c r="AK46" s="489"/>
      <c r="AL46" s="490">
        <v>0</v>
      </c>
      <c r="AM46" s="477">
        <v>0</v>
      </c>
      <c r="AN46" s="489"/>
      <c r="AO46" s="489">
        <v>0</v>
      </c>
      <c r="AP46" s="489"/>
      <c r="AQ46" s="489">
        <v>126741</v>
      </c>
      <c r="AR46" s="489"/>
      <c r="AS46" s="489"/>
      <c r="AT46" s="489"/>
      <c r="AU46" s="490">
        <v>126741</v>
      </c>
    </row>
    <row r="47" spans="1:48">
      <c r="A47" s="444" t="s">
        <v>1067</v>
      </c>
      <c r="B47" s="488" t="s">
        <v>449</v>
      </c>
      <c r="C47" s="477" cm="1">
        <f t="array" ref="C47">_xlfn.XLOOKUP(A47,'TB upload'!A:A,'TB upload'!C:C-'TB upload'!B:B,0,0)</f>
        <v>0</v>
      </c>
      <c r="D47" s="489"/>
      <c r="E47" s="477" cm="1">
        <f t="array" ref="E47">_xlfn.XLOOKUP(A47,'TB upload'!A:A,'TB upload'!E:E-'TB upload'!D:D,0,0)</f>
        <v>0</v>
      </c>
      <c r="F47" s="489"/>
      <c r="G47" s="477" cm="1">
        <f t="array" ref="G47">_xlfn.XLOOKUP(A47,'TB upload'!A:A,'TB upload'!G:G-'TB upload'!F:F,0,0)</f>
        <v>0</v>
      </c>
      <c r="H47" s="489"/>
      <c r="I47" s="477" cm="1">
        <f t="array" ref="I47">_xlfn.XLOOKUP(A47,'TB upload'!A:A,'TB upload'!I:I-'TB upload'!H:H,0,0)</f>
        <v>0</v>
      </c>
      <c r="J47" s="489"/>
      <c r="K47" s="490">
        <f t="shared" si="9"/>
        <v>0</v>
      </c>
      <c r="L47" s="311">
        <v>0</v>
      </c>
      <c r="M47" s="311"/>
      <c r="N47" s="311">
        <v>0</v>
      </c>
      <c r="O47" s="311"/>
      <c r="P47" s="311">
        <v>0</v>
      </c>
      <c r="Q47" s="311"/>
      <c r="R47" s="311">
        <v>0</v>
      </c>
      <c r="S47" s="311"/>
      <c r="T47" s="311">
        <v>0</v>
      </c>
      <c r="U47" s="477">
        <v>0</v>
      </c>
      <c r="V47" s="489"/>
      <c r="W47" s="489"/>
      <c r="X47" s="489"/>
      <c r="Y47" s="489"/>
      <c r="Z47" s="489"/>
      <c r="AA47" s="489"/>
      <c r="AB47" s="489"/>
      <c r="AC47" s="490">
        <v>0</v>
      </c>
      <c r="AD47" s="477">
        <v>0</v>
      </c>
      <c r="AE47" s="489"/>
      <c r="AF47" s="489">
        <v>0</v>
      </c>
      <c r="AG47" s="489"/>
      <c r="AH47" s="489">
        <v>0</v>
      </c>
      <c r="AI47" s="489"/>
      <c r="AJ47" s="489">
        <v>0</v>
      </c>
      <c r="AK47" s="489"/>
      <c r="AL47" s="490">
        <v>0</v>
      </c>
      <c r="AM47" s="477">
        <v>0</v>
      </c>
      <c r="AN47" s="489"/>
      <c r="AO47" s="489"/>
      <c r="AP47" s="489"/>
      <c r="AQ47" s="489"/>
      <c r="AR47" s="489"/>
      <c r="AS47" s="489"/>
      <c r="AT47" s="489"/>
      <c r="AU47" s="490">
        <v>0</v>
      </c>
    </row>
    <row r="48" spans="1:48">
      <c r="A48" s="444" t="s">
        <v>511</v>
      </c>
      <c r="B48" s="488" t="s">
        <v>449</v>
      </c>
      <c r="C48" s="477" cm="1">
        <f t="array" ref="C48">_xlfn.XLOOKUP(A48,'TB upload'!A:A,'TB upload'!C:C-'TB upload'!B:B,0,0)</f>
        <v>0</v>
      </c>
      <c r="D48" s="489"/>
      <c r="E48" s="477" cm="1">
        <f t="array" ref="E48">_xlfn.XLOOKUP(A48,'TB upload'!A:A,'TB upload'!E:E-'TB upload'!D:D,0,0)</f>
        <v>0</v>
      </c>
      <c r="F48" s="489"/>
      <c r="G48" s="477" cm="1">
        <f t="array" ref="G48">_xlfn.XLOOKUP(A48,'TB upload'!A:A,'TB upload'!G:G-'TB upload'!F:F,0,0)</f>
        <v>0</v>
      </c>
      <c r="H48" s="489"/>
      <c r="I48" s="477" cm="1">
        <f t="array" ref="I48">_xlfn.XLOOKUP(A48,'TB upload'!A:A,'TB upload'!I:I-'TB upload'!H:H,0,0)</f>
        <v>0</v>
      </c>
      <c r="J48" s="489"/>
      <c r="K48" s="490">
        <f t="shared" si="9"/>
        <v>0</v>
      </c>
      <c r="L48" s="311">
        <v>0</v>
      </c>
      <c r="M48" s="311"/>
      <c r="N48" s="311">
        <v>0</v>
      </c>
      <c r="O48" s="311"/>
      <c r="P48" s="311">
        <v>0</v>
      </c>
      <c r="Q48" s="311"/>
      <c r="R48" s="311">
        <v>0</v>
      </c>
      <c r="S48" s="311"/>
      <c r="T48" s="311">
        <v>0</v>
      </c>
      <c r="U48" s="477">
        <v>0</v>
      </c>
      <c r="V48" s="489"/>
      <c r="W48" s="489"/>
      <c r="X48" s="489"/>
      <c r="Y48" s="489"/>
      <c r="Z48" s="489"/>
      <c r="AA48" s="489"/>
      <c r="AB48" s="489"/>
      <c r="AC48" s="490">
        <v>0</v>
      </c>
      <c r="AD48" s="477">
        <v>14892.02</v>
      </c>
      <c r="AE48" s="489"/>
      <c r="AF48" s="489">
        <v>0</v>
      </c>
      <c r="AG48" s="489"/>
      <c r="AH48" s="489">
        <v>0</v>
      </c>
      <c r="AI48" s="489"/>
      <c r="AJ48" s="489">
        <v>0</v>
      </c>
      <c r="AK48" s="489">
        <v>22402.460000000003</v>
      </c>
      <c r="AL48" s="490">
        <v>37294.480000000003</v>
      </c>
      <c r="AM48" s="477">
        <v>66627.520000000004</v>
      </c>
      <c r="AN48" s="489"/>
      <c r="AO48" s="489"/>
      <c r="AP48" s="489"/>
      <c r="AQ48" s="489"/>
      <c r="AR48" s="489"/>
      <c r="AS48" s="489"/>
      <c r="AT48" s="489"/>
      <c r="AU48" s="490">
        <v>66627.520000000004</v>
      </c>
    </row>
    <row r="49" spans="1:48">
      <c r="A49" s="444" t="s">
        <v>1068</v>
      </c>
      <c r="B49" s="488" t="s">
        <v>449</v>
      </c>
      <c r="C49" s="477" cm="1">
        <f t="array" ref="C49">_xlfn.XLOOKUP(A49,'TB upload'!A:A,'TB upload'!C:C-'TB upload'!B:B,0,0)</f>
        <v>0</v>
      </c>
      <c r="D49" s="489"/>
      <c r="E49" s="477" cm="1">
        <f t="array" ref="E49">_xlfn.XLOOKUP(A49,'TB upload'!A:A,'TB upload'!E:E-'TB upload'!D:D,0,0)</f>
        <v>0</v>
      </c>
      <c r="F49" s="489"/>
      <c r="G49" s="477" cm="1">
        <f t="array" ref="G49">_xlfn.XLOOKUP(A49,'TB upload'!A:A,'TB upload'!G:G-'TB upload'!F:F,0,0)</f>
        <v>0</v>
      </c>
      <c r="H49" s="489"/>
      <c r="I49" s="477" cm="1">
        <f t="array" ref="I49">_xlfn.XLOOKUP(A49,'TB upload'!A:A,'TB upload'!I:I-'TB upload'!H:H,0,0)</f>
        <v>0</v>
      </c>
      <c r="J49" s="489"/>
      <c r="K49" s="490">
        <f t="shared" si="9"/>
        <v>0</v>
      </c>
      <c r="L49" s="311">
        <v>0</v>
      </c>
      <c r="M49" s="311"/>
      <c r="N49" s="311">
        <v>0</v>
      </c>
      <c r="O49" s="311"/>
      <c r="P49" s="311">
        <v>0</v>
      </c>
      <c r="Q49" s="311"/>
      <c r="R49" s="311">
        <v>0</v>
      </c>
      <c r="S49" s="311"/>
      <c r="T49" s="311">
        <v>0</v>
      </c>
      <c r="U49" s="477">
        <v>0</v>
      </c>
      <c r="V49" s="489"/>
      <c r="W49" s="489"/>
      <c r="X49" s="489"/>
      <c r="Y49" s="489"/>
      <c r="Z49" s="489"/>
      <c r="AA49" s="489"/>
      <c r="AB49" s="489"/>
      <c r="AC49" s="490">
        <v>0</v>
      </c>
      <c r="AD49" s="477">
        <v>0</v>
      </c>
      <c r="AE49" s="489"/>
      <c r="AF49" s="489">
        <v>0</v>
      </c>
      <c r="AG49" s="489"/>
      <c r="AH49" s="489">
        <v>0</v>
      </c>
      <c r="AI49" s="489"/>
      <c r="AJ49" s="489">
        <v>0</v>
      </c>
      <c r="AK49" s="489"/>
      <c r="AL49" s="490">
        <v>0</v>
      </c>
      <c r="AM49" s="477">
        <v>0</v>
      </c>
      <c r="AN49" s="489"/>
      <c r="AO49" s="489"/>
      <c r="AP49" s="489"/>
      <c r="AQ49" s="489"/>
      <c r="AR49" s="489"/>
      <c r="AS49" s="489"/>
      <c r="AT49" s="489"/>
      <c r="AU49" s="490">
        <v>0</v>
      </c>
    </row>
    <row r="50" spans="1:48">
      <c r="A50" s="444" t="s">
        <v>446</v>
      </c>
      <c r="B50" s="488" t="s">
        <v>449</v>
      </c>
      <c r="C50" s="477" cm="1">
        <f t="array" ref="C50">_xlfn.XLOOKUP(A50,'TB upload'!A:A,'TB upload'!C:C-'TB upload'!B:B,0,0)</f>
        <v>170350.79</v>
      </c>
      <c r="D50" s="489"/>
      <c r="E50" s="477" cm="1">
        <f t="array" ref="E50">_xlfn.XLOOKUP(A50,'TB upload'!A:A,'TB upload'!E:E-'TB upload'!D:D,0,0)</f>
        <v>474.6</v>
      </c>
      <c r="F50" s="489"/>
      <c r="G50" s="477" cm="1">
        <f t="array" ref="G50">_xlfn.XLOOKUP(A50,'TB upload'!A:A,'TB upload'!G:G-'TB upload'!F:F,0,0)</f>
        <v>644.1</v>
      </c>
      <c r="H50" s="489"/>
      <c r="I50" s="477" cm="1">
        <f t="array" ref="I50">_xlfn.XLOOKUP(A50,'TB upload'!A:A,'TB upload'!I:I-'TB upload'!H:H,0,0)</f>
        <v>0</v>
      </c>
      <c r="J50" s="489"/>
      <c r="K50" s="490">
        <f t="shared" si="9"/>
        <v>171469.49000000002</v>
      </c>
      <c r="L50" s="311">
        <v>170249.09</v>
      </c>
      <c r="M50" s="311"/>
      <c r="N50" s="311">
        <v>474.6</v>
      </c>
      <c r="O50" s="311"/>
      <c r="P50" s="311">
        <v>644.1</v>
      </c>
      <c r="Q50" s="311"/>
      <c r="R50" s="311">
        <v>0</v>
      </c>
      <c r="S50" s="311"/>
      <c r="T50" s="311">
        <v>171367.79</v>
      </c>
      <c r="U50" s="477">
        <v>98380.51</v>
      </c>
      <c r="V50" s="489"/>
      <c r="W50" s="489">
        <v>475</v>
      </c>
      <c r="X50" s="489"/>
      <c r="Y50" s="489">
        <v>644</v>
      </c>
      <c r="Z50" s="489"/>
      <c r="AA50" s="489"/>
      <c r="AB50" s="489"/>
      <c r="AC50" s="490">
        <v>99499.51</v>
      </c>
      <c r="AD50" s="477">
        <v>644327.68999999994</v>
      </c>
      <c r="AE50" s="489"/>
      <c r="AF50" s="489">
        <v>1928.01</v>
      </c>
      <c r="AG50" s="489"/>
      <c r="AH50" s="489">
        <v>33.9</v>
      </c>
      <c r="AI50" s="489"/>
      <c r="AJ50" s="489">
        <v>0</v>
      </c>
      <c r="AK50" s="489"/>
      <c r="AL50" s="490">
        <v>646289.6</v>
      </c>
      <c r="AM50" s="477">
        <v>625921.77</v>
      </c>
      <c r="AN50" s="489"/>
      <c r="AO50" s="489">
        <v>970</v>
      </c>
      <c r="AP50" s="489"/>
      <c r="AQ50" s="489"/>
      <c r="AR50" s="489"/>
      <c r="AS50" s="489"/>
      <c r="AT50" s="489"/>
      <c r="AU50" s="490">
        <v>626891.77</v>
      </c>
    </row>
    <row r="51" spans="1:48">
      <c r="A51" s="444" t="s">
        <v>1382</v>
      </c>
      <c r="B51" s="488" t="s">
        <v>449</v>
      </c>
      <c r="C51" s="477" cm="1">
        <f t="array" ref="C51">_xlfn.XLOOKUP(A51,'TB upload'!A:A,'TB upload'!C:C-'TB upload'!B:B,0,0)</f>
        <v>0</v>
      </c>
      <c r="D51" s="489"/>
      <c r="E51" s="477" cm="1">
        <f t="array" ref="E51">_xlfn.XLOOKUP(A51,'TB upload'!A:A,'TB upload'!E:E-'TB upload'!D:D,0,0)</f>
        <v>0</v>
      </c>
      <c r="F51" s="489"/>
      <c r="G51" s="477" cm="1">
        <f t="array" ref="G51">_xlfn.XLOOKUP(A51,'TB upload'!A:A,'TB upload'!G:G-'TB upload'!F:F,0,0)</f>
        <v>0</v>
      </c>
      <c r="H51" s="489"/>
      <c r="I51" s="477" cm="1">
        <f t="array" ref="I51">_xlfn.XLOOKUP(A51,'TB upload'!A:A,'TB upload'!I:I-'TB upload'!H:H,0,0)</f>
        <v>0</v>
      </c>
      <c r="J51" s="489"/>
      <c r="K51" s="490">
        <f t="shared" si="9"/>
        <v>0</v>
      </c>
      <c r="L51" s="311">
        <v>0</v>
      </c>
      <c r="M51" s="311"/>
      <c r="N51" s="311">
        <v>0</v>
      </c>
      <c r="O51" s="311"/>
      <c r="P51" s="311">
        <v>0</v>
      </c>
      <c r="Q51" s="311"/>
      <c r="R51" s="311">
        <v>0</v>
      </c>
      <c r="S51" s="311"/>
      <c r="T51" s="311">
        <v>0</v>
      </c>
      <c r="U51" s="477">
        <v>0</v>
      </c>
      <c r="V51" s="489"/>
      <c r="W51" s="489"/>
      <c r="X51" s="489"/>
      <c r="Y51" s="489"/>
      <c r="Z51" s="489"/>
      <c r="AA51" s="489"/>
      <c r="AB51" s="489"/>
      <c r="AC51" s="490">
        <v>0</v>
      </c>
      <c r="AD51" s="477">
        <v>19500</v>
      </c>
      <c r="AE51" s="489"/>
      <c r="AF51" s="489">
        <v>0</v>
      </c>
      <c r="AG51" s="489"/>
      <c r="AH51" s="489">
        <v>0</v>
      </c>
      <c r="AI51" s="489"/>
      <c r="AJ51" s="489">
        <v>0</v>
      </c>
      <c r="AK51" s="489"/>
      <c r="AL51" s="490">
        <v>19500</v>
      </c>
      <c r="AM51" s="477">
        <v>0</v>
      </c>
      <c r="AN51" s="489"/>
      <c r="AO51" s="489"/>
      <c r="AP51" s="489"/>
      <c r="AQ51" s="489"/>
      <c r="AR51" s="489"/>
      <c r="AS51" s="489"/>
      <c r="AT51" s="489"/>
      <c r="AU51" s="490">
        <v>0</v>
      </c>
    </row>
    <row r="52" spans="1:48">
      <c r="A52" s="444" t="s">
        <v>1588</v>
      </c>
      <c r="B52" s="488" t="s">
        <v>449</v>
      </c>
      <c r="C52" s="477" cm="1">
        <f t="array" ref="C52">_xlfn.XLOOKUP(A52,'TB upload'!A:A,'TB upload'!C:C-'TB upload'!B:B,0,0)</f>
        <v>17837.98</v>
      </c>
      <c r="D52" s="489"/>
      <c r="E52" s="477"/>
      <c r="F52" s="489"/>
      <c r="G52" s="477"/>
      <c r="H52" s="489"/>
      <c r="I52" s="477"/>
      <c r="J52" s="489"/>
      <c r="K52" s="490">
        <f t="shared" si="9"/>
        <v>17837.98</v>
      </c>
      <c r="L52" s="311"/>
      <c r="M52" s="311"/>
      <c r="N52" s="311"/>
      <c r="O52" s="311"/>
      <c r="P52" s="311"/>
      <c r="Q52" s="311"/>
      <c r="R52" s="311"/>
      <c r="S52" s="311"/>
      <c r="T52" s="311"/>
      <c r="U52" s="477"/>
      <c r="V52" s="489"/>
      <c r="W52" s="489"/>
      <c r="X52" s="489"/>
      <c r="Y52" s="489"/>
      <c r="Z52" s="489"/>
      <c r="AA52" s="489"/>
      <c r="AB52" s="489"/>
      <c r="AC52" s="490"/>
      <c r="AD52" s="477"/>
      <c r="AE52" s="489"/>
      <c r="AF52" s="489"/>
      <c r="AG52" s="489"/>
      <c r="AH52" s="489"/>
      <c r="AI52" s="489"/>
      <c r="AJ52" s="489"/>
      <c r="AK52" s="489"/>
      <c r="AL52" s="490"/>
      <c r="AM52" s="477"/>
      <c r="AN52" s="489"/>
      <c r="AO52" s="489"/>
      <c r="AP52" s="489"/>
      <c r="AQ52" s="489"/>
      <c r="AR52" s="489"/>
      <c r="AS52" s="489"/>
      <c r="AT52" s="489"/>
      <c r="AU52" s="490"/>
    </row>
    <row r="53" spans="1:48" ht="28.8">
      <c r="A53" s="444" t="s">
        <v>1155</v>
      </c>
      <c r="B53" s="488" t="s">
        <v>449</v>
      </c>
      <c r="C53" s="477" cm="1">
        <f t="array" ref="C53">_xlfn.XLOOKUP(A53,'TB upload'!A:A,'TB upload'!C:C-'TB upload'!B:B,0,0)</f>
        <v>40000</v>
      </c>
      <c r="D53" s="489"/>
      <c r="E53" s="477" cm="1">
        <f t="array" ref="E53">_xlfn.XLOOKUP(A53,'TB upload'!A:A,'TB upload'!E:E-'TB upload'!D:D,0,0)</f>
        <v>0</v>
      </c>
      <c r="F53" s="489"/>
      <c r="G53" s="477" cm="1">
        <f t="array" ref="G53">_xlfn.XLOOKUP(A53,'TB upload'!A:A,'TB upload'!G:G-'TB upload'!F:F,0,0)</f>
        <v>0</v>
      </c>
      <c r="H53" s="489"/>
      <c r="I53" s="477" cm="1">
        <f t="array" ref="I53">_xlfn.XLOOKUP(A53,'TB upload'!A:A,'TB upload'!I:I-'TB upload'!H:H,0,0)</f>
        <v>0</v>
      </c>
      <c r="J53" s="489"/>
      <c r="K53" s="490">
        <f t="shared" si="9"/>
        <v>40000</v>
      </c>
      <c r="L53" s="311">
        <v>40000</v>
      </c>
      <c r="M53" s="311"/>
      <c r="N53" s="311">
        <v>0</v>
      </c>
      <c r="O53" s="311"/>
      <c r="P53" s="311">
        <v>0</v>
      </c>
      <c r="Q53" s="311"/>
      <c r="R53" s="311">
        <v>0</v>
      </c>
      <c r="S53" s="311"/>
      <c r="T53" s="311">
        <v>40000</v>
      </c>
      <c r="U53" s="477">
        <v>40000</v>
      </c>
      <c r="V53" s="489"/>
      <c r="W53" s="489"/>
      <c r="X53" s="489"/>
      <c r="Y53" s="489"/>
      <c r="Z53" s="489"/>
      <c r="AA53" s="489"/>
      <c r="AB53" s="489"/>
      <c r="AC53" s="490">
        <v>40000</v>
      </c>
      <c r="AD53" s="477">
        <v>1548651.95</v>
      </c>
      <c r="AE53" s="489"/>
      <c r="AF53" s="489">
        <v>0</v>
      </c>
      <c r="AG53" s="489"/>
      <c r="AH53" s="489">
        <v>0</v>
      </c>
      <c r="AI53" s="489"/>
      <c r="AJ53" s="489">
        <v>0</v>
      </c>
      <c r="AK53" s="489"/>
      <c r="AL53" s="490">
        <v>1548651.95</v>
      </c>
      <c r="AM53" s="477">
        <v>380600</v>
      </c>
      <c r="AN53" s="489"/>
      <c r="AO53" s="489"/>
      <c r="AP53" s="489"/>
      <c r="AQ53" s="489"/>
      <c r="AR53" s="489"/>
      <c r="AS53" s="489"/>
      <c r="AT53" s="489"/>
      <c r="AU53" s="490">
        <v>380600</v>
      </c>
    </row>
    <row r="54" spans="1:48">
      <c r="A54" s="444" t="s">
        <v>1514</v>
      </c>
      <c r="B54" s="488" t="s">
        <v>449</v>
      </c>
      <c r="C54" s="477" cm="1">
        <f t="array" ref="C54">_xlfn.XLOOKUP(A54,'TB upload'!A:A,'TB upload'!C:C-'TB upload'!B:B,0,0)</f>
        <v>14105233.050000001</v>
      </c>
      <c r="D54" s="489">
        <f>-C54</f>
        <v>-14105233.050000001</v>
      </c>
      <c r="E54" s="477" cm="1">
        <f t="array" ref="E54">_xlfn.XLOOKUP(A54,'TB upload'!A:A,'TB upload'!E:E-'TB upload'!D:D,0,0)</f>
        <v>0</v>
      </c>
      <c r="F54" s="489"/>
      <c r="G54" s="477" cm="1">
        <f t="array" ref="G54">_xlfn.XLOOKUP(A54,'TB upload'!A:A,'TB upload'!G:G-'TB upload'!F:F,0,0)</f>
        <v>0</v>
      </c>
      <c r="H54" s="489"/>
      <c r="I54" s="477" cm="1">
        <f t="array" ref="I54">_xlfn.XLOOKUP(A54,'TB upload'!A:A,'TB upload'!I:I-'TB upload'!H:H,0,0)</f>
        <v>84866.6</v>
      </c>
      <c r="J54" s="489"/>
      <c r="K54" s="490">
        <f t="shared" si="9"/>
        <v>84866.6</v>
      </c>
      <c r="L54" s="311">
        <v>13296833.210000001</v>
      </c>
      <c r="M54" s="311"/>
      <c r="N54" s="311">
        <v>0</v>
      </c>
      <c r="O54" s="311"/>
      <c r="P54" s="311">
        <v>0</v>
      </c>
      <c r="Q54" s="311"/>
      <c r="R54" s="311">
        <v>100142.6</v>
      </c>
      <c r="S54" s="311"/>
      <c r="T54" s="311">
        <v>13396975.810000001</v>
      </c>
      <c r="U54" s="477">
        <v>9450835.1799999997</v>
      </c>
      <c r="V54" s="489"/>
      <c r="W54" s="489"/>
      <c r="X54" s="489"/>
      <c r="Y54" s="489"/>
      <c r="Z54" s="489"/>
      <c r="AA54" s="489"/>
      <c r="AB54" s="489"/>
      <c r="AC54" s="490">
        <v>9450835.1799999997</v>
      </c>
      <c r="AD54" s="477"/>
      <c r="AE54" s="489"/>
      <c r="AF54" s="489"/>
      <c r="AG54" s="489"/>
      <c r="AH54" s="489"/>
      <c r="AI54" s="489"/>
      <c r="AJ54" s="489"/>
      <c r="AK54" s="489"/>
      <c r="AL54" s="490">
        <v>0</v>
      </c>
      <c r="AM54" s="477"/>
      <c r="AN54" s="489"/>
      <c r="AO54" s="489"/>
      <c r="AP54" s="489"/>
      <c r="AQ54" s="489"/>
      <c r="AR54" s="489"/>
      <c r="AS54" s="489"/>
      <c r="AT54" s="489"/>
      <c r="AU54" s="490"/>
    </row>
    <row r="55" spans="1:48">
      <c r="A55" s="444" t="s">
        <v>164</v>
      </c>
      <c r="B55" s="488" t="s">
        <v>449</v>
      </c>
      <c r="C55" s="477" cm="1">
        <f t="array" ref="C55">_xlfn.XLOOKUP(A55,'TB upload'!A:A,'TB upload'!C:C-'TB upload'!B:B,0,0)</f>
        <v>2167</v>
      </c>
      <c r="D55" s="489"/>
      <c r="E55" s="477" cm="1">
        <f t="array" ref="E55">_xlfn.XLOOKUP(A55,'TB upload'!A:A,'TB upload'!E:E-'TB upload'!D:D,0,0)</f>
        <v>0</v>
      </c>
      <c r="F55" s="489"/>
      <c r="G55" s="477" cm="1">
        <f t="array" ref="G55">_xlfn.XLOOKUP(A55,'TB upload'!A:A,'TB upload'!G:G-'TB upload'!F:F,0,0)</f>
        <v>0</v>
      </c>
      <c r="H55" s="489"/>
      <c r="I55" s="477" cm="1">
        <f t="array" ref="I55">_xlfn.XLOOKUP(A55,'TB upload'!A:A,'TB upload'!I:I-'TB upload'!H:H,0,0)</f>
        <v>0</v>
      </c>
      <c r="J55" s="489"/>
      <c r="K55" s="490">
        <f>SUM(C55:J55)</f>
        <v>2167</v>
      </c>
      <c r="L55" s="311">
        <v>2165</v>
      </c>
      <c r="M55" s="311"/>
      <c r="N55" s="311">
        <v>0</v>
      </c>
      <c r="O55" s="311"/>
      <c r="P55" s="311">
        <v>0</v>
      </c>
      <c r="Q55" s="311"/>
      <c r="R55" s="311">
        <v>0</v>
      </c>
      <c r="S55" s="311"/>
      <c r="T55" s="311">
        <v>2165</v>
      </c>
      <c r="U55" s="477">
        <v>2163</v>
      </c>
      <c r="V55" s="489"/>
      <c r="W55" s="489"/>
      <c r="X55" s="489"/>
      <c r="Y55" s="489"/>
      <c r="Z55" s="489"/>
      <c r="AA55" s="489"/>
      <c r="AB55" s="489"/>
      <c r="AC55" s="490">
        <v>2163</v>
      </c>
      <c r="AD55" s="477">
        <v>0</v>
      </c>
      <c r="AE55" s="489"/>
      <c r="AF55" s="489">
        <v>0</v>
      </c>
      <c r="AG55" s="489"/>
      <c r="AH55" s="489">
        <v>0</v>
      </c>
      <c r="AI55" s="489"/>
      <c r="AJ55" s="489">
        <v>0</v>
      </c>
      <c r="AK55" s="489"/>
      <c r="AL55" s="490">
        <v>0</v>
      </c>
      <c r="AM55" s="477">
        <v>0</v>
      </c>
      <c r="AN55" s="489"/>
      <c r="AO55" s="489"/>
      <c r="AP55" s="489"/>
      <c r="AQ55" s="489"/>
      <c r="AR55" s="489"/>
      <c r="AS55" s="489"/>
      <c r="AT55" s="489"/>
      <c r="AU55" s="490">
        <v>0</v>
      </c>
    </row>
    <row r="56" spans="1:48">
      <c r="A56" s="444" t="s">
        <v>1546</v>
      </c>
      <c r="B56" s="488" t="s">
        <v>449</v>
      </c>
      <c r="C56" s="477" cm="1">
        <f t="array" ref="C56">_xlfn.XLOOKUP(A56,'TB upload'!A:A,'TB upload'!C:C-'TB upload'!B:B,0,0)</f>
        <v>159.6</v>
      </c>
      <c r="D56" s="489"/>
      <c r="E56" s="477" cm="1">
        <f t="array" ref="E56">_xlfn.XLOOKUP(A56,'TB upload'!A:A,'TB upload'!E:E-'TB upload'!D:D,0,0)</f>
        <v>0</v>
      </c>
      <c r="F56" s="489"/>
      <c r="G56" s="477" cm="1">
        <f t="array" ref="G56">_xlfn.XLOOKUP(A56,'TB upload'!A:A,'TB upload'!G:G-'TB upload'!F:F,0,0)</f>
        <v>0</v>
      </c>
      <c r="H56" s="489"/>
      <c r="I56" s="477" cm="1">
        <f t="array" ref="I56">_xlfn.XLOOKUP(A56,'TB upload'!A:A,'TB upload'!I:I-'TB upload'!H:H,0,0)</f>
        <v>0</v>
      </c>
      <c r="J56" s="489"/>
      <c r="K56" s="490">
        <f>SUM(C56:J56)</f>
        <v>159.6</v>
      </c>
      <c r="L56" s="311">
        <v>159.6</v>
      </c>
      <c r="M56" s="311"/>
      <c r="N56" s="311">
        <v>0</v>
      </c>
      <c r="O56" s="311"/>
      <c r="P56" s="311">
        <v>0</v>
      </c>
      <c r="Q56" s="311"/>
      <c r="R56" s="311">
        <v>0</v>
      </c>
      <c r="S56" s="311"/>
      <c r="T56" s="311">
        <v>159.6</v>
      </c>
      <c r="U56" s="477">
        <v>0</v>
      </c>
      <c r="V56" s="489"/>
      <c r="W56" s="489"/>
      <c r="X56" s="489"/>
      <c r="Y56" s="489"/>
      <c r="Z56" s="489"/>
      <c r="AA56" s="489"/>
      <c r="AB56" s="489"/>
      <c r="AC56" s="490">
        <v>0</v>
      </c>
      <c r="AD56" s="477">
        <v>0</v>
      </c>
      <c r="AE56" s="489"/>
      <c r="AF56" s="489">
        <v>0</v>
      </c>
      <c r="AG56" s="489"/>
      <c r="AH56" s="489">
        <v>0</v>
      </c>
      <c r="AI56" s="489"/>
      <c r="AJ56" s="489">
        <v>0</v>
      </c>
      <c r="AK56" s="489"/>
      <c r="AL56" s="490">
        <v>0</v>
      </c>
      <c r="AM56" s="477">
        <v>0</v>
      </c>
      <c r="AN56" s="489"/>
      <c r="AO56" s="489"/>
      <c r="AP56" s="489"/>
      <c r="AQ56" s="489"/>
      <c r="AR56" s="489"/>
      <c r="AS56" s="489"/>
      <c r="AT56" s="489"/>
      <c r="AU56" s="490">
        <v>0</v>
      </c>
    </row>
    <row r="57" spans="1:48">
      <c r="A57" s="444" t="s">
        <v>1547</v>
      </c>
      <c r="B57" s="488" t="s">
        <v>449</v>
      </c>
      <c r="C57" s="477" cm="1">
        <f t="array" ref="C57">_xlfn.XLOOKUP(A57,'TB upload'!A:A,'TB upload'!C:C-'TB upload'!B:B,0,0)</f>
        <v>58.25</v>
      </c>
      <c r="D57" s="489"/>
      <c r="E57" s="477" cm="1">
        <f t="array" ref="E57">_xlfn.XLOOKUP(A57,'TB upload'!A:A,'TB upload'!E:E-'TB upload'!D:D,0,0)</f>
        <v>0</v>
      </c>
      <c r="F57" s="489"/>
      <c r="G57" s="477" cm="1">
        <f t="array" ref="G57">_xlfn.XLOOKUP(A57,'TB upload'!A:A,'TB upload'!G:G-'TB upload'!F:F,0,0)</f>
        <v>0</v>
      </c>
      <c r="H57" s="489"/>
      <c r="I57" s="477" cm="1">
        <f t="array" ref="I57">_xlfn.XLOOKUP(A57,'TB upload'!A:A,'TB upload'!I:I-'TB upload'!H:H,0,0)</f>
        <v>0</v>
      </c>
      <c r="J57" s="489"/>
      <c r="K57" s="490">
        <f>SUM(C57:J57)</f>
        <v>58.25</v>
      </c>
      <c r="L57" s="311">
        <v>58.25</v>
      </c>
      <c r="M57" s="311"/>
      <c r="N57" s="311">
        <v>0</v>
      </c>
      <c r="O57" s="311"/>
      <c r="P57" s="311">
        <v>0</v>
      </c>
      <c r="Q57" s="311"/>
      <c r="R57" s="311">
        <v>0</v>
      </c>
      <c r="S57" s="311"/>
      <c r="T57" s="311">
        <v>58.25</v>
      </c>
      <c r="U57" s="477">
        <v>0</v>
      </c>
      <c r="V57" s="489"/>
      <c r="W57" s="489"/>
      <c r="X57" s="489"/>
      <c r="Y57" s="489"/>
      <c r="Z57" s="489"/>
      <c r="AA57" s="489"/>
      <c r="AB57" s="489"/>
      <c r="AC57" s="490">
        <v>0</v>
      </c>
      <c r="AD57" s="477">
        <v>0</v>
      </c>
      <c r="AE57" s="489"/>
      <c r="AF57" s="489">
        <v>0</v>
      </c>
      <c r="AG57" s="489"/>
      <c r="AH57" s="489">
        <v>0</v>
      </c>
      <c r="AI57" s="489"/>
      <c r="AJ57" s="489">
        <v>0</v>
      </c>
      <c r="AK57" s="489"/>
      <c r="AL57" s="490">
        <v>0</v>
      </c>
      <c r="AM57" s="477">
        <v>0</v>
      </c>
      <c r="AN57" s="489"/>
      <c r="AO57" s="489"/>
      <c r="AP57" s="489"/>
      <c r="AQ57" s="489"/>
      <c r="AR57" s="489"/>
      <c r="AS57" s="489"/>
      <c r="AT57" s="489"/>
      <c r="AU57" s="490">
        <v>0</v>
      </c>
    </row>
    <row r="58" spans="1:48" ht="15" thickBot="1">
      <c r="B58" s="488"/>
      <c r="C58" s="477"/>
      <c r="D58" s="489"/>
      <c r="E58" s="489"/>
      <c r="F58" s="489"/>
      <c r="G58" s="489"/>
      <c r="H58" s="489"/>
      <c r="I58" s="489"/>
      <c r="J58" s="489"/>
      <c r="K58" s="490"/>
      <c r="L58" s="311"/>
      <c r="M58" s="311"/>
      <c r="N58" s="311"/>
      <c r="O58" s="311"/>
      <c r="P58" s="311"/>
      <c r="Q58" s="311"/>
      <c r="R58" s="311"/>
      <c r="S58" s="311"/>
      <c r="T58" s="311"/>
      <c r="U58" s="477"/>
      <c r="V58" s="489"/>
      <c r="W58" s="489"/>
      <c r="X58" s="489"/>
      <c r="Y58" s="489"/>
      <c r="Z58" s="489"/>
      <c r="AA58" s="489"/>
      <c r="AB58" s="489"/>
      <c r="AC58" s="490"/>
      <c r="AD58" s="477"/>
      <c r="AE58" s="489"/>
      <c r="AF58" s="489"/>
      <c r="AG58" s="489"/>
      <c r="AH58" s="489"/>
      <c r="AI58" s="489"/>
      <c r="AJ58" s="489"/>
      <c r="AK58" s="489"/>
      <c r="AL58" s="490"/>
      <c r="AM58" s="477"/>
      <c r="AN58" s="489"/>
      <c r="AO58" s="489"/>
      <c r="AP58" s="489"/>
      <c r="AQ58" s="489"/>
      <c r="AR58" s="489"/>
      <c r="AS58" s="489"/>
      <c r="AT58" s="489"/>
      <c r="AU58" s="490"/>
    </row>
    <row r="59" spans="1:48" ht="15.6" thickTop="1" thickBot="1">
      <c r="A59" s="492"/>
      <c r="B59" s="493" t="s">
        <v>51</v>
      </c>
      <c r="C59" s="494">
        <f>SUM(C43:C58)</f>
        <v>14348943.07</v>
      </c>
      <c r="D59" s="495">
        <f t="shared" ref="D59:K59" si="10">SUM(D43:D58)</f>
        <v>-14105233.050000001</v>
      </c>
      <c r="E59" s="495">
        <f t="shared" si="10"/>
        <v>474.6</v>
      </c>
      <c r="F59" s="495">
        <f t="shared" si="10"/>
        <v>0</v>
      </c>
      <c r="G59" s="495">
        <f t="shared" si="10"/>
        <v>644.1</v>
      </c>
      <c r="H59" s="495">
        <f t="shared" si="10"/>
        <v>0</v>
      </c>
      <c r="I59" s="495">
        <f t="shared" si="10"/>
        <v>84866.6</v>
      </c>
      <c r="J59" s="495">
        <f t="shared" si="10"/>
        <v>0</v>
      </c>
      <c r="K59" s="496">
        <f t="shared" si="10"/>
        <v>329695.32</v>
      </c>
      <c r="L59" s="990">
        <v>13522601.550000001</v>
      </c>
      <c r="M59" s="990">
        <v>0</v>
      </c>
      <c r="N59" s="990">
        <v>474.6</v>
      </c>
      <c r="O59" s="990">
        <v>0</v>
      </c>
      <c r="P59" s="990">
        <v>644.1</v>
      </c>
      <c r="Q59" s="990">
        <v>0</v>
      </c>
      <c r="R59" s="990">
        <v>100142.6</v>
      </c>
      <c r="S59" s="990">
        <v>0</v>
      </c>
      <c r="T59" s="990">
        <v>13623862.85</v>
      </c>
      <c r="U59" s="494">
        <v>9604515.0899999999</v>
      </c>
      <c r="V59" s="495">
        <v>0</v>
      </c>
      <c r="W59" s="495">
        <v>475</v>
      </c>
      <c r="X59" s="495">
        <v>0</v>
      </c>
      <c r="Y59" s="495">
        <v>644</v>
      </c>
      <c r="Z59" s="495">
        <v>0</v>
      </c>
      <c r="AA59" s="495">
        <v>0</v>
      </c>
      <c r="AB59" s="495">
        <v>0</v>
      </c>
      <c r="AC59" s="496">
        <v>9605634.0899999999</v>
      </c>
      <c r="AD59" s="494">
        <v>2228371.12</v>
      </c>
      <c r="AE59" s="495">
        <v>0</v>
      </c>
      <c r="AF59" s="495">
        <v>1928.01</v>
      </c>
      <c r="AG59" s="495">
        <v>0</v>
      </c>
      <c r="AH59" s="495">
        <v>33.9</v>
      </c>
      <c r="AI59" s="495">
        <v>0</v>
      </c>
      <c r="AJ59" s="495">
        <v>0</v>
      </c>
      <c r="AK59" s="495">
        <v>22402.460000000003</v>
      </c>
      <c r="AL59" s="496">
        <v>2252735.4900000002</v>
      </c>
      <c r="AM59" s="494">
        <v>1073899.29</v>
      </c>
      <c r="AN59" s="495">
        <v>0</v>
      </c>
      <c r="AO59" s="495">
        <v>970</v>
      </c>
      <c r="AP59" s="495">
        <v>0</v>
      </c>
      <c r="AQ59" s="495">
        <v>126741</v>
      </c>
      <c r="AR59" s="495">
        <v>0</v>
      </c>
      <c r="AS59" s="495">
        <v>0</v>
      </c>
      <c r="AT59" s="495">
        <v>0</v>
      </c>
      <c r="AU59" s="497">
        <v>1201610.29</v>
      </c>
      <c r="AV59" s="491">
        <f>AL59-AU59</f>
        <v>1051125.2000000002</v>
      </c>
    </row>
    <row r="60" spans="1:48" ht="15" thickTop="1">
      <c r="A60" s="444" t="s">
        <v>1674</v>
      </c>
      <c r="B60" s="488" t="s">
        <v>1432</v>
      </c>
      <c r="C60" s="477"/>
      <c r="D60" s="489"/>
      <c r="E60" s="489"/>
      <c r="F60" s="489"/>
      <c r="G60" s="489"/>
      <c r="H60" s="489"/>
      <c r="I60" s="489"/>
      <c r="J60" s="489"/>
      <c r="K60" s="490">
        <f>SUM(C60:J60)</f>
        <v>0</v>
      </c>
      <c r="L60" s="311"/>
      <c r="M60" s="311"/>
      <c r="N60" s="311"/>
      <c r="O60" s="311"/>
      <c r="P60" s="311"/>
      <c r="Q60" s="311"/>
      <c r="R60" s="311"/>
      <c r="S60" s="311"/>
      <c r="T60" s="311">
        <v>0</v>
      </c>
      <c r="U60" s="477"/>
      <c r="V60" s="489"/>
      <c r="W60" s="489"/>
      <c r="X60" s="489"/>
      <c r="Y60" s="489"/>
      <c r="Z60" s="489"/>
      <c r="AA60" s="489"/>
      <c r="AB60" s="489"/>
      <c r="AC60" s="490">
        <v>0</v>
      </c>
      <c r="AD60" s="477"/>
      <c r="AE60" s="489">
        <v>13234</v>
      </c>
      <c r="AF60" s="489"/>
      <c r="AG60" s="489"/>
      <c r="AH60" s="489"/>
      <c r="AI60" s="489"/>
      <c r="AJ60" s="489"/>
      <c r="AK60" s="489"/>
      <c r="AL60" s="490">
        <v>13234</v>
      </c>
      <c r="AM60" s="477"/>
      <c r="AN60" s="489"/>
      <c r="AO60" s="489"/>
      <c r="AP60" s="489"/>
      <c r="AQ60" s="489"/>
      <c r="AR60" s="489"/>
      <c r="AS60" s="489"/>
      <c r="AT60" s="489"/>
      <c r="AU60" s="490"/>
    </row>
    <row r="61" spans="1:48">
      <c r="B61" s="488"/>
      <c r="C61" s="477"/>
      <c r="D61" s="489"/>
      <c r="E61" s="477"/>
      <c r="F61" s="489"/>
      <c r="G61" s="477"/>
      <c r="H61" s="489"/>
      <c r="I61" s="477"/>
      <c r="J61" s="489"/>
      <c r="K61" s="490"/>
      <c r="L61" s="311"/>
      <c r="M61" s="311"/>
      <c r="N61" s="311"/>
      <c r="O61" s="311"/>
      <c r="P61" s="311"/>
      <c r="Q61" s="311"/>
      <c r="R61" s="311"/>
      <c r="S61" s="311"/>
      <c r="T61" s="311"/>
      <c r="U61" s="477"/>
      <c r="V61" s="489"/>
      <c r="W61" s="489"/>
      <c r="X61" s="489"/>
      <c r="Y61" s="489"/>
      <c r="Z61" s="489"/>
      <c r="AA61" s="489"/>
      <c r="AB61" s="489"/>
      <c r="AC61" s="490"/>
      <c r="AD61" s="477"/>
      <c r="AE61" s="489"/>
      <c r="AF61" s="489"/>
      <c r="AG61" s="489"/>
      <c r="AH61" s="489"/>
      <c r="AI61" s="489"/>
      <c r="AJ61" s="489"/>
      <c r="AK61" s="489"/>
      <c r="AL61" s="490"/>
      <c r="AM61" s="477"/>
      <c r="AN61" s="489"/>
      <c r="AO61" s="489"/>
      <c r="AP61" s="489"/>
      <c r="AQ61" s="489"/>
      <c r="AR61" s="489"/>
      <c r="AS61" s="489"/>
      <c r="AT61" s="489"/>
      <c r="AU61" s="490"/>
    </row>
    <row r="62" spans="1:48">
      <c r="A62" s="444" t="s">
        <v>1586</v>
      </c>
      <c r="B62" s="488" t="s">
        <v>449</v>
      </c>
      <c r="C62" s="477" cm="1">
        <f t="array" ref="C62">_xlfn.XLOOKUP(A62,'TB upload'!A:A,'TB upload'!C:C-'TB upload'!B:B,0,0)</f>
        <v>37265381</v>
      </c>
      <c r="D62" s="489">
        <f>1634619*0</f>
        <v>0</v>
      </c>
      <c r="E62" s="489"/>
      <c r="F62" s="489"/>
      <c r="G62" s="489"/>
      <c r="H62" s="489"/>
      <c r="I62" s="489"/>
      <c r="J62" s="489"/>
      <c r="K62" s="490">
        <f>SUM(C62:J62)</f>
        <v>37265381</v>
      </c>
      <c r="L62" s="311"/>
      <c r="M62" s="311"/>
      <c r="N62" s="311"/>
      <c r="O62" s="311"/>
      <c r="P62" s="311"/>
      <c r="Q62" s="311"/>
      <c r="R62" s="311"/>
      <c r="S62" s="311"/>
      <c r="T62" s="311"/>
      <c r="U62" s="477"/>
      <c r="V62" s="489"/>
      <c r="W62" s="489"/>
      <c r="X62" s="489"/>
      <c r="Y62" s="489"/>
      <c r="Z62" s="489"/>
      <c r="AA62" s="489"/>
      <c r="AB62" s="489"/>
      <c r="AC62" s="490"/>
      <c r="AD62" s="477"/>
      <c r="AE62" s="489"/>
      <c r="AF62" s="489"/>
      <c r="AG62" s="489"/>
      <c r="AH62" s="489"/>
      <c r="AI62" s="489"/>
      <c r="AJ62" s="489"/>
      <c r="AK62" s="489"/>
      <c r="AL62" s="490"/>
      <c r="AM62" s="477"/>
      <c r="AN62" s="489"/>
      <c r="AO62" s="489"/>
      <c r="AP62" s="489"/>
      <c r="AQ62" s="489"/>
      <c r="AR62" s="489"/>
      <c r="AS62" s="489"/>
      <c r="AT62" s="489"/>
      <c r="AU62" s="490"/>
    </row>
    <row r="63" spans="1:48">
      <c r="B63" s="488"/>
      <c r="C63" s="477"/>
      <c r="D63" s="489"/>
      <c r="E63" s="489"/>
      <c r="F63" s="489"/>
      <c r="G63" s="489"/>
      <c r="H63" s="489"/>
      <c r="I63" s="489"/>
      <c r="J63" s="489"/>
      <c r="K63" s="490"/>
      <c r="L63" s="311"/>
      <c r="M63" s="311"/>
      <c r="N63" s="311"/>
      <c r="O63" s="311"/>
      <c r="P63" s="311"/>
      <c r="Q63" s="311"/>
      <c r="R63" s="311"/>
      <c r="S63" s="311"/>
      <c r="T63" s="311"/>
      <c r="U63" s="477"/>
      <c r="V63" s="489"/>
      <c r="W63" s="489"/>
      <c r="X63" s="489"/>
      <c r="Y63" s="489"/>
      <c r="Z63" s="489"/>
      <c r="AA63" s="489"/>
      <c r="AB63" s="489"/>
      <c r="AC63" s="490"/>
      <c r="AD63" s="477"/>
      <c r="AE63" s="489"/>
      <c r="AF63" s="489"/>
      <c r="AG63" s="489"/>
      <c r="AH63" s="489"/>
      <c r="AI63" s="489"/>
      <c r="AJ63" s="489"/>
      <c r="AK63" s="489"/>
      <c r="AL63" s="490"/>
      <c r="AM63" s="477"/>
      <c r="AN63" s="489"/>
      <c r="AO63" s="489"/>
      <c r="AP63" s="489"/>
      <c r="AQ63" s="489"/>
      <c r="AR63" s="489"/>
      <c r="AS63" s="489"/>
      <c r="AT63" s="489"/>
      <c r="AU63" s="490"/>
    </row>
    <row r="64" spans="1:48">
      <c r="A64" s="444" t="s">
        <v>1690</v>
      </c>
      <c r="B64" s="488"/>
      <c r="C64" s="477"/>
      <c r="D64" s="489">
        <v>1021445</v>
      </c>
      <c r="E64" s="489"/>
      <c r="F64" s="489"/>
      <c r="G64" s="489"/>
      <c r="H64" s="489"/>
      <c r="I64" s="489"/>
      <c r="J64" s="489"/>
      <c r="K64" s="490">
        <f t="shared" ref="K64:K66" si="11">SUM(C64:J64)</f>
        <v>1021445</v>
      </c>
      <c r="L64" s="311"/>
      <c r="M64" s="311"/>
      <c r="N64" s="311"/>
      <c r="O64" s="311"/>
      <c r="P64" s="311"/>
      <c r="Q64" s="311"/>
      <c r="R64" s="311"/>
      <c r="S64" s="311"/>
      <c r="T64" s="311"/>
      <c r="U64" s="477"/>
      <c r="V64" s="489"/>
      <c r="W64" s="489"/>
      <c r="X64" s="489"/>
      <c r="Y64" s="489"/>
      <c r="Z64" s="489"/>
      <c r="AA64" s="489"/>
      <c r="AB64" s="489"/>
      <c r="AC64" s="490"/>
      <c r="AD64" s="477"/>
      <c r="AE64" s="489"/>
      <c r="AF64" s="489"/>
      <c r="AG64" s="489"/>
      <c r="AH64" s="489"/>
      <c r="AI64" s="489"/>
      <c r="AJ64" s="489"/>
      <c r="AK64" s="489"/>
      <c r="AL64" s="490"/>
      <c r="AM64" s="477"/>
      <c r="AN64" s="489"/>
      <c r="AO64" s="489"/>
      <c r="AP64" s="489"/>
      <c r="AQ64" s="489"/>
      <c r="AR64" s="489"/>
      <c r="AS64" s="489"/>
      <c r="AT64" s="489"/>
      <c r="AU64" s="490"/>
    </row>
    <row r="65" spans="1:48">
      <c r="B65" s="488"/>
      <c r="C65" s="477"/>
      <c r="D65" s="489"/>
      <c r="E65" s="477"/>
      <c r="F65" s="489"/>
      <c r="G65" s="477"/>
      <c r="H65" s="489"/>
      <c r="I65" s="477"/>
      <c r="J65" s="489"/>
      <c r="K65" s="490">
        <f t="shared" si="11"/>
        <v>0</v>
      </c>
      <c r="L65" s="311"/>
      <c r="M65" s="311"/>
      <c r="N65" s="311"/>
      <c r="O65" s="311"/>
      <c r="P65" s="311"/>
      <c r="Q65" s="311"/>
      <c r="R65" s="311"/>
      <c r="S65" s="311"/>
      <c r="T65" s="311"/>
      <c r="U65" s="477"/>
      <c r="V65" s="489"/>
      <c r="W65" s="489"/>
      <c r="X65" s="489"/>
      <c r="Y65" s="489"/>
      <c r="Z65" s="489"/>
      <c r="AA65" s="489"/>
      <c r="AB65" s="489"/>
      <c r="AC65" s="490"/>
      <c r="AD65" s="477"/>
      <c r="AE65" s="489"/>
      <c r="AF65" s="489"/>
      <c r="AG65" s="489"/>
      <c r="AH65" s="489"/>
      <c r="AI65" s="489"/>
      <c r="AJ65" s="489"/>
      <c r="AK65" s="489"/>
      <c r="AL65" s="490"/>
      <c r="AM65" s="477"/>
      <c r="AN65" s="489"/>
      <c r="AO65" s="489"/>
      <c r="AP65" s="489"/>
      <c r="AQ65" s="489"/>
      <c r="AR65" s="489"/>
      <c r="AS65" s="489"/>
      <c r="AT65" s="489"/>
      <c r="AU65" s="490"/>
    </row>
    <row r="66" spans="1:48" ht="15" thickBot="1">
      <c r="B66" s="488"/>
      <c r="C66" s="477"/>
      <c r="D66" s="489"/>
      <c r="E66" s="489"/>
      <c r="F66" s="489"/>
      <c r="G66" s="489"/>
      <c r="H66" s="489"/>
      <c r="I66" s="489"/>
      <c r="J66" s="489"/>
      <c r="K66" s="490">
        <f t="shared" si="11"/>
        <v>0</v>
      </c>
      <c r="L66" s="311"/>
      <c r="M66" s="311"/>
      <c r="N66" s="311"/>
      <c r="O66" s="311"/>
      <c r="P66" s="311"/>
      <c r="Q66" s="311"/>
      <c r="R66" s="311"/>
      <c r="S66" s="311"/>
      <c r="T66" s="311"/>
      <c r="U66" s="477"/>
      <c r="V66" s="489"/>
      <c r="W66" s="489"/>
      <c r="X66" s="489"/>
      <c r="Y66" s="489"/>
      <c r="Z66" s="489"/>
      <c r="AA66" s="489"/>
      <c r="AB66" s="489"/>
      <c r="AC66" s="490"/>
      <c r="AD66" s="477"/>
      <c r="AE66" s="489"/>
      <c r="AF66" s="489"/>
      <c r="AG66" s="489"/>
      <c r="AH66" s="489"/>
      <c r="AI66" s="489"/>
      <c r="AJ66" s="489"/>
      <c r="AK66" s="489"/>
      <c r="AL66" s="490"/>
      <c r="AM66" s="477"/>
      <c r="AN66" s="489"/>
      <c r="AO66" s="489"/>
      <c r="AP66" s="489"/>
      <c r="AQ66" s="489"/>
      <c r="AR66" s="489"/>
      <c r="AS66" s="489"/>
      <c r="AT66" s="489"/>
      <c r="AU66" s="490"/>
    </row>
    <row r="67" spans="1:48" ht="15.6" thickTop="1" thickBot="1">
      <c r="A67" s="492"/>
      <c r="B67" s="493" t="s">
        <v>51</v>
      </c>
      <c r="C67" s="495">
        <f t="shared" ref="C67:J67" si="12">SUM(C64:C66)</f>
        <v>0</v>
      </c>
      <c r="D67" s="495">
        <f t="shared" si="12"/>
        <v>1021445</v>
      </c>
      <c r="E67" s="495">
        <f t="shared" si="12"/>
        <v>0</v>
      </c>
      <c r="F67" s="495">
        <f t="shared" si="12"/>
        <v>0</v>
      </c>
      <c r="G67" s="495">
        <f t="shared" si="12"/>
        <v>0</v>
      </c>
      <c r="H67" s="495">
        <f t="shared" si="12"/>
        <v>0</v>
      </c>
      <c r="I67" s="495">
        <f t="shared" si="12"/>
        <v>0</v>
      </c>
      <c r="J67" s="495">
        <f t="shared" si="12"/>
        <v>0</v>
      </c>
      <c r="K67" s="495">
        <f>SUM(K64:K66)</f>
        <v>1021445</v>
      </c>
      <c r="L67" s="990">
        <v>0</v>
      </c>
      <c r="M67" s="990">
        <v>31833</v>
      </c>
      <c r="N67" s="990">
        <v>0</v>
      </c>
      <c r="O67" s="990">
        <v>0</v>
      </c>
      <c r="P67" s="990">
        <v>0</v>
      </c>
      <c r="Q67" s="990">
        <v>0</v>
      </c>
      <c r="R67" s="990">
        <v>0</v>
      </c>
      <c r="S67" s="990">
        <v>0</v>
      </c>
      <c r="T67" s="990">
        <v>31833</v>
      </c>
      <c r="U67" s="494">
        <v>0</v>
      </c>
      <c r="V67" s="495">
        <v>33352</v>
      </c>
      <c r="W67" s="495">
        <v>0</v>
      </c>
      <c r="X67" s="495">
        <v>0</v>
      </c>
      <c r="Y67" s="495">
        <v>0</v>
      </c>
      <c r="Z67" s="495">
        <v>0</v>
      </c>
      <c r="AA67" s="495">
        <v>0</v>
      </c>
      <c r="AB67" s="495">
        <v>0</v>
      </c>
      <c r="AC67" s="496">
        <v>33352</v>
      </c>
      <c r="AD67" s="494">
        <v>0</v>
      </c>
      <c r="AE67" s="495">
        <v>13234</v>
      </c>
      <c r="AF67" s="495">
        <v>0</v>
      </c>
      <c r="AG67" s="495">
        <v>0</v>
      </c>
      <c r="AH67" s="495">
        <v>0</v>
      </c>
      <c r="AI67" s="495">
        <v>0</v>
      </c>
      <c r="AJ67" s="495">
        <v>0</v>
      </c>
      <c r="AK67" s="495">
        <v>0</v>
      </c>
      <c r="AL67" s="496">
        <v>13234</v>
      </c>
      <c r="AM67" s="494">
        <v>24198</v>
      </c>
      <c r="AN67" s="495">
        <v>0</v>
      </c>
      <c r="AO67" s="495">
        <v>0</v>
      </c>
      <c r="AP67" s="495">
        <v>0</v>
      </c>
      <c r="AQ67" s="495">
        <v>0</v>
      </c>
      <c r="AR67" s="495">
        <v>0</v>
      </c>
      <c r="AS67" s="495">
        <v>0</v>
      </c>
      <c r="AT67" s="495">
        <v>0</v>
      </c>
      <c r="AU67" s="497">
        <v>24198</v>
      </c>
      <c r="AV67" s="491">
        <f>AL67-AU67</f>
        <v>-10964</v>
      </c>
    </row>
    <row r="68" spans="1:48" ht="15" thickTop="1">
      <c r="B68" s="488"/>
      <c r="C68" s="477"/>
      <c r="D68" s="489"/>
      <c r="E68" s="489"/>
      <c r="F68" s="489"/>
      <c r="G68" s="489"/>
      <c r="H68" s="489"/>
      <c r="I68" s="489"/>
      <c r="J68" s="489"/>
      <c r="K68" s="490"/>
      <c r="L68" s="311"/>
      <c r="M68" s="311"/>
      <c r="N68" s="311"/>
      <c r="O68" s="311"/>
      <c r="P68" s="311"/>
      <c r="Q68" s="311"/>
      <c r="R68" s="311"/>
      <c r="S68" s="311"/>
      <c r="T68" s="311"/>
      <c r="U68" s="477"/>
      <c r="V68" s="489"/>
      <c r="W68" s="489"/>
      <c r="X68" s="489"/>
      <c r="Y68" s="489"/>
      <c r="Z68" s="489"/>
      <c r="AA68" s="489"/>
      <c r="AB68" s="489"/>
      <c r="AC68" s="490"/>
      <c r="AD68" s="477"/>
      <c r="AE68" s="489"/>
      <c r="AF68" s="489"/>
      <c r="AG68" s="489"/>
      <c r="AH68" s="489"/>
      <c r="AI68" s="489"/>
      <c r="AJ68" s="489"/>
      <c r="AK68" s="489"/>
      <c r="AL68" s="490"/>
      <c r="AM68" s="477"/>
      <c r="AN68" s="489"/>
      <c r="AO68" s="489"/>
      <c r="AP68" s="489"/>
      <c r="AQ68" s="489"/>
      <c r="AR68" s="489"/>
      <c r="AS68" s="489"/>
      <c r="AT68" s="489"/>
      <c r="AU68" s="490"/>
    </row>
    <row r="69" spans="1:48">
      <c r="A69" s="498" t="s">
        <v>239</v>
      </c>
      <c r="B69" s="488"/>
      <c r="C69" s="477"/>
      <c r="D69" s="489"/>
      <c r="E69" s="489"/>
      <c r="F69" s="489"/>
      <c r="G69" s="489"/>
      <c r="H69" s="489"/>
      <c r="I69" s="489"/>
      <c r="J69" s="489"/>
      <c r="K69" s="490"/>
      <c r="L69" s="311"/>
      <c r="M69" s="311"/>
      <c r="N69" s="311"/>
      <c r="O69" s="311"/>
      <c r="P69" s="311"/>
      <c r="Q69" s="311"/>
      <c r="R69" s="311"/>
      <c r="S69" s="311"/>
      <c r="T69" s="311"/>
      <c r="U69" s="477"/>
      <c r="V69" s="489"/>
      <c r="W69" s="489"/>
      <c r="X69" s="489"/>
      <c r="Y69" s="489"/>
      <c r="Z69" s="489"/>
      <c r="AA69" s="489"/>
      <c r="AB69" s="489"/>
      <c r="AC69" s="490"/>
      <c r="AD69" s="477"/>
      <c r="AE69" s="489"/>
      <c r="AF69" s="489"/>
      <c r="AG69" s="489"/>
      <c r="AH69" s="489"/>
      <c r="AI69" s="489"/>
      <c r="AJ69" s="489"/>
      <c r="AK69" s="489"/>
      <c r="AL69" s="490"/>
      <c r="AM69" s="477"/>
      <c r="AN69" s="489"/>
      <c r="AO69" s="489"/>
      <c r="AP69" s="489"/>
      <c r="AQ69" s="489"/>
      <c r="AR69" s="489"/>
      <c r="AS69" s="489"/>
      <c r="AT69" s="489"/>
      <c r="AU69" s="490"/>
    </row>
    <row r="70" spans="1:48">
      <c r="A70" s="444" t="s">
        <v>982</v>
      </c>
      <c r="B70" s="488" t="s">
        <v>449</v>
      </c>
      <c r="C70" s="477" cm="1">
        <f t="array" ref="C70">_xlfn.XLOOKUP(A70,'TB upload'!A:A,'TB upload'!C:C-'TB upload'!B:B,0,0)</f>
        <v>48850</v>
      </c>
      <c r="D70" s="489"/>
      <c r="E70" s="477" cm="1">
        <f t="array" ref="E70">_xlfn.XLOOKUP(A70,'TB upload'!A:A,'TB upload'!E:E-'TB upload'!D:D,0,0)</f>
        <v>0</v>
      </c>
      <c r="F70" s="489"/>
      <c r="G70" s="477" cm="1">
        <f t="array" ref="G70">_xlfn.XLOOKUP(A70,'TB upload'!A:A,'TB upload'!G:G-'TB upload'!F:F,0,0)</f>
        <v>0</v>
      </c>
      <c r="H70" s="489"/>
      <c r="I70" s="477" cm="1">
        <f t="array" ref="I70">_xlfn.XLOOKUP(A70,'TB upload'!A:A,'TB upload'!I:I-'TB upload'!H:H,0,0)</f>
        <v>0</v>
      </c>
      <c r="J70" s="489"/>
      <c r="K70" s="490">
        <f>SUM(C70:J70)</f>
        <v>48850</v>
      </c>
      <c r="L70" s="311">
        <v>48850</v>
      </c>
      <c r="M70" s="311"/>
      <c r="N70" s="311">
        <v>0</v>
      </c>
      <c r="O70" s="311"/>
      <c r="P70" s="311">
        <v>0</v>
      </c>
      <c r="Q70" s="311"/>
      <c r="R70" s="311">
        <v>0</v>
      </c>
      <c r="S70" s="311"/>
      <c r="T70" s="311">
        <v>48850</v>
      </c>
      <c r="U70" s="477">
        <v>48850</v>
      </c>
      <c r="V70" s="489"/>
      <c r="W70" s="489"/>
      <c r="X70" s="489"/>
      <c r="Y70" s="489"/>
      <c r="Z70" s="489"/>
      <c r="AA70" s="489"/>
      <c r="AB70" s="489"/>
      <c r="AC70" s="490">
        <v>48850</v>
      </c>
      <c r="AD70" s="477">
        <v>480535</v>
      </c>
      <c r="AE70" s="489"/>
      <c r="AF70" s="489">
        <v>0</v>
      </c>
      <c r="AG70" s="489"/>
      <c r="AH70" s="489">
        <v>0</v>
      </c>
      <c r="AI70" s="489"/>
      <c r="AJ70" s="489">
        <v>0</v>
      </c>
      <c r="AK70" s="489"/>
      <c r="AL70" s="490">
        <v>480535</v>
      </c>
      <c r="AM70" s="477">
        <v>266584</v>
      </c>
      <c r="AN70" s="489"/>
      <c r="AO70" s="489"/>
      <c r="AP70" s="489"/>
      <c r="AQ70" s="489"/>
      <c r="AR70" s="489"/>
      <c r="AS70" s="489"/>
      <c r="AT70" s="489"/>
      <c r="AU70" s="490">
        <v>266584</v>
      </c>
    </row>
    <row r="71" spans="1:48" ht="15" thickBot="1">
      <c r="B71" s="488"/>
      <c r="C71" s="477"/>
      <c r="D71" s="489"/>
      <c r="E71" s="489"/>
      <c r="F71" s="489"/>
      <c r="G71" s="489"/>
      <c r="H71" s="489"/>
      <c r="I71" s="489"/>
      <c r="J71" s="489"/>
      <c r="K71" s="490"/>
      <c r="L71" s="311"/>
      <c r="M71" s="311"/>
      <c r="N71" s="311"/>
      <c r="O71" s="311"/>
      <c r="P71" s="311"/>
      <c r="Q71" s="311"/>
      <c r="R71" s="311"/>
      <c r="S71" s="311"/>
      <c r="T71" s="311"/>
      <c r="U71" s="477"/>
      <c r="V71" s="489"/>
      <c r="W71" s="489"/>
      <c r="X71" s="489"/>
      <c r="Y71" s="489"/>
      <c r="Z71" s="489"/>
      <c r="AA71" s="489"/>
      <c r="AB71" s="489"/>
      <c r="AC71" s="490"/>
      <c r="AD71" s="477"/>
      <c r="AE71" s="489"/>
      <c r="AF71" s="489"/>
      <c r="AG71" s="489"/>
      <c r="AH71" s="489"/>
      <c r="AI71" s="489"/>
      <c r="AJ71" s="489"/>
      <c r="AK71" s="489"/>
      <c r="AL71" s="490"/>
      <c r="AM71" s="477"/>
      <c r="AN71" s="489"/>
      <c r="AO71" s="489"/>
      <c r="AP71" s="489"/>
      <c r="AQ71" s="489"/>
      <c r="AR71" s="489"/>
      <c r="AS71" s="489"/>
      <c r="AT71" s="489"/>
      <c r="AU71" s="490"/>
    </row>
    <row r="72" spans="1:48" ht="15.6" thickTop="1" thickBot="1">
      <c r="A72" s="492"/>
      <c r="B72" s="493" t="s">
        <v>51</v>
      </c>
      <c r="C72" s="494">
        <f>SUM(C70:C71)</f>
        <v>48850</v>
      </c>
      <c r="D72" s="495">
        <f t="shared" ref="D72:K72" si="13">SUM(D70:D71)</f>
        <v>0</v>
      </c>
      <c r="E72" s="495">
        <f t="shared" si="13"/>
        <v>0</v>
      </c>
      <c r="F72" s="495">
        <f t="shared" si="13"/>
        <v>0</v>
      </c>
      <c r="G72" s="495">
        <f t="shared" si="13"/>
        <v>0</v>
      </c>
      <c r="H72" s="495">
        <f t="shared" si="13"/>
        <v>0</v>
      </c>
      <c r="I72" s="495">
        <f t="shared" si="13"/>
        <v>0</v>
      </c>
      <c r="J72" s="495">
        <f t="shared" si="13"/>
        <v>0</v>
      </c>
      <c r="K72" s="496">
        <f t="shared" si="13"/>
        <v>48850</v>
      </c>
      <c r="L72" s="990">
        <v>48850</v>
      </c>
      <c r="M72" s="990">
        <v>0</v>
      </c>
      <c r="N72" s="990">
        <v>0</v>
      </c>
      <c r="O72" s="990">
        <v>0</v>
      </c>
      <c r="P72" s="990">
        <v>0</v>
      </c>
      <c r="Q72" s="990">
        <v>0</v>
      </c>
      <c r="R72" s="990">
        <v>0</v>
      </c>
      <c r="S72" s="990">
        <v>0</v>
      </c>
      <c r="T72" s="990">
        <v>48850</v>
      </c>
      <c r="U72" s="494">
        <v>48850</v>
      </c>
      <c r="V72" s="495">
        <v>0</v>
      </c>
      <c r="W72" s="495">
        <v>0</v>
      </c>
      <c r="X72" s="495">
        <v>0</v>
      </c>
      <c r="Y72" s="495">
        <v>0</v>
      </c>
      <c r="Z72" s="495">
        <v>0</v>
      </c>
      <c r="AA72" s="495">
        <v>0</v>
      </c>
      <c r="AB72" s="495">
        <v>0</v>
      </c>
      <c r="AC72" s="496">
        <v>48850</v>
      </c>
      <c r="AD72" s="494">
        <v>480535</v>
      </c>
      <c r="AE72" s="495">
        <v>0</v>
      </c>
      <c r="AF72" s="495">
        <v>0</v>
      </c>
      <c r="AG72" s="495">
        <v>0</v>
      </c>
      <c r="AH72" s="495">
        <v>0</v>
      </c>
      <c r="AI72" s="495">
        <v>0</v>
      </c>
      <c r="AJ72" s="495">
        <v>0</v>
      </c>
      <c r="AK72" s="495">
        <v>0</v>
      </c>
      <c r="AL72" s="496">
        <v>480535</v>
      </c>
      <c r="AM72" s="494">
        <v>266584</v>
      </c>
      <c r="AN72" s="495">
        <v>0</v>
      </c>
      <c r="AO72" s="495">
        <v>0</v>
      </c>
      <c r="AP72" s="495">
        <v>0</v>
      </c>
      <c r="AQ72" s="495">
        <v>0</v>
      </c>
      <c r="AR72" s="495">
        <v>0</v>
      </c>
      <c r="AS72" s="495">
        <v>0</v>
      </c>
      <c r="AT72" s="495">
        <v>0</v>
      </c>
      <c r="AU72" s="497">
        <v>266584</v>
      </c>
      <c r="AV72" s="491">
        <f>AL72-AU72</f>
        <v>213951</v>
      </c>
    </row>
    <row r="73" spans="1:48" ht="15" thickTop="1">
      <c r="A73" s="498" t="s">
        <v>245</v>
      </c>
      <c r="B73" s="499"/>
      <c r="C73" s="477"/>
      <c r="D73" s="489"/>
      <c r="E73" s="489"/>
      <c r="F73" s="489"/>
      <c r="G73" s="489"/>
      <c r="H73" s="489"/>
      <c r="I73" s="489"/>
      <c r="J73" s="489"/>
      <c r="K73" s="490"/>
      <c r="L73" s="311"/>
      <c r="M73" s="311"/>
      <c r="N73" s="311"/>
      <c r="O73" s="311"/>
      <c r="P73" s="311"/>
      <c r="Q73" s="311"/>
      <c r="R73" s="311"/>
      <c r="S73" s="311"/>
      <c r="T73" s="311"/>
      <c r="U73" s="477"/>
      <c r="V73" s="489"/>
      <c r="W73" s="489"/>
      <c r="X73" s="489"/>
      <c r="Y73" s="489"/>
      <c r="Z73" s="489"/>
      <c r="AA73" s="489"/>
      <c r="AB73" s="489"/>
      <c r="AC73" s="490"/>
      <c r="AD73" s="477"/>
      <c r="AE73" s="489"/>
      <c r="AF73" s="489"/>
      <c r="AG73" s="489"/>
      <c r="AH73" s="489"/>
      <c r="AI73" s="489"/>
      <c r="AJ73" s="489"/>
      <c r="AK73" s="489"/>
      <c r="AL73" s="490"/>
      <c r="AM73" s="477"/>
      <c r="AN73" s="489"/>
      <c r="AO73" s="489"/>
      <c r="AP73" s="489"/>
      <c r="AQ73" s="489"/>
      <c r="AR73" s="489"/>
      <c r="AS73" s="489"/>
      <c r="AT73" s="489"/>
      <c r="AU73" s="490"/>
      <c r="AV73" s="491"/>
    </row>
    <row r="74" spans="1:48">
      <c r="B74" s="488"/>
      <c r="C74" s="477"/>
      <c r="D74" s="489"/>
      <c r="E74" s="489"/>
      <c r="F74" s="489"/>
      <c r="G74" s="489"/>
      <c r="H74" s="489"/>
      <c r="I74" s="489"/>
      <c r="J74" s="489"/>
      <c r="K74" s="490"/>
      <c r="L74" s="311"/>
      <c r="M74" s="311"/>
      <c r="N74" s="311"/>
      <c r="O74" s="311"/>
      <c r="P74" s="311"/>
      <c r="Q74" s="311"/>
      <c r="R74" s="311"/>
      <c r="S74" s="311"/>
      <c r="T74" s="311"/>
      <c r="U74" s="477"/>
      <c r="V74" s="489"/>
      <c r="W74" s="489"/>
      <c r="X74" s="489"/>
      <c r="Y74" s="489"/>
      <c r="Z74" s="489"/>
      <c r="AA74" s="489"/>
      <c r="AB74" s="489"/>
      <c r="AC74" s="490"/>
      <c r="AD74" s="477"/>
      <c r="AE74" s="489"/>
      <c r="AF74" s="489"/>
      <c r="AG74" s="489"/>
      <c r="AH74" s="489"/>
      <c r="AI74" s="489"/>
      <c r="AJ74" s="489"/>
      <c r="AK74" s="489"/>
      <c r="AL74" s="490"/>
      <c r="AM74" s="477"/>
      <c r="AN74" s="489"/>
      <c r="AO74" s="489"/>
      <c r="AP74" s="489"/>
      <c r="AQ74" s="489"/>
      <c r="AR74" s="489"/>
      <c r="AS74" s="489"/>
      <c r="AT74" s="489"/>
      <c r="AU74" s="490"/>
    </row>
    <row r="75" spans="1:48" s="945" customFormat="1" ht="15.6" customHeight="1">
      <c r="A75" s="940" t="s">
        <v>155</v>
      </c>
      <c r="B75" s="941" t="s">
        <v>449</v>
      </c>
      <c r="C75" s="649" cm="1">
        <f t="array" ref="C75">_xlfn.XLOOKUP(A75,'TB upload'!A:A,'TB upload'!C:C-'TB upload'!B:B,0,0)*-1</f>
        <v>529707.16</v>
      </c>
      <c r="D75" s="942"/>
      <c r="E75" s="942" cm="1">
        <f t="array" ref="E75">_xlfn.XLOOKUP(A75,'TB upload'!A:A,'TB upload'!E:E-'TB upload'!D:D,0,0)*-1</f>
        <v>0</v>
      </c>
      <c r="F75" s="942"/>
      <c r="G75" s="477" cm="1">
        <f t="array" ref="G75">_xlfn.XLOOKUP(A75,'TB upload'!A:A,'TB upload'!G:G-'TB upload'!F:F,0,0)*-1</f>
        <v>0</v>
      </c>
      <c r="H75" s="489"/>
      <c r="I75" s="477" cm="1">
        <f t="array" ref="I75">_xlfn.XLOOKUP(A75,'TB upload'!A:A,'TB upload'!I:I-'TB upload'!H:H,0,0)*-1</f>
        <v>0</v>
      </c>
      <c r="J75" s="942"/>
      <c r="K75" s="943">
        <f t="shared" ref="K75:K88" si="14">SUM(C75:J75)</f>
        <v>529707.16</v>
      </c>
      <c r="L75" s="992">
        <v>529707.16</v>
      </c>
      <c r="M75" s="992"/>
      <c r="N75" s="992">
        <v>0</v>
      </c>
      <c r="O75" s="992"/>
      <c r="P75" s="992">
        <v>0</v>
      </c>
      <c r="Q75" s="992"/>
      <c r="R75" s="992">
        <v>0</v>
      </c>
      <c r="S75" s="992"/>
      <c r="T75" s="992">
        <v>529707.16</v>
      </c>
      <c r="U75" s="649">
        <v>315040</v>
      </c>
      <c r="V75" s="942"/>
      <c r="W75" s="942"/>
      <c r="X75" s="942"/>
      <c r="Y75" s="942"/>
      <c r="Z75" s="942"/>
      <c r="AA75" s="942"/>
      <c r="AB75" s="942"/>
      <c r="AC75" s="943">
        <v>315040</v>
      </c>
      <c r="AD75" s="649">
        <v>2453557.9900000002</v>
      </c>
      <c r="AE75" s="942"/>
      <c r="AF75" s="942">
        <v>0</v>
      </c>
      <c r="AG75" s="942"/>
      <c r="AH75" s="942">
        <v>0</v>
      </c>
      <c r="AI75" s="942"/>
      <c r="AJ75" s="942">
        <v>0</v>
      </c>
      <c r="AK75" s="942"/>
      <c r="AL75" s="943">
        <v>2453557.9900000002</v>
      </c>
      <c r="AM75" s="649">
        <v>832926</v>
      </c>
      <c r="AN75" s="942"/>
      <c r="AO75" s="942"/>
      <c r="AP75" s="942"/>
      <c r="AQ75" s="942"/>
      <c r="AR75" s="942"/>
      <c r="AS75" s="942"/>
      <c r="AT75" s="942"/>
      <c r="AU75" s="943">
        <v>832926</v>
      </c>
      <c r="AV75" s="944">
        <f t="shared" ref="AV75:AV95" si="15">AL75-AU75</f>
        <v>1620631.9900000002</v>
      </c>
    </row>
    <row r="76" spans="1:48">
      <c r="A76" s="444" t="s">
        <v>1079</v>
      </c>
      <c r="B76" s="488" t="s">
        <v>449</v>
      </c>
      <c r="C76" s="477" cm="1">
        <f t="array" ref="C76">_xlfn.XLOOKUP(A76,'TB upload'!A:A,'TB upload'!C:C-'TB upload'!B:B,0,0)*-1</f>
        <v>0</v>
      </c>
      <c r="D76" s="489"/>
      <c r="E76" s="942" cm="1">
        <f t="array" ref="E76">_xlfn.XLOOKUP(A76,'TB upload'!A:A,'TB upload'!E:E-'TB upload'!D:D,0,0)*-1</f>
        <v>0</v>
      </c>
      <c r="F76" s="489"/>
      <c r="G76" s="477" cm="1">
        <f t="array" ref="G76">_xlfn.XLOOKUP(A76,'TB upload'!A:A,'TB upload'!G:G-'TB upload'!F:F,0,0)*-1</f>
        <v>0</v>
      </c>
      <c r="H76" s="489"/>
      <c r="I76" s="477" cm="1">
        <f t="array" ref="I76">_xlfn.XLOOKUP(A76,'TB upload'!A:A,'TB upload'!I:I-'TB upload'!H:H,0,0)*-1</f>
        <v>0</v>
      </c>
      <c r="J76" s="489"/>
      <c r="K76" s="490">
        <f t="shared" si="14"/>
        <v>0</v>
      </c>
      <c r="L76" s="311">
        <v>0</v>
      </c>
      <c r="M76" s="311"/>
      <c r="N76" s="311">
        <v>0</v>
      </c>
      <c r="O76" s="311"/>
      <c r="P76" s="311">
        <v>0</v>
      </c>
      <c r="Q76" s="311"/>
      <c r="R76" s="311">
        <v>0</v>
      </c>
      <c r="S76" s="311"/>
      <c r="T76" s="311">
        <v>0</v>
      </c>
      <c r="U76" s="477">
        <v>0</v>
      </c>
      <c r="V76" s="489"/>
      <c r="W76" s="489"/>
      <c r="X76" s="489"/>
      <c r="Y76" s="489"/>
      <c r="Z76" s="489"/>
      <c r="AA76" s="489"/>
      <c r="AB76" s="489"/>
      <c r="AC76" s="490">
        <v>0</v>
      </c>
      <c r="AD76" s="477">
        <v>0</v>
      </c>
      <c r="AE76" s="489"/>
      <c r="AF76" s="489">
        <v>125415.76</v>
      </c>
      <c r="AG76" s="489">
        <v>-125415.76</v>
      </c>
      <c r="AH76" s="489">
        <v>95909.75</v>
      </c>
      <c r="AI76" s="489">
        <v>-95909.75</v>
      </c>
      <c r="AJ76" s="489">
        <v>0</v>
      </c>
      <c r="AK76" s="489"/>
      <c r="AL76" s="490">
        <v>0</v>
      </c>
      <c r="AM76" s="477">
        <v>0</v>
      </c>
      <c r="AN76" s="489"/>
      <c r="AO76" s="489">
        <v>201412</v>
      </c>
      <c r="AP76" s="489">
        <v>-201412</v>
      </c>
      <c r="AQ76" s="489">
        <v>9378</v>
      </c>
      <c r="AR76" s="489">
        <v>-9378</v>
      </c>
      <c r="AS76" s="489"/>
      <c r="AT76" s="489"/>
      <c r="AU76" s="490">
        <v>0</v>
      </c>
      <c r="AV76" s="491">
        <f t="shared" si="15"/>
        <v>0</v>
      </c>
    </row>
    <row r="77" spans="1:48">
      <c r="A77" s="444" t="s">
        <v>1184</v>
      </c>
      <c r="B77" s="488" t="s">
        <v>449</v>
      </c>
      <c r="C77" s="477" cm="1">
        <f t="array" ref="C77">_xlfn.XLOOKUP(A77,'TB upload'!A:A,'TB upload'!C:C-'TB upload'!B:B,0,0)*-1</f>
        <v>315549.90000000002</v>
      </c>
      <c r="D77" s="489"/>
      <c r="E77" s="942" cm="1">
        <f t="array" ref="E77">_xlfn.XLOOKUP(A77,'TB upload'!A:A,'TB upload'!E:E-'TB upload'!D:D,0,0)*-1</f>
        <v>0</v>
      </c>
      <c r="F77" s="489"/>
      <c r="G77" s="477" cm="1">
        <f t="array" ref="G77">_xlfn.XLOOKUP(A77,'TB upload'!A:A,'TB upload'!G:G-'TB upload'!F:F,0,0)*-1</f>
        <v>0</v>
      </c>
      <c r="H77" s="489"/>
      <c r="I77" s="477" cm="1">
        <f t="array" ref="I77">_xlfn.XLOOKUP(A77,'TB upload'!A:A,'TB upload'!I:I-'TB upload'!H:H,0,0)*-1</f>
        <v>0</v>
      </c>
      <c r="J77" s="489"/>
      <c r="K77" s="490">
        <f t="shared" si="14"/>
        <v>315549.90000000002</v>
      </c>
      <c r="L77" s="311">
        <v>315549.90000000002</v>
      </c>
      <c r="M77" s="311"/>
      <c r="N77" s="311">
        <v>0</v>
      </c>
      <c r="O77" s="311"/>
      <c r="P77" s="311">
        <v>0</v>
      </c>
      <c r="Q77" s="311"/>
      <c r="R77" s="311">
        <v>0</v>
      </c>
      <c r="S77" s="311"/>
      <c r="T77" s="311">
        <v>315549.90000000002</v>
      </c>
      <c r="U77" s="477">
        <v>4776</v>
      </c>
      <c r="V77" s="489"/>
      <c r="W77" s="489"/>
      <c r="X77" s="489"/>
      <c r="Y77" s="489"/>
      <c r="Z77" s="489"/>
      <c r="AA77" s="489"/>
      <c r="AB77" s="489"/>
      <c r="AC77" s="490">
        <v>4776</v>
      </c>
      <c r="AD77" s="477">
        <v>10953.46</v>
      </c>
      <c r="AE77" s="489"/>
      <c r="AF77" s="489">
        <v>0</v>
      </c>
      <c r="AG77" s="489"/>
      <c r="AH77" s="489">
        <v>0</v>
      </c>
      <c r="AI77" s="489"/>
      <c r="AJ77" s="489">
        <v>0</v>
      </c>
      <c r="AK77" s="489"/>
      <c r="AL77" s="490">
        <v>10953.46</v>
      </c>
      <c r="AM77" s="477">
        <v>51883.26</v>
      </c>
      <c r="AN77" s="489"/>
      <c r="AO77" s="489"/>
      <c r="AP77" s="489"/>
      <c r="AQ77" s="489"/>
      <c r="AR77" s="489"/>
      <c r="AS77" s="489"/>
      <c r="AT77" s="489"/>
      <c r="AU77" s="490">
        <v>51883.26</v>
      </c>
      <c r="AV77" s="491">
        <f t="shared" si="15"/>
        <v>-40929.800000000003</v>
      </c>
    </row>
    <row r="78" spans="1:48">
      <c r="A78" s="444" t="s">
        <v>156</v>
      </c>
      <c r="B78" s="488" t="s">
        <v>449</v>
      </c>
      <c r="C78" s="477" cm="1">
        <f t="array" ref="C78">_xlfn.XLOOKUP(A78,'TB upload'!A:A,'TB upload'!C:C-'TB upload'!B:B,0,0)*-1</f>
        <v>2160782.48</v>
      </c>
      <c r="D78" s="489"/>
      <c r="E78" s="942" cm="1">
        <f t="array" ref="E78">_xlfn.XLOOKUP(A78,'TB upload'!A:A,'TB upload'!E:E-'TB upload'!D:D,0,0)*-1</f>
        <v>0</v>
      </c>
      <c r="F78" s="489"/>
      <c r="G78" s="477" cm="1">
        <f t="array" ref="G78">_xlfn.XLOOKUP(A78,'TB upload'!A:A,'TB upload'!G:G-'TB upload'!F:F,0,0)*-1</f>
        <v>0</v>
      </c>
      <c r="H78" s="489"/>
      <c r="I78" s="477" cm="1">
        <f t="array" ref="I78">_xlfn.XLOOKUP(A78,'TB upload'!A:A,'TB upload'!I:I-'TB upload'!H:H,0,0)*-1</f>
        <v>0</v>
      </c>
      <c r="J78" s="489"/>
      <c r="K78" s="490">
        <f t="shared" si="14"/>
        <v>2160782.48</v>
      </c>
      <c r="L78" s="311">
        <v>2160782.48</v>
      </c>
      <c r="M78" s="311"/>
      <c r="N78" s="311">
        <v>0</v>
      </c>
      <c r="O78" s="311"/>
      <c r="P78" s="311">
        <v>0</v>
      </c>
      <c r="Q78" s="311"/>
      <c r="R78" s="311">
        <v>0</v>
      </c>
      <c r="S78" s="311"/>
      <c r="T78" s="311">
        <v>2160782.48</v>
      </c>
      <c r="U78" s="477">
        <v>1208086.26</v>
      </c>
      <c r="V78" s="489"/>
      <c r="W78" s="489"/>
      <c r="X78" s="489"/>
      <c r="Y78" s="489"/>
      <c r="Z78" s="489"/>
      <c r="AA78" s="489"/>
      <c r="AB78" s="489"/>
      <c r="AC78" s="490">
        <v>1208086.26</v>
      </c>
      <c r="AD78" s="477">
        <v>10522979.710000001</v>
      </c>
      <c r="AE78" s="489"/>
      <c r="AF78" s="489">
        <v>0</v>
      </c>
      <c r="AG78" s="489"/>
      <c r="AH78" s="489">
        <v>0</v>
      </c>
      <c r="AI78" s="489"/>
      <c r="AJ78" s="489">
        <v>0</v>
      </c>
      <c r="AK78" s="489"/>
      <c r="AL78" s="490">
        <v>10522979.710000001</v>
      </c>
      <c r="AM78" s="477">
        <v>2065760.19</v>
      </c>
      <c r="AN78" s="489"/>
      <c r="AO78" s="489"/>
      <c r="AP78" s="489"/>
      <c r="AQ78" s="489"/>
      <c r="AR78" s="489"/>
      <c r="AS78" s="489"/>
      <c r="AT78" s="489"/>
      <c r="AU78" s="490">
        <v>2065760.19</v>
      </c>
      <c r="AV78" s="491">
        <f t="shared" si="15"/>
        <v>8457219.5200000014</v>
      </c>
    </row>
    <row r="79" spans="1:48">
      <c r="A79" s="444" t="s">
        <v>157</v>
      </c>
      <c r="B79" s="488" t="s">
        <v>449</v>
      </c>
      <c r="C79" s="477" cm="1">
        <f t="array" ref="C79">_xlfn.XLOOKUP(A79,'TB upload'!A:A,'TB upload'!C:C-'TB upload'!B:B,0,0)*-1</f>
        <v>-2502820.46</v>
      </c>
      <c r="D79" s="489"/>
      <c r="E79" s="942" cm="1">
        <f t="array" ref="E79">_xlfn.XLOOKUP(A79,'TB upload'!A:A,'TB upload'!E:E-'TB upload'!D:D,0,0)*-1</f>
        <v>0</v>
      </c>
      <c r="F79" s="489"/>
      <c r="G79" s="477" cm="1">
        <f t="array" ref="G79">_xlfn.XLOOKUP(A79,'TB upload'!A:A,'TB upload'!G:G-'TB upload'!F:F,0,0)*-1</f>
        <v>39651.42</v>
      </c>
      <c r="H79" s="489"/>
      <c r="I79" s="477" cm="1">
        <f t="array" ref="I79">_xlfn.XLOOKUP(A79,'TB upload'!A:A,'TB upload'!I:I-'TB upload'!H:H,0,0)*-1</f>
        <v>1624.7</v>
      </c>
      <c r="J79" s="489"/>
      <c r="K79" s="490">
        <f t="shared" si="14"/>
        <v>-2461544.34</v>
      </c>
      <c r="L79" s="311">
        <v>-2484293.19</v>
      </c>
      <c r="M79" s="311"/>
      <c r="N79" s="311">
        <v>0</v>
      </c>
      <c r="O79" s="311"/>
      <c r="P79" s="311">
        <v>39651.42</v>
      </c>
      <c r="Q79" s="311"/>
      <c r="R79" s="311">
        <v>1624.7</v>
      </c>
      <c r="S79" s="311"/>
      <c r="T79" s="311">
        <v>-2443017.0699999998</v>
      </c>
      <c r="U79" s="477">
        <v>-2381163</v>
      </c>
      <c r="V79" s="489"/>
      <c r="W79" s="489"/>
      <c r="X79" s="489"/>
      <c r="Y79" s="489">
        <v>39651</v>
      </c>
      <c r="Z79" s="489"/>
      <c r="AA79" s="489">
        <v>1625</v>
      </c>
      <c r="AB79" s="489"/>
      <c r="AC79" s="490">
        <v>-2339887</v>
      </c>
      <c r="AD79" s="477">
        <v>13931208.890000001</v>
      </c>
      <c r="AE79" s="489"/>
      <c r="AF79" s="489">
        <v>0</v>
      </c>
      <c r="AG79" s="489"/>
      <c r="AH79" s="489">
        <v>0</v>
      </c>
      <c r="AI79" s="489"/>
      <c r="AJ79" s="489">
        <v>998095.52</v>
      </c>
      <c r="AK79" s="489"/>
      <c r="AL79" s="490">
        <v>14929304.41</v>
      </c>
      <c r="AM79" s="477">
        <v>20092177.41</v>
      </c>
      <c r="AN79" s="489">
        <v>374192</v>
      </c>
      <c r="AO79" s="489"/>
      <c r="AP79" s="489"/>
      <c r="AQ79" s="489">
        <v>450185</v>
      </c>
      <c r="AR79" s="489"/>
      <c r="AS79" s="489"/>
      <c r="AT79" s="489"/>
      <c r="AU79" s="490">
        <v>20916554.41</v>
      </c>
      <c r="AV79" s="491">
        <f t="shared" si="15"/>
        <v>-5987250</v>
      </c>
    </row>
    <row r="80" spans="1:48">
      <c r="A80" s="444" t="s">
        <v>1060</v>
      </c>
      <c r="B80" s="488" t="s">
        <v>449</v>
      </c>
      <c r="C80" s="477" cm="1">
        <f t="array" ref="C80">_xlfn.XLOOKUP(A80,'TB upload'!A:A,'TB upload'!C:C-'TB upload'!B:B,0,0)*-1</f>
        <v>0</v>
      </c>
      <c r="D80" s="489"/>
      <c r="E80" s="942" cm="1">
        <f t="array" ref="E80">_xlfn.XLOOKUP(A80,'TB upload'!A:A,'TB upload'!E:E-'TB upload'!D:D,0,0)*-1</f>
        <v>0</v>
      </c>
      <c r="F80" s="489"/>
      <c r="G80" s="477" cm="1">
        <f t="array" ref="G80">_xlfn.XLOOKUP(A80,'TB upload'!A:A,'TB upload'!G:G-'TB upload'!F:F,0,0)*-1</f>
        <v>0</v>
      </c>
      <c r="H80" s="489"/>
      <c r="I80" s="477" cm="1">
        <f t="array" ref="I80">_xlfn.XLOOKUP(A80,'TB upload'!A:A,'TB upload'!I:I-'TB upload'!H:H,0,0)*-1</f>
        <v>0</v>
      </c>
      <c r="J80" s="489"/>
      <c r="K80" s="490">
        <f t="shared" si="14"/>
        <v>0</v>
      </c>
      <c r="L80" s="311">
        <v>0</v>
      </c>
      <c r="M80" s="311"/>
      <c r="N80" s="311">
        <v>0</v>
      </c>
      <c r="O80" s="311"/>
      <c r="P80" s="311">
        <v>0</v>
      </c>
      <c r="Q80" s="311"/>
      <c r="R80" s="311">
        <v>0</v>
      </c>
      <c r="S80" s="311"/>
      <c r="T80" s="311">
        <v>0</v>
      </c>
      <c r="U80" s="477">
        <v>0</v>
      </c>
      <c r="V80" s="489"/>
      <c r="W80" s="489"/>
      <c r="X80" s="489"/>
      <c r="Y80" s="489"/>
      <c r="Z80" s="489"/>
      <c r="AA80" s="489"/>
      <c r="AB80" s="489"/>
      <c r="AC80" s="490">
        <v>0</v>
      </c>
      <c r="AD80" s="477">
        <v>0</v>
      </c>
      <c r="AE80" s="489"/>
      <c r="AF80" s="489">
        <v>0</v>
      </c>
      <c r="AG80" s="489"/>
      <c r="AH80" s="489">
        <v>0</v>
      </c>
      <c r="AI80" s="489"/>
      <c r="AJ80" s="489">
        <v>0</v>
      </c>
      <c r="AK80" s="489"/>
      <c r="AL80" s="490">
        <v>0</v>
      </c>
      <c r="AM80" s="477">
        <v>0</v>
      </c>
      <c r="AN80" s="489"/>
      <c r="AO80" s="489"/>
      <c r="AP80" s="489"/>
      <c r="AQ80" s="489"/>
      <c r="AR80" s="489"/>
      <c r="AS80" s="489"/>
      <c r="AT80" s="489"/>
      <c r="AU80" s="490">
        <v>0</v>
      </c>
      <c r="AV80" s="491">
        <f t="shared" si="15"/>
        <v>0</v>
      </c>
    </row>
    <row r="81" spans="1:48">
      <c r="A81" s="444" t="s">
        <v>1061</v>
      </c>
      <c r="B81" s="488" t="s">
        <v>449</v>
      </c>
      <c r="C81" s="477" cm="1">
        <f t="array" ref="C81">_xlfn.XLOOKUP(A81,'TB upload'!A:A,'TB upload'!C:C-'TB upload'!B:B,0,0)*-1</f>
        <v>-67674.37</v>
      </c>
      <c r="D81" s="489"/>
      <c r="E81" s="942" cm="1">
        <f t="array" ref="E81">_xlfn.XLOOKUP(A81,'TB upload'!A:A,'TB upload'!E:E-'TB upload'!D:D,0,0)*-1</f>
        <v>0</v>
      </c>
      <c r="F81" s="489"/>
      <c r="G81" s="477" cm="1">
        <f t="array" ref="G81">_xlfn.XLOOKUP(A81,'TB upload'!A:A,'TB upload'!G:G-'TB upload'!F:F,0,0)*-1</f>
        <v>0</v>
      </c>
      <c r="H81" s="489"/>
      <c r="I81" s="477" cm="1">
        <f t="array" ref="I81">_xlfn.XLOOKUP(A81,'TB upload'!A:A,'TB upload'!I:I-'TB upload'!H:H,0,0)*-1</f>
        <v>0</v>
      </c>
      <c r="J81" s="489"/>
      <c r="K81" s="490">
        <f t="shared" si="14"/>
        <v>-67674.37</v>
      </c>
      <c r="L81" s="311">
        <v>-67674.37</v>
      </c>
      <c r="M81" s="311"/>
      <c r="N81" s="311">
        <v>0</v>
      </c>
      <c r="O81" s="311"/>
      <c r="P81" s="311">
        <v>0</v>
      </c>
      <c r="Q81" s="311"/>
      <c r="R81" s="311">
        <v>0</v>
      </c>
      <c r="S81" s="311"/>
      <c r="T81" s="311">
        <v>-67674.37</v>
      </c>
      <c r="U81" s="477">
        <v>-53263.65</v>
      </c>
      <c r="V81" s="489"/>
      <c r="W81" s="489"/>
      <c r="X81" s="489"/>
      <c r="Y81" s="489"/>
      <c r="Z81" s="489"/>
      <c r="AA81" s="489"/>
      <c r="AB81" s="489"/>
      <c r="AC81" s="490">
        <v>-53263.65</v>
      </c>
      <c r="AD81" s="477">
        <v>47490.02</v>
      </c>
      <c r="AE81" s="489"/>
      <c r="AF81" s="489">
        <v>0</v>
      </c>
      <c r="AG81" s="489"/>
      <c r="AH81" s="489">
        <v>0</v>
      </c>
      <c r="AI81" s="489"/>
      <c r="AJ81" s="489">
        <v>0</v>
      </c>
      <c r="AK81" s="489">
        <v>96893</v>
      </c>
      <c r="AL81" s="490">
        <v>144383.01999999999</v>
      </c>
      <c r="AM81" s="477">
        <v>585480.65</v>
      </c>
      <c r="AN81" s="489"/>
      <c r="AO81" s="489"/>
      <c r="AP81" s="489"/>
      <c r="AQ81" s="489"/>
      <c r="AR81" s="489"/>
      <c r="AS81" s="489"/>
      <c r="AT81" s="489"/>
      <c r="AU81" s="490">
        <v>585480.65</v>
      </c>
      <c r="AV81" s="491">
        <f t="shared" si="15"/>
        <v>-441097.63</v>
      </c>
    </row>
    <row r="82" spans="1:48">
      <c r="A82" s="444" t="s">
        <v>1378</v>
      </c>
      <c r="B82" s="488" t="s">
        <v>449</v>
      </c>
      <c r="C82" s="477" cm="1">
        <f t="array" ref="C82">_xlfn.XLOOKUP(A82,'TB upload'!A:A,'TB upload'!C:C-'TB upload'!B:B,0,0)*-1</f>
        <v>0</v>
      </c>
      <c r="D82" s="489"/>
      <c r="E82" s="942" cm="1">
        <f t="array" ref="E82">_xlfn.XLOOKUP(A82,'TB upload'!A:A,'TB upload'!E:E-'TB upload'!D:D,0,0)*-1</f>
        <v>0</v>
      </c>
      <c r="F82" s="489"/>
      <c r="G82" s="477" cm="1">
        <f t="array" ref="G82">_xlfn.XLOOKUP(A82,'TB upload'!A:A,'TB upload'!G:G-'TB upload'!F:F,0,0)*-1</f>
        <v>0</v>
      </c>
      <c r="H82" s="489"/>
      <c r="I82" s="477" cm="1">
        <f t="array" ref="I82">_xlfn.XLOOKUP(A82,'TB upload'!A:A,'TB upload'!I:I-'TB upload'!H:H,0,0)*-1</f>
        <v>0</v>
      </c>
      <c r="J82" s="489"/>
      <c r="K82" s="490">
        <f t="shared" si="14"/>
        <v>0</v>
      </c>
      <c r="L82" s="311">
        <v>0</v>
      </c>
      <c r="M82" s="311"/>
      <c r="N82" s="311">
        <v>0</v>
      </c>
      <c r="O82" s="311"/>
      <c r="P82" s="311">
        <v>0</v>
      </c>
      <c r="Q82" s="311"/>
      <c r="R82" s="311">
        <v>0</v>
      </c>
      <c r="S82" s="311"/>
      <c r="T82" s="311">
        <v>0</v>
      </c>
      <c r="U82" s="477">
        <v>0</v>
      </c>
      <c r="V82" s="489"/>
      <c r="W82" s="489"/>
      <c r="X82" s="489"/>
      <c r="Y82" s="489"/>
      <c r="Z82" s="489"/>
      <c r="AA82" s="489"/>
      <c r="AB82" s="489"/>
      <c r="AC82" s="490">
        <v>0</v>
      </c>
      <c r="AD82" s="477">
        <v>11271.13</v>
      </c>
      <c r="AE82" s="489"/>
      <c r="AF82" s="489">
        <v>0</v>
      </c>
      <c r="AG82" s="489"/>
      <c r="AH82" s="489">
        <v>0</v>
      </c>
      <c r="AI82" s="489"/>
      <c r="AJ82" s="489">
        <v>0</v>
      </c>
      <c r="AK82" s="489"/>
      <c r="AL82" s="490">
        <v>11271.13</v>
      </c>
      <c r="AM82" s="477">
        <v>0</v>
      </c>
      <c r="AN82" s="489"/>
      <c r="AO82" s="489"/>
      <c r="AP82" s="489"/>
      <c r="AQ82" s="489"/>
      <c r="AR82" s="489"/>
      <c r="AS82" s="489"/>
      <c r="AT82" s="489"/>
      <c r="AU82" s="490">
        <v>0</v>
      </c>
      <c r="AV82" s="491">
        <f t="shared" ref="AV82" si="16">AL82-AU82</f>
        <v>11271.13</v>
      </c>
    </row>
    <row r="83" spans="1:48">
      <c r="A83" s="444" t="s">
        <v>1062</v>
      </c>
      <c r="B83" s="488" t="s">
        <v>449</v>
      </c>
      <c r="C83" s="477" cm="1">
        <f t="array" ref="C83">_xlfn.XLOOKUP(A83,'TB upload'!A:A,'TB upload'!C:C-'TB upload'!B:B,0,0)*-1</f>
        <v>-6745.63</v>
      </c>
      <c r="D83" s="489"/>
      <c r="E83" s="942" cm="1">
        <f t="array" ref="E83">_xlfn.XLOOKUP(A83,'TB upload'!A:A,'TB upload'!E:E-'TB upload'!D:D,0,0)*-1</f>
        <v>0</v>
      </c>
      <c r="F83" s="489"/>
      <c r="G83" s="477" cm="1">
        <f t="array" ref="G83">_xlfn.XLOOKUP(A83,'TB upload'!A:A,'TB upload'!G:G-'TB upload'!F:F,0,0)*-1</f>
        <v>0</v>
      </c>
      <c r="H83" s="489"/>
      <c r="I83" s="477" cm="1">
        <f t="array" ref="I83">_xlfn.XLOOKUP(A83,'TB upload'!A:A,'TB upload'!I:I-'TB upload'!H:H,0,0)*-1</f>
        <v>0</v>
      </c>
      <c r="J83" s="489"/>
      <c r="K83" s="490">
        <f t="shared" si="14"/>
        <v>-6745.63</v>
      </c>
      <c r="L83" s="311">
        <v>-6745.63</v>
      </c>
      <c r="M83" s="311"/>
      <c r="N83" s="311">
        <v>0</v>
      </c>
      <c r="O83" s="311"/>
      <c r="P83" s="311">
        <v>0</v>
      </c>
      <c r="Q83" s="311"/>
      <c r="R83" s="311">
        <v>0</v>
      </c>
      <c r="S83" s="311"/>
      <c r="T83" s="311">
        <v>-6745.63</v>
      </c>
      <c r="U83" s="477">
        <v>-6745.63</v>
      </c>
      <c r="V83" s="489"/>
      <c r="W83" s="489"/>
      <c r="X83" s="489"/>
      <c r="Y83" s="489"/>
      <c r="Z83" s="489"/>
      <c r="AA83" s="489"/>
      <c r="AB83" s="489"/>
      <c r="AC83" s="490">
        <v>-6745.63</v>
      </c>
      <c r="AD83" s="477">
        <v>43662.67</v>
      </c>
      <c r="AE83" s="489"/>
      <c r="AF83" s="489">
        <v>0</v>
      </c>
      <c r="AG83" s="489"/>
      <c r="AH83" s="489">
        <v>0</v>
      </c>
      <c r="AI83" s="489"/>
      <c r="AJ83" s="489">
        <v>0</v>
      </c>
      <c r="AK83" s="489"/>
      <c r="AL83" s="490">
        <v>43662.67</v>
      </c>
      <c r="AM83" s="477">
        <v>88766.78</v>
      </c>
      <c r="AN83" s="489"/>
      <c r="AO83" s="489"/>
      <c r="AP83" s="489"/>
      <c r="AQ83" s="489"/>
      <c r="AR83" s="489"/>
      <c r="AS83" s="489"/>
      <c r="AT83" s="489"/>
      <c r="AU83" s="490">
        <v>88766.78</v>
      </c>
      <c r="AV83" s="491">
        <f t="shared" si="15"/>
        <v>-45104.11</v>
      </c>
    </row>
    <row r="84" spans="1:48">
      <c r="A84" s="444" t="s">
        <v>158</v>
      </c>
      <c r="B84" s="488" t="s">
        <v>449</v>
      </c>
      <c r="C84" s="477" cm="1">
        <f t="array" ref="C84">_xlfn.XLOOKUP(A84,'TB upload'!A:A,'TB upload'!C:C-'TB upload'!B:B,0,0)*-1</f>
        <v>-1124766.5900000001</v>
      </c>
      <c r="D84" s="489"/>
      <c r="E84" s="942" cm="1">
        <f t="array" ref="E84">_xlfn.XLOOKUP(A84,'TB upload'!A:A,'TB upload'!E:E-'TB upload'!D:D,0,0)*-1</f>
        <v>0</v>
      </c>
      <c r="F84" s="489"/>
      <c r="G84" s="477" cm="1">
        <f t="array" ref="G84">_xlfn.XLOOKUP(A84,'TB upload'!A:A,'TB upload'!G:G-'TB upload'!F:F,0,0)*-1</f>
        <v>0</v>
      </c>
      <c r="H84" s="489"/>
      <c r="I84" s="477" cm="1">
        <f t="array" ref="I84">_xlfn.XLOOKUP(A84,'TB upload'!A:A,'TB upload'!I:I-'TB upload'!H:H,0,0)*-1</f>
        <v>-67279.02</v>
      </c>
      <c r="J84" s="489"/>
      <c r="K84" s="490">
        <f t="shared" si="14"/>
        <v>-1192045.6100000001</v>
      </c>
      <c r="L84" s="311">
        <v>-1065154.5900000001</v>
      </c>
      <c r="M84" s="311"/>
      <c r="N84" s="311">
        <v>0</v>
      </c>
      <c r="O84" s="311"/>
      <c r="P84" s="311">
        <v>0</v>
      </c>
      <c r="Q84" s="311"/>
      <c r="R84" s="311">
        <v>-67279.02</v>
      </c>
      <c r="S84" s="311"/>
      <c r="T84" s="311">
        <v>-1132433.6100000001</v>
      </c>
      <c r="U84" s="477">
        <v>-1084998.76</v>
      </c>
      <c r="V84" s="489"/>
      <c r="W84" s="489"/>
      <c r="X84" s="489"/>
      <c r="Y84" s="489"/>
      <c r="Z84" s="489"/>
      <c r="AA84" s="489">
        <v>1980</v>
      </c>
      <c r="AB84" s="489"/>
      <c r="AC84" s="490">
        <v>-1083018.76</v>
      </c>
      <c r="AD84" s="477">
        <v>18509809.600000001</v>
      </c>
      <c r="AE84" s="489"/>
      <c r="AF84" s="489">
        <v>0</v>
      </c>
      <c r="AG84" s="489"/>
      <c r="AH84" s="489">
        <v>0</v>
      </c>
      <c r="AI84" s="489"/>
      <c r="AJ84" s="489">
        <v>223021</v>
      </c>
      <c r="AK84" s="489"/>
      <c r="AL84" s="490">
        <v>18732830.600000001</v>
      </c>
      <c r="AM84" s="477">
        <v>31036133.289999999</v>
      </c>
      <c r="AN84" s="489"/>
      <c r="AO84" s="489"/>
      <c r="AP84" s="489"/>
      <c r="AQ84" s="489">
        <v>-17358</v>
      </c>
      <c r="AR84" s="489"/>
      <c r="AS84" s="489"/>
      <c r="AT84" s="489"/>
      <c r="AU84" s="490">
        <v>31018775.289999999</v>
      </c>
      <c r="AV84" s="491">
        <f t="shared" si="15"/>
        <v>-12285944.689999998</v>
      </c>
    </row>
    <row r="85" spans="1:48">
      <c r="A85" s="444" t="s">
        <v>1063</v>
      </c>
      <c r="B85" s="488" t="s">
        <v>449</v>
      </c>
      <c r="C85" s="477" cm="1">
        <f t="array" ref="C85">_xlfn.XLOOKUP(A85,'TB upload'!A:A,'TB upload'!C:C-'TB upload'!B:B,0,0)*-1</f>
        <v>-80391.600000000006</v>
      </c>
      <c r="D85" s="489"/>
      <c r="E85" s="942" cm="1">
        <f t="array" ref="E85">_xlfn.XLOOKUP(A85,'TB upload'!A:A,'TB upload'!E:E-'TB upload'!D:D,0,0)*-1</f>
        <v>0</v>
      </c>
      <c r="F85" s="489"/>
      <c r="G85" s="477" cm="1">
        <f t="array" ref="G85">_xlfn.XLOOKUP(A85,'TB upload'!A:A,'TB upload'!G:G-'TB upload'!F:F,0,0)*-1</f>
        <v>0</v>
      </c>
      <c r="H85" s="489"/>
      <c r="I85" s="477" cm="1">
        <f t="array" ref="I85">_xlfn.XLOOKUP(A85,'TB upload'!A:A,'TB upload'!I:I-'TB upload'!H:H,0,0)*-1</f>
        <v>0</v>
      </c>
      <c r="J85" s="489"/>
      <c r="K85" s="490">
        <f t="shared" si="14"/>
        <v>-80391.600000000006</v>
      </c>
      <c r="L85" s="311">
        <v>-80391.600000000006</v>
      </c>
      <c r="M85" s="311"/>
      <c r="N85" s="311">
        <v>0</v>
      </c>
      <c r="O85" s="311"/>
      <c r="P85" s="311">
        <v>0</v>
      </c>
      <c r="Q85" s="311"/>
      <c r="R85" s="311">
        <v>0</v>
      </c>
      <c r="S85" s="311"/>
      <c r="T85" s="311">
        <v>-80391.600000000006</v>
      </c>
      <c r="U85" s="477">
        <v>-82262.820000000007</v>
      </c>
      <c r="V85" s="489"/>
      <c r="W85" s="489"/>
      <c r="X85" s="489"/>
      <c r="Y85" s="489"/>
      <c r="Z85" s="489"/>
      <c r="AA85" s="489"/>
      <c r="AB85" s="489"/>
      <c r="AC85" s="490">
        <v>-82262.820000000007</v>
      </c>
      <c r="AD85" s="477">
        <v>91236.24</v>
      </c>
      <c r="AE85" s="489"/>
      <c r="AF85" s="489">
        <v>0</v>
      </c>
      <c r="AG85" s="489"/>
      <c r="AH85" s="489">
        <v>0</v>
      </c>
      <c r="AI85" s="489"/>
      <c r="AJ85" s="489">
        <v>0</v>
      </c>
      <c r="AK85" s="489"/>
      <c r="AL85" s="490">
        <v>91236.24</v>
      </c>
      <c r="AM85" s="477">
        <v>164959.57</v>
      </c>
      <c r="AN85" s="489"/>
      <c r="AO85" s="489"/>
      <c r="AP85" s="489"/>
      <c r="AQ85" s="489"/>
      <c r="AR85" s="489"/>
      <c r="AS85" s="489"/>
      <c r="AT85" s="489"/>
      <c r="AU85" s="490">
        <v>164959.57</v>
      </c>
      <c r="AV85" s="491">
        <f t="shared" si="15"/>
        <v>-73723.33</v>
      </c>
    </row>
    <row r="86" spans="1:48">
      <c r="A86" s="444" t="s">
        <v>1064</v>
      </c>
      <c r="B86" s="488" t="s">
        <v>449</v>
      </c>
      <c r="C86" s="477" cm="1">
        <f t="array" ref="C86">_xlfn.XLOOKUP(A86,'TB upload'!A:A,'TB upload'!C:C-'TB upload'!B:B,0,0)*-1</f>
        <v>0</v>
      </c>
      <c r="D86" s="489"/>
      <c r="E86" s="942" cm="1">
        <f t="array" ref="E86">_xlfn.XLOOKUP(A86,'TB upload'!A:A,'TB upload'!E:E-'TB upload'!D:D,0,0)*-1</f>
        <v>0</v>
      </c>
      <c r="F86" s="489"/>
      <c r="G86" s="477" cm="1">
        <f t="array" ref="G86">_xlfn.XLOOKUP(A86,'TB upload'!A:A,'TB upload'!G:G-'TB upload'!F:F,0,0)*-1</f>
        <v>0</v>
      </c>
      <c r="H86" s="489"/>
      <c r="I86" s="477" cm="1">
        <f t="array" ref="I86">_xlfn.XLOOKUP(A86,'TB upload'!A:A,'TB upload'!I:I-'TB upload'!H:H,0,0)*-1</f>
        <v>0</v>
      </c>
      <c r="J86" s="489"/>
      <c r="K86" s="490">
        <f t="shared" si="14"/>
        <v>0</v>
      </c>
      <c r="L86" s="311">
        <v>0</v>
      </c>
      <c r="M86" s="311"/>
      <c r="N86" s="311">
        <v>0</v>
      </c>
      <c r="O86" s="311"/>
      <c r="P86" s="311">
        <v>0</v>
      </c>
      <c r="Q86" s="311"/>
      <c r="R86" s="311">
        <v>0</v>
      </c>
      <c r="S86" s="311"/>
      <c r="T86" s="311">
        <v>0</v>
      </c>
      <c r="U86" s="477">
        <v>0</v>
      </c>
      <c r="V86" s="489"/>
      <c r="W86" s="489"/>
      <c r="X86" s="489"/>
      <c r="Y86" s="489"/>
      <c r="Z86" s="489"/>
      <c r="AA86" s="489"/>
      <c r="AB86" s="489"/>
      <c r="AC86" s="490">
        <v>0</v>
      </c>
      <c r="AD86" s="477">
        <v>0</v>
      </c>
      <c r="AE86" s="489"/>
      <c r="AF86" s="489">
        <v>0</v>
      </c>
      <c r="AG86" s="489"/>
      <c r="AH86" s="489">
        <v>0</v>
      </c>
      <c r="AI86" s="489"/>
      <c r="AJ86" s="489">
        <v>0</v>
      </c>
      <c r="AK86" s="489">
        <v>0</v>
      </c>
      <c r="AL86" s="490">
        <v>0</v>
      </c>
      <c r="AM86" s="477">
        <v>0</v>
      </c>
      <c r="AN86" s="489">
        <v>76823</v>
      </c>
      <c r="AO86" s="489"/>
      <c r="AP86" s="489"/>
      <c r="AQ86" s="489"/>
      <c r="AR86" s="489"/>
      <c r="AS86" s="489"/>
      <c r="AT86" s="489"/>
      <c r="AU86" s="490">
        <v>76823</v>
      </c>
      <c r="AV86" s="491">
        <f t="shared" si="15"/>
        <v>-76823</v>
      </c>
    </row>
    <row r="87" spans="1:48">
      <c r="A87" s="500" t="s">
        <v>1151</v>
      </c>
      <c r="B87" s="488" t="s">
        <v>449</v>
      </c>
      <c r="C87" s="477" cm="1">
        <f t="array" ref="C87">_xlfn.XLOOKUP(A87,'TB upload'!A:A,'TB upload'!C:C-'TB upload'!B:B,0,0)*-1</f>
        <v>0</v>
      </c>
      <c r="D87" s="489"/>
      <c r="E87" s="942" cm="1">
        <f t="array" ref="E87">_xlfn.XLOOKUP(A87,'TB upload'!A:A,'TB upload'!E:E-'TB upload'!D:D,0,0)*-1</f>
        <v>0</v>
      </c>
      <c r="F87" s="489"/>
      <c r="G87" s="477" cm="1">
        <f t="array" ref="G87">_xlfn.XLOOKUP(A87,'TB upload'!A:A,'TB upload'!G:G-'TB upload'!F:F,0,0)*-1</f>
        <v>0</v>
      </c>
      <c r="H87" s="489"/>
      <c r="I87" s="477" cm="1">
        <f t="array" ref="I87">_xlfn.XLOOKUP(A87,'TB upload'!A:A,'TB upload'!I:I-'TB upload'!H:H,0,0)*-1</f>
        <v>0</v>
      </c>
      <c r="J87" s="489"/>
      <c r="K87" s="490">
        <f t="shared" si="14"/>
        <v>0</v>
      </c>
      <c r="L87" s="311">
        <v>0</v>
      </c>
      <c r="M87" s="311"/>
      <c r="N87" s="311">
        <v>0</v>
      </c>
      <c r="O87" s="311"/>
      <c r="P87" s="311">
        <v>0</v>
      </c>
      <c r="Q87" s="311"/>
      <c r="R87" s="311">
        <v>0</v>
      </c>
      <c r="S87" s="311"/>
      <c r="T87" s="311">
        <v>0</v>
      </c>
      <c r="U87" s="477">
        <v>0</v>
      </c>
      <c r="V87" s="489"/>
      <c r="W87" s="489"/>
      <c r="X87" s="489"/>
      <c r="Y87" s="489"/>
      <c r="Z87" s="489"/>
      <c r="AA87" s="489"/>
      <c r="AB87" s="489"/>
      <c r="AC87" s="490">
        <v>0</v>
      </c>
      <c r="AD87" s="477">
        <v>0</v>
      </c>
      <c r="AE87" s="489"/>
      <c r="AF87" s="489">
        <v>0</v>
      </c>
      <c r="AG87" s="489"/>
      <c r="AH87" s="489">
        <v>0</v>
      </c>
      <c r="AI87" s="489"/>
      <c r="AJ87" s="489">
        <v>0</v>
      </c>
      <c r="AK87" s="489"/>
      <c r="AL87" s="490">
        <v>0</v>
      </c>
      <c r="AM87" s="477">
        <v>-24526.44</v>
      </c>
      <c r="AN87" s="489"/>
      <c r="AO87" s="489"/>
      <c r="AP87" s="489"/>
      <c r="AQ87" s="489"/>
      <c r="AR87" s="489"/>
      <c r="AS87" s="489"/>
      <c r="AT87" s="489"/>
      <c r="AU87" s="490">
        <v>-24526.44</v>
      </c>
      <c r="AV87" s="491">
        <f t="shared" si="15"/>
        <v>24526.44</v>
      </c>
    </row>
    <row r="88" spans="1:48">
      <c r="A88" s="444" t="s">
        <v>1152</v>
      </c>
      <c r="B88" s="488" t="s">
        <v>449</v>
      </c>
      <c r="C88" s="477" cm="1">
        <f t="array" ref="C88">_xlfn.XLOOKUP(A88,'TB upload'!A:A,'TB upload'!C:C-'TB upload'!B:B,0,0)*-1</f>
        <v>-1157.77</v>
      </c>
      <c r="D88" s="489"/>
      <c r="E88" s="942" cm="1">
        <f t="array" ref="E88">_xlfn.XLOOKUP(A88,'TB upload'!A:A,'TB upload'!E:E-'TB upload'!D:D,0,0)*-1</f>
        <v>0</v>
      </c>
      <c r="F88" s="489"/>
      <c r="G88" s="477" cm="1">
        <f t="array" ref="G88">_xlfn.XLOOKUP(A88,'TB upload'!A:A,'TB upload'!G:G-'TB upload'!F:F,0,0)*-1</f>
        <v>0</v>
      </c>
      <c r="H88" s="489"/>
      <c r="I88" s="477" cm="1">
        <f t="array" ref="I88">_xlfn.XLOOKUP(A88,'TB upload'!A:A,'TB upload'!I:I-'TB upload'!H:H,0,0)*-1</f>
        <v>0</v>
      </c>
      <c r="J88" s="489"/>
      <c r="K88" s="490">
        <f t="shared" si="14"/>
        <v>-1157.77</v>
      </c>
      <c r="L88" s="311">
        <v>-1157.77</v>
      </c>
      <c r="M88" s="311"/>
      <c r="N88" s="311">
        <v>0</v>
      </c>
      <c r="O88" s="311"/>
      <c r="P88" s="311">
        <v>0</v>
      </c>
      <c r="Q88" s="311"/>
      <c r="R88" s="311">
        <v>0</v>
      </c>
      <c r="S88" s="311"/>
      <c r="T88" s="311">
        <v>-1157.77</v>
      </c>
      <c r="U88" s="477">
        <v>0</v>
      </c>
      <c r="V88" s="489"/>
      <c r="W88" s="489"/>
      <c r="X88" s="489"/>
      <c r="Y88" s="489"/>
      <c r="Z88" s="489"/>
      <c r="AA88" s="489"/>
      <c r="AB88" s="489"/>
      <c r="AC88" s="490">
        <v>0</v>
      </c>
      <c r="AD88" s="477">
        <v>0</v>
      </c>
      <c r="AE88" s="489"/>
      <c r="AF88" s="489">
        <v>0</v>
      </c>
      <c r="AG88" s="489"/>
      <c r="AH88" s="489">
        <v>0</v>
      </c>
      <c r="AI88" s="489"/>
      <c r="AJ88" s="489">
        <v>0</v>
      </c>
      <c r="AK88" s="489"/>
      <c r="AL88" s="490">
        <v>0</v>
      </c>
      <c r="AM88" s="477">
        <v>74541.19</v>
      </c>
      <c r="AN88" s="489"/>
      <c r="AO88" s="489"/>
      <c r="AP88" s="489"/>
      <c r="AQ88" s="489"/>
      <c r="AR88" s="489"/>
      <c r="AS88" s="489"/>
      <c r="AT88" s="489"/>
      <c r="AU88" s="490">
        <v>74541.19</v>
      </c>
      <c r="AV88" s="491">
        <f t="shared" si="15"/>
        <v>-74541.19</v>
      </c>
    </row>
    <row r="89" spans="1:48">
      <c r="A89" s="444" t="s">
        <v>1507</v>
      </c>
      <c r="B89" s="488"/>
      <c r="C89" s="477">
        <f>IFERROR((-VLOOKUP(#REF!,#REF!,3,)+VLOOKUP(#REF!,#REF!,2,)),0)</f>
        <v>0</v>
      </c>
      <c r="D89" s="489"/>
      <c r="E89" s="489"/>
      <c r="F89" s="489"/>
      <c r="G89" s="489"/>
      <c r="H89" s="489"/>
      <c r="I89" s="489"/>
      <c r="J89" s="489"/>
      <c r="K89" s="490"/>
      <c r="L89" s="311">
        <v>0</v>
      </c>
      <c r="M89" s="311"/>
      <c r="N89" s="311"/>
      <c r="O89" s="311"/>
      <c r="P89" s="311"/>
      <c r="Q89" s="311"/>
      <c r="R89" s="311"/>
      <c r="S89" s="311"/>
      <c r="T89" s="311"/>
      <c r="U89" s="477">
        <v>0</v>
      </c>
      <c r="V89" s="489"/>
      <c r="W89" s="489"/>
      <c r="X89" s="489"/>
      <c r="Y89" s="489"/>
      <c r="Z89" s="489"/>
      <c r="AA89" s="489">
        <v>-69259</v>
      </c>
      <c r="AB89" s="489"/>
      <c r="AC89" s="490"/>
      <c r="AD89" s="477"/>
      <c r="AE89" s="489"/>
      <c r="AF89" s="489"/>
      <c r="AG89" s="489"/>
      <c r="AH89" s="489"/>
      <c r="AI89" s="489"/>
      <c r="AJ89" s="489"/>
      <c r="AK89" s="489"/>
      <c r="AL89" s="490"/>
      <c r="AM89" s="477"/>
      <c r="AN89" s="489"/>
      <c r="AO89" s="489"/>
      <c r="AP89" s="489"/>
      <c r="AQ89" s="489"/>
      <c r="AR89" s="489"/>
      <c r="AS89" s="489"/>
      <c r="AT89" s="489"/>
      <c r="AU89" s="490"/>
      <c r="AV89" s="491"/>
    </row>
    <row r="90" spans="1:48">
      <c r="A90" s="500" t="s">
        <v>1153</v>
      </c>
      <c r="B90" s="488" t="s">
        <v>449</v>
      </c>
      <c r="C90" s="477" cm="1">
        <f t="array" ref="C90">_xlfn.XLOOKUP(A90,'TB upload'!A:A,'TB upload'!C:C-'TB upload'!B:B,0,0)*-1</f>
        <v>0</v>
      </c>
      <c r="D90" s="489"/>
      <c r="E90" s="942" cm="1">
        <f t="array" ref="E90">_xlfn.XLOOKUP(A90,'TB upload'!A:A,'TB upload'!E:E-'TB upload'!D:D,0,0)*-1</f>
        <v>0</v>
      </c>
      <c r="F90" s="489"/>
      <c r="G90" s="477" cm="1">
        <f t="array" ref="G90">_xlfn.XLOOKUP(A90,'TB upload'!A:A,'TB upload'!G:G-'TB upload'!F:F,0,0)*-1</f>
        <v>0</v>
      </c>
      <c r="H90" s="489"/>
      <c r="I90" s="477" cm="1">
        <f t="array" ref="I90">_xlfn.XLOOKUP(A90,'TB upload'!A:A,'TB upload'!I:I-'TB upload'!H:H,0,0)*-1</f>
        <v>0</v>
      </c>
      <c r="J90" s="489"/>
      <c r="K90" s="490">
        <f t="shared" ref="K90:K95" si="17">SUM(C90:J90)</f>
        <v>0</v>
      </c>
      <c r="L90" s="311">
        <v>0</v>
      </c>
      <c r="M90" s="311"/>
      <c r="N90" s="311">
        <v>0</v>
      </c>
      <c r="O90" s="311"/>
      <c r="P90" s="311">
        <v>0</v>
      </c>
      <c r="Q90" s="311"/>
      <c r="R90" s="311">
        <v>0</v>
      </c>
      <c r="S90" s="311"/>
      <c r="T90" s="311">
        <v>0</v>
      </c>
      <c r="U90" s="477">
        <v>0</v>
      </c>
      <c r="V90" s="489"/>
      <c r="W90" s="489"/>
      <c r="X90" s="489"/>
      <c r="Y90" s="489"/>
      <c r="Z90" s="489"/>
      <c r="AA90" s="489"/>
      <c r="AB90" s="489"/>
      <c r="AC90" s="490">
        <v>0</v>
      </c>
      <c r="AD90" s="477">
        <v>0</v>
      </c>
      <c r="AE90" s="489"/>
      <c r="AF90" s="489">
        <v>0</v>
      </c>
      <c r="AG90" s="489"/>
      <c r="AH90" s="489">
        <v>0</v>
      </c>
      <c r="AI90" s="489"/>
      <c r="AJ90" s="489">
        <v>0</v>
      </c>
      <c r="AK90" s="489"/>
      <c r="AL90" s="490">
        <v>0</v>
      </c>
      <c r="AM90" s="477">
        <v>299286.13</v>
      </c>
      <c r="AN90" s="489"/>
      <c r="AO90" s="489"/>
      <c r="AP90" s="489"/>
      <c r="AQ90" s="489"/>
      <c r="AR90" s="489"/>
      <c r="AS90" s="489"/>
      <c r="AT90" s="489"/>
      <c r="AU90" s="490">
        <v>299286.13</v>
      </c>
      <c r="AV90" s="491">
        <f t="shared" si="15"/>
        <v>-299286.13</v>
      </c>
    </row>
    <row r="91" spans="1:48" ht="28.8">
      <c r="A91" s="500" t="s">
        <v>1376</v>
      </c>
      <c r="B91" s="488" t="s">
        <v>449</v>
      </c>
      <c r="C91" s="477" cm="1">
        <f t="array" ref="C91">_xlfn.XLOOKUP(A91,'TB upload'!A:A,'TB upload'!C:C-'TB upload'!B:B,0,0)*-1</f>
        <v>565989</v>
      </c>
      <c r="D91" s="489"/>
      <c r="E91" s="942" cm="1">
        <f t="array" ref="E91">_xlfn.XLOOKUP(A91,'TB upload'!A:A,'TB upload'!E:E-'TB upload'!D:D,0,0)*-1</f>
        <v>0</v>
      </c>
      <c r="F91" s="489"/>
      <c r="G91" s="477" cm="1">
        <f t="array" ref="G91">_xlfn.XLOOKUP(A91,'TB upload'!A:A,'TB upload'!G:G-'TB upload'!F:F,0,0)*-1</f>
        <v>0</v>
      </c>
      <c r="H91" s="489"/>
      <c r="I91" s="477" cm="1">
        <f t="array" ref="I91">_xlfn.XLOOKUP(A91,'TB upload'!A:A,'TB upload'!I:I-'TB upload'!H:H,0,0)*-1</f>
        <v>0</v>
      </c>
      <c r="J91" s="489"/>
      <c r="K91" s="490">
        <f t="shared" si="17"/>
        <v>565989</v>
      </c>
      <c r="L91" s="311">
        <v>565989</v>
      </c>
      <c r="M91" s="311"/>
      <c r="N91" s="311">
        <v>0</v>
      </c>
      <c r="O91" s="311"/>
      <c r="P91" s="311">
        <v>0</v>
      </c>
      <c r="Q91" s="311"/>
      <c r="R91" s="311">
        <v>0</v>
      </c>
      <c r="S91" s="311"/>
      <c r="T91" s="311">
        <v>565989</v>
      </c>
      <c r="U91" s="477">
        <v>269307</v>
      </c>
      <c r="V91" s="489"/>
      <c r="W91" s="489"/>
      <c r="X91" s="489"/>
      <c r="Y91" s="489"/>
      <c r="Z91" s="489"/>
      <c r="AA91" s="489"/>
      <c r="AB91" s="489"/>
      <c r="AC91" s="490">
        <v>269307</v>
      </c>
      <c r="AD91" s="477">
        <v>1370119.63</v>
      </c>
      <c r="AE91" s="489"/>
      <c r="AF91" s="489">
        <v>0</v>
      </c>
      <c r="AG91" s="489"/>
      <c r="AH91" s="489">
        <v>0</v>
      </c>
      <c r="AI91" s="489"/>
      <c r="AJ91" s="489">
        <v>0</v>
      </c>
      <c r="AK91" s="489"/>
      <c r="AL91" s="490">
        <v>1370119.63</v>
      </c>
      <c r="AM91" s="477">
        <v>0</v>
      </c>
      <c r="AN91" s="489"/>
      <c r="AO91" s="489"/>
      <c r="AP91" s="489"/>
      <c r="AQ91" s="489"/>
      <c r="AR91" s="489"/>
      <c r="AS91" s="489"/>
      <c r="AT91" s="489"/>
      <c r="AU91" s="490">
        <v>0</v>
      </c>
      <c r="AV91" s="491">
        <f t="shared" ref="AV91:AV93" si="18">AL91-AU91</f>
        <v>1370119.63</v>
      </c>
    </row>
    <row r="92" spans="1:48">
      <c r="A92" s="500" t="s">
        <v>1379</v>
      </c>
      <c r="B92" s="488" t="s">
        <v>449</v>
      </c>
      <c r="C92" s="477" cm="1">
        <f t="array" ref="C92">_xlfn.XLOOKUP(A92,'TB upload'!A:A,'TB upload'!C:C-'TB upload'!B:B,0,0)*-1</f>
        <v>17350</v>
      </c>
      <c r="D92" s="489"/>
      <c r="E92" s="942" cm="1">
        <f t="array" ref="E92">_xlfn.XLOOKUP(A92,'TB upload'!A:A,'TB upload'!E:E-'TB upload'!D:D,0,0)*-1</f>
        <v>0</v>
      </c>
      <c r="F92" s="489"/>
      <c r="G92" s="477" cm="1">
        <f t="array" ref="G92">_xlfn.XLOOKUP(A92,'TB upload'!A:A,'TB upload'!G:G-'TB upload'!F:F,0,0)*-1</f>
        <v>0</v>
      </c>
      <c r="H92" s="489"/>
      <c r="I92" s="477" cm="1">
        <f t="array" ref="I92">_xlfn.XLOOKUP(A92,'TB upload'!A:A,'TB upload'!I:I-'TB upload'!H:H,0,0)*-1</f>
        <v>0</v>
      </c>
      <c r="J92" s="489"/>
      <c r="K92" s="490">
        <f t="shared" si="17"/>
        <v>17350</v>
      </c>
      <c r="L92" s="311">
        <v>17350</v>
      </c>
      <c r="M92" s="311"/>
      <c r="N92" s="311">
        <v>0</v>
      </c>
      <c r="O92" s="311"/>
      <c r="P92" s="311">
        <v>0</v>
      </c>
      <c r="Q92" s="311"/>
      <c r="R92" s="311">
        <v>0</v>
      </c>
      <c r="S92" s="311"/>
      <c r="T92" s="311">
        <v>17350</v>
      </c>
      <c r="U92" s="477">
        <v>11350</v>
      </c>
      <c r="V92" s="489"/>
      <c r="W92" s="489"/>
      <c r="X92" s="489"/>
      <c r="Y92" s="489"/>
      <c r="Z92" s="489"/>
      <c r="AA92" s="489"/>
      <c r="AB92" s="489"/>
      <c r="AC92" s="490">
        <v>11350</v>
      </c>
      <c r="AD92" s="477">
        <v>7750</v>
      </c>
      <c r="AE92" s="489"/>
      <c r="AF92" s="489">
        <v>0</v>
      </c>
      <c r="AG92" s="489"/>
      <c r="AH92" s="489">
        <v>0</v>
      </c>
      <c r="AI92" s="489"/>
      <c r="AJ92" s="489">
        <v>0</v>
      </c>
      <c r="AK92" s="489"/>
      <c r="AL92" s="490">
        <v>7750</v>
      </c>
      <c r="AM92" s="477">
        <v>0</v>
      </c>
      <c r="AN92" s="489"/>
      <c r="AO92" s="489"/>
      <c r="AP92" s="489"/>
      <c r="AQ92" s="489"/>
      <c r="AR92" s="489"/>
      <c r="AS92" s="489"/>
      <c r="AT92" s="489"/>
      <c r="AU92" s="490">
        <v>0</v>
      </c>
      <c r="AV92" s="491">
        <f t="shared" ref="AV92" si="19">AL92-AU92</f>
        <v>7750</v>
      </c>
    </row>
    <row r="93" spans="1:48" ht="28.8">
      <c r="A93" s="500" t="s">
        <v>1377</v>
      </c>
      <c r="B93" s="488" t="s">
        <v>449</v>
      </c>
      <c r="C93" s="477" cm="1">
        <f t="array" ref="C93">_xlfn.XLOOKUP(A93,'TB upload'!A:A,'TB upload'!C:C-'TB upload'!B:B,0,0)*-1</f>
        <v>22700</v>
      </c>
      <c r="D93" s="489"/>
      <c r="E93" s="942" cm="1">
        <f t="array" ref="E93">_xlfn.XLOOKUP(A93,'TB upload'!A:A,'TB upload'!E:E-'TB upload'!D:D,0,0)*-1</f>
        <v>0</v>
      </c>
      <c r="F93" s="489"/>
      <c r="G93" s="477" cm="1">
        <f t="array" ref="G93">_xlfn.XLOOKUP(A93,'TB upload'!A:A,'TB upload'!G:G-'TB upload'!F:F,0,0)*-1</f>
        <v>0</v>
      </c>
      <c r="H93" s="489"/>
      <c r="I93" s="477" cm="1">
        <f t="array" ref="I93">_xlfn.XLOOKUP(A93,'TB upload'!A:A,'TB upload'!I:I-'TB upload'!H:H,0,0)*-1</f>
        <v>0</v>
      </c>
      <c r="J93" s="489"/>
      <c r="K93" s="490">
        <f t="shared" si="17"/>
        <v>22700</v>
      </c>
      <c r="L93" s="311">
        <v>22700</v>
      </c>
      <c r="M93" s="311"/>
      <c r="N93" s="311">
        <v>0</v>
      </c>
      <c r="O93" s="311"/>
      <c r="P93" s="311">
        <v>0</v>
      </c>
      <c r="Q93" s="311"/>
      <c r="R93" s="311">
        <v>0</v>
      </c>
      <c r="S93" s="311"/>
      <c r="T93" s="311">
        <v>22700</v>
      </c>
      <c r="U93" s="477">
        <v>22700</v>
      </c>
      <c r="V93" s="489"/>
      <c r="W93" s="489"/>
      <c r="X93" s="489"/>
      <c r="Y93" s="489"/>
      <c r="Z93" s="489"/>
      <c r="AA93" s="489"/>
      <c r="AB93" s="489"/>
      <c r="AC93" s="490">
        <v>22700</v>
      </c>
      <c r="AD93" s="477">
        <v>1545796.27</v>
      </c>
      <c r="AE93" s="489"/>
      <c r="AF93" s="489">
        <v>0</v>
      </c>
      <c r="AG93" s="489"/>
      <c r="AH93" s="489">
        <v>0</v>
      </c>
      <c r="AI93" s="489"/>
      <c r="AJ93" s="489">
        <v>0</v>
      </c>
      <c r="AK93" s="489"/>
      <c r="AL93" s="490">
        <v>1545796.27</v>
      </c>
      <c r="AM93" s="477">
        <v>0</v>
      </c>
      <c r="AN93" s="489"/>
      <c r="AO93" s="489"/>
      <c r="AP93" s="489"/>
      <c r="AQ93" s="489"/>
      <c r="AR93" s="489"/>
      <c r="AS93" s="489"/>
      <c r="AT93" s="489"/>
      <c r="AU93" s="490">
        <v>0</v>
      </c>
      <c r="AV93" s="491">
        <f t="shared" si="18"/>
        <v>1545796.27</v>
      </c>
    </row>
    <row r="94" spans="1:48">
      <c r="A94" s="500" t="s">
        <v>1513</v>
      </c>
      <c r="B94" s="488" t="s">
        <v>449</v>
      </c>
      <c r="C94" s="477" cm="1">
        <f t="array" ref="C94">_xlfn.XLOOKUP(A94,'TB upload'!A:A,'TB upload'!C:C-'TB upload'!B:B,0,0)*-1</f>
        <v>-19806.5</v>
      </c>
      <c r="D94" s="489"/>
      <c r="E94" s="942" cm="1">
        <f t="array" ref="E94">_xlfn.XLOOKUP(A94,'TB upload'!A:A,'TB upload'!E:E-'TB upload'!D:D,0,0)*-1</f>
        <v>0</v>
      </c>
      <c r="F94" s="489"/>
      <c r="G94" s="477" cm="1">
        <f t="array" ref="G94">_xlfn.XLOOKUP(A94,'TB upload'!A:A,'TB upload'!G:G-'TB upload'!F:F,0,0)*-1</f>
        <v>0</v>
      </c>
      <c r="H94" s="489"/>
      <c r="I94" s="477" cm="1">
        <f t="array" ref="I94">_xlfn.XLOOKUP(A94,'TB upload'!A:A,'TB upload'!I:I-'TB upload'!H:H,0,0)*-1</f>
        <v>0</v>
      </c>
      <c r="J94" s="489"/>
      <c r="K94" s="490">
        <f t="shared" si="17"/>
        <v>-19806.5</v>
      </c>
      <c r="L94" s="311">
        <v>-19806.5</v>
      </c>
      <c r="M94" s="311"/>
      <c r="N94" s="311">
        <v>0</v>
      </c>
      <c r="O94" s="311"/>
      <c r="P94" s="311">
        <v>0</v>
      </c>
      <c r="Q94" s="311"/>
      <c r="R94" s="311">
        <v>0</v>
      </c>
      <c r="S94" s="311"/>
      <c r="T94" s="311">
        <v>-19806.5</v>
      </c>
      <c r="U94" s="477">
        <v>-19806.5</v>
      </c>
      <c r="V94" s="489"/>
      <c r="W94" s="489"/>
      <c r="X94" s="489"/>
      <c r="Y94" s="489"/>
      <c r="Z94" s="489"/>
      <c r="AA94" s="489"/>
      <c r="AB94" s="489"/>
      <c r="AC94" s="490">
        <v>-19806.5</v>
      </c>
      <c r="AD94" s="477"/>
      <c r="AE94" s="489"/>
      <c r="AF94" s="489"/>
      <c r="AG94" s="489"/>
      <c r="AH94" s="489"/>
      <c r="AI94" s="489"/>
      <c r="AJ94" s="489"/>
      <c r="AK94" s="489"/>
      <c r="AL94" s="490"/>
      <c r="AM94" s="477"/>
      <c r="AN94" s="489"/>
      <c r="AO94" s="489"/>
      <c r="AP94" s="489"/>
      <c r="AQ94" s="489"/>
      <c r="AR94" s="489"/>
      <c r="AS94" s="489"/>
      <c r="AT94" s="489"/>
      <c r="AU94" s="490"/>
      <c r="AV94" s="491"/>
    </row>
    <row r="95" spans="1:48">
      <c r="A95" s="500" t="s">
        <v>1154</v>
      </c>
      <c r="B95" s="488" t="s">
        <v>449</v>
      </c>
      <c r="C95" s="477" cm="1">
        <f t="array" ref="C95">_xlfn.XLOOKUP(A95,'TB upload'!A:A,'TB upload'!C:C-'TB upload'!B:B,0,0)*-1</f>
        <v>0</v>
      </c>
      <c r="D95" s="489"/>
      <c r="E95" s="942" cm="1">
        <f t="array" ref="E95">_xlfn.XLOOKUP(A95,'TB upload'!A:A,'TB upload'!E:E-'TB upload'!D:D,0,0)*-1</f>
        <v>0</v>
      </c>
      <c r="F95" s="489"/>
      <c r="G95" s="477" cm="1">
        <f t="array" ref="G95">_xlfn.XLOOKUP(A95,'TB upload'!A:A,'TB upload'!G:G-'TB upload'!F:F,0,0)*-1</f>
        <v>0</v>
      </c>
      <c r="H95" s="489"/>
      <c r="I95" s="477" cm="1">
        <f t="array" ref="I95">_xlfn.XLOOKUP(A95,'TB upload'!A:A,'TB upload'!I:I-'TB upload'!H:H,0,0)*-1</f>
        <v>0</v>
      </c>
      <c r="J95" s="489"/>
      <c r="K95" s="490">
        <f t="shared" si="17"/>
        <v>0</v>
      </c>
      <c r="L95" s="311">
        <v>0</v>
      </c>
      <c r="M95" s="311"/>
      <c r="N95" s="311">
        <v>0</v>
      </c>
      <c r="O95" s="311"/>
      <c r="P95" s="311">
        <v>0</v>
      </c>
      <c r="Q95" s="311"/>
      <c r="R95" s="311">
        <v>0</v>
      </c>
      <c r="S95" s="311"/>
      <c r="T95" s="311">
        <v>0</v>
      </c>
      <c r="U95" s="477">
        <v>-3838</v>
      </c>
      <c r="V95" s="489"/>
      <c r="W95" s="489"/>
      <c r="X95" s="489"/>
      <c r="Y95" s="489"/>
      <c r="Z95" s="489"/>
      <c r="AA95" s="489"/>
      <c r="AB95" s="489"/>
      <c r="AC95" s="490">
        <v>-3838</v>
      </c>
      <c r="AD95" s="477">
        <v>0</v>
      </c>
      <c r="AE95" s="489"/>
      <c r="AF95" s="489">
        <v>0</v>
      </c>
      <c r="AG95" s="489"/>
      <c r="AH95" s="489">
        <v>0</v>
      </c>
      <c r="AI95" s="489"/>
      <c r="AJ95" s="489">
        <v>0</v>
      </c>
      <c r="AK95" s="489"/>
      <c r="AL95" s="490">
        <v>0</v>
      </c>
      <c r="AM95" s="477">
        <v>77950</v>
      </c>
      <c r="AN95" s="489"/>
      <c r="AO95" s="489"/>
      <c r="AP95" s="489"/>
      <c r="AQ95" s="489"/>
      <c r="AR95" s="489"/>
      <c r="AS95" s="489"/>
      <c r="AT95" s="489"/>
      <c r="AU95" s="490">
        <v>77950</v>
      </c>
      <c r="AV95" s="491">
        <f t="shared" si="15"/>
        <v>-77950</v>
      </c>
    </row>
    <row r="96" spans="1:48" ht="15" thickBot="1">
      <c r="B96" s="488"/>
      <c r="C96" s="477"/>
      <c r="D96" s="489"/>
      <c r="E96" s="489"/>
      <c r="F96" s="489"/>
      <c r="G96" s="489"/>
      <c r="H96" s="489"/>
      <c r="I96" s="489"/>
      <c r="J96" s="489"/>
      <c r="K96" s="490"/>
      <c r="L96" s="311"/>
      <c r="M96" s="311"/>
      <c r="N96" s="311"/>
      <c r="O96" s="311"/>
      <c r="P96" s="311"/>
      <c r="Q96" s="311"/>
      <c r="R96" s="311"/>
      <c r="S96" s="311"/>
      <c r="T96" s="311"/>
      <c r="U96" s="477"/>
      <c r="V96" s="489"/>
      <c r="W96" s="489"/>
      <c r="X96" s="489"/>
      <c r="Y96" s="489"/>
      <c r="Z96" s="489"/>
      <c r="AA96" s="489"/>
      <c r="AB96" s="489"/>
      <c r="AC96" s="490"/>
      <c r="AD96" s="477"/>
      <c r="AE96" s="489"/>
      <c r="AF96" s="489"/>
      <c r="AG96" s="489"/>
      <c r="AH96" s="489"/>
      <c r="AI96" s="489"/>
      <c r="AJ96" s="489"/>
      <c r="AK96" s="489"/>
      <c r="AL96" s="490"/>
      <c r="AM96" s="477"/>
      <c r="AN96" s="489"/>
      <c r="AO96" s="489"/>
      <c r="AP96" s="489"/>
      <c r="AQ96" s="489"/>
      <c r="AR96" s="489"/>
      <c r="AS96" s="489"/>
      <c r="AT96" s="489"/>
      <c r="AU96" s="490"/>
    </row>
    <row r="97" spans="1:51" ht="15.6" thickTop="1" thickBot="1">
      <c r="A97" s="492"/>
      <c r="B97" s="493" t="s">
        <v>51</v>
      </c>
      <c r="C97" s="494">
        <f>SUM(C74:C95)</f>
        <v>-191284.38</v>
      </c>
      <c r="D97" s="495">
        <f t="shared" ref="D97:J97" si="20">SUM(D74:D95)</f>
        <v>0</v>
      </c>
      <c r="E97" s="495">
        <f t="shared" si="20"/>
        <v>0</v>
      </c>
      <c r="F97" s="495">
        <f t="shared" si="20"/>
        <v>0</v>
      </c>
      <c r="G97" s="495">
        <f t="shared" si="20"/>
        <v>39651.42</v>
      </c>
      <c r="H97" s="495">
        <f t="shared" si="20"/>
        <v>0</v>
      </c>
      <c r="I97" s="495">
        <f t="shared" si="20"/>
        <v>-65654.320000000007</v>
      </c>
      <c r="J97" s="495">
        <f t="shared" si="20"/>
        <v>0</v>
      </c>
      <c r="K97" s="496">
        <f>SUM(K74:K95)</f>
        <v>-217287.27999999991</v>
      </c>
      <c r="L97" s="990">
        <v>-113145.10999999999</v>
      </c>
      <c r="M97" s="990">
        <v>0</v>
      </c>
      <c r="N97" s="990">
        <v>0</v>
      </c>
      <c r="O97" s="990">
        <v>0</v>
      </c>
      <c r="P97" s="990">
        <v>39651.42</v>
      </c>
      <c r="Q97" s="990">
        <v>0</v>
      </c>
      <c r="R97" s="990">
        <v>-65654.320000000007</v>
      </c>
      <c r="S97" s="990">
        <v>0</v>
      </c>
      <c r="T97" s="990">
        <v>-139148.00999999989</v>
      </c>
      <c r="U97" s="494">
        <v>-1800819.1</v>
      </c>
      <c r="V97" s="495">
        <v>0</v>
      </c>
      <c r="W97" s="495">
        <v>0</v>
      </c>
      <c r="X97" s="495">
        <v>0</v>
      </c>
      <c r="Y97" s="495">
        <v>39651</v>
      </c>
      <c r="Z97" s="495">
        <v>0</v>
      </c>
      <c r="AA97" s="495">
        <v>-65654</v>
      </c>
      <c r="AB97" s="495">
        <v>0</v>
      </c>
      <c r="AC97" s="496">
        <v>-1757563.1</v>
      </c>
      <c r="AD97" s="494">
        <v>48545835.610000007</v>
      </c>
      <c r="AE97" s="495">
        <v>0</v>
      </c>
      <c r="AF97" s="495">
        <v>125415.76</v>
      </c>
      <c r="AG97" s="495">
        <v>-125415.76</v>
      </c>
      <c r="AH97" s="495">
        <v>95909.75</v>
      </c>
      <c r="AI97" s="495">
        <v>-95909.75</v>
      </c>
      <c r="AJ97" s="495">
        <v>1221116.52</v>
      </c>
      <c r="AK97" s="495">
        <v>96893</v>
      </c>
      <c r="AL97" s="496">
        <v>49863845.13000001</v>
      </c>
      <c r="AM97" s="494">
        <v>55345338.030000001</v>
      </c>
      <c r="AN97" s="495">
        <v>451015</v>
      </c>
      <c r="AO97" s="495">
        <v>201412</v>
      </c>
      <c r="AP97" s="495">
        <v>-201412</v>
      </c>
      <c r="AQ97" s="495">
        <v>442205</v>
      </c>
      <c r="AR97" s="495">
        <v>-9378</v>
      </c>
      <c r="AS97" s="495">
        <v>0</v>
      </c>
      <c r="AT97" s="495">
        <v>0</v>
      </c>
      <c r="AU97" s="497">
        <v>56229180.030000001</v>
      </c>
      <c r="AV97" s="491">
        <f>AL97-AU97</f>
        <v>-6365334.8999999911</v>
      </c>
    </row>
    <row r="98" spans="1:51" ht="15" thickTop="1">
      <c r="A98" s="498" t="s">
        <v>358</v>
      </c>
      <c r="B98" s="488"/>
      <c r="C98" s="477"/>
      <c r="D98" s="489"/>
      <c r="E98" s="489"/>
      <c r="F98" s="489"/>
      <c r="G98" s="489"/>
      <c r="H98" s="489"/>
      <c r="I98" s="489"/>
      <c r="J98" s="489"/>
      <c r="K98" s="490"/>
      <c r="L98" s="311"/>
      <c r="M98" s="311"/>
      <c r="N98" s="311"/>
      <c r="O98" s="311"/>
      <c r="P98" s="311"/>
      <c r="Q98" s="311"/>
      <c r="R98" s="311"/>
      <c r="S98" s="311"/>
      <c r="T98" s="311"/>
      <c r="U98" s="477"/>
      <c r="V98" s="489"/>
      <c r="W98" s="489"/>
      <c r="X98" s="489"/>
      <c r="Y98" s="489"/>
      <c r="Z98" s="489"/>
      <c r="AA98" s="489"/>
      <c r="AB98" s="489"/>
      <c r="AC98" s="490"/>
      <c r="AD98" s="477"/>
      <c r="AE98" s="489"/>
      <c r="AF98" s="489"/>
      <c r="AG98" s="489"/>
      <c r="AH98" s="489"/>
      <c r="AI98" s="489"/>
      <c r="AJ98" s="489"/>
      <c r="AK98" s="489"/>
      <c r="AL98" s="490"/>
      <c r="AM98" s="477"/>
      <c r="AN98" s="489"/>
      <c r="AO98" s="489"/>
      <c r="AP98" s="489"/>
      <c r="AQ98" s="489"/>
      <c r="AR98" s="489"/>
      <c r="AS98" s="489"/>
      <c r="AT98" s="489"/>
      <c r="AU98" s="490"/>
      <c r="AV98" s="151">
        <f t="shared" ref="AV98:AV104" si="21">AL98-AU98</f>
        <v>0</v>
      </c>
    </row>
    <row r="99" spans="1:51">
      <c r="A99" s="444" t="s">
        <v>1137</v>
      </c>
      <c r="B99" s="488" t="s">
        <v>450</v>
      </c>
      <c r="C99" s="914">
        <v>0</v>
      </c>
      <c r="D99" s="489"/>
      <c r="E99" s="489">
        <v>0</v>
      </c>
      <c r="F99" s="489"/>
      <c r="G99" s="489">
        <v>0</v>
      </c>
      <c r="H99" s="489"/>
      <c r="I99" s="489"/>
      <c r="J99" s="489"/>
      <c r="K99" s="490">
        <f>SUM(C99:J99)</f>
        <v>0</v>
      </c>
      <c r="L99" s="311">
        <v>9330334</v>
      </c>
      <c r="M99" s="311"/>
      <c r="N99" s="311"/>
      <c r="O99" s="311"/>
      <c r="P99" s="311">
        <v>29294</v>
      </c>
      <c r="Q99" s="311"/>
      <c r="R99" s="311"/>
      <c r="S99" s="311"/>
      <c r="T99" s="311">
        <v>9359628</v>
      </c>
      <c r="U99" s="914">
        <v>12274103</v>
      </c>
      <c r="V99" s="489"/>
      <c r="W99" s="489">
        <v>96466</v>
      </c>
      <c r="X99" s="489"/>
      <c r="Y99" s="489">
        <v>29294</v>
      </c>
      <c r="Z99" s="489"/>
      <c r="AA99" s="489">
        <v>262780</v>
      </c>
      <c r="AB99" s="489"/>
      <c r="AC99" s="490">
        <v>12662643</v>
      </c>
      <c r="AD99" s="477">
        <v>27004217.280000001</v>
      </c>
      <c r="AE99" s="489"/>
      <c r="AF99" s="489">
        <v>115474</v>
      </c>
      <c r="AG99" s="489"/>
      <c r="AH99" s="489">
        <v>53395</v>
      </c>
      <c r="AI99" s="489"/>
      <c r="AJ99" s="489">
        <v>903470</v>
      </c>
      <c r="AK99" s="489">
        <v>-15605</v>
      </c>
      <c r="AL99" s="490">
        <v>28060951.280000001</v>
      </c>
      <c r="AM99" s="477">
        <v>26585645</v>
      </c>
      <c r="AN99" s="489">
        <v>-374192</v>
      </c>
      <c r="AO99" s="489">
        <v>51847</v>
      </c>
      <c r="AP99" s="489"/>
      <c r="AQ99" s="489">
        <v>10401</v>
      </c>
      <c r="AR99" s="489"/>
      <c r="AS99" s="489"/>
      <c r="AT99" s="489"/>
      <c r="AU99" s="490">
        <v>26273701</v>
      </c>
      <c r="AV99" s="151">
        <f t="shared" si="21"/>
        <v>1787250.2800000012</v>
      </c>
      <c r="AW99" s="152">
        <f>AK99+AD99</f>
        <v>26988612.280000001</v>
      </c>
      <c r="AY99" s="152"/>
    </row>
    <row r="100" spans="1:51" s="630" customFormat="1">
      <c r="A100" s="624"/>
      <c r="B100" s="625" t="s">
        <v>51</v>
      </c>
      <c r="C100" s="626">
        <f>SUM(C98:C99)</f>
        <v>0</v>
      </c>
      <c r="D100" s="627">
        <f t="shared" ref="D100:K100" si="22">SUM(D98:D99)</f>
        <v>0</v>
      </c>
      <c r="E100" s="627">
        <f t="shared" si="22"/>
        <v>0</v>
      </c>
      <c r="F100" s="627">
        <f t="shared" si="22"/>
        <v>0</v>
      </c>
      <c r="G100" s="627">
        <f t="shared" si="22"/>
        <v>0</v>
      </c>
      <c r="H100" s="627">
        <f t="shared" si="22"/>
        <v>0</v>
      </c>
      <c r="I100" s="627">
        <f t="shared" si="22"/>
        <v>0</v>
      </c>
      <c r="J100" s="627">
        <f t="shared" si="22"/>
        <v>0</v>
      </c>
      <c r="K100" s="628">
        <f t="shared" si="22"/>
        <v>0</v>
      </c>
      <c r="L100" s="993">
        <v>9330334</v>
      </c>
      <c r="M100" s="993">
        <v>0</v>
      </c>
      <c r="N100" s="993">
        <v>0</v>
      </c>
      <c r="O100" s="993">
        <v>0</v>
      </c>
      <c r="P100" s="993">
        <v>29294</v>
      </c>
      <c r="Q100" s="993">
        <v>0</v>
      </c>
      <c r="R100" s="993">
        <v>0</v>
      </c>
      <c r="S100" s="993">
        <v>0</v>
      </c>
      <c r="T100" s="993">
        <v>9359628</v>
      </c>
      <c r="U100" s="626">
        <v>12274103</v>
      </c>
      <c r="V100" s="627">
        <v>0</v>
      </c>
      <c r="W100" s="627">
        <v>96466</v>
      </c>
      <c r="X100" s="627">
        <v>0</v>
      </c>
      <c r="Y100" s="627">
        <v>29294</v>
      </c>
      <c r="Z100" s="627">
        <v>0</v>
      </c>
      <c r="AA100" s="627">
        <v>262780</v>
      </c>
      <c r="AB100" s="627">
        <v>0</v>
      </c>
      <c r="AC100" s="628">
        <v>12662643</v>
      </c>
      <c r="AD100" s="626">
        <v>27004217.280000001</v>
      </c>
      <c r="AE100" s="627">
        <v>0</v>
      </c>
      <c r="AF100" s="627">
        <v>115474</v>
      </c>
      <c r="AG100" s="627">
        <v>0</v>
      </c>
      <c r="AH100" s="627">
        <v>53395</v>
      </c>
      <c r="AI100" s="627">
        <v>0</v>
      </c>
      <c r="AJ100" s="627">
        <v>903470</v>
      </c>
      <c r="AK100" s="627">
        <v>-15605</v>
      </c>
      <c r="AL100" s="628">
        <v>28060951.280000001</v>
      </c>
      <c r="AM100" s="626">
        <v>26585645</v>
      </c>
      <c r="AN100" s="627">
        <v>-374192</v>
      </c>
      <c r="AO100" s="627">
        <v>51847</v>
      </c>
      <c r="AP100" s="627">
        <v>0</v>
      </c>
      <c r="AQ100" s="627">
        <v>10401</v>
      </c>
      <c r="AR100" s="627">
        <v>0</v>
      </c>
      <c r="AS100" s="627">
        <v>0</v>
      </c>
      <c r="AT100" s="627">
        <v>0</v>
      </c>
      <c r="AU100" s="628">
        <v>26273701</v>
      </c>
      <c r="AV100" s="629">
        <f t="shared" si="21"/>
        <v>1787250.2800000012</v>
      </c>
      <c r="AW100" s="630">
        <v>26988612</v>
      </c>
      <c r="AX100" s="631">
        <f>AW99-AW100</f>
        <v>0.2800000011920929</v>
      </c>
    </row>
    <row r="101" spans="1:51">
      <c r="B101" s="499"/>
      <c r="C101" s="477"/>
      <c r="D101" s="489"/>
      <c r="E101" s="489"/>
      <c r="F101" s="489"/>
      <c r="G101" s="489"/>
      <c r="H101" s="489"/>
      <c r="I101" s="489"/>
      <c r="J101" s="489"/>
      <c r="K101" s="490"/>
      <c r="L101" s="311"/>
      <c r="M101" s="311"/>
      <c r="N101" s="311"/>
      <c r="O101" s="311"/>
      <c r="P101" s="311"/>
      <c r="Q101" s="311"/>
      <c r="R101" s="311"/>
      <c r="S101" s="311"/>
      <c r="T101" s="311"/>
      <c r="U101" s="477"/>
      <c r="V101" s="489"/>
      <c r="W101" s="489"/>
      <c r="X101" s="489"/>
      <c r="Y101" s="489"/>
      <c r="Z101" s="489"/>
      <c r="AA101" s="489"/>
      <c r="AB101" s="489"/>
      <c r="AC101" s="490"/>
      <c r="AD101" s="477"/>
      <c r="AE101" s="489"/>
      <c r="AF101" s="489"/>
      <c r="AG101" s="489"/>
      <c r="AH101" s="489"/>
      <c r="AI101" s="489"/>
      <c r="AJ101" s="489"/>
      <c r="AK101" s="489"/>
      <c r="AL101" s="490"/>
      <c r="AM101" s="477"/>
      <c r="AN101" s="489"/>
      <c r="AO101" s="489"/>
      <c r="AP101" s="489"/>
      <c r="AQ101" s="489"/>
      <c r="AR101" s="489"/>
      <c r="AS101" s="489"/>
      <c r="AT101" s="489"/>
      <c r="AU101" s="490"/>
      <c r="AV101" s="491">
        <f t="shared" si="21"/>
        <v>0</v>
      </c>
    </row>
    <row r="102" spans="1:51">
      <c r="B102" s="499"/>
      <c r="C102" s="477"/>
      <c r="D102" s="489"/>
      <c r="E102" s="489"/>
      <c r="F102" s="489"/>
      <c r="G102" s="489"/>
      <c r="H102" s="489"/>
      <c r="I102" s="489"/>
      <c r="J102" s="489"/>
      <c r="K102" s="490"/>
      <c r="L102" s="311"/>
      <c r="M102" s="311"/>
      <c r="N102" s="311"/>
      <c r="O102" s="311"/>
      <c r="P102" s="311"/>
      <c r="Q102" s="311"/>
      <c r="R102" s="311"/>
      <c r="S102" s="311"/>
      <c r="T102" s="311"/>
      <c r="U102" s="477"/>
      <c r="V102" s="489"/>
      <c r="W102" s="489"/>
      <c r="X102" s="489"/>
      <c r="Y102" s="489"/>
      <c r="Z102" s="489"/>
      <c r="AA102" s="489"/>
      <c r="AB102" s="489"/>
      <c r="AC102" s="490"/>
      <c r="AD102" s="477"/>
      <c r="AE102" s="489"/>
      <c r="AF102" s="489"/>
      <c r="AG102" s="489"/>
      <c r="AH102" s="489"/>
      <c r="AI102" s="489"/>
      <c r="AJ102" s="489"/>
      <c r="AK102" s="489"/>
      <c r="AL102" s="490"/>
      <c r="AM102" s="477"/>
      <c r="AN102" s="489"/>
      <c r="AO102" s="489"/>
      <c r="AP102" s="489"/>
      <c r="AQ102" s="489"/>
      <c r="AR102" s="489"/>
      <c r="AS102" s="489"/>
      <c r="AT102" s="489"/>
      <c r="AU102" s="490"/>
      <c r="AV102" s="491">
        <f t="shared" si="21"/>
        <v>0</v>
      </c>
    </row>
    <row r="103" spans="1:51">
      <c r="A103" s="444" t="s">
        <v>1138</v>
      </c>
      <c r="B103" s="488" t="s">
        <v>449</v>
      </c>
      <c r="C103" s="477" cm="1">
        <f t="array" ref="C103">_xlfn.XLOOKUP(A103,'TB upload'!A:A,'TB upload'!C:C-'TB upload'!B:B,0,0)*-1-13305</f>
        <v>26991572.82</v>
      </c>
      <c r="D103" s="489"/>
      <c r="E103" s="942" cm="1">
        <f t="array" ref="E103">_xlfn.XLOOKUP(A103,'TB upload'!A:A,'TB upload'!E:E-'TB upload'!D:D,0,0)*-1</f>
        <v>115474.23</v>
      </c>
      <c r="F103" s="489"/>
      <c r="G103" s="477" cm="1">
        <f t="array" ref="G103">_xlfn.XLOOKUP(A103,'TB upload'!A:A,'TB upload'!G:G-'TB upload'!F:F,0,0)*-1</f>
        <v>50433.14</v>
      </c>
      <c r="H103" s="489"/>
      <c r="I103" s="477" cm="1">
        <f t="array" ref="I103">_xlfn.XLOOKUP(A103,'TB upload'!A:A,'TB upload'!I:I-'TB upload'!H:H,0,0)*-1</f>
        <v>903470.69</v>
      </c>
      <c r="J103" s="489"/>
      <c r="K103" s="490">
        <f>SUM(C103:J103)</f>
        <v>28060950.880000003</v>
      </c>
      <c r="L103" s="311">
        <v>27004127.739999998</v>
      </c>
      <c r="M103" s="311"/>
      <c r="N103" s="311">
        <v>115474.23</v>
      </c>
      <c r="O103" s="311"/>
      <c r="P103" s="311">
        <v>50433.14</v>
      </c>
      <c r="Q103" s="311"/>
      <c r="R103" s="311">
        <v>903470.69</v>
      </c>
      <c r="S103" s="311"/>
      <c r="T103" s="311">
        <v>28073505.800000001</v>
      </c>
      <c r="U103" s="914">
        <v>27004217.280000001</v>
      </c>
      <c r="V103" s="489"/>
      <c r="W103" s="489">
        <v>115474</v>
      </c>
      <c r="X103" s="489"/>
      <c r="Y103" s="632">
        <v>50433</v>
      </c>
      <c r="Z103" s="489"/>
      <c r="AA103" s="489">
        <v>903470</v>
      </c>
      <c r="AB103" s="489"/>
      <c r="AC103" s="490">
        <v>28073594.280000001</v>
      </c>
      <c r="AD103" s="477">
        <v>26585645.309999999</v>
      </c>
      <c r="AE103" s="489"/>
      <c r="AF103" s="489">
        <v>51847</v>
      </c>
      <c r="AG103" s="489">
        <v>-374192</v>
      </c>
      <c r="AH103" s="489">
        <v>10401.65</v>
      </c>
      <c r="AI103" s="489"/>
      <c r="AJ103" s="489">
        <v>0</v>
      </c>
      <c r="AK103" s="489"/>
      <c r="AL103" s="490">
        <v>26273701.959999997</v>
      </c>
      <c r="AM103" s="477">
        <v>14745293.17</v>
      </c>
      <c r="AN103" s="489">
        <v>-76823</v>
      </c>
      <c r="AO103" s="489">
        <v>99243</v>
      </c>
      <c r="AP103" s="489"/>
      <c r="AQ103" s="489">
        <v>2041375</v>
      </c>
      <c r="AR103" s="489"/>
      <c r="AS103" s="489"/>
      <c r="AT103" s="489"/>
      <c r="AU103" s="490">
        <v>16809088.170000002</v>
      </c>
      <c r="AV103" s="151">
        <f t="shared" si="21"/>
        <v>9464613.7899999954</v>
      </c>
    </row>
    <row r="104" spans="1:51" s="630" customFormat="1">
      <c r="A104" s="624"/>
      <c r="B104" s="625" t="s">
        <v>51</v>
      </c>
      <c r="C104" s="626">
        <f t="shared" ref="C104:K104" si="23">SUM(C102:C103)</f>
        <v>26991572.82</v>
      </c>
      <c r="D104" s="627">
        <f t="shared" si="23"/>
        <v>0</v>
      </c>
      <c r="E104" s="627">
        <f t="shared" si="23"/>
        <v>115474.23</v>
      </c>
      <c r="F104" s="627">
        <f t="shared" si="23"/>
        <v>0</v>
      </c>
      <c r="G104" s="627">
        <f t="shared" si="23"/>
        <v>50433.14</v>
      </c>
      <c r="H104" s="627">
        <f t="shared" si="23"/>
        <v>0</v>
      </c>
      <c r="I104" s="627">
        <f t="shared" si="23"/>
        <v>903470.69</v>
      </c>
      <c r="J104" s="627">
        <f t="shared" si="23"/>
        <v>0</v>
      </c>
      <c r="K104" s="628">
        <f t="shared" si="23"/>
        <v>28060950.880000003</v>
      </c>
      <c r="L104" s="993">
        <v>27004127.739999998</v>
      </c>
      <c r="M104" s="993">
        <v>0</v>
      </c>
      <c r="N104" s="993">
        <v>115474.23</v>
      </c>
      <c r="O104" s="993">
        <v>0</v>
      </c>
      <c r="P104" s="993">
        <v>50433.14</v>
      </c>
      <c r="Q104" s="993">
        <v>0</v>
      </c>
      <c r="R104" s="993">
        <v>903470.69</v>
      </c>
      <c r="S104" s="993">
        <v>0</v>
      </c>
      <c r="T104" s="993">
        <v>28073505.800000001</v>
      </c>
      <c r="U104" s="626">
        <v>27004217.280000001</v>
      </c>
      <c r="V104" s="627">
        <v>0</v>
      </c>
      <c r="W104" s="627">
        <v>115474</v>
      </c>
      <c r="X104" s="627">
        <v>0</v>
      </c>
      <c r="Y104" s="627">
        <v>50433</v>
      </c>
      <c r="Z104" s="627">
        <v>0</v>
      </c>
      <c r="AA104" s="627">
        <v>903470</v>
      </c>
      <c r="AB104" s="627">
        <v>0</v>
      </c>
      <c r="AC104" s="628">
        <v>28073594.280000001</v>
      </c>
      <c r="AD104" s="626">
        <v>26585645.309999999</v>
      </c>
      <c r="AE104" s="627">
        <v>0</v>
      </c>
      <c r="AF104" s="627">
        <v>51847</v>
      </c>
      <c r="AG104" s="627">
        <v>-374192</v>
      </c>
      <c r="AH104" s="627">
        <v>10401.65</v>
      </c>
      <c r="AI104" s="627">
        <v>0</v>
      </c>
      <c r="AJ104" s="627">
        <v>0</v>
      </c>
      <c r="AK104" s="627">
        <v>0</v>
      </c>
      <c r="AL104" s="628">
        <v>26273701.959999997</v>
      </c>
      <c r="AM104" s="626">
        <v>14745293.17</v>
      </c>
      <c r="AN104" s="627">
        <v>-76823</v>
      </c>
      <c r="AO104" s="627">
        <v>99243</v>
      </c>
      <c r="AP104" s="627">
        <v>0</v>
      </c>
      <c r="AQ104" s="627">
        <v>2041375</v>
      </c>
      <c r="AR104" s="627">
        <v>0</v>
      </c>
      <c r="AS104" s="627">
        <v>0</v>
      </c>
      <c r="AT104" s="627">
        <v>0</v>
      </c>
      <c r="AU104" s="628">
        <v>16809088.170000002</v>
      </c>
      <c r="AV104" s="629">
        <f t="shared" si="21"/>
        <v>9464613.7899999954</v>
      </c>
    </row>
    <row r="105" spans="1:51" ht="15" thickBot="1">
      <c r="B105" s="499"/>
      <c r="C105" s="477"/>
      <c r="D105" s="489"/>
      <c r="E105" s="489"/>
      <c r="F105" s="489"/>
      <c r="G105" s="489"/>
      <c r="H105" s="489"/>
      <c r="I105" s="489"/>
      <c r="J105" s="489"/>
      <c r="K105" s="490"/>
      <c r="L105" s="311"/>
      <c r="M105" s="311"/>
      <c r="N105" s="311"/>
      <c r="O105" s="311"/>
      <c r="P105" s="311"/>
      <c r="Q105" s="311"/>
      <c r="R105" s="311"/>
      <c r="S105" s="311"/>
      <c r="T105" s="311"/>
      <c r="U105" s="477"/>
      <c r="V105" s="489"/>
      <c r="W105" s="489"/>
      <c r="X105" s="489"/>
      <c r="Y105" s="489"/>
      <c r="Z105" s="489"/>
      <c r="AA105" s="489"/>
      <c r="AB105" s="489"/>
      <c r="AC105" s="490"/>
      <c r="AD105" s="477"/>
      <c r="AE105" s="489"/>
      <c r="AF105" s="489"/>
      <c r="AG105" s="489"/>
      <c r="AH105" s="489"/>
      <c r="AI105" s="489"/>
      <c r="AJ105" s="489"/>
      <c r="AK105" s="489"/>
      <c r="AL105" s="490"/>
      <c r="AM105" s="477"/>
      <c r="AN105" s="489"/>
      <c r="AO105" s="489"/>
      <c r="AP105" s="489"/>
      <c r="AQ105" s="489"/>
      <c r="AR105" s="489"/>
      <c r="AS105" s="489"/>
      <c r="AT105" s="489"/>
      <c r="AU105" s="490"/>
      <c r="AV105" s="491"/>
    </row>
    <row r="106" spans="1:51" ht="15.6" thickTop="1" thickBot="1">
      <c r="A106" s="492"/>
      <c r="B106" s="493" t="s">
        <v>51</v>
      </c>
      <c r="C106" s="494">
        <f>+C104-C100</f>
        <v>26991572.82</v>
      </c>
      <c r="D106" s="495">
        <f t="shared" ref="D106:K106" si="24">+D104-D100</f>
        <v>0</v>
      </c>
      <c r="E106" s="495">
        <f t="shared" si="24"/>
        <v>115474.23</v>
      </c>
      <c r="F106" s="495">
        <f t="shared" si="24"/>
        <v>0</v>
      </c>
      <c r="G106" s="495">
        <f t="shared" si="24"/>
        <v>50433.14</v>
      </c>
      <c r="H106" s="495">
        <f t="shared" si="24"/>
        <v>0</v>
      </c>
      <c r="I106" s="495">
        <f t="shared" si="24"/>
        <v>903470.69</v>
      </c>
      <c r="J106" s="495">
        <f t="shared" si="24"/>
        <v>0</v>
      </c>
      <c r="K106" s="496">
        <f t="shared" si="24"/>
        <v>28060950.880000003</v>
      </c>
      <c r="L106" s="990">
        <v>17673793.739999998</v>
      </c>
      <c r="M106" s="990">
        <v>0</v>
      </c>
      <c r="N106" s="990">
        <v>115474.23</v>
      </c>
      <c r="O106" s="990">
        <v>0</v>
      </c>
      <c r="P106" s="990">
        <v>21139.14</v>
      </c>
      <c r="Q106" s="990">
        <v>0</v>
      </c>
      <c r="R106" s="990">
        <v>903470.69</v>
      </c>
      <c r="S106" s="990">
        <v>0</v>
      </c>
      <c r="T106" s="990">
        <v>18713877.800000001</v>
      </c>
      <c r="U106" s="494">
        <v>14730114.280000001</v>
      </c>
      <c r="V106" s="495">
        <v>0</v>
      </c>
      <c r="W106" s="495">
        <v>19008</v>
      </c>
      <c r="X106" s="495">
        <v>0</v>
      </c>
      <c r="Y106" s="495">
        <v>21139</v>
      </c>
      <c r="Z106" s="495">
        <v>0</v>
      </c>
      <c r="AA106" s="495">
        <v>640690</v>
      </c>
      <c r="AB106" s="495">
        <v>0</v>
      </c>
      <c r="AC106" s="496">
        <v>15410951.280000001</v>
      </c>
      <c r="AD106" s="494">
        <v>-418571.97000000253</v>
      </c>
      <c r="AE106" s="495">
        <v>0</v>
      </c>
      <c r="AF106" s="495">
        <v>-63627</v>
      </c>
      <c r="AG106" s="495">
        <v>-374192</v>
      </c>
      <c r="AH106" s="495">
        <v>-42993.35</v>
      </c>
      <c r="AI106" s="495">
        <v>0</v>
      </c>
      <c r="AJ106" s="495">
        <v>-903470</v>
      </c>
      <c r="AK106" s="495">
        <v>15605</v>
      </c>
      <c r="AL106" s="496">
        <v>-1787249.320000004</v>
      </c>
      <c r="AM106" s="494">
        <v>-11840351.83</v>
      </c>
      <c r="AN106" s="495">
        <v>297369</v>
      </c>
      <c r="AO106" s="495">
        <v>47396</v>
      </c>
      <c r="AP106" s="495">
        <v>0</v>
      </c>
      <c r="AQ106" s="495">
        <v>2030974</v>
      </c>
      <c r="AR106" s="495">
        <v>0</v>
      </c>
      <c r="AS106" s="495">
        <v>0</v>
      </c>
      <c r="AT106" s="495">
        <v>0</v>
      </c>
      <c r="AU106" s="497">
        <v>-9464612.8299999982</v>
      </c>
      <c r="AV106" s="491">
        <f>AL106-AU106</f>
        <v>7677363.5099999942</v>
      </c>
    </row>
    <row r="107" spans="1:51" ht="15" thickTop="1">
      <c r="A107" s="498" t="s">
        <v>359</v>
      </c>
      <c r="B107" s="488"/>
      <c r="C107" s="477"/>
      <c r="D107" s="489"/>
      <c r="E107" s="489"/>
      <c r="F107" s="489"/>
      <c r="G107" s="489"/>
      <c r="H107" s="489"/>
      <c r="I107" s="489"/>
      <c r="J107" s="489"/>
      <c r="K107" s="490"/>
      <c r="L107" s="311"/>
      <c r="M107" s="311"/>
      <c r="N107" s="311"/>
      <c r="O107" s="311"/>
      <c r="P107" s="311"/>
      <c r="Q107" s="311"/>
      <c r="R107" s="311"/>
      <c r="S107" s="311"/>
      <c r="T107" s="311"/>
      <c r="U107" s="477"/>
      <c r="V107" s="489"/>
      <c r="W107" s="489"/>
      <c r="X107" s="489"/>
      <c r="Y107" s="489"/>
      <c r="Z107" s="489"/>
      <c r="AA107" s="489"/>
      <c r="AB107" s="489"/>
      <c r="AC107" s="490"/>
      <c r="AD107" s="477"/>
      <c r="AE107" s="489"/>
      <c r="AF107" s="489"/>
      <c r="AG107" s="489"/>
      <c r="AH107" s="489"/>
      <c r="AI107" s="489"/>
      <c r="AJ107" s="489"/>
      <c r="AK107" s="489"/>
      <c r="AL107" s="490"/>
      <c r="AM107" s="477"/>
      <c r="AN107" s="489"/>
      <c r="AO107" s="489"/>
      <c r="AP107" s="489"/>
      <c r="AQ107" s="489"/>
      <c r="AR107" s="489"/>
      <c r="AS107" s="489"/>
      <c r="AT107" s="489"/>
      <c r="AU107" s="490"/>
    </row>
    <row r="108" spans="1:51">
      <c r="A108" s="498" t="s">
        <v>243</v>
      </c>
      <c r="B108" s="488"/>
      <c r="C108" s="477">
        <f>'TB upload'!B111-'TB upload'!C111</f>
        <v>5073708</v>
      </c>
      <c r="D108" s="489"/>
      <c r="E108" s="489"/>
      <c r="F108" s="489"/>
      <c r="G108" s="489"/>
      <c r="H108" s="489"/>
      <c r="I108" s="489"/>
      <c r="J108" s="489"/>
      <c r="K108" s="490">
        <f t="shared" ref="K108:K123" si="25">SUM(C108:J108)</f>
        <v>5073708</v>
      </c>
      <c r="L108" s="311"/>
      <c r="M108" s="311"/>
      <c r="N108" s="311"/>
      <c r="O108" s="311"/>
      <c r="P108" s="311"/>
      <c r="Q108" s="311"/>
      <c r="R108" s="311"/>
      <c r="S108" s="311"/>
      <c r="T108" s="311"/>
      <c r="U108" s="477"/>
      <c r="V108" s="489"/>
      <c r="W108" s="489"/>
      <c r="X108" s="489"/>
      <c r="Y108" s="489"/>
      <c r="Z108" s="489"/>
      <c r="AA108" s="489"/>
      <c r="AB108" s="489"/>
      <c r="AC108" s="490"/>
      <c r="AD108" s="477"/>
      <c r="AE108" s="489"/>
      <c r="AF108" s="489"/>
      <c r="AG108" s="489"/>
      <c r="AH108" s="489"/>
      <c r="AI108" s="489"/>
      <c r="AJ108" s="489"/>
      <c r="AK108" s="489"/>
      <c r="AL108" s="490"/>
      <c r="AM108" s="477"/>
      <c r="AN108" s="489"/>
      <c r="AO108" s="489"/>
      <c r="AP108" s="489"/>
      <c r="AQ108" s="489"/>
      <c r="AR108" s="489"/>
      <c r="AS108" s="489"/>
      <c r="AT108" s="489"/>
      <c r="AU108" s="490"/>
    </row>
    <row r="109" spans="1:51">
      <c r="A109" s="444" t="s">
        <v>167</v>
      </c>
      <c r="B109" s="488" t="s">
        <v>449</v>
      </c>
      <c r="C109" s="477" cm="1">
        <f t="array" ref="C109">_xlfn.XLOOKUP(A109,'TB upload'!A:A,'TB upload'!C:C-'TB upload'!B:B,0,0)*-1</f>
        <v>0</v>
      </c>
      <c r="D109" s="489"/>
      <c r="E109" s="942" cm="1">
        <f t="array" ref="E109">_xlfn.XLOOKUP(A109,'TB upload'!A:A,'TB upload'!E:E-'TB upload'!D:D,0,0)*-1</f>
        <v>0</v>
      </c>
      <c r="F109" s="489"/>
      <c r="G109" s="477" cm="1">
        <f t="array" ref="G109">_xlfn.XLOOKUP(A109,'TB upload'!A:A,'TB upload'!G:G-'TB upload'!F:F,0,0)*-1</f>
        <v>0</v>
      </c>
      <c r="H109" s="489"/>
      <c r="I109" s="477" cm="1">
        <f t="array" ref="I109">_xlfn.XLOOKUP(A109,'TB upload'!A:A,'TB upload'!I:I-'TB upload'!H:H,0,0)*-1</f>
        <v>0</v>
      </c>
      <c r="J109" s="489"/>
      <c r="K109" s="490">
        <f t="shared" si="25"/>
        <v>0</v>
      </c>
      <c r="L109" s="311">
        <v>1972781</v>
      </c>
      <c r="M109" s="311"/>
      <c r="N109" s="311">
        <v>0</v>
      </c>
      <c r="O109" s="311"/>
      <c r="P109" s="311">
        <v>0</v>
      </c>
      <c r="Q109" s="311"/>
      <c r="R109" s="311">
        <v>0</v>
      </c>
      <c r="S109" s="311"/>
      <c r="T109" s="311">
        <v>1972781</v>
      </c>
      <c r="U109" s="477">
        <v>5118386</v>
      </c>
      <c r="V109" s="489"/>
      <c r="W109" s="489"/>
      <c r="X109" s="489"/>
      <c r="Y109" s="489"/>
      <c r="Z109" s="489"/>
      <c r="AA109" s="489"/>
      <c r="AB109" s="489"/>
      <c r="AC109" s="490">
        <v>5118386</v>
      </c>
      <c r="AD109" s="477">
        <v>6862368</v>
      </c>
      <c r="AE109" s="489"/>
      <c r="AF109" s="489">
        <v>0</v>
      </c>
      <c r="AG109" s="489"/>
      <c r="AH109" s="489">
        <v>0</v>
      </c>
      <c r="AI109" s="489"/>
      <c r="AJ109" s="489">
        <v>0</v>
      </c>
      <c r="AK109" s="489"/>
      <c r="AL109" s="490">
        <v>6862368</v>
      </c>
      <c r="AM109" s="477">
        <v>4895721</v>
      </c>
      <c r="AN109" s="489"/>
      <c r="AO109" s="489"/>
      <c r="AP109" s="489"/>
      <c r="AQ109" s="489"/>
      <c r="AR109" s="489"/>
      <c r="AS109" s="489"/>
      <c r="AT109" s="489"/>
      <c r="AU109" s="490">
        <v>4895721</v>
      </c>
    </row>
    <row r="110" spans="1:51">
      <c r="A110" s="444" t="s">
        <v>168</v>
      </c>
      <c r="B110" s="488" t="s">
        <v>449</v>
      </c>
      <c r="C110" s="477" cm="1">
        <f t="array" ref="C110">_xlfn.XLOOKUP(A110,'TB upload'!A:A,'TB upload'!C:C-'TB upload'!B:B,0,0)*-1</f>
        <v>0</v>
      </c>
      <c r="D110" s="489"/>
      <c r="E110" s="942" cm="1">
        <f t="array" ref="E110">_xlfn.XLOOKUP(A110,'TB upload'!A:A,'TB upload'!E:E-'TB upload'!D:D,0,0)*-1</f>
        <v>0</v>
      </c>
      <c r="F110" s="489"/>
      <c r="G110" s="477" cm="1">
        <f t="array" ref="G110">_xlfn.XLOOKUP(A110,'TB upload'!A:A,'TB upload'!G:G-'TB upload'!F:F,0,0)*-1</f>
        <v>0</v>
      </c>
      <c r="H110" s="489"/>
      <c r="I110" s="477" cm="1">
        <f t="array" ref="I110">_xlfn.XLOOKUP(A110,'TB upload'!A:A,'TB upload'!I:I-'TB upload'!H:H,0,0)*-1</f>
        <v>0</v>
      </c>
      <c r="J110" s="489"/>
      <c r="K110" s="490">
        <f t="shared" si="25"/>
        <v>0</v>
      </c>
      <c r="L110" s="311">
        <v>394151</v>
      </c>
      <c r="M110" s="311"/>
      <c r="N110" s="311">
        <v>0</v>
      </c>
      <c r="O110" s="311"/>
      <c r="P110" s="311">
        <v>0</v>
      </c>
      <c r="Q110" s="311"/>
      <c r="R110" s="311">
        <v>0</v>
      </c>
      <c r="S110" s="311"/>
      <c r="T110" s="311">
        <v>394151</v>
      </c>
      <c r="U110" s="477">
        <v>0</v>
      </c>
      <c r="V110" s="489"/>
      <c r="W110" s="489"/>
      <c r="X110" s="489"/>
      <c r="Y110" s="489"/>
      <c r="Z110" s="489"/>
      <c r="AA110" s="489"/>
      <c r="AB110" s="489"/>
      <c r="AC110" s="490">
        <v>0</v>
      </c>
      <c r="AD110" s="477">
        <v>1315769</v>
      </c>
      <c r="AE110" s="489"/>
      <c r="AF110" s="489">
        <v>0</v>
      </c>
      <c r="AG110" s="489"/>
      <c r="AH110" s="489">
        <v>0</v>
      </c>
      <c r="AI110" s="489"/>
      <c r="AJ110" s="489">
        <v>0</v>
      </c>
      <c r="AK110" s="489"/>
      <c r="AL110" s="490">
        <v>1315769</v>
      </c>
      <c r="AM110" s="477">
        <v>865981</v>
      </c>
      <c r="AN110" s="489"/>
      <c r="AO110" s="489"/>
      <c r="AP110" s="489"/>
      <c r="AQ110" s="489"/>
      <c r="AR110" s="489"/>
      <c r="AS110" s="489"/>
      <c r="AT110" s="489"/>
      <c r="AU110" s="490">
        <v>865981</v>
      </c>
    </row>
    <row r="111" spans="1:51">
      <c r="A111" s="444" t="s">
        <v>169</v>
      </c>
      <c r="B111" s="488" t="s">
        <v>449</v>
      </c>
      <c r="C111" s="477" cm="1">
        <f t="array" ref="C111">_xlfn.XLOOKUP(A111,'TB upload'!A:A,'TB upload'!C:C-'TB upload'!B:B,0,0)*-1</f>
        <v>0</v>
      </c>
      <c r="D111" s="489"/>
      <c r="E111" s="942" cm="1">
        <f t="array" ref="E111">_xlfn.XLOOKUP(A111,'TB upload'!A:A,'TB upload'!E:E-'TB upload'!D:D,0,0)*-1</f>
        <v>0</v>
      </c>
      <c r="F111" s="489"/>
      <c r="G111" s="477" cm="1">
        <f t="array" ref="G111">_xlfn.XLOOKUP(A111,'TB upload'!A:A,'TB upload'!G:G-'TB upload'!F:F,0,0)*-1</f>
        <v>0</v>
      </c>
      <c r="H111" s="489"/>
      <c r="I111" s="477" cm="1">
        <f t="array" ref="I111">_xlfn.XLOOKUP(A111,'TB upload'!A:A,'TB upload'!I:I-'TB upload'!H:H,0,0)*-1</f>
        <v>0</v>
      </c>
      <c r="J111" s="489"/>
      <c r="K111" s="490">
        <f t="shared" si="25"/>
        <v>0</v>
      </c>
      <c r="L111" s="311">
        <v>831654</v>
      </c>
      <c r="M111" s="311"/>
      <c r="N111" s="311">
        <v>0</v>
      </c>
      <c r="O111" s="311"/>
      <c r="P111" s="311">
        <v>0</v>
      </c>
      <c r="Q111" s="311"/>
      <c r="R111" s="311">
        <v>0</v>
      </c>
      <c r="S111" s="311"/>
      <c r="T111" s="311">
        <v>831654</v>
      </c>
      <c r="U111" s="477">
        <v>0</v>
      </c>
      <c r="V111" s="489"/>
      <c r="W111" s="489"/>
      <c r="X111" s="489"/>
      <c r="Y111" s="489"/>
      <c r="Z111" s="489"/>
      <c r="AA111" s="489"/>
      <c r="AB111" s="489"/>
      <c r="AC111" s="490">
        <v>0</v>
      </c>
      <c r="AD111" s="477">
        <v>2700980</v>
      </c>
      <c r="AE111" s="489"/>
      <c r="AF111" s="489">
        <v>0</v>
      </c>
      <c r="AG111" s="489"/>
      <c r="AH111" s="489">
        <v>0</v>
      </c>
      <c r="AI111" s="489"/>
      <c r="AJ111" s="489">
        <v>0</v>
      </c>
      <c r="AK111" s="489"/>
      <c r="AL111" s="490">
        <v>2700980</v>
      </c>
      <c r="AM111" s="477">
        <v>1937453</v>
      </c>
      <c r="AN111" s="489"/>
      <c r="AO111" s="489"/>
      <c r="AP111" s="489"/>
      <c r="AQ111" s="489"/>
      <c r="AR111" s="489"/>
      <c r="AS111" s="489"/>
      <c r="AT111" s="489"/>
      <c r="AU111" s="490">
        <v>1937453</v>
      </c>
    </row>
    <row r="112" spans="1:51">
      <c r="A112" s="444" t="s">
        <v>170</v>
      </c>
      <c r="B112" s="488" t="s">
        <v>449</v>
      </c>
      <c r="C112" s="477" cm="1">
        <f t="array" ref="C112">_xlfn.XLOOKUP(A112,'TB upload'!A:A,'TB upload'!C:C-'TB upload'!B:B,0,0)*-1</f>
        <v>0</v>
      </c>
      <c r="D112" s="489"/>
      <c r="E112" s="942" cm="1">
        <f t="array" ref="E112">_xlfn.XLOOKUP(A112,'TB upload'!A:A,'TB upload'!E:E-'TB upload'!D:D,0,0)*-1</f>
        <v>0</v>
      </c>
      <c r="F112" s="489"/>
      <c r="G112" s="477" cm="1">
        <f t="array" ref="G112">_xlfn.XLOOKUP(A112,'TB upload'!A:A,'TB upload'!G:G-'TB upload'!F:F,0,0)*-1</f>
        <v>0</v>
      </c>
      <c r="H112" s="489"/>
      <c r="I112" s="477" cm="1">
        <f t="array" ref="I112">_xlfn.XLOOKUP(A112,'TB upload'!A:A,'TB upload'!I:I-'TB upload'!H:H,0,0)*-1</f>
        <v>0</v>
      </c>
      <c r="J112" s="489"/>
      <c r="K112" s="490">
        <f t="shared" si="25"/>
        <v>0</v>
      </c>
      <c r="L112" s="311">
        <v>167448</v>
      </c>
      <c r="M112" s="311"/>
      <c r="N112" s="311">
        <v>0</v>
      </c>
      <c r="O112" s="311"/>
      <c r="P112" s="311">
        <v>0</v>
      </c>
      <c r="Q112" s="311"/>
      <c r="R112" s="311">
        <v>0</v>
      </c>
      <c r="S112" s="311"/>
      <c r="T112" s="311">
        <v>167448</v>
      </c>
      <c r="U112" s="477">
        <v>0</v>
      </c>
      <c r="V112" s="489"/>
      <c r="W112" s="489"/>
      <c r="X112" s="489"/>
      <c r="Y112" s="489"/>
      <c r="Z112" s="489"/>
      <c r="AA112" s="489"/>
      <c r="AB112" s="489"/>
      <c r="AC112" s="490">
        <v>0</v>
      </c>
      <c r="AD112" s="477">
        <v>316701</v>
      </c>
      <c r="AE112" s="489"/>
      <c r="AF112" s="489">
        <v>0</v>
      </c>
      <c r="AG112" s="489"/>
      <c r="AH112" s="489">
        <v>0</v>
      </c>
      <c r="AI112" s="489"/>
      <c r="AJ112" s="489">
        <v>0</v>
      </c>
      <c r="AK112" s="489"/>
      <c r="AL112" s="490">
        <v>316701</v>
      </c>
      <c r="AM112" s="477">
        <v>281330</v>
      </c>
      <c r="AN112" s="489"/>
      <c r="AO112" s="489"/>
      <c r="AP112" s="489"/>
      <c r="AQ112" s="489"/>
      <c r="AR112" s="489"/>
      <c r="AS112" s="489"/>
      <c r="AT112" s="489"/>
      <c r="AU112" s="490">
        <v>281330</v>
      </c>
    </row>
    <row r="113" spans="1:48">
      <c r="A113" s="444" t="s">
        <v>171</v>
      </c>
      <c r="B113" s="488" t="s">
        <v>449</v>
      </c>
      <c r="C113" s="477" cm="1">
        <f t="array" ref="C113">_xlfn.XLOOKUP(A113,'TB upload'!A:A,'TB upload'!C:C-'TB upload'!B:B,0,0)*-1</f>
        <v>0</v>
      </c>
      <c r="D113" s="489"/>
      <c r="E113" s="942" cm="1">
        <f t="array" ref="E113">_xlfn.XLOOKUP(A113,'TB upload'!A:A,'TB upload'!E:E-'TB upload'!D:D,0,0)*-1</f>
        <v>0</v>
      </c>
      <c r="F113" s="489"/>
      <c r="G113" s="477" cm="1">
        <f t="array" ref="G113">_xlfn.XLOOKUP(A113,'TB upload'!A:A,'TB upload'!G:G-'TB upload'!F:F,0,0)*-1</f>
        <v>0</v>
      </c>
      <c r="H113" s="489"/>
      <c r="I113" s="477" cm="1">
        <f t="array" ref="I113">_xlfn.XLOOKUP(A113,'TB upload'!A:A,'TB upload'!I:I-'TB upload'!H:H,0,0)*-1</f>
        <v>0</v>
      </c>
      <c r="J113" s="489"/>
      <c r="K113" s="490">
        <f t="shared" si="25"/>
        <v>0</v>
      </c>
      <c r="L113" s="311">
        <v>261607</v>
      </c>
      <c r="M113" s="311"/>
      <c r="N113" s="311">
        <v>0</v>
      </c>
      <c r="O113" s="311"/>
      <c r="P113" s="311">
        <v>0</v>
      </c>
      <c r="Q113" s="311"/>
      <c r="R113" s="311">
        <v>0</v>
      </c>
      <c r="S113" s="311"/>
      <c r="T113" s="311">
        <v>261607</v>
      </c>
      <c r="U113" s="477">
        <v>0</v>
      </c>
      <c r="V113" s="489"/>
      <c r="W113" s="489"/>
      <c r="X113" s="489"/>
      <c r="Y113" s="489"/>
      <c r="Z113" s="489"/>
      <c r="AA113" s="489"/>
      <c r="AB113" s="489"/>
      <c r="AC113" s="490">
        <v>0</v>
      </c>
      <c r="AD113" s="477">
        <v>437324</v>
      </c>
      <c r="AE113" s="489"/>
      <c r="AF113" s="489">
        <v>0</v>
      </c>
      <c r="AG113" s="489"/>
      <c r="AH113" s="489">
        <v>0</v>
      </c>
      <c r="AI113" s="489"/>
      <c r="AJ113" s="489">
        <v>0</v>
      </c>
      <c r="AK113" s="489"/>
      <c r="AL113" s="490">
        <v>437324</v>
      </c>
      <c r="AM113" s="477">
        <v>287391</v>
      </c>
      <c r="AN113" s="489"/>
      <c r="AO113" s="489"/>
      <c r="AP113" s="489"/>
      <c r="AQ113" s="489"/>
      <c r="AR113" s="489"/>
      <c r="AS113" s="489"/>
      <c r="AT113" s="489"/>
      <c r="AU113" s="490">
        <v>287391</v>
      </c>
    </row>
    <row r="114" spans="1:48">
      <c r="A114" s="444" t="s">
        <v>172</v>
      </c>
      <c r="B114" s="488" t="s">
        <v>449</v>
      </c>
      <c r="C114" s="477" cm="1">
        <f t="array" ref="C114">_xlfn.XLOOKUP(A114,'TB upload'!A:A,'TB upload'!C:C-'TB upload'!B:B,0,0)*-1</f>
        <v>0</v>
      </c>
      <c r="D114" s="489"/>
      <c r="E114" s="942" cm="1">
        <f t="array" ref="E114">_xlfn.XLOOKUP(A114,'TB upload'!A:A,'TB upload'!E:E-'TB upload'!D:D,0,0)*-1</f>
        <v>0</v>
      </c>
      <c r="F114" s="489"/>
      <c r="G114" s="477" cm="1">
        <f t="array" ref="G114">_xlfn.XLOOKUP(A114,'TB upload'!A:A,'TB upload'!G:G-'TB upload'!F:F,0,0)*-1</f>
        <v>0</v>
      </c>
      <c r="H114" s="489"/>
      <c r="I114" s="477" cm="1">
        <f t="array" ref="I114">_xlfn.XLOOKUP(A114,'TB upload'!A:A,'TB upload'!I:I-'TB upload'!H:H,0,0)*-1</f>
        <v>0</v>
      </c>
      <c r="J114" s="489"/>
      <c r="K114" s="490">
        <f t="shared" si="25"/>
        <v>0</v>
      </c>
      <c r="L114" s="311">
        <v>635756</v>
      </c>
      <c r="M114" s="311"/>
      <c r="N114" s="311">
        <v>0</v>
      </c>
      <c r="O114" s="311"/>
      <c r="P114" s="311">
        <v>0</v>
      </c>
      <c r="Q114" s="311"/>
      <c r="R114" s="311">
        <v>0</v>
      </c>
      <c r="S114" s="311"/>
      <c r="T114" s="311">
        <v>635756</v>
      </c>
      <c r="U114" s="477">
        <v>0</v>
      </c>
      <c r="V114" s="489"/>
      <c r="W114" s="489"/>
      <c r="X114" s="489"/>
      <c r="Y114" s="489"/>
      <c r="Z114" s="489"/>
      <c r="AA114" s="489"/>
      <c r="AB114" s="489"/>
      <c r="AC114" s="490">
        <v>0</v>
      </c>
      <c r="AD114" s="477">
        <v>1632173</v>
      </c>
      <c r="AE114" s="489"/>
      <c r="AF114" s="489">
        <v>0</v>
      </c>
      <c r="AG114" s="489"/>
      <c r="AH114" s="489">
        <v>0</v>
      </c>
      <c r="AI114" s="489"/>
      <c r="AJ114" s="489">
        <v>0</v>
      </c>
      <c r="AK114" s="489"/>
      <c r="AL114" s="490">
        <v>1632173</v>
      </c>
      <c r="AM114" s="477">
        <v>1126753</v>
      </c>
      <c r="AN114" s="489"/>
      <c r="AO114" s="489"/>
      <c r="AP114" s="489"/>
      <c r="AQ114" s="489"/>
      <c r="AR114" s="489"/>
      <c r="AS114" s="489"/>
      <c r="AT114" s="489"/>
      <c r="AU114" s="490">
        <v>1126753</v>
      </c>
    </row>
    <row r="115" spans="1:48">
      <c r="A115" s="444" t="s">
        <v>173</v>
      </c>
      <c r="B115" s="488" t="s">
        <v>449</v>
      </c>
      <c r="C115" s="477" cm="1">
        <f t="array" ref="C115">_xlfn.XLOOKUP(A115,'TB upload'!A:A,'TB upload'!C:C-'TB upload'!B:B,0,0)*-1</f>
        <v>0</v>
      </c>
      <c r="D115" s="489"/>
      <c r="E115" s="942" cm="1">
        <f t="array" ref="E115">_xlfn.XLOOKUP(A115,'TB upload'!A:A,'TB upload'!E:E-'TB upload'!D:D,0,0)*-1</f>
        <v>0</v>
      </c>
      <c r="F115" s="489"/>
      <c r="G115" s="477" cm="1">
        <f t="array" ref="G115">_xlfn.XLOOKUP(A115,'TB upload'!A:A,'TB upload'!G:G-'TB upload'!F:F,0,0)*-1</f>
        <v>0</v>
      </c>
      <c r="H115" s="489"/>
      <c r="I115" s="477" cm="1">
        <f t="array" ref="I115">_xlfn.XLOOKUP(A115,'TB upload'!A:A,'TB upload'!I:I-'TB upload'!H:H,0,0)*-1</f>
        <v>0</v>
      </c>
      <c r="J115" s="489"/>
      <c r="K115" s="490">
        <f t="shared" si="25"/>
        <v>0</v>
      </c>
      <c r="L115" s="311">
        <v>862079</v>
      </c>
      <c r="M115" s="311"/>
      <c r="N115" s="311">
        <v>0</v>
      </c>
      <c r="O115" s="311"/>
      <c r="P115" s="311">
        <v>0</v>
      </c>
      <c r="Q115" s="311"/>
      <c r="R115" s="311">
        <v>0</v>
      </c>
      <c r="S115" s="311"/>
      <c r="T115" s="311">
        <v>862079</v>
      </c>
      <c r="U115" s="477">
        <v>0</v>
      </c>
      <c r="V115" s="489"/>
      <c r="W115" s="489"/>
      <c r="X115" s="489"/>
      <c r="Y115" s="489"/>
      <c r="Z115" s="489"/>
      <c r="AA115" s="489"/>
      <c r="AB115" s="489"/>
      <c r="AC115" s="490">
        <v>0</v>
      </c>
      <c r="AD115" s="477">
        <v>2483267</v>
      </c>
      <c r="AE115" s="489"/>
      <c r="AF115" s="489">
        <v>0</v>
      </c>
      <c r="AG115" s="489"/>
      <c r="AH115" s="489">
        <v>0</v>
      </c>
      <c r="AI115" s="489"/>
      <c r="AJ115" s="489">
        <v>0</v>
      </c>
      <c r="AK115" s="489"/>
      <c r="AL115" s="490">
        <v>2483267</v>
      </c>
      <c r="AM115" s="477">
        <v>1816054</v>
      </c>
      <c r="AN115" s="489"/>
      <c r="AO115" s="489"/>
      <c r="AP115" s="489"/>
      <c r="AQ115" s="489"/>
      <c r="AR115" s="489"/>
      <c r="AS115" s="489"/>
      <c r="AT115" s="489"/>
      <c r="AU115" s="490">
        <v>1816054</v>
      </c>
    </row>
    <row r="116" spans="1:48">
      <c r="A116" s="444" t="s">
        <v>174</v>
      </c>
      <c r="B116" s="488" t="s">
        <v>449</v>
      </c>
      <c r="C116" s="477" cm="1">
        <f t="array" ref="C116">_xlfn.XLOOKUP(A116,'TB upload'!A:A,'TB upload'!C:C-'TB upload'!B:B,0,0)*-1</f>
        <v>0</v>
      </c>
      <c r="D116" s="489"/>
      <c r="E116" s="942" cm="1">
        <f t="array" ref="E116">_xlfn.XLOOKUP(A116,'TB upload'!A:A,'TB upload'!E:E-'TB upload'!D:D,0,0)*-1</f>
        <v>0</v>
      </c>
      <c r="F116" s="489"/>
      <c r="G116" s="477" cm="1">
        <f t="array" ref="G116">_xlfn.XLOOKUP(A116,'TB upload'!A:A,'TB upload'!G:G-'TB upload'!F:F,0,0)*-1</f>
        <v>0</v>
      </c>
      <c r="H116" s="489"/>
      <c r="I116" s="477" cm="1">
        <f t="array" ref="I116">_xlfn.XLOOKUP(A116,'TB upload'!A:A,'TB upload'!I:I-'TB upload'!H:H,0,0)*-1</f>
        <v>0</v>
      </c>
      <c r="J116" s="489"/>
      <c r="K116" s="490">
        <f t="shared" si="25"/>
        <v>0</v>
      </c>
      <c r="L116" s="311">
        <v>250072</v>
      </c>
      <c r="M116" s="311"/>
      <c r="N116" s="311">
        <v>0</v>
      </c>
      <c r="O116" s="311"/>
      <c r="P116" s="311">
        <v>0</v>
      </c>
      <c r="Q116" s="311"/>
      <c r="R116" s="311">
        <v>0</v>
      </c>
      <c r="S116" s="311"/>
      <c r="T116" s="311">
        <v>250072</v>
      </c>
      <c r="U116" s="477">
        <v>0</v>
      </c>
      <c r="V116" s="489"/>
      <c r="W116" s="489"/>
      <c r="X116" s="489"/>
      <c r="Y116" s="489"/>
      <c r="Z116" s="489"/>
      <c r="AA116" s="489"/>
      <c r="AB116" s="489"/>
      <c r="AC116" s="490">
        <v>0</v>
      </c>
      <c r="AD116" s="477">
        <v>1972030</v>
      </c>
      <c r="AE116" s="489"/>
      <c r="AF116" s="489">
        <v>0</v>
      </c>
      <c r="AG116" s="489"/>
      <c r="AH116" s="489">
        <v>0</v>
      </c>
      <c r="AI116" s="489"/>
      <c r="AJ116" s="489">
        <v>0</v>
      </c>
      <c r="AK116" s="489"/>
      <c r="AL116" s="490">
        <v>1972030</v>
      </c>
      <c r="AM116" s="477">
        <v>1491418</v>
      </c>
      <c r="AN116" s="489"/>
      <c r="AO116" s="489"/>
      <c r="AP116" s="489"/>
      <c r="AQ116" s="489"/>
      <c r="AR116" s="489"/>
      <c r="AS116" s="489"/>
      <c r="AT116" s="489"/>
      <c r="AU116" s="490">
        <v>1491418</v>
      </c>
    </row>
    <row r="117" spans="1:48">
      <c r="A117" s="444" t="s">
        <v>175</v>
      </c>
      <c r="B117" s="488" t="s">
        <v>449</v>
      </c>
      <c r="C117" s="477" cm="1">
        <f t="array" ref="C117">_xlfn.XLOOKUP(A117,'TB upload'!A:A,'TB upload'!C:C-'TB upload'!B:B,0,0)*-1</f>
        <v>0</v>
      </c>
      <c r="D117" s="489"/>
      <c r="E117" s="942" cm="1">
        <f t="array" ref="E117">_xlfn.XLOOKUP(A117,'TB upload'!A:A,'TB upload'!E:E-'TB upload'!D:D,0,0)*-1</f>
        <v>0</v>
      </c>
      <c r="F117" s="489"/>
      <c r="G117" s="477" cm="1">
        <f t="array" ref="G117">_xlfn.XLOOKUP(A117,'TB upload'!A:A,'TB upload'!G:G-'TB upload'!F:F,0,0)*-1</f>
        <v>0</v>
      </c>
      <c r="H117" s="489"/>
      <c r="I117" s="477" cm="1">
        <f t="array" ref="I117">_xlfn.XLOOKUP(A117,'TB upload'!A:A,'TB upload'!I:I-'TB upload'!H:H,0,0)*-1</f>
        <v>0</v>
      </c>
      <c r="J117" s="489"/>
      <c r="K117" s="490">
        <f t="shared" si="25"/>
        <v>0</v>
      </c>
      <c r="L117" s="311">
        <v>345147</v>
      </c>
      <c r="M117" s="311"/>
      <c r="N117" s="311">
        <v>0</v>
      </c>
      <c r="O117" s="311"/>
      <c r="P117" s="311">
        <v>0</v>
      </c>
      <c r="Q117" s="311"/>
      <c r="R117" s="311">
        <v>0</v>
      </c>
      <c r="S117" s="311"/>
      <c r="T117" s="311">
        <v>345147</v>
      </c>
      <c r="U117" s="477">
        <v>0</v>
      </c>
      <c r="V117" s="489"/>
      <c r="W117" s="489"/>
      <c r="X117" s="489"/>
      <c r="Y117" s="489"/>
      <c r="Z117" s="489"/>
      <c r="AA117" s="489"/>
      <c r="AB117" s="489"/>
      <c r="AC117" s="490">
        <v>0</v>
      </c>
      <c r="AD117" s="477">
        <v>492977</v>
      </c>
      <c r="AE117" s="489"/>
      <c r="AF117" s="489">
        <v>0</v>
      </c>
      <c r="AG117" s="489"/>
      <c r="AH117" s="489">
        <v>0</v>
      </c>
      <c r="AI117" s="489"/>
      <c r="AJ117" s="489">
        <v>0</v>
      </c>
      <c r="AK117" s="489"/>
      <c r="AL117" s="490">
        <v>492977</v>
      </c>
      <c r="AM117" s="477">
        <v>354324</v>
      </c>
      <c r="AN117" s="489"/>
      <c r="AO117" s="489"/>
      <c r="AP117" s="489"/>
      <c r="AQ117" s="489"/>
      <c r="AR117" s="489"/>
      <c r="AS117" s="489"/>
      <c r="AT117" s="489"/>
      <c r="AU117" s="490">
        <v>354324</v>
      </c>
    </row>
    <row r="118" spans="1:48">
      <c r="A118" s="444" t="s">
        <v>176</v>
      </c>
      <c r="B118" s="488" t="s">
        <v>449</v>
      </c>
      <c r="C118" s="477" cm="1">
        <f t="array" ref="C118">_xlfn.XLOOKUP(A118,'TB upload'!A:A,'TB upload'!C:C-'TB upload'!B:B,0,0)*-1</f>
        <v>0</v>
      </c>
      <c r="D118" s="489"/>
      <c r="E118" s="942" cm="1">
        <f t="array" ref="E118">_xlfn.XLOOKUP(A118,'TB upload'!A:A,'TB upload'!E:E-'TB upload'!D:D,0,0)*-1</f>
        <v>0</v>
      </c>
      <c r="F118" s="489"/>
      <c r="G118" s="477" cm="1">
        <f t="array" ref="G118">_xlfn.XLOOKUP(A118,'TB upload'!A:A,'TB upload'!G:G-'TB upload'!F:F,0,0)*-1</f>
        <v>0</v>
      </c>
      <c r="H118" s="489"/>
      <c r="I118" s="477" cm="1">
        <f t="array" ref="I118">_xlfn.XLOOKUP(A118,'TB upload'!A:A,'TB upload'!I:I-'TB upload'!H:H,0,0)*-1</f>
        <v>0</v>
      </c>
      <c r="J118" s="489"/>
      <c r="K118" s="490">
        <f t="shared" si="25"/>
        <v>0</v>
      </c>
      <c r="L118" s="311">
        <v>2610</v>
      </c>
      <c r="M118" s="311"/>
      <c r="N118" s="311">
        <v>0</v>
      </c>
      <c r="O118" s="311"/>
      <c r="P118" s="311">
        <v>0</v>
      </c>
      <c r="Q118" s="311"/>
      <c r="R118" s="311">
        <v>0</v>
      </c>
      <c r="S118" s="311"/>
      <c r="T118" s="311">
        <v>2610</v>
      </c>
      <c r="U118" s="477">
        <v>0</v>
      </c>
      <c r="V118" s="489"/>
      <c r="W118" s="489"/>
      <c r="X118" s="489"/>
      <c r="Y118" s="489"/>
      <c r="Z118" s="489"/>
      <c r="AA118" s="489"/>
      <c r="AB118" s="489"/>
      <c r="AC118" s="490">
        <v>0</v>
      </c>
      <c r="AD118" s="477">
        <v>389239</v>
      </c>
      <c r="AE118" s="489"/>
      <c r="AF118" s="489">
        <v>0</v>
      </c>
      <c r="AG118" s="489"/>
      <c r="AH118" s="489">
        <v>0</v>
      </c>
      <c r="AI118" s="489"/>
      <c r="AJ118" s="489">
        <v>0</v>
      </c>
      <c r="AK118" s="489"/>
      <c r="AL118" s="490">
        <v>389239</v>
      </c>
      <c r="AM118" s="477">
        <v>589828</v>
      </c>
      <c r="AN118" s="489"/>
      <c r="AO118" s="489"/>
      <c r="AP118" s="489"/>
      <c r="AQ118" s="489"/>
      <c r="AR118" s="489"/>
      <c r="AS118" s="489"/>
      <c r="AT118" s="489"/>
      <c r="AU118" s="490">
        <v>589828</v>
      </c>
    </row>
    <row r="119" spans="1:48">
      <c r="A119" s="444" t="s">
        <v>182</v>
      </c>
      <c r="B119" s="488" t="s">
        <v>449</v>
      </c>
      <c r="C119" s="477" cm="1">
        <f t="array" ref="C119">_xlfn.XLOOKUP(A119,'TB upload'!A:A,'TB upload'!C:C-'TB upload'!B:B,0,0)*-1</f>
        <v>165224</v>
      </c>
      <c r="D119" s="489"/>
      <c r="E119" s="942" cm="1">
        <f t="array" ref="E119">_xlfn.XLOOKUP(A119,'TB upload'!A:A,'TB upload'!E:E-'TB upload'!D:D,0,0)*-1</f>
        <v>0</v>
      </c>
      <c r="F119" s="489"/>
      <c r="G119" s="477" cm="1">
        <f t="array" ref="G119">_xlfn.XLOOKUP(A119,'TB upload'!A:A,'TB upload'!G:G-'TB upload'!F:F,0,0)*-1</f>
        <v>0</v>
      </c>
      <c r="H119" s="489"/>
      <c r="I119" s="477" cm="1">
        <f t="array" ref="I119">_xlfn.XLOOKUP(A119,'TB upload'!A:A,'TB upload'!I:I-'TB upload'!H:H,0,0)*-1</f>
        <v>0</v>
      </c>
      <c r="J119" s="489"/>
      <c r="K119" s="490">
        <f t="shared" si="25"/>
        <v>165224</v>
      </c>
      <c r="L119" s="311">
        <v>150500</v>
      </c>
      <c r="M119" s="311"/>
      <c r="N119" s="311">
        <v>0</v>
      </c>
      <c r="O119" s="311"/>
      <c r="P119" s="311">
        <v>0</v>
      </c>
      <c r="Q119" s="311"/>
      <c r="R119" s="311">
        <v>0</v>
      </c>
      <c r="S119" s="311"/>
      <c r="T119" s="311">
        <v>150500</v>
      </c>
      <c r="U119" s="649">
        <v>109229</v>
      </c>
      <c r="V119" s="489"/>
      <c r="W119" s="489"/>
      <c r="X119" s="489"/>
      <c r="Y119" s="489"/>
      <c r="Z119" s="489"/>
      <c r="AA119" s="489"/>
      <c r="AB119" s="489"/>
      <c r="AC119" s="490">
        <v>109229</v>
      </c>
      <c r="AD119" s="477">
        <v>437075</v>
      </c>
      <c r="AE119" s="489"/>
      <c r="AF119" s="489">
        <v>0</v>
      </c>
      <c r="AG119" s="489"/>
      <c r="AH119" s="489">
        <v>0</v>
      </c>
      <c r="AI119" s="489"/>
      <c r="AJ119" s="489">
        <v>0</v>
      </c>
      <c r="AK119" s="489"/>
      <c r="AL119" s="490">
        <v>437075</v>
      </c>
      <c r="AM119" s="477">
        <v>351236</v>
      </c>
      <c r="AN119" s="489"/>
      <c r="AO119" s="489"/>
      <c r="AP119" s="489"/>
      <c r="AQ119" s="489"/>
      <c r="AR119" s="489"/>
      <c r="AS119" s="489"/>
      <c r="AT119" s="489"/>
      <c r="AU119" s="490">
        <v>351236</v>
      </c>
    </row>
    <row r="120" spans="1:48">
      <c r="A120" s="444" t="s">
        <v>215</v>
      </c>
      <c r="B120" s="488" t="s">
        <v>449</v>
      </c>
      <c r="C120" s="477" cm="1">
        <f t="array" ref="C120">_xlfn.XLOOKUP(A120,'TB upload'!A:A,'TB upload'!C:C-'TB upload'!B:B,0,0)*-1</f>
        <v>41466</v>
      </c>
      <c r="D120" s="489"/>
      <c r="E120" s="942" cm="1">
        <f t="array" ref="E120">_xlfn.XLOOKUP(A120,'TB upload'!A:A,'TB upload'!E:E-'TB upload'!D:D,0,0)*-1</f>
        <v>0</v>
      </c>
      <c r="F120" s="489"/>
      <c r="G120" s="477" cm="1">
        <f t="array" ref="G120">_xlfn.XLOOKUP(A120,'TB upload'!A:A,'TB upload'!G:G-'TB upload'!F:F,0,0)*-1</f>
        <v>0</v>
      </c>
      <c r="H120" s="489"/>
      <c r="I120" s="477" cm="1">
        <f t="array" ref="I120">_xlfn.XLOOKUP(A120,'TB upload'!A:A,'TB upload'!I:I-'TB upload'!H:H,0,0)*-1</f>
        <v>0</v>
      </c>
      <c r="J120" s="489"/>
      <c r="K120" s="490">
        <f t="shared" si="25"/>
        <v>41466</v>
      </c>
      <c r="L120" s="311">
        <v>41466</v>
      </c>
      <c r="M120" s="311"/>
      <c r="N120" s="311">
        <v>0</v>
      </c>
      <c r="O120" s="311"/>
      <c r="P120" s="311">
        <v>0</v>
      </c>
      <c r="Q120" s="311"/>
      <c r="R120" s="311">
        <v>0</v>
      </c>
      <c r="S120" s="311"/>
      <c r="T120" s="311">
        <v>41466</v>
      </c>
      <c r="U120" s="649">
        <v>41466</v>
      </c>
      <c r="V120" s="489"/>
      <c r="W120" s="489"/>
      <c r="X120" s="489"/>
      <c r="Y120" s="489"/>
      <c r="Z120" s="489"/>
      <c r="AA120" s="489"/>
      <c r="AB120" s="489"/>
      <c r="AC120" s="490">
        <v>41466</v>
      </c>
      <c r="AD120" s="477">
        <v>378547</v>
      </c>
      <c r="AE120" s="489"/>
      <c r="AF120" s="489">
        <v>0</v>
      </c>
      <c r="AG120" s="489"/>
      <c r="AH120" s="489">
        <v>0</v>
      </c>
      <c r="AI120" s="489"/>
      <c r="AJ120" s="489">
        <v>0</v>
      </c>
      <c r="AK120" s="489"/>
      <c r="AL120" s="490">
        <v>378547</v>
      </c>
      <c r="AM120" s="477">
        <v>306791</v>
      </c>
      <c r="AN120" s="489"/>
      <c r="AO120" s="489"/>
      <c r="AP120" s="489"/>
      <c r="AQ120" s="489"/>
      <c r="AR120" s="489"/>
      <c r="AS120" s="489"/>
      <c r="AT120" s="489"/>
      <c r="AU120" s="490">
        <v>306791</v>
      </c>
    </row>
    <row r="121" spans="1:48">
      <c r="A121" s="444" t="s">
        <v>513</v>
      </c>
      <c r="B121" s="488" t="s">
        <v>449</v>
      </c>
      <c r="C121" s="477" cm="1">
        <f t="array" ref="C121">_xlfn.XLOOKUP(A121,'TB upload'!A:A,'TB upload'!C:C-'TB upload'!B:B,0,0)*-1</f>
        <v>0</v>
      </c>
      <c r="D121" s="489"/>
      <c r="E121" s="942" cm="1">
        <f t="array" ref="E121">_xlfn.XLOOKUP(A121,'TB upload'!A:A,'TB upload'!E:E-'TB upload'!D:D,0,0)*-1</f>
        <v>0</v>
      </c>
      <c r="F121" s="489"/>
      <c r="G121" s="477" cm="1">
        <f t="array" ref="G121">_xlfn.XLOOKUP(A121,'TB upload'!A:A,'TB upload'!G:G-'TB upload'!F:F,0,0)*-1</f>
        <v>0</v>
      </c>
      <c r="H121" s="489"/>
      <c r="I121" s="477" cm="1">
        <f t="array" ref="I121">_xlfn.XLOOKUP(A121,'TB upload'!A:A,'TB upload'!I:I-'TB upload'!H:H,0,0)*-1</f>
        <v>0</v>
      </c>
      <c r="J121" s="489"/>
      <c r="K121" s="490">
        <f t="shared" si="25"/>
        <v>0</v>
      </c>
      <c r="L121" s="311">
        <v>950</v>
      </c>
      <c r="M121" s="311"/>
      <c r="N121" s="311">
        <v>0</v>
      </c>
      <c r="O121" s="311"/>
      <c r="P121" s="311">
        <v>0</v>
      </c>
      <c r="Q121" s="311"/>
      <c r="R121" s="311">
        <v>0</v>
      </c>
      <c r="S121" s="311"/>
      <c r="T121" s="311">
        <v>950</v>
      </c>
      <c r="U121" s="477">
        <v>0</v>
      </c>
      <c r="V121" s="489"/>
      <c r="W121" s="489"/>
      <c r="X121" s="489"/>
      <c r="Y121" s="489"/>
      <c r="Z121" s="489"/>
      <c r="AA121" s="489"/>
      <c r="AB121" s="489"/>
      <c r="AC121" s="490">
        <v>0</v>
      </c>
      <c r="AD121" s="477">
        <v>0</v>
      </c>
      <c r="AE121" s="489"/>
      <c r="AF121" s="489">
        <v>0</v>
      </c>
      <c r="AG121" s="489"/>
      <c r="AH121" s="489">
        <v>0</v>
      </c>
      <c r="AI121" s="489"/>
      <c r="AJ121" s="489">
        <v>0</v>
      </c>
      <c r="AK121" s="489"/>
      <c r="AL121" s="490">
        <v>0</v>
      </c>
      <c r="AM121" s="477">
        <v>9900</v>
      </c>
      <c r="AN121" s="489"/>
      <c r="AO121" s="489"/>
      <c r="AP121" s="489"/>
      <c r="AQ121" s="489"/>
      <c r="AR121" s="489"/>
      <c r="AS121" s="489"/>
      <c r="AT121" s="489"/>
      <c r="AU121" s="490">
        <v>9900</v>
      </c>
    </row>
    <row r="122" spans="1:48">
      <c r="A122" s="444" t="s">
        <v>1548</v>
      </c>
      <c r="B122" s="488" t="s">
        <v>449</v>
      </c>
      <c r="C122" s="477" cm="1">
        <f t="array" ref="C122">_xlfn.XLOOKUP(A122,'TB upload'!A:A,'TB upload'!C:C-'TB upload'!B:B,0,0)*-1</f>
        <v>0</v>
      </c>
      <c r="D122" s="489"/>
      <c r="E122" s="942" cm="1">
        <f t="array" ref="E122">_xlfn.XLOOKUP(A122,'TB upload'!A:A,'TB upload'!E:E-'TB upload'!D:D,0,0)*-1</f>
        <v>0</v>
      </c>
      <c r="F122" s="489"/>
      <c r="G122" s="477" cm="1">
        <f t="array" ref="G122">_xlfn.XLOOKUP(A122,'TB upload'!A:A,'TB upload'!G:G-'TB upload'!F:F,0,0)*-1</f>
        <v>0</v>
      </c>
      <c r="H122" s="489"/>
      <c r="I122" s="477" cm="1">
        <f t="array" ref="I122">_xlfn.XLOOKUP(A122,'TB upload'!A:A,'TB upload'!I:I-'TB upload'!H:H,0,0)*-1</f>
        <v>0</v>
      </c>
      <c r="J122" s="489"/>
      <c r="K122" s="490">
        <f t="shared" si="25"/>
        <v>0</v>
      </c>
      <c r="L122" s="311">
        <v>38769</v>
      </c>
      <c r="M122" s="311"/>
      <c r="N122" s="311">
        <v>0</v>
      </c>
      <c r="O122" s="311"/>
      <c r="P122" s="311">
        <v>0</v>
      </c>
      <c r="Q122" s="311"/>
      <c r="R122" s="311">
        <v>0</v>
      </c>
      <c r="S122" s="311"/>
      <c r="T122" s="311">
        <v>38769</v>
      </c>
      <c r="U122" s="477">
        <v>0</v>
      </c>
      <c r="V122" s="489"/>
      <c r="W122" s="489"/>
      <c r="X122" s="489"/>
      <c r="Y122" s="489"/>
      <c r="Z122" s="489"/>
      <c r="AA122" s="489"/>
      <c r="AB122" s="489"/>
      <c r="AC122" s="490">
        <v>0</v>
      </c>
      <c r="AD122" s="477">
        <v>0</v>
      </c>
      <c r="AE122" s="489"/>
      <c r="AF122" s="489">
        <v>0</v>
      </c>
      <c r="AG122" s="489"/>
      <c r="AH122" s="489">
        <v>0</v>
      </c>
      <c r="AI122" s="489"/>
      <c r="AJ122" s="489">
        <v>0</v>
      </c>
      <c r="AK122" s="489"/>
      <c r="AL122" s="490">
        <v>0</v>
      </c>
      <c r="AM122" s="477"/>
      <c r="AN122" s="489"/>
      <c r="AO122" s="489"/>
      <c r="AP122" s="489"/>
      <c r="AQ122" s="489"/>
      <c r="AR122" s="489"/>
      <c r="AS122" s="489"/>
      <c r="AT122" s="489"/>
      <c r="AU122" s="490">
        <v>0</v>
      </c>
    </row>
    <row r="123" spans="1:48" ht="15" thickBot="1">
      <c r="A123" s="444" t="s">
        <v>1519</v>
      </c>
      <c r="B123" s="488" t="s">
        <v>449</v>
      </c>
      <c r="C123" s="477" cm="1">
        <f t="array" ref="C123">_xlfn.XLOOKUP(A123,'TB upload'!A:A,'TB upload'!C:C-'TB upload'!B:B,0,0)*-1</f>
        <v>555500</v>
      </c>
      <c r="D123" s="489"/>
      <c r="E123" s="942" cm="1">
        <f t="array" ref="E123">_xlfn.XLOOKUP(A123,'TB upload'!A:A,'TB upload'!E:E-'TB upload'!D:D,0,0)*-1</f>
        <v>0</v>
      </c>
      <c r="F123" s="489"/>
      <c r="G123" s="477" cm="1">
        <f t="array" ref="G123">_xlfn.XLOOKUP(A123,'TB upload'!A:A,'TB upload'!G:G-'TB upload'!F:F,0,0)*-1</f>
        <v>0</v>
      </c>
      <c r="H123" s="489"/>
      <c r="I123" s="477" cm="1">
        <f t="array" ref="I123">_xlfn.XLOOKUP(A123,'TB upload'!A:A,'TB upload'!I:I-'TB upload'!H:H,0,0)*-1</f>
        <v>0</v>
      </c>
      <c r="J123" s="489"/>
      <c r="K123" s="490">
        <f t="shared" si="25"/>
        <v>555500</v>
      </c>
      <c r="L123" s="311">
        <v>495500</v>
      </c>
      <c r="M123" s="311"/>
      <c r="N123" s="311">
        <v>0</v>
      </c>
      <c r="O123" s="311"/>
      <c r="P123" s="311">
        <v>0</v>
      </c>
      <c r="Q123" s="311"/>
      <c r="R123" s="311">
        <v>0</v>
      </c>
      <c r="S123" s="311"/>
      <c r="T123" s="311">
        <v>495500</v>
      </c>
      <c r="U123" s="649">
        <v>417500</v>
      </c>
      <c r="V123" s="489"/>
      <c r="W123" s="489"/>
      <c r="X123" s="489"/>
      <c r="Y123" s="489"/>
      <c r="Z123" s="489"/>
      <c r="AA123" s="489"/>
      <c r="AB123" s="489"/>
      <c r="AC123" s="490">
        <v>417500</v>
      </c>
      <c r="AD123" s="477"/>
      <c r="AE123" s="489"/>
      <c r="AF123" s="489"/>
      <c r="AG123" s="489"/>
      <c r="AH123" s="489"/>
      <c r="AI123" s="489"/>
      <c r="AJ123" s="489"/>
      <c r="AK123" s="489"/>
      <c r="AL123" s="490"/>
      <c r="AM123" s="477"/>
      <c r="AN123" s="489"/>
      <c r="AO123" s="489"/>
      <c r="AP123" s="489"/>
      <c r="AQ123" s="489"/>
      <c r="AR123" s="489"/>
      <c r="AS123" s="489"/>
      <c r="AT123" s="489"/>
      <c r="AU123" s="490"/>
    </row>
    <row r="124" spans="1:48" ht="15.6" thickTop="1" thickBot="1">
      <c r="A124" s="492"/>
      <c r="B124" s="493" t="s">
        <v>51</v>
      </c>
      <c r="C124" s="911">
        <f>SUM(C108:C123)</f>
        <v>5835898</v>
      </c>
      <c r="D124" s="495">
        <f t="shared" ref="D124:K124" si="26">SUM(D108:D123)</f>
        <v>0</v>
      </c>
      <c r="E124" s="495">
        <f t="shared" si="26"/>
        <v>0</v>
      </c>
      <c r="F124" s="495">
        <f t="shared" si="26"/>
        <v>0</v>
      </c>
      <c r="G124" s="495">
        <f t="shared" si="26"/>
        <v>0</v>
      </c>
      <c r="H124" s="495">
        <f t="shared" si="26"/>
        <v>0</v>
      </c>
      <c r="I124" s="495">
        <f t="shared" si="26"/>
        <v>0</v>
      </c>
      <c r="J124" s="495">
        <f t="shared" si="26"/>
        <v>0</v>
      </c>
      <c r="K124" s="496">
        <f t="shared" si="26"/>
        <v>5835898</v>
      </c>
      <c r="L124" s="990">
        <v>6450490</v>
      </c>
      <c r="M124" s="990">
        <v>0</v>
      </c>
      <c r="N124" s="990">
        <v>0</v>
      </c>
      <c r="O124" s="990">
        <v>0</v>
      </c>
      <c r="P124" s="990">
        <v>0</v>
      </c>
      <c r="Q124" s="990">
        <v>0</v>
      </c>
      <c r="R124" s="990">
        <v>0</v>
      </c>
      <c r="S124" s="990">
        <v>0</v>
      </c>
      <c r="T124" s="990">
        <v>6450490</v>
      </c>
      <c r="U124" s="911">
        <v>5686581</v>
      </c>
      <c r="V124" s="495">
        <v>0</v>
      </c>
      <c r="W124" s="495">
        <v>0</v>
      </c>
      <c r="X124" s="495">
        <v>0</v>
      </c>
      <c r="Y124" s="495">
        <v>0</v>
      </c>
      <c r="Z124" s="495">
        <v>0</v>
      </c>
      <c r="AA124" s="495">
        <v>0</v>
      </c>
      <c r="AB124" s="495">
        <v>0</v>
      </c>
      <c r="AC124" s="496">
        <v>5686581</v>
      </c>
      <c r="AD124" s="494">
        <v>19418450</v>
      </c>
      <c r="AE124" s="495">
        <v>0</v>
      </c>
      <c r="AF124" s="495">
        <v>0</v>
      </c>
      <c r="AG124" s="495">
        <v>0</v>
      </c>
      <c r="AH124" s="495">
        <v>0</v>
      </c>
      <c r="AI124" s="495">
        <v>0</v>
      </c>
      <c r="AJ124" s="495">
        <v>0</v>
      </c>
      <c r="AK124" s="495">
        <v>0</v>
      </c>
      <c r="AL124" s="496">
        <v>19418450</v>
      </c>
      <c r="AM124" s="494">
        <v>14314180</v>
      </c>
      <c r="AN124" s="495">
        <v>0</v>
      </c>
      <c r="AO124" s="495">
        <v>0</v>
      </c>
      <c r="AP124" s="495">
        <v>0</v>
      </c>
      <c r="AQ124" s="495">
        <v>0</v>
      </c>
      <c r="AR124" s="495">
        <v>0</v>
      </c>
      <c r="AS124" s="495">
        <v>0</v>
      </c>
      <c r="AT124" s="495">
        <v>0</v>
      </c>
      <c r="AU124" s="497">
        <v>14314180</v>
      </c>
      <c r="AV124" s="491">
        <f>AL124-AU124</f>
        <v>5104270</v>
      </c>
    </row>
    <row r="125" spans="1:48" ht="15" thickTop="1">
      <c r="B125" s="488"/>
      <c r="C125" s="477"/>
      <c r="D125" s="489"/>
      <c r="E125" s="489"/>
      <c r="F125" s="489"/>
      <c r="G125" s="489"/>
      <c r="H125" s="489"/>
      <c r="I125" s="489"/>
      <c r="J125" s="489"/>
      <c r="K125" s="490"/>
      <c r="L125" s="311"/>
      <c r="M125" s="311"/>
      <c r="N125" s="311"/>
      <c r="O125" s="311"/>
      <c r="P125" s="311"/>
      <c r="Q125" s="311"/>
      <c r="R125" s="311"/>
      <c r="S125" s="311"/>
      <c r="T125" s="311"/>
      <c r="U125" s="477"/>
      <c r="V125" s="489"/>
      <c r="W125" s="489"/>
      <c r="X125" s="489"/>
      <c r="Y125" s="489"/>
      <c r="Z125" s="489"/>
      <c r="AA125" s="489"/>
      <c r="AB125" s="489"/>
      <c r="AC125" s="490"/>
      <c r="AD125" s="477"/>
      <c r="AE125" s="489"/>
      <c r="AF125" s="489"/>
      <c r="AG125" s="489"/>
      <c r="AH125" s="489"/>
      <c r="AI125" s="489"/>
      <c r="AJ125" s="489"/>
      <c r="AK125" s="489"/>
      <c r="AL125" s="490"/>
      <c r="AM125" s="477"/>
      <c r="AN125" s="489"/>
      <c r="AO125" s="489"/>
      <c r="AP125" s="489"/>
      <c r="AQ125" s="489"/>
      <c r="AR125" s="489"/>
      <c r="AS125" s="489"/>
      <c r="AT125" s="489"/>
      <c r="AU125" s="490"/>
    </row>
    <row r="126" spans="1:48" ht="28.8">
      <c r="A126" s="444" t="s">
        <v>1139</v>
      </c>
      <c r="B126" s="488"/>
      <c r="C126" s="477"/>
      <c r="D126" s="489"/>
      <c r="E126" s="489"/>
      <c r="F126" s="489"/>
      <c r="G126" s="489"/>
      <c r="H126" s="489"/>
      <c r="I126" s="489"/>
      <c r="J126" s="489"/>
      <c r="K126" s="490"/>
      <c r="L126" s="311"/>
      <c r="M126" s="311"/>
      <c r="N126" s="311"/>
      <c r="O126" s="311"/>
      <c r="P126" s="311"/>
      <c r="Q126" s="311"/>
      <c r="R126" s="311"/>
      <c r="S126" s="311"/>
      <c r="T126" s="311"/>
      <c r="U126" s="477"/>
      <c r="V126" s="489"/>
      <c r="W126" s="489"/>
      <c r="X126" s="489"/>
      <c r="Y126" s="489"/>
      <c r="Z126" s="489"/>
      <c r="AA126" s="489"/>
      <c r="AB126" s="489"/>
      <c r="AC126" s="490"/>
      <c r="AD126" s="477"/>
      <c r="AE126" s="489"/>
      <c r="AF126" s="489"/>
      <c r="AG126" s="489"/>
      <c r="AH126" s="489"/>
      <c r="AI126" s="489"/>
      <c r="AJ126" s="489"/>
      <c r="AK126" s="489"/>
      <c r="AL126" s="490"/>
      <c r="AM126" s="477"/>
      <c r="AN126" s="489"/>
      <c r="AO126" s="489"/>
      <c r="AP126" s="489"/>
      <c r="AQ126" s="489"/>
      <c r="AR126" s="489"/>
      <c r="AS126" s="489"/>
      <c r="AT126" s="489"/>
      <c r="AU126" s="490"/>
    </row>
    <row r="127" spans="1:48">
      <c r="A127" s="444" t="s">
        <v>193</v>
      </c>
      <c r="B127" s="488" t="s">
        <v>449</v>
      </c>
      <c r="C127" s="477" cm="1">
        <f t="array" ref="C127">_xlfn.XLOOKUP(A127,'TB upload'!A:A,'TB upload'!C:C-'TB upload'!B:B,0,0)*-1</f>
        <v>113336</v>
      </c>
      <c r="D127" s="489"/>
      <c r="E127" s="942" cm="1">
        <f t="array" ref="E127">_xlfn.XLOOKUP(A127,'TB upload'!A:A,'TB upload'!E:E-'TB upload'!D:D,0,0)*-1</f>
        <v>0</v>
      </c>
      <c r="F127" s="489"/>
      <c r="G127" s="477" cm="1">
        <f t="array" ref="G127">_xlfn.XLOOKUP(A127,'TB upload'!A:A,'TB upload'!G:G-'TB upload'!F:F,0,0)*-1</f>
        <v>0</v>
      </c>
      <c r="H127" s="489"/>
      <c r="I127" s="477" cm="1">
        <f t="array" ref="I127">_xlfn.XLOOKUP(A127,'TB upload'!A:A,'TB upload'!I:I-'TB upload'!H:H,0,0)*-1</f>
        <v>0</v>
      </c>
      <c r="J127" s="489"/>
      <c r="K127" s="490">
        <f t="shared" ref="K127:K131" si="27">SUM(C127:J127)</f>
        <v>113336</v>
      </c>
      <c r="L127" s="311">
        <v>110836</v>
      </c>
      <c r="M127" s="311"/>
      <c r="N127" s="311">
        <v>0</v>
      </c>
      <c r="O127" s="311"/>
      <c r="P127" s="311">
        <v>0</v>
      </c>
      <c r="Q127" s="311"/>
      <c r="R127" s="311">
        <v>0</v>
      </c>
      <c r="S127" s="311"/>
      <c r="T127" s="311">
        <v>110836</v>
      </c>
      <c r="U127" s="649">
        <v>102086</v>
      </c>
      <c r="V127" s="489"/>
      <c r="W127" s="489"/>
      <c r="X127" s="489"/>
      <c r="Y127" s="489"/>
      <c r="Z127" s="489"/>
      <c r="AA127" s="489"/>
      <c r="AB127" s="489"/>
      <c r="AC127" s="490">
        <v>102086</v>
      </c>
      <c r="AD127" s="477">
        <v>433270</v>
      </c>
      <c r="AE127" s="489"/>
      <c r="AF127" s="489">
        <v>0</v>
      </c>
      <c r="AG127" s="489"/>
      <c r="AH127" s="489">
        <v>0</v>
      </c>
      <c r="AI127" s="489"/>
      <c r="AJ127" s="489">
        <v>0</v>
      </c>
      <c r="AK127" s="489"/>
      <c r="AL127" s="490">
        <v>433270</v>
      </c>
      <c r="AM127" s="477">
        <v>355405</v>
      </c>
      <c r="AN127" s="489"/>
      <c r="AO127" s="489"/>
      <c r="AP127" s="489"/>
      <c r="AQ127" s="489"/>
      <c r="AR127" s="489"/>
      <c r="AS127" s="489"/>
      <c r="AT127" s="489"/>
      <c r="AU127" s="490">
        <v>355405</v>
      </c>
    </row>
    <row r="128" spans="1:48">
      <c r="A128" s="444" t="s">
        <v>205</v>
      </c>
      <c r="B128" s="488" t="s">
        <v>449</v>
      </c>
      <c r="C128" s="477" cm="1">
        <f t="array" ref="C128">_xlfn.XLOOKUP(A128,'TB upload'!A:A,'TB upload'!C:C-'TB upload'!B:B,0,0)*-1</f>
        <v>18884</v>
      </c>
      <c r="D128" s="489"/>
      <c r="E128" s="942" cm="1">
        <f t="array" ref="E128">_xlfn.XLOOKUP(A128,'TB upload'!A:A,'TB upload'!E:E-'TB upload'!D:D,0,0)*-1</f>
        <v>0</v>
      </c>
      <c r="F128" s="489"/>
      <c r="G128" s="477" cm="1">
        <f t="array" ref="G128">_xlfn.XLOOKUP(A128,'TB upload'!A:A,'TB upload'!G:G-'TB upload'!F:F,0,0)*-1</f>
        <v>0</v>
      </c>
      <c r="H128" s="489"/>
      <c r="I128" s="477" cm="1">
        <f t="array" ref="I128">_xlfn.XLOOKUP(A128,'TB upload'!A:A,'TB upload'!I:I-'TB upload'!H:H,0,0)*-1</f>
        <v>0</v>
      </c>
      <c r="J128" s="489"/>
      <c r="K128" s="490">
        <f t="shared" si="27"/>
        <v>18884</v>
      </c>
      <c r="L128" s="311">
        <v>17734</v>
      </c>
      <c r="M128" s="311"/>
      <c r="N128" s="311">
        <v>0</v>
      </c>
      <c r="O128" s="311"/>
      <c r="P128" s="311">
        <v>0</v>
      </c>
      <c r="Q128" s="311"/>
      <c r="R128" s="311">
        <v>0</v>
      </c>
      <c r="S128" s="311"/>
      <c r="T128" s="311">
        <v>17734</v>
      </c>
      <c r="U128" s="649">
        <v>15709</v>
      </c>
      <c r="V128" s="489"/>
      <c r="W128" s="489"/>
      <c r="X128" s="489"/>
      <c r="Y128" s="489"/>
      <c r="Z128" s="489"/>
      <c r="AA128" s="489"/>
      <c r="AB128" s="489"/>
      <c r="AC128" s="490">
        <v>15709</v>
      </c>
      <c r="AD128" s="477">
        <v>63190</v>
      </c>
      <c r="AE128" s="489"/>
      <c r="AF128" s="489">
        <v>0</v>
      </c>
      <c r="AG128" s="489"/>
      <c r="AH128" s="489">
        <v>0</v>
      </c>
      <c r="AI128" s="489"/>
      <c r="AJ128" s="489">
        <v>0</v>
      </c>
      <c r="AK128" s="489"/>
      <c r="AL128" s="490">
        <v>63190</v>
      </c>
      <c r="AM128" s="477">
        <v>46503</v>
      </c>
      <c r="AN128" s="489"/>
      <c r="AO128" s="489"/>
      <c r="AP128" s="489"/>
      <c r="AQ128" s="489"/>
      <c r="AR128" s="489"/>
      <c r="AS128" s="489"/>
      <c r="AT128" s="489"/>
      <c r="AU128" s="490">
        <v>46503</v>
      </c>
    </row>
    <row r="129" spans="1:48" ht="28.8">
      <c r="A129" s="444" t="s">
        <v>206</v>
      </c>
      <c r="B129" s="488" t="s">
        <v>449</v>
      </c>
      <c r="C129" s="477" cm="1">
        <f t="array" ref="C129">_xlfn.XLOOKUP(A129,'TB upload'!A:A,'TB upload'!C:C-'TB upload'!B:B,0,0)*-1</f>
        <v>131776</v>
      </c>
      <c r="D129" s="489"/>
      <c r="E129" s="942" cm="1">
        <f t="array" ref="E129">_xlfn.XLOOKUP(A129,'TB upload'!A:A,'TB upload'!E:E-'TB upload'!D:D,0,0)*-1</f>
        <v>0</v>
      </c>
      <c r="F129" s="489"/>
      <c r="G129" s="477" cm="1">
        <f t="array" ref="G129">_xlfn.XLOOKUP(A129,'TB upload'!A:A,'TB upload'!G:G-'TB upload'!F:F,0,0)*-1</f>
        <v>0</v>
      </c>
      <c r="H129" s="489"/>
      <c r="I129" s="477" cm="1">
        <f t="array" ref="I129">_xlfn.XLOOKUP(A129,'TB upload'!A:A,'TB upload'!I:I-'TB upload'!H:H,0,0)*-1</f>
        <v>0</v>
      </c>
      <c r="J129" s="489"/>
      <c r="K129" s="490">
        <f t="shared" si="27"/>
        <v>131776</v>
      </c>
      <c r="L129" s="311">
        <v>128814</v>
      </c>
      <c r="M129" s="311"/>
      <c r="N129" s="311">
        <v>0</v>
      </c>
      <c r="O129" s="311"/>
      <c r="P129" s="311">
        <v>0</v>
      </c>
      <c r="Q129" s="311"/>
      <c r="R129" s="311">
        <v>0</v>
      </c>
      <c r="S129" s="311"/>
      <c r="T129" s="311">
        <v>128814</v>
      </c>
      <c r="U129" s="649">
        <v>113804</v>
      </c>
      <c r="V129" s="489"/>
      <c r="W129" s="489"/>
      <c r="X129" s="489"/>
      <c r="Y129" s="489"/>
      <c r="Z129" s="489"/>
      <c r="AA129" s="489"/>
      <c r="AB129" s="489"/>
      <c r="AC129" s="490">
        <v>113804</v>
      </c>
      <c r="AD129" s="477">
        <v>398536</v>
      </c>
      <c r="AE129" s="489"/>
      <c r="AF129" s="489">
        <v>0</v>
      </c>
      <c r="AG129" s="489"/>
      <c r="AH129" s="489">
        <v>0</v>
      </c>
      <c r="AI129" s="489"/>
      <c r="AJ129" s="489">
        <v>0</v>
      </c>
      <c r="AK129" s="489"/>
      <c r="AL129" s="490">
        <v>398536</v>
      </c>
      <c r="AM129" s="477">
        <v>237921</v>
      </c>
      <c r="AN129" s="489"/>
      <c r="AO129" s="489"/>
      <c r="AP129" s="489"/>
      <c r="AQ129" s="489"/>
      <c r="AR129" s="489"/>
      <c r="AS129" s="489"/>
      <c r="AT129" s="489"/>
      <c r="AU129" s="490">
        <v>237921</v>
      </c>
    </row>
    <row r="130" spans="1:48">
      <c r="A130" s="444" t="s">
        <v>1158</v>
      </c>
      <c r="B130" s="488" t="s">
        <v>449</v>
      </c>
      <c r="C130" s="477" cm="1">
        <f t="array" ref="C130">_xlfn.XLOOKUP(A130,'TB upload'!A:A,'TB upload'!C:C-'TB upload'!B:B,0,0)*-1</f>
        <v>0</v>
      </c>
      <c r="D130" s="489"/>
      <c r="E130" s="942" cm="1">
        <f t="array" ref="E130">_xlfn.XLOOKUP(A130,'TB upload'!A:A,'TB upload'!E:E-'TB upload'!D:D,0,0)*-1</f>
        <v>0</v>
      </c>
      <c r="F130" s="489"/>
      <c r="G130" s="477" cm="1">
        <f t="array" ref="G130">_xlfn.XLOOKUP(A130,'TB upload'!A:A,'TB upload'!G:G-'TB upload'!F:F,0,0)*-1</f>
        <v>0</v>
      </c>
      <c r="H130" s="489"/>
      <c r="I130" s="477" cm="1">
        <f t="array" ref="I130">_xlfn.XLOOKUP(A130,'TB upload'!A:A,'TB upload'!I:I-'TB upload'!H:H,0,0)*-1</f>
        <v>0</v>
      </c>
      <c r="J130" s="489"/>
      <c r="K130" s="490">
        <f t="shared" ref="K130" si="28">SUM(C130:J130)</f>
        <v>0</v>
      </c>
      <c r="L130" s="311">
        <v>0</v>
      </c>
      <c r="M130" s="311"/>
      <c r="N130" s="311">
        <v>0</v>
      </c>
      <c r="O130" s="311"/>
      <c r="P130" s="311">
        <v>0</v>
      </c>
      <c r="Q130" s="311"/>
      <c r="R130" s="311">
        <v>0</v>
      </c>
      <c r="S130" s="311"/>
      <c r="T130" s="311">
        <v>0</v>
      </c>
      <c r="U130" s="649">
        <v>10100</v>
      </c>
      <c r="V130" s="489"/>
      <c r="W130" s="489"/>
      <c r="X130" s="489"/>
      <c r="Y130" s="489"/>
      <c r="Z130" s="489"/>
      <c r="AA130" s="489"/>
      <c r="AB130" s="489"/>
      <c r="AC130" s="490">
        <v>10100</v>
      </c>
      <c r="AD130" s="477">
        <v>26029</v>
      </c>
      <c r="AE130" s="489"/>
      <c r="AF130" s="489">
        <v>0</v>
      </c>
      <c r="AG130" s="489"/>
      <c r="AH130" s="489">
        <v>0</v>
      </c>
      <c r="AI130" s="489"/>
      <c r="AJ130" s="489">
        <v>0</v>
      </c>
      <c r="AK130" s="489"/>
      <c r="AL130" s="490">
        <v>26029</v>
      </c>
      <c r="AM130" s="477">
        <v>1639</v>
      </c>
      <c r="AN130" s="489"/>
      <c r="AO130" s="489"/>
      <c r="AP130" s="489"/>
      <c r="AQ130" s="489"/>
      <c r="AR130" s="489"/>
      <c r="AS130" s="489"/>
      <c r="AT130" s="489"/>
      <c r="AU130" s="490">
        <v>1639</v>
      </c>
    </row>
    <row r="131" spans="1:48" ht="28.8">
      <c r="A131" s="444" t="s">
        <v>1515</v>
      </c>
      <c r="B131" s="488" t="s">
        <v>449</v>
      </c>
      <c r="C131" s="477" cm="1">
        <f t="array" ref="C131">_xlfn.XLOOKUP(A131,'TB upload'!A:A,'TB upload'!C:C-'TB upload'!B:B,0,0)*-1</f>
        <v>11352</v>
      </c>
      <c r="D131" s="489"/>
      <c r="E131" s="942" cm="1">
        <f t="array" ref="E131">_xlfn.XLOOKUP(A131,'TB upload'!A:A,'TB upload'!E:E-'TB upload'!D:D,0,0)*-1</f>
        <v>0</v>
      </c>
      <c r="F131" s="489"/>
      <c r="G131" s="477" cm="1">
        <f t="array" ref="G131">_xlfn.XLOOKUP(A131,'TB upload'!A:A,'TB upload'!G:G-'TB upload'!F:F,0,0)*-1</f>
        <v>0</v>
      </c>
      <c r="H131" s="489"/>
      <c r="I131" s="477" cm="1">
        <f t="array" ref="I131">_xlfn.XLOOKUP(A131,'TB upload'!A:A,'TB upload'!I:I-'TB upload'!H:H,0,0)*-1</f>
        <v>0</v>
      </c>
      <c r="J131" s="489"/>
      <c r="K131" s="490">
        <f t="shared" si="27"/>
        <v>11352</v>
      </c>
      <c r="L131" s="311">
        <v>11352</v>
      </c>
      <c r="M131" s="311"/>
      <c r="N131" s="311">
        <v>0</v>
      </c>
      <c r="O131" s="311"/>
      <c r="P131" s="311">
        <v>0</v>
      </c>
      <c r="Q131" s="311"/>
      <c r="R131" s="311">
        <v>0</v>
      </c>
      <c r="S131" s="311"/>
      <c r="T131" s="311">
        <v>11352</v>
      </c>
      <c r="U131" s="649"/>
      <c r="V131" s="489"/>
      <c r="W131" s="489"/>
      <c r="X131" s="489"/>
      <c r="Y131" s="489"/>
      <c r="Z131" s="489"/>
      <c r="AA131" s="489"/>
      <c r="AB131" s="489"/>
      <c r="AC131" s="490">
        <v>0</v>
      </c>
      <c r="AD131" s="477">
        <v>0</v>
      </c>
      <c r="AE131" s="489"/>
      <c r="AF131" s="489">
        <v>0</v>
      </c>
      <c r="AG131" s="489"/>
      <c r="AH131" s="489">
        <v>0</v>
      </c>
      <c r="AI131" s="489"/>
      <c r="AJ131" s="489">
        <v>0</v>
      </c>
      <c r="AK131" s="489"/>
      <c r="AL131" s="490">
        <v>0</v>
      </c>
      <c r="AM131" s="477"/>
      <c r="AN131" s="489"/>
      <c r="AO131" s="489"/>
      <c r="AP131" s="489"/>
      <c r="AQ131" s="489"/>
      <c r="AR131" s="489"/>
      <c r="AS131" s="489"/>
      <c r="AT131" s="489"/>
      <c r="AU131" s="490">
        <v>0</v>
      </c>
    </row>
    <row r="132" spans="1:48" ht="15" thickBot="1">
      <c r="B132" s="488"/>
      <c r="C132" s="477"/>
      <c r="D132" s="489"/>
      <c r="E132" s="489"/>
      <c r="F132" s="489"/>
      <c r="G132" s="489"/>
      <c r="H132" s="489"/>
      <c r="I132" s="489"/>
      <c r="J132" s="489"/>
      <c r="K132" s="490"/>
      <c r="L132" s="311"/>
      <c r="M132" s="311"/>
      <c r="N132" s="311"/>
      <c r="O132" s="311"/>
      <c r="P132" s="311"/>
      <c r="Q132" s="311"/>
      <c r="R132" s="311"/>
      <c r="S132" s="311"/>
      <c r="T132" s="311"/>
      <c r="U132" s="477"/>
      <c r="V132" s="489"/>
      <c r="W132" s="489"/>
      <c r="X132" s="489"/>
      <c r="Y132" s="489"/>
      <c r="Z132" s="489"/>
      <c r="AA132" s="489"/>
      <c r="AB132" s="489"/>
      <c r="AC132" s="490"/>
      <c r="AD132" s="477"/>
      <c r="AE132" s="489"/>
      <c r="AF132" s="489"/>
      <c r="AG132" s="489"/>
      <c r="AH132" s="489"/>
      <c r="AI132" s="489"/>
      <c r="AJ132" s="489"/>
      <c r="AK132" s="489"/>
      <c r="AL132" s="490"/>
      <c r="AM132" s="477"/>
      <c r="AN132" s="489"/>
      <c r="AO132" s="489"/>
      <c r="AP132" s="489"/>
      <c r="AQ132" s="489"/>
      <c r="AR132" s="489"/>
      <c r="AS132" s="489"/>
      <c r="AT132" s="489"/>
      <c r="AU132" s="490"/>
    </row>
    <row r="133" spans="1:48" ht="15.6" thickTop="1" thickBot="1">
      <c r="A133" s="492"/>
      <c r="B133" s="493" t="s">
        <v>51</v>
      </c>
      <c r="C133" s="912">
        <f>SUM(C126:C132)</f>
        <v>275348</v>
      </c>
      <c r="D133" s="495">
        <f t="shared" ref="D133:K133" si="29">SUM(D126:D132)</f>
        <v>0</v>
      </c>
      <c r="E133" s="495">
        <f t="shared" si="29"/>
        <v>0</v>
      </c>
      <c r="F133" s="495">
        <f t="shared" si="29"/>
        <v>0</v>
      </c>
      <c r="G133" s="495">
        <f t="shared" si="29"/>
        <v>0</v>
      </c>
      <c r="H133" s="495">
        <f t="shared" si="29"/>
        <v>0</v>
      </c>
      <c r="I133" s="495">
        <f t="shared" si="29"/>
        <v>0</v>
      </c>
      <c r="J133" s="495">
        <f t="shared" si="29"/>
        <v>0</v>
      </c>
      <c r="K133" s="496">
        <f t="shared" si="29"/>
        <v>275348</v>
      </c>
      <c r="L133" s="990">
        <v>268736</v>
      </c>
      <c r="M133" s="990">
        <v>0</v>
      </c>
      <c r="N133" s="990">
        <v>0</v>
      </c>
      <c r="O133" s="990">
        <v>0</v>
      </c>
      <c r="P133" s="990">
        <v>0</v>
      </c>
      <c r="Q133" s="990">
        <v>0</v>
      </c>
      <c r="R133" s="990">
        <v>0</v>
      </c>
      <c r="S133" s="990">
        <v>0</v>
      </c>
      <c r="T133" s="990">
        <v>268736</v>
      </c>
      <c r="U133" s="912">
        <v>241699</v>
      </c>
      <c r="V133" s="495">
        <v>0</v>
      </c>
      <c r="W133" s="495">
        <v>0</v>
      </c>
      <c r="X133" s="495">
        <v>0</v>
      </c>
      <c r="Y133" s="495">
        <v>0</v>
      </c>
      <c r="Z133" s="495">
        <v>0</v>
      </c>
      <c r="AA133" s="495">
        <v>0</v>
      </c>
      <c r="AB133" s="495">
        <v>0</v>
      </c>
      <c r="AC133" s="496">
        <v>241699</v>
      </c>
      <c r="AD133" s="494">
        <v>921025</v>
      </c>
      <c r="AE133" s="495">
        <v>0</v>
      </c>
      <c r="AF133" s="495">
        <v>0</v>
      </c>
      <c r="AG133" s="495">
        <v>0</v>
      </c>
      <c r="AH133" s="495">
        <v>0</v>
      </c>
      <c r="AI133" s="495">
        <v>0</v>
      </c>
      <c r="AJ133" s="495">
        <v>0</v>
      </c>
      <c r="AK133" s="495">
        <v>0</v>
      </c>
      <c r="AL133" s="496">
        <v>921025</v>
      </c>
      <c r="AM133" s="494">
        <v>641468</v>
      </c>
      <c r="AN133" s="495">
        <v>0</v>
      </c>
      <c r="AO133" s="495">
        <v>0</v>
      </c>
      <c r="AP133" s="495">
        <v>0</v>
      </c>
      <c r="AQ133" s="495">
        <v>0</v>
      </c>
      <c r="AR133" s="495">
        <v>0</v>
      </c>
      <c r="AS133" s="495">
        <v>0</v>
      </c>
      <c r="AT133" s="495">
        <v>0</v>
      </c>
      <c r="AU133" s="497">
        <v>641468</v>
      </c>
      <c r="AV133" s="491">
        <f>AL133-AU133</f>
        <v>279557</v>
      </c>
    </row>
    <row r="134" spans="1:48" ht="15" thickTop="1">
      <c r="B134" s="488"/>
      <c r="C134" s="477"/>
      <c r="D134" s="489"/>
      <c r="E134" s="489"/>
      <c r="F134" s="489"/>
      <c r="G134" s="489"/>
      <c r="H134" s="489"/>
      <c r="I134" s="489"/>
      <c r="J134" s="489"/>
      <c r="K134" s="490"/>
      <c r="L134" s="311"/>
      <c r="M134" s="311"/>
      <c r="N134" s="311"/>
      <c r="O134" s="311"/>
      <c r="P134" s="311"/>
      <c r="Q134" s="311"/>
      <c r="R134" s="311"/>
      <c r="S134" s="311"/>
      <c r="T134" s="311"/>
      <c r="U134" s="477"/>
      <c r="V134" s="489"/>
      <c r="W134" s="489"/>
      <c r="X134" s="489"/>
      <c r="Y134" s="489"/>
      <c r="Z134" s="489"/>
      <c r="AA134" s="489"/>
      <c r="AB134" s="489"/>
      <c r="AC134" s="490"/>
      <c r="AD134" s="477"/>
      <c r="AE134" s="489"/>
      <c r="AF134" s="489"/>
      <c r="AG134" s="489"/>
      <c r="AH134" s="489"/>
      <c r="AI134" s="489"/>
      <c r="AJ134" s="489"/>
      <c r="AK134" s="489"/>
      <c r="AL134" s="490"/>
      <c r="AM134" s="477"/>
      <c r="AN134" s="489"/>
      <c r="AO134" s="489"/>
      <c r="AP134" s="489"/>
      <c r="AQ134" s="489"/>
      <c r="AR134" s="489"/>
      <c r="AS134" s="489"/>
      <c r="AT134" s="489"/>
      <c r="AU134" s="490"/>
    </row>
    <row r="135" spans="1:48">
      <c r="A135" s="498" t="s">
        <v>1140</v>
      </c>
      <c r="B135" s="488"/>
      <c r="C135" s="477"/>
      <c r="D135" s="489"/>
      <c r="E135" s="489"/>
      <c r="F135" s="489"/>
      <c r="G135" s="489"/>
      <c r="H135" s="489"/>
      <c r="I135" s="489"/>
      <c r="J135" s="489"/>
      <c r="K135" s="490"/>
      <c r="L135" s="311"/>
      <c r="M135" s="311"/>
      <c r="N135" s="311"/>
      <c r="O135" s="311"/>
      <c r="P135" s="311"/>
      <c r="Q135" s="311"/>
      <c r="R135" s="311"/>
      <c r="S135" s="311"/>
      <c r="T135" s="311"/>
      <c r="U135" s="477"/>
      <c r="V135" s="489"/>
      <c r="W135" s="489"/>
      <c r="X135" s="489"/>
      <c r="Y135" s="489"/>
      <c r="Z135" s="489"/>
      <c r="AA135" s="489"/>
      <c r="AB135" s="489"/>
      <c r="AC135" s="490"/>
      <c r="AD135" s="477"/>
      <c r="AE135" s="489"/>
      <c r="AF135" s="489"/>
      <c r="AG135" s="489"/>
      <c r="AH135" s="489"/>
      <c r="AI135" s="489"/>
      <c r="AJ135" s="489"/>
      <c r="AK135" s="489"/>
      <c r="AL135" s="490"/>
      <c r="AM135" s="477"/>
      <c r="AN135" s="489"/>
      <c r="AO135" s="489"/>
      <c r="AP135" s="489"/>
      <c r="AQ135" s="489"/>
      <c r="AR135" s="489"/>
      <c r="AS135" s="489"/>
      <c r="AT135" s="489"/>
      <c r="AU135" s="490"/>
    </row>
    <row r="136" spans="1:48">
      <c r="A136" s="444" t="s">
        <v>124</v>
      </c>
      <c r="B136" s="488" t="s">
        <v>450</v>
      </c>
      <c r="C136" s="477"/>
      <c r="D136" s="489"/>
      <c r="E136" s="489"/>
      <c r="F136" s="489"/>
      <c r="G136" s="489"/>
      <c r="H136" s="489"/>
      <c r="I136" s="489"/>
      <c r="J136" s="489"/>
      <c r="K136" s="490">
        <f>SUM(C136:J136)</f>
        <v>0</v>
      </c>
      <c r="L136" s="311"/>
      <c r="M136" s="311"/>
      <c r="N136" s="311"/>
      <c r="O136" s="311"/>
      <c r="P136" s="311"/>
      <c r="Q136" s="311"/>
      <c r="R136" s="311"/>
      <c r="S136" s="311"/>
      <c r="T136" s="311">
        <v>0</v>
      </c>
      <c r="U136" s="477"/>
      <c r="V136" s="489"/>
      <c r="W136" s="489"/>
      <c r="X136" s="489"/>
      <c r="Y136" s="489"/>
      <c r="Z136" s="489"/>
      <c r="AA136" s="489"/>
      <c r="AB136" s="489"/>
      <c r="AC136" s="490">
        <v>0</v>
      </c>
      <c r="AD136" s="477"/>
      <c r="AE136" s="489">
        <v>210410</v>
      </c>
      <c r="AF136" s="489"/>
      <c r="AG136" s="489"/>
      <c r="AH136" s="489"/>
      <c r="AI136" s="489"/>
      <c r="AJ136" s="489"/>
      <c r="AK136" s="489"/>
      <c r="AL136" s="490">
        <v>210410</v>
      </c>
      <c r="AM136" s="477">
        <v>188986</v>
      </c>
      <c r="AN136" s="489"/>
      <c r="AO136" s="489"/>
      <c r="AP136" s="489"/>
      <c r="AQ136" s="489"/>
      <c r="AR136" s="489"/>
      <c r="AS136" s="489"/>
      <c r="AT136" s="489"/>
      <c r="AU136" s="490">
        <v>188986</v>
      </c>
    </row>
    <row r="137" spans="1:48" ht="15" thickBot="1">
      <c r="B137" s="488"/>
      <c r="C137" s="477"/>
      <c r="D137" s="489"/>
      <c r="E137" s="489"/>
      <c r="F137" s="489"/>
      <c r="G137" s="489"/>
      <c r="H137" s="489"/>
      <c r="I137" s="489"/>
      <c r="J137" s="489"/>
      <c r="K137" s="490"/>
      <c r="L137" s="311"/>
      <c r="M137" s="311"/>
      <c r="N137" s="311"/>
      <c r="O137" s="311"/>
      <c r="P137" s="311"/>
      <c r="Q137" s="311"/>
      <c r="R137" s="311"/>
      <c r="S137" s="311"/>
      <c r="T137" s="311"/>
      <c r="U137" s="477"/>
      <c r="V137" s="489"/>
      <c r="W137" s="489"/>
      <c r="X137" s="489"/>
      <c r="Y137" s="489"/>
      <c r="Z137" s="489"/>
      <c r="AA137" s="489"/>
      <c r="AB137" s="489"/>
      <c r="AC137" s="490"/>
      <c r="AD137" s="477"/>
      <c r="AE137" s="489"/>
      <c r="AF137" s="489"/>
      <c r="AG137" s="489"/>
      <c r="AH137" s="489"/>
      <c r="AI137" s="489"/>
      <c r="AJ137" s="489"/>
      <c r="AK137" s="489"/>
      <c r="AL137" s="490"/>
      <c r="AM137" s="477"/>
      <c r="AN137" s="489"/>
      <c r="AO137" s="489"/>
      <c r="AP137" s="489"/>
      <c r="AQ137" s="489"/>
      <c r="AR137" s="489"/>
      <c r="AS137" s="489"/>
      <c r="AT137" s="489"/>
      <c r="AU137" s="490"/>
    </row>
    <row r="138" spans="1:48" ht="15.6" thickTop="1" thickBot="1">
      <c r="A138" s="492"/>
      <c r="B138" s="493" t="s">
        <v>51</v>
      </c>
      <c r="C138" s="494">
        <f>SUM(C136:C137)</f>
        <v>0</v>
      </c>
      <c r="D138" s="495">
        <f t="shared" ref="D138:K138" si="30">SUM(D136:D137)</f>
        <v>0</v>
      </c>
      <c r="E138" s="495">
        <f t="shared" si="30"/>
        <v>0</v>
      </c>
      <c r="F138" s="495">
        <f t="shared" si="30"/>
        <v>0</v>
      </c>
      <c r="G138" s="495">
        <f t="shared" si="30"/>
        <v>0</v>
      </c>
      <c r="H138" s="495">
        <f t="shared" si="30"/>
        <v>0</v>
      </c>
      <c r="I138" s="495">
        <f t="shared" si="30"/>
        <v>0</v>
      </c>
      <c r="J138" s="495">
        <f t="shared" si="30"/>
        <v>0</v>
      </c>
      <c r="K138" s="497">
        <f t="shared" si="30"/>
        <v>0</v>
      </c>
      <c r="L138" s="991">
        <v>0</v>
      </c>
      <c r="M138" s="991">
        <v>0</v>
      </c>
      <c r="N138" s="991">
        <v>0</v>
      </c>
      <c r="O138" s="991">
        <v>0</v>
      </c>
      <c r="P138" s="991">
        <v>0</v>
      </c>
      <c r="Q138" s="991">
        <v>0</v>
      </c>
      <c r="R138" s="991">
        <v>0</v>
      </c>
      <c r="S138" s="991">
        <v>0</v>
      </c>
      <c r="T138" s="991">
        <v>0</v>
      </c>
      <c r="U138" s="494">
        <v>0</v>
      </c>
      <c r="V138" s="495">
        <v>0</v>
      </c>
      <c r="W138" s="495">
        <v>0</v>
      </c>
      <c r="X138" s="495">
        <v>0</v>
      </c>
      <c r="Y138" s="495">
        <v>0</v>
      </c>
      <c r="Z138" s="495">
        <v>0</v>
      </c>
      <c r="AA138" s="495">
        <v>0</v>
      </c>
      <c r="AB138" s="495">
        <v>0</v>
      </c>
      <c r="AC138" s="497">
        <v>0</v>
      </c>
      <c r="AD138" s="494">
        <v>0</v>
      </c>
      <c r="AE138" s="495">
        <v>210410</v>
      </c>
      <c r="AF138" s="495">
        <v>0</v>
      </c>
      <c r="AG138" s="495">
        <v>0</v>
      </c>
      <c r="AH138" s="495">
        <v>0</v>
      </c>
      <c r="AI138" s="495">
        <v>0</v>
      </c>
      <c r="AJ138" s="495">
        <v>0</v>
      </c>
      <c r="AK138" s="495">
        <v>0</v>
      </c>
      <c r="AL138" s="497">
        <v>210410</v>
      </c>
      <c r="AM138" s="494">
        <v>188986</v>
      </c>
      <c r="AN138" s="495">
        <v>0</v>
      </c>
      <c r="AO138" s="495">
        <v>0</v>
      </c>
      <c r="AP138" s="495">
        <v>0</v>
      </c>
      <c r="AQ138" s="495">
        <v>0</v>
      </c>
      <c r="AR138" s="495">
        <v>0</v>
      </c>
      <c r="AS138" s="495">
        <v>0</v>
      </c>
      <c r="AT138" s="495">
        <v>0</v>
      </c>
      <c r="AU138" s="497">
        <v>188986</v>
      </c>
      <c r="AV138" s="491">
        <f>AL138-AU138</f>
        <v>21424</v>
      </c>
    </row>
    <row r="139" spans="1:48" ht="15" thickTop="1">
      <c r="B139" s="488"/>
      <c r="C139" s="477"/>
      <c r="D139" s="489"/>
      <c r="E139" s="489"/>
      <c r="F139" s="489"/>
      <c r="G139" s="489"/>
      <c r="H139" s="489"/>
      <c r="I139" s="489"/>
      <c r="J139" s="489"/>
      <c r="K139" s="490"/>
      <c r="L139" s="311"/>
      <c r="M139" s="311"/>
      <c r="N139" s="311"/>
      <c r="O139" s="311"/>
      <c r="P139" s="311"/>
      <c r="Q139" s="311"/>
      <c r="R139" s="311"/>
      <c r="S139" s="311"/>
      <c r="T139" s="311"/>
      <c r="U139" s="477"/>
      <c r="V139" s="489"/>
      <c r="W139" s="489"/>
      <c r="X139" s="489"/>
      <c r="Y139" s="489"/>
      <c r="Z139" s="489"/>
      <c r="AA139" s="489"/>
      <c r="AB139" s="489"/>
      <c r="AC139" s="490"/>
      <c r="AD139" s="477"/>
      <c r="AE139" s="489"/>
      <c r="AF139" s="489"/>
      <c r="AG139" s="489"/>
      <c r="AH139" s="489"/>
      <c r="AI139" s="489"/>
      <c r="AJ139" s="489"/>
      <c r="AK139" s="489"/>
      <c r="AL139" s="490"/>
      <c r="AM139" s="477"/>
      <c r="AN139" s="489"/>
      <c r="AO139" s="489"/>
      <c r="AP139" s="489"/>
      <c r="AQ139" s="489"/>
      <c r="AR139" s="489"/>
      <c r="AS139" s="489"/>
      <c r="AT139" s="489"/>
      <c r="AU139" s="490"/>
    </row>
    <row r="140" spans="1:48">
      <c r="A140" s="498" t="s">
        <v>1408</v>
      </c>
      <c r="B140" s="488"/>
      <c r="C140" s="477"/>
      <c r="D140" s="489"/>
      <c r="E140" s="489"/>
      <c r="F140" s="489"/>
      <c r="G140" s="489"/>
      <c r="H140" s="489"/>
      <c r="I140" s="489"/>
      <c r="J140" s="489"/>
      <c r="K140" s="490"/>
      <c r="L140" s="311"/>
      <c r="M140" s="311"/>
      <c r="N140" s="311"/>
      <c r="O140" s="311"/>
      <c r="P140" s="311"/>
      <c r="Q140" s="311"/>
      <c r="R140" s="311"/>
      <c r="S140" s="311"/>
      <c r="T140" s="311"/>
      <c r="U140" s="477"/>
      <c r="V140" s="489"/>
      <c r="W140" s="489"/>
      <c r="X140" s="489"/>
      <c r="Y140" s="489"/>
      <c r="Z140" s="489"/>
      <c r="AA140" s="489"/>
      <c r="AB140" s="489"/>
      <c r="AC140" s="490"/>
      <c r="AD140" s="477"/>
      <c r="AE140" s="489"/>
      <c r="AF140" s="489"/>
      <c r="AG140" s="489"/>
      <c r="AH140" s="489"/>
      <c r="AI140" s="489"/>
      <c r="AJ140" s="489"/>
      <c r="AK140" s="489"/>
      <c r="AL140" s="490"/>
      <c r="AM140" s="477"/>
      <c r="AN140" s="489"/>
      <c r="AO140" s="489"/>
      <c r="AP140" s="489"/>
      <c r="AQ140" s="489"/>
      <c r="AR140" s="489"/>
      <c r="AS140" s="489"/>
      <c r="AT140" s="489"/>
      <c r="AU140" s="490"/>
    </row>
    <row r="141" spans="1:48">
      <c r="A141" s="444" t="s">
        <v>1187</v>
      </c>
      <c r="B141" s="488" t="s">
        <v>449</v>
      </c>
      <c r="C141" s="477" cm="1">
        <f t="array" ref="C141">_xlfn.XLOOKUP(A141,'TB upload'!A:A,'TB upload'!C:C-'TB upload'!B:B,0,0)*-1</f>
        <v>0</v>
      </c>
      <c r="D141" s="489"/>
      <c r="E141" s="942" cm="1">
        <f t="array" ref="E141">_xlfn.XLOOKUP(A141,'TB upload'!A:A,'TB upload'!E:E-'TB upload'!D:D,0,0)*-1</f>
        <v>0</v>
      </c>
      <c r="F141" s="489"/>
      <c r="G141" s="477" cm="1">
        <f t="array" ref="G141">_xlfn.XLOOKUP(A141,'TB upload'!A:A,'TB upload'!G:G-'TB upload'!F:F,0,0)*-1</f>
        <v>0</v>
      </c>
      <c r="H141" s="489"/>
      <c r="I141" s="477" cm="1">
        <f t="array" ref="I141">_xlfn.XLOOKUP(A141,'TB upload'!A:A,'TB upload'!I:I-'TB upload'!H:H,0,0)*-1</f>
        <v>0</v>
      </c>
      <c r="J141" s="489"/>
      <c r="K141" s="490">
        <f t="shared" ref="K141:K142" si="31">SUM(C141:J141)</f>
        <v>0</v>
      </c>
      <c r="L141" s="311">
        <v>0</v>
      </c>
      <c r="M141" s="311"/>
      <c r="N141" s="311">
        <v>0</v>
      </c>
      <c r="O141" s="311"/>
      <c r="P141" s="311">
        <v>0</v>
      </c>
      <c r="Q141" s="311"/>
      <c r="R141" s="311">
        <v>0</v>
      </c>
      <c r="S141" s="311"/>
      <c r="T141" s="311">
        <v>0</v>
      </c>
      <c r="U141" s="477">
        <v>0</v>
      </c>
      <c r="V141" s="489"/>
      <c r="W141" s="489"/>
      <c r="X141" s="489"/>
      <c r="Y141" s="489"/>
      <c r="Z141" s="489"/>
      <c r="AA141" s="489"/>
      <c r="AB141" s="489"/>
      <c r="AC141" s="490">
        <v>0</v>
      </c>
      <c r="AD141" s="477">
        <v>0</v>
      </c>
      <c r="AE141" s="489"/>
      <c r="AF141" s="489">
        <v>0</v>
      </c>
      <c r="AG141" s="489"/>
      <c r="AH141" s="489">
        <v>0</v>
      </c>
      <c r="AI141" s="489"/>
      <c r="AJ141" s="489">
        <v>0</v>
      </c>
      <c r="AK141" s="489"/>
      <c r="AL141" s="490">
        <v>0</v>
      </c>
      <c r="AM141" s="477">
        <v>520646</v>
      </c>
      <c r="AN141" s="489">
        <v>-131889</v>
      </c>
      <c r="AO141" s="489"/>
      <c r="AP141" s="489"/>
      <c r="AQ141" s="489"/>
      <c r="AR141" s="489"/>
      <c r="AS141" s="489"/>
      <c r="AT141" s="489"/>
      <c r="AU141" s="490">
        <v>388757</v>
      </c>
    </row>
    <row r="142" spans="1:48" ht="15" thickBot="1">
      <c r="A142" s="444" t="s">
        <v>1012</v>
      </c>
      <c r="B142" s="488" t="s">
        <v>449</v>
      </c>
      <c r="C142" s="477" cm="1">
        <f t="array" ref="C142">_xlfn.XLOOKUP(A142,'TB upload'!A:A,'TB upload'!C:C-'TB upload'!B:B,0,0)*-1</f>
        <v>0</v>
      </c>
      <c r="D142" s="489"/>
      <c r="E142" s="942" cm="1">
        <f t="array" ref="E142">_xlfn.XLOOKUP(A142,'TB upload'!A:A,'TB upload'!E:E-'TB upload'!D:D,0,0)*-1</f>
        <v>0</v>
      </c>
      <c r="F142" s="489"/>
      <c r="G142" s="477" cm="1">
        <f t="array" ref="G142">_xlfn.XLOOKUP(A142,'TB upload'!A:A,'TB upload'!G:G-'TB upload'!F:F,0,0)*-1</f>
        <v>0</v>
      </c>
      <c r="H142" s="489"/>
      <c r="I142" s="477" cm="1">
        <f t="array" ref="I142">_xlfn.XLOOKUP(A142,'TB upload'!A:A,'TB upload'!I:I-'TB upload'!H:H,0,0)*-1</f>
        <v>0</v>
      </c>
      <c r="J142" s="489"/>
      <c r="K142" s="490">
        <f t="shared" si="31"/>
        <v>0</v>
      </c>
      <c r="L142" s="311">
        <v>63133</v>
      </c>
      <c r="M142" s="311"/>
      <c r="N142" s="311">
        <v>0</v>
      </c>
      <c r="O142" s="311"/>
      <c r="P142" s="311">
        <v>0</v>
      </c>
      <c r="Q142" s="311"/>
      <c r="R142" s="311">
        <v>0</v>
      </c>
      <c r="S142" s="311"/>
      <c r="T142" s="311">
        <v>63133</v>
      </c>
      <c r="U142" s="477">
        <v>0</v>
      </c>
      <c r="V142" s="489"/>
      <c r="W142" s="489"/>
      <c r="X142" s="489"/>
      <c r="Y142" s="489"/>
      <c r="Z142" s="489"/>
      <c r="AA142" s="489"/>
      <c r="AB142" s="489"/>
      <c r="AC142" s="490">
        <v>0</v>
      </c>
      <c r="AD142" s="477">
        <v>130041</v>
      </c>
      <c r="AE142" s="489">
        <v>349231</v>
      </c>
      <c r="AF142" s="489">
        <v>0</v>
      </c>
      <c r="AG142" s="489"/>
      <c r="AH142" s="489">
        <v>0</v>
      </c>
      <c r="AI142" s="489"/>
      <c r="AJ142" s="489">
        <v>0</v>
      </c>
      <c r="AK142" s="489"/>
      <c r="AL142" s="490">
        <v>479272</v>
      </c>
      <c r="AM142" s="477">
        <v>104616</v>
      </c>
      <c r="AN142" s="489"/>
      <c r="AO142" s="489"/>
      <c r="AP142" s="489"/>
      <c r="AQ142" s="489"/>
      <c r="AR142" s="489"/>
      <c r="AS142" s="489"/>
      <c r="AT142" s="489"/>
      <c r="AU142" s="490">
        <v>104616</v>
      </c>
    </row>
    <row r="143" spans="1:48" ht="15.6" thickTop="1" thickBot="1">
      <c r="A143" s="492"/>
      <c r="B143" s="493" t="s">
        <v>51</v>
      </c>
      <c r="C143" s="494">
        <f t="shared" ref="C143:H143" si="32">SUM(C141:C142)</f>
        <v>0</v>
      </c>
      <c r="D143" s="495">
        <f t="shared" si="32"/>
        <v>0</v>
      </c>
      <c r="E143" s="495">
        <f t="shared" si="32"/>
        <v>0</v>
      </c>
      <c r="F143" s="495">
        <f t="shared" si="32"/>
        <v>0</v>
      </c>
      <c r="G143" s="495">
        <f t="shared" si="32"/>
        <v>0</v>
      </c>
      <c r="H143" s="495">
        <f t="shared" si="32"/>
        <v>0</v>
      </c>
      <c r="I143" s="495">
        <f t="shared" ref="I143:J143" si="33">SUM(I141:I142)</f>
        <v>0</v>
      </c>
      <c r="J143" s="495">
        <f t="shared" si="33"/>
        <v>0</v>
      </c>
      <c r="K143" s="496">
        <f>SUM(K141:K142)</f>
        <v>0</v>
      </c>
      <c r="L143" s="990">
        <v>63133</v>
      </c>
      <c r="M143" s="990">
        <v>0</v>
      </c>
      <c r="N143" s="990">
        <v>0</v>
      </c>
      <c r="O143" s="990">
        <v>0</v>
      </c>
      <c r="P143" s="990">
        <v>0</v>
      </c>
      <c r="Q143" s="990">
        <v>0</v>
      </c>
      <c r="R143" s="990">
        <v>0</v>
      </c>
      <c r="S143" s="990">
        <v>0</v>
      </c>
      <c r="T143" s="990">
        <v>63133</v>
      </c>
      <c r="U143" s="494">
        <v>0</v>
      </c>
      <c r="V143" s="495">
        <v>0</v>
      </c>
      <c r="W143" s="495">
        <v>0</v>
      </c>
      <c r="X143" s="495">
        <v>0</v>
      </c>
      <c r="Y143" s="495">
        <v>0</v>
      </c>
      <c r="Z143" s="495">
        <v>0</v>
      </c>
      <c r="AA143" s="495">
        <v>0</v>
      </c>
      <c r="AB143" s="495">
        <v>0</v>
      </c>
      <c r="AC143" s="496">
        <v>0</v>
      </c>
      <c r="AD143" s="494">
        <v>130041</v>
      </c>
      <c r="AE143" s="495">
        <v>349231</v>
      </c>
      <c r="AF143" s="495">
        <v>0</v>
      </c>
      <c r="AG143" s="495">
        <v>0</v>
      </c>
      <c r="AH143" s="495">
        <v>0</v>
      </c>
      <c r="AI143" s="495">
        <v>0</v>
      </c>
      <c r="AJ143" s="495">
        <v>0</v>
      </c>
      <c r="AK143" s="495">
        <v>0</v>
      </c>
      <c r="AL143" s="496">
        <v>479272</v>
      </c>
      <c r="AM143" s="494">
        <v>625262</v>
      </c>
      <c r="AN143" s="495">
        <v>-131889</v>
      </c>
      <c r="AO143" s="495">
        <v>0</v>
      </c>
      <c r="AP143" s="495">
        <v>0</v>
      </c>
      <c r="AQ143" s="495">
        <v>0</v>
      </c>
      <c r="AR143" s="495">
        <v>0</v>
      </c>
      <c r="AS143" s="495">
        <v>0</v>
      </c>
      <c r="AT143" s="495">
        <v>0</v>
      </c>
      <c r="AU143" s="497">
        <v>493373</v>
      </c>
      <c r="AV143" s="491">
        <f>AL143-AU143</f>
        <v>-14101</v>
      </c>
    </row>
    <row r="144" spans="1:48" ht="15" thickTop="1">
      <c r="B144" s="499"/>
      <c r="C144" s="477"/>
      <c r="D144" s="489"/>
      <c r="E144" s="489"/>
      <c r="F144" s="489"/>
      <c r="G144" s="489"/>
      <c r="H144" s="489"/>
      <c r="I144" s="489"/>
      <c r="J144" s="489"/>
      <c r="K144" s="490"/>
      <c r="L144" s="311"/>
      <c r="M144" s="311"/>
      <c r="N144" s="311"/>
      <c r="O144" s="311"/>
      <c r="P144" s="311"/>
      <c r="Q144" s="311"/>
      <c r="R144" s="311"/>
      <c r="S144" s="311"/>
      <c r="T144" s="311"/>
      <c r="U144" s="477"/>
      <c r="V144" s="489"/>
      <c r="W144" s="489"/>
      <c r="X144" s="489"/>
      <c r="Y144" s="489"/>
      <c r="Z144" s="489"/>
      <c r="AA144" s="489"/>
      <c r="AB144" s="489"/>
      <c r="AC144" s="490"/>
      <c r="AD144" s="477"/>
      <c r="AE144" s="489"/>
      <c r="AF144" s="489"/>
      <c r="AG144" s="489"/>
      <c r="AH144" s="489"/>
      <c r="AI144" s="489"/>
      <c r="AJ144" s="489"/>
      <c r="AK144" s="489"/>
      <c r="AL144" s="490"/>
      <c r="AM144" s="477"/>
      <c r="AN144" s="489"/>
      <c r="AO144" s="489"/>
      <c r="AP144" s="489"/>
      <c r="AQ144" s="489"/>
      <c r="AR144" s="489"/>
      <c r="AS144" s="489"/>
      <c r="AT144" s="489"/>
      <c r="AU144" s="490"/>
      <c r="AV144" s="491"/>
    </row>
    <row r="145" spans="1:48" ht="28.8">
      <c r="A145" s="501" t="s">
        <v>560</v>
      </c>
      <c r="B145" s="488" t="s">
        <v>450</v>
      </c>
      <c r="C145" s="477"/>
      <c r="D145" s="489"/>
      <c r="E145" s="489"/>
      <c r="F145" s="489"/>
      <c r="G145" s="489"/>
      <c r="H145" s="489"/>
      <c r="I145" s="489"/>
      <c r="J145" s="489"/>
      <c r="K145" s="490">
        <f>SUM(C145:J145)</f>
        <v>0</v>
      </c>
      <c r="L145" s="311"/>
      <c r="M145" s="311"/>
      <c r="N145" s="311"/>
      <c r="O145" s="311"/>
      <c r="P145" s="311"/>
      <c r="Q145" s="311"/>
      <c r="R145" s="311"/>
      <c r="S145" s="311"/>
      <c r="T145" s="311">
        <v>0</v>
      </c>
      <c r="U145" s="477"/>
      <c r="V145" s="489"/>
      <c r="W145" s="489"/>
      <c r="X145" s="489"/>
      <c r="Y145" s="489"/>
      <c r="Z145" s="489"/>
      <c r="AA145" s="489"/>
      <c r="AB145" s="489"/>
      <c r="AC145" s="490">
        <v>0</v>
      </c>
      <c r="AD145" s="477"/>
      <c r="AE145" s="489"/>
      <c r="AF145" s="489"/>
      <c r="AG145" s="489"/>
      <c r="AH145" s="489"/>
      <c r="AI145" s="489"/>
      <c r="AJ145" s="489"/>
      <c r="AK145" s="489"/>
      <c r="AL145" s="490">
        <v>0</v>
      </c>
      <c r="AM145" s="477">
        <v>2073850</v>
      </c>
      <c r="AN145" s="489"/>
      <c r="AO145" s="489"/>
      <c r="AP145" s="489"/>
      <c r="AQ145" s="489"/>
      <c r="AR145" s="489"/>
      <c r="AS145" s="489"/>
      <c r="AT145" s="489"/>
      <c r="AU145" s="490">
        <v>2073850</v>
      </c>
    </row>
    <row r="146" spans="1:48" ht="15" thickBot="1">
      <c r="A146" s="158"/>
      <c r="B146" s="488"/>
      <c r="C146" s="477"/>
      <c r="D146" s="489"/>
      <c r="E146" s="489"/>
      <c r="F146" s="489"/>
      <c r="G146" s="489"/>
      <c r="H146" s="489"/>
      <c r="I146" s="489"/>
      <c r="J146" s="489"/>
      <c r="K146" s="490"/>
      <c r="L146" s="311"/>
      <c r="M146" s="311"/>
      <c r="N146" s="311"/>
      <c r="O146" s="311"/>
      <c r="P146" s="311"/>
      <c r="Q146" s="311"/>
      <c r="R146" s="311"/>
      <c r="S146" s="311"/>
      <c r="T146" s="311"/>
      <c r="U146" s="477"/>
      <c r="V146" s="489"/>
      <c r="W146" s="489"/>
      <c r="X146" s="489"/>
      <c r="Y146" s="489"/>
      <c r="Z146" s="489"/>
      <c r="AA146" s="489"/>
      <c r="AB146" s="489"/>
      <c r="AC146" s="490"/>
      <c r="AD146" s="477"/>
      <c r="AE146" s="489"/>
      <c r="AF146" s="489"/>
      <c r="AG146" s="489"/>
      <c r="AH146" s="489"/>
      <c r="AI146" s="489"/>
      <c r="AJ146" s="489"/>
      <c r="AK146" s="489"/>
      <c r="AL146" s="490"/>
      <c r="AM146" s="477"/>
      <c r="AN146" s="489"/>
      <c r="AO146" s="489"/>
      <c r="AP146" s="489"/>
      <c r="AQ146" s="489"/>
      <c r="AR146" s="489"/>
      <c r="AS146" s="489"/>
      <c r="AT146" s="489"/>
      <c r="AU146" s="490"/>
    </row>
    <row r="147" spans="1:48" ht="15.6" thickTop="1" thickBot="1">
      <c r="A147" s="492"/>
      <c r="B147" s="493" t="s">
        <v>51</v>
      </c>
      <c r="C147" s="494">
        <f>SUM(C145:C146)</f>
        <v>0</v>
      </c>
      <c r="D147" s="495">
        <f t="shared" ref="D147:K147" si="34">SUM(D145:D146)</f>
        <v>0</v>
      </c>
      <c r="E147" s="495">
        <f t="shared" si="34"/>
        <v>0</v>
      </c>
      <c r="F147" s="495">
        <f t="shared" si="34"/>
        <v>0</v>
      </c>
      <c r="G147" s="495">
        <f t="shared" si="34"/>
        <v>0</v>
      </c>
      <c r="H147" s="495">
        <f t="shared" si="34"/>
        <v>0</v>
      </c>
      <c r="I147" s="495">
        <f t="shared" si="34"/>
        <v>0</v>
      </c>
      <c r="J147" s="495">
        <f t="shared" si="34"/>
        <v>0</v>
      </c>
      <c r="K147" s="497">
        <f t="shared" si="34"/>
        <v>0</v>
      </c>
      <c r="L147" s="991">
        <v>0</v>
      </c>
      <c r="M147" s="991">
        <v>0</v>
      </c>
      <c r="N147" s="991">
        <v>0</v>
      </c>
      <c r="O147" s="991">
        <v>0</v>
      </c>
      <c r="P147" s="991">
        <v>0</v>
      </c>
      <c r="Q147" s="991">
        <v>0</v>
      </c>
      <c r="R147" s="991">
        <v>0</v>
      </c>
      <c r="S147" s="991">
        <v>0</v>
      </c>
      <c r="T147" s="991">
        <v>0</v>
      </c>
      <c r="U147" s="494">
        <v>0</v>
      </c>
      <c r="V147" s="495">
        <v>0</v>
      </c>
      <c r="W147" s="495">
        <v>0</v>
      </c>
      <c r="X147" s="495">
        <v>0</v>
      </c>
      <c r="Y147" s="495">
        <v>0</v>
      </c>
      <c r="Z147" s="495">
        <v>0</v>
      </c>
      <c r="AA147" s="495">
        <v>0</v>
      </c>
      <c r="AB147" s="495">
        <v>0</v>
      </c>
      <c r="AC147" s="497">
        <v>0</v>
      </c>
      <c r="AD147" s="494">
        <v>0</v>
      </c>
      <c r="AE147" s="495">
        <v>0</v>
      </c>
      <c r="AF147" s="495">
        <v>0</v>
      </c>
      <c r="AG147" s="495">
        <v>0</v>
      </c>
      <c r="AH147" s="495">
        <v>0</v>
      </c>
      <c r="AI147" s="495">
        <v>0</v>
      </c>
      <c r="AJ147" s="495">
        <v>0</v>
      </c>
      <c r="AK147" s="495">
        <v>0</v>
      </c>
      <c r="AL147" s="497">
        <v>0</v>
      </c>
      <c r="AM147" s="494">
        <v>2073850</v>
      </c>
      <c r="AN147" s="495">
        <v>0</v>
      </c>
      <c r="AO147" s="495">
        <v>0</v>
      </c>
      <c r="AP147" s="495">
        <v>0</v>
      </c>
      <c r="AQ147" s="495">
        <v>0</v>
      </c>
      <c r="AR147" s="495">
        <v>0</v>
      </c>
      <c r="AS147" s="495">
        <v>0</v>
      </c>
      <c r="AT147" s="495">
        <v>0</v>
      </c>
      <c r="AU147" s="497">
        <v>2073850</v>
      </c>
      <c r="AV147" s="491">
        <f>AL147-AU147</f>
        <v>-2073850</v>
      </c>
    </row>
    <row r="148" spans="1:48" ht="15" thickTop="1">
      <c r="A148" s="155" t="s">
        <v>244</v>
      </c>
      <c r="B148" s="488"/>
      <c r="C148" s="477"/>
      <c r="D148" s="489"/>
      <c r="E148" s="489"/>
      <c r="F148" s="489"/>
      <c r="G148" s="489"/>
      <c r="H148" s="489"/>
      <c r="I148" s="489"/>
      <c r="J148" s="489"/>
      <c r="K148" s="490"/>
      <c r="L148" s="311"/>
      <c r="M148" s="311"/>
      <c r="N148" s="311"/>
      <c r="O148" s="311"/>
      <c r="P148" s="311"/>
      <c r="Q148" s="311"/>
      <c r="R148" s="311"/>
      <c r="S148" s="311"/>
      <c r="T148" s="311"/>
      <c r="U148" s="477"/>
      <c r="V148" s="489"/>
      <c r="W148" s="489"/>
      <c r="X148" s="489"/>
      <c r="Y148" s="489"/>
      <c r="Z148" s="489"/>
      <c r="AA148" s="489"/>
      <c r="AB148" s="489"/>
      <c r="AC148" s="490"/>
      <c r="AD148" s="477"/>
      <c r="AE148" s="489"/>
      <c r="AF148" s="489"/>
      <c r="AG148" s="489"/>
      <c r="AH148" s="489"/>
      <c r="AI148" s="489"/>
      <c r="AJ148" s="489"/>
      <c r="AK148" s="489"/>
      <c r="AL148" s="490"/>
      <c r="AM148" s="477"/>
      <c r="AN148" s="489"/>
      <c r="AO148" s="489"/>
      <c r="AP148" s="489"/>
      <c r="AQ148" s="489"/>
      <c r="AR148" s="489"/>
      <c r="AS148" s="489"/>
      <c r="AT148" s="489"/>
      <c r="AU148" s="490"/>
    </row>
    <row r="149" spans="1:48">
      <c r="A149" s="158" t="s">
        <v>214</v>
      </c>
      <c r="B149" s="488" t="s">
        <v>449</v>
      </c>
      <c r="C149" s="477" cm="1">
        <f t="array" ref="C149">_xlfn.XLOOKUP(A149,'TB upload'!A:A,'TB upload'!C:C-'TB upload'!B:B,0,0)*-1</f>
        <v>85750.71</v>
      </c>
      <c r="D149" s="489"/>
      <c r="E149" s="942" cm="1">
        <f t="array" ref="E149">_xlfn.XLOOKUP(A149,'TB upload'!A:A,'TB upload'!E:E-'TB upload'!D:D,0,0)*-1</f>
        <v>0</v>
      </c>
      <c r="F149" s="489"/>
      <c r="G149" s="477" cm="1">
        <f t="array" ref="G149">_xlfn.XLOOKUP(A149,'TB upload'!A:A,'TB upload'!G:G-'TB upload'!F:F,0,0)*-1</f>
        <v>0</v>
      </c>
      <c r="H149" s="489"/>
      <c r="I149" s="477" cm="1">
        <f t="array" ref="I149">_xlfn.XLOOKUP(A149,'TB upload'!A:A,'TB upload'!I:I-'TB upload'!H:H,0,0)*-1</f>
        <v>0</v>
      </c>
      <c r="J149" s="489"/>
      <c r="K149" s="490">
        <f t="shared" ref="K149:K151" si="35">SUM(C149:J149)</f>
        <v>85750.71</v>
      </c>
      <c r="L149" s="311">
        <v>85750.71</v>
      </c>
      <c r="M149" s="311"/>
      <c r="N149" s="311">
        <v>0</v>
      </c>
      <c r="O149" s="311"/>
      <c r="P149" s="311">
        <v>0</v>
      </c>
      <c r="Q149" s="311"/>
      <c r="R149" s="311">
        <v>0</v>
      </c>
      <c r="S149" s="311"/>
      <c r="T149" s="311">
        <v>85750.71</v>
      </c>
      <c r="U149" s="649">
        <v>85750.71</v>
      </c>
      <c r="V149" s="489"/>
      <c r="W149" s="489"/>
      <c r="X149" s="489"/>
      <c r="Y149" s="489"/>
      <c r="Z149" s="489"/>
      <c r="AA149" s="489"/>
      <c r="AB149" s="489"/>
      <c r="AC149" s="490">
        <v>85750.71</v>
      </c>
      <c r="AD149" s="477">
        <v>434236</v>
      </c>
      <c r="AE149" s="489"/>
      <c r="AF149" s="489">
        <v>0</v>
      </c>
      <c r="AG149" s="489"/>
      <c r="AH149" s="489">
        <v>0</v>
      </c>
      <c r="AI149" s="489"/>
      <c r="AJ149" s="489">
        <v>0</v>
      </c>
      <c r="AK149" s="489"/>
      <c r="AL149" s="490">
        <v>434236</v>
      </c>
      <c r="AM149" s="477">
        <v>213307.08</v>
      </c>
      <c r="AN149" s="489"/>
      <c r="AO149" s="489"/>
      <c r="AP149" s="489"/>
      <c r="AQ149" s="489"/>
      <c r="AR149" s="489"/>
      <c r="AS149" s="489"/>
      <c r="AT149" s="489"/>
      <c r="AU149" s="490">
        <v>213307.08</v>
      </c>
    </row>
    <row r="150" spans="1:48">
      <c r="A150" s="158" t="s">
        <v>522</v>
      </c>
      <c r="B150" s="488" t="s">
        <v>449</v>
      </c>
      <c r="C150" s="477" cm="1">
        <f t="array" ref="C150">_xlfn.XLOOKUP(A150,'TB upload'!A:A,'TB upload'!C:C-'TB upload'!B:B,0,0)*-1</f>
        <v>0</v>
      </c>
      <c r="D150" s="489"/>
      <c r="E150" s="942" cm="1">
        <f t="array" ref="E150">_xlfn.XLOOKUP(A150,'TB upload'!A:A,'TB upload'!E:E-'TB upload'!D:D,0,0)*-1</f>
        <v>0</v>
      </c>
      <c r="F150" s="489"/>
      <c r="G150" s="477" cm="1">
        <f t="array" ref="G150">_xlfn.XLOOKUP(A150,'TB upload'!A:A,'TB upload'!G:G-'TB upload'!F:F,0,0)*-1</f>
        <v>0</v>
      </c>
      <c r="H150" s="489"/>
      <c r="I150" s="477" cm="1">
        <f t="array" ref="I150">_xlfn.XLOOKUP(A150,'TB upload'!A:A,'TB upload'!I:I-'TB upload'!H:H,0,0)*-1</f>
        <v>0</v>
      </c>
      <c r="J150" s="489"/>
      <c r="K150" s="490">
        <f t="shared" si="35"/>
        <v>0</v>
      </c>
      <c r="L150" s="311">
        <v>0</v>
      </c>
      <c r="M150" s="311"/>
      <c r="N150" s="311">
        <v>0</v>
      </c>
      <c r="O150" s="311"/>
      <c r="P150" s="311">
        <v>0</v>
      </c>
      <c r="Q150" s="311"/>
      <c r="R150" s="311">
        <v>0</v>
      </c>
      <c r="S150" s="311"/>
      <c r="T150" s="311">
        <v>0</v>
      </c>
      <c r="U150" s="477">
        <v>0</v>
      </c>
      <c r="V150" s="489"/>
      <c r="W150" s="489"/>
      <c r="X150" s="489"/>
      <c r="Y150" s="489"/>
      <c r="Z150" s="489"/>
      <c r="AA150" s="489"/>
      <c r="AB150" s="489"/>
      <c r="AC150" s="490">
        <v>0</v>
      </c>
      <c r="AD150" s="477">
        <v>45400</v>
      </c>
      <c r="AE150" s="489"/>
      <c r="AF150" s="489">
        <v>0</v>
      </c>
      <c r="AG150" s="489"/>
      <c r="AH150" s="489">
        <v>0</v>
      </c>
      <c r="AI150" s="489"/>
      <c r="AJ150" s="489">
        <v>0</v>
      </c>
      <c r="AK150" s="489"/>
      <c r="AL150" s="490">
        <v>45400</v>
      </c>
      <c r="AM150" s="477">
        <v>13751</v>
      </c>
      <c r="AN150" s="489"/>
      <c r="AO150" s="489"/>
      <c r="AP150" s="489"/>
      <c r="AQ150" s="489"/>
      <c r="AR150" s="489"/>
      <c r="AS150" s="489"/>
      <c r="AT150" s="489"/>
      <c r="AU150" s="490">
        <v>13751</v>
      </c>
    </row>
    <row r="151" spans="1:48">
      <c r="A151" s="158" t="s">
        <v>1387</v>
      </c>
      <c r="B151" s="488" t="s">
        <v>449</v>
      </c>
      <c r="C151" s="477" cm="1">
        <f t="array" ref="C151">_xlfn.XLOOKUP(A151,'TB upload'!A:A,'TB upload'!C:C-'TB upload'!B:B,0,0)*-1</f>
        <v>0</v>
      </c>
      <c r="D151" s="489"/>
      <c r="E151" s="942" cm="1">
        <f t="array" ref="E151">_xlfn.XLOOKUP(A151,'TB upload'!A:A,'TB upload'!E:E-'TB upload'!D:D,0,0)*-1</f>
        <v>0</v>
      </c>
      <c r="F151" s="489"/>
      <c r="G151" s="477" cm="1">
        <f t="array" ref="G151">_xlfn.XLOOKUP(A151,'TB upload'!A:A,'TB upload'!G:G-'TB upload'!F:F,0,0)*-1</f>
        <v>0</v>
      </c>
      <c r="H151" s="489"/>
      <c r="I151" s="477" cm="1">
        <f t="array" ref="I151">_xlfn.XLOOKUP(A151,'TB upload'!A:A,'TB upload'!I:I-'TB upload'!H:H,0,0)*-1</f>
        <v>0</v>
      </c>
      <c r="J151" s="489"/>
      <c r="K151" s="490">
        <f t="shared" si="35"/>
        <v>0</v>
      </c>
      <c r="L151" s="311">
        <v>0</v>
      </c>
      <c r="M151" s="311"/>
      <c r="N151" s="311">
        <v>0</v>
      </c>
      <c r="O151" s="311"/>
      <c r="P151" s="311">
        <v>0</v>
      </c>
      <c r="Q151" s="311"/>
      <c r="R151" s="311">
        <v>0</v>
      </c>
      <c r="S151" s="311"/>
      <c r="T151" s="311">
        <v>0</v>
      </c>
      <c r="U151" s="477">
        <v>0</v>
      </c>
      <c r="V151" s="489"/>
      <c r="W151" s="489"/>
      <c r="X151" s="489"/>
      <c r="Y151" s="489"/>
      <c r="Z151" s="489"/>
      <c r="AA151" s="489"/>
      <c r="AB151" s="489"/>
      <c r="AC151" s="490">
        <v>0</v>
      </c>
      <c r="AD151" s="477">
        <v>83741.899999999994</v>
      </c>
      <c r="AE151" s="489"/>
      <c r="AF151" s="489">
        <v>0</v>
      </c>
      <c r="AG151" s="489"/>
      <c r="AH151" s="489">
        <v>0</v>
      </c>
      <c r="AI151" s="489"/>
      <c r="AJ151" s="489">
        <v>0</v>
      </c>
      <c r="AK151" s="489"/>
      <c r="AL151" s="490">
        <v>83741.899999999994</v>
      </c>
      <c r="AM151" s="477">
        <v>0</v>
      </c>
      <c r="AN151" s="489"/>
      <c r="AO151" s="489"/>
      <c r="AP151" s="489"/>
      <c r="AQ151" s="489"/>
      <c r="AR151" s="489"/>
      <c r="AS151" s="489"/>
      <c r="AT151" s="489"/>
      <c r="AU151" s="490">
        <v>0</v>
      </c>
    </row>
    <row r="152" spans="1:48" ht="15" thickBot="1">
      <c r="A152" s="158"/>
      <c r="B152" s="488"/>
      <c r="C152" s="477"/>
      <c r="D152" s="489"/>
      <c r="E152" s="489"/>
      <c r="F152" s="489"/>
      <c r="G152" s="489"/>
      <c r="H152" s="489"/>
      <c r="I152" s="489"/>
      <c r="J152" s="489"/>
      <c r="K152" s="490"/>
      <c r="L152" s="311"/>
      <c r="M152" s="311"/>
      <c r="N152" s="311"/>
      <c r="O152" s="311"/>
      <c r="P152" s="311"/>
      <c r="Q152" s="311"/>
      <c r="R152" s="311"/>
      <c r="S152" s="311"/>
      <c r="T152" s="311"/>
      <c r="U152" s="477"/>
      <c r="V152" s="489"/>
      <c r="W152" s="489"/>
      <c r="X152" s="489"/>
      <c r="Y152" s="489"/>
      <c r="Z152" s="489"/>
      <c r="AA152" s="489"/>
      <c r="AB152" s="489"/>
      <c r="AC152" s="490"/>
      <c r="AD152" s="477"/>
      <c r="AE152" s="489"/>
      <c r="AF152" s="489"/>
      <c r="AG152" s="489"/>
      <c r="AH152" s="489"/>
      <c r="AI152" s="489"/>
      <c r="AJ152" s="489"/>
      <c r="AK152" s="489"/>
      <c r="AL152" s="490"/>
      <c r="AM152" s="477"/>
      <c r="AN152" s="489"/>
      <c r="AO152" s="489"/>
      <c r="AP152" s="489"/>
      <c r="AQ152" s="489"/>
      <c r="AR152" s="489"/>
      <c r="AS152" s="489"/>
      <c r="AT152" s="489"/>
      <c r="AU152" s="490"/>
    </row>
    <row r="153" spans="1:48" ht="15.6" thickTop="1" thickBot="1">
      <c r="A153" s="492"/>
      <c r="B153" s="493" t="s">
        <v>51</v>
      </c>
      <c r="C153" s="911">
        <f>SUM(C149:C152)</f>
        <v>85750.71</v>
      </c>
      <c r="D153" s="495">
        <f t="shared" ref="D153:K153" si="36">SUM(D149:D152)</f>
        <v>0</v>
      </c>
      <c r="E153" s="495">
        <f t="shared" si="36"/>
        <v>0</v>
      </c>
      <c r="F153" s="495">
        <f t="shared" si="36"/>
        <v>0</v>
      </c>
      <c r="G153" s="495">
        <f t="shared" si="36"/>
        <v>0</v>
      </c>
      <c r="H153" s="495">
        <f t="shared" si="36"/>
        <v>0</v>
      </c>
      <c r="I153" s="495">
        <f t="shared" si="36"/>
        <v>0</v>
      </c>
      <c r="J153" s="495">
        <f t="shared" si="36"/>
        <v>0</v>
      </c>
      <c r="K153" s="496">
        <f t="shared" si="36"/>
        <v>85750.71</v>
      </c>
      <c r="L153" s="990">
        <v>85750.71</v>
      </c>
      <c r="M153" s="990">
        <v>0</v>
      </c>
      <c r="N153" s="990">
        <v>0</v>
      </c>
      <c r="O153" s="990">
        <v>0</v>
      </c>
      <c r="P153" s="990">
        <v>0</v>
      </c>
      <c r="Q153" s="990">
        <v>0</v>
      </c>
      <c r="R153" s="990">
        <v>0</v>
      </c>
      <c r="S153" s="990">
        <v>0</v>
      </c>
      <c r="T153" s="990">
        <v>85750.71</v>
      </c>
      <c r="U153" s="911">
        <v>85750.71</v>
      </c>
      <c r="V153" s="495">
        <v>0</v>
      </c>
      <c r="W153" s="495">
        <v>0</v>
      </c>
      <c r="X153" s="495">
        <v>0</v>
      </c>
      <c r="Y153" s="495">
        <v>0</v>
      </c>
      <c r="Z153" s="495">
        <v>0</v>
      </c>
      <c r="AA153" s="495">
        <v>0</v>
      </c>
      <c r="AB153" s="495">
        <v>0</v>
      </c>
      <c r="AC153" s="496">
        <v>85750.71</v>
      </c>
      <c r="AD153" s="494">
        <v>563377.9</v>
      </c>
      <c r="AE153" s="495">
        <v>0</v>
      </c>
      <c r="AF153" s="495">
        <v>0</v>
      </c>
      <c r="AG153" s="495">
        <v>0</v>
      </c>
      <c r="AH153" s="495">
        <v>0</v>
      </c>
      <c r="AI153" s="495">
        <v>0</v>
      </c>
      <c r="AJ153" s="495">
        <v>0</v>
      </c>
      <c r="AK153" s="495">
        <v>0</v>
      </c>
      <c r="AL153" s="496">
        <v>563377.9</v>
      </c>
      <c r="AM153" s="494">
        <v>227058.08</v>
      </c>
      <c r="AN153" s="495">
        <v>0</v>
      </c>
      <c r="AO153" s="495">
        <v>0</v>
      </c>
      <c r="AP153" s="495">
        <v>0</v>
      </c>
      <c r="AQ153" s="495">
        <v>0</v>
      </c>
      <c r="AR153" s="495">
        <v>0</v>
      </c>
      <c r="AS153" s="495">
        <v>0</v>
      </c>
      <c r="AT153" s="495">
        <v>0</v>
      </c>
      <c r="AU153" s="497">
        <v>227058.08</v>
      </c>
      <c r="AV153" s="491">
        <f>AL153-AU153</f>
        <v>336319.82000000007</v>
      </c>
    </row>
    <row r="154" spans="1:48" ht="15" thickTop="1">
      <c r="B154" s="499"/>
      <c r="C154" s="477"/>
      <c r="D154" s="489"/>
      <c r="E154" s="489"/>
      <c r="F154" s="489"/>
      <c r="G154" s="489"/>
      <c r="H154" s="489"/>
      <c r="I154" s="489"/>
      <c r="J154" s="489"/>
      <c r="K154" s="490"/>
      <c r="L154" s="311"/>
      <c r="M154" s="311"/>
      <c r="N154" s="311"/>
      <c r="O154" s="311"/>
      <c r="P154" s="311"/>
      <c r="Q154" s="311"/>
      <c r="R154" s="311"/>
      <c r="S154" s="311"/>
      <c r="T154" s="311"/>
      <c r="U154" s="477"/>
      <c r="V154" s="489"/>
      <c r="W154" s="489"/>
      <c r="X154" s="489"/>
      <c r="Y154" s="489"/>
      <c r="Z154" s="489"/>
      <c r="AA154" s="489"/>
      <c r="AB154" s="489"/>
      <c r="AC154" s="490"/>
      <c r="AD154" s="477"/>
      <c r="AE154" s="489"/>
      <c r="AF154" s="489"/>
      <c r="AG154" s="489"/>
      <c r="AH154" s="489"/>
      <c r="AI154" s="489"/>
      <c r="AJ154" s="489"/>
      <c r="AK154" s="489"/>
      <c r="AL154" s="490"/>
      <c r="AM154" s="477"/>
      <c r="AN154" s="489"/>
      <c r="AO154" s="489"/>
      <c r="AP154" s="489"/>
      <c r="AQ154" s="489"/>
      <c r="AR154" s="489"/>
      <c r="AS154" s="489"/>
      <c r="AT154" s="489"/>
      <c r="AU154" s="490"/>
      <c r="AV154" s="491"/>
    </row>
    <row r="155" spans="1:48">
      <c r="A155" s="498" t="s">
        <v>360</v>
      </c>
      <c r="B155" s="499"/>
      <c r="C155" s="477"/>
      <c r="D155" s="489"/>
      <c r="E155" s="489"/>
      <c r="F155" s="489"/>
      <c r="G155" s="489"/>
      <c r="H155" s="489"/>
      <c r="I155" s="489"/>
      <c r="J155" s="489"/>
      <c r="K155" s="490"/>
      <c r="L155" s="311"/>
      <c r="M155" s="311"/>
      <c r="N155" s="311"/>
      <c r="O155" s="311"/>
      <c r="P155" s="311"/>
      <c r="Q155" s="311"/>
      <c r="R155" s="311"/>
      <c r="S155" s="311"/>
      <c r="T155" s="311"/>
      <c r="U155" s="477"/>
      <c r="V155" s="489"/>
      <c r="W155" s="489"/>
      <c r="X155" s="489"/>
      <c r="Y155" s="489"/>
      <c r="Z155" s="489"/>
      <c r="AA155" s="489"/>
      <c r="AB155" s="489"/>
      <c r="AC155" s="490"/>
      <c r="AD155" s="477"/>
      <c r="AE155" s="489"/>
      <c r="AF155" s="489"/>
      <c r="AG155" s="489"/>
      <c r="AH155" s="489"/>
      <c r="AI155" s="489"/>
      <c r="AJ155" s="489"/>
      <c r="AK155" s="489"/>
      <c r="AL155" s="490"/>
      <c r="AM155" s="477"/>
      <c r="AN155" s="489"/>
      <c r="AO155" s="489"/>
      <c r="AP155" s="489"/>
      <c r="AQ155" s="489"/>
      <c r="AR155" s="489"/>
      <c r="AS155" s="489"/>
      <c r="AT155" s="489"/>
      <c r="AU155" s="490"/>
      <c r="AV155" s="491"/>
    </row>
    <row r="156" spans="1:48">
      <c r="A156" s="444" t="s">
        <v>993</v>
      </c>
      <c r="B156" s="499"/>
      <c r="C156" s="477"/>
      <c r="D156" s="489"/>
      <c r="E156" s="489"/>
      <c r="F156" s="489"/>
      <c r="G156" s="489"/>
      <c r="H156" s="489"/>
      <c r="I156" s="489"/>
      <c r="J156" s="489"/>
      <c r="K156" s="490"/>
      <c r="L156" s="311"/>
      <c r="M156" s="311"/>
      <c r="N156" s="311"/>
      <c r="O156" s="311"/>
      <c r="P156" s="311"/>
      <c r="Q156" s="311"/>
      <c r="R156" s="311"/>
      <c r="S156" s="311"/>
      <c r="T156" s="311"/>
      <c r="U156" s="477"/>
      <c r="V156" s="489"/>
      <c r="W156" s="489"/>
      <c r="X156" s="489"/>
      <c r="Y156" s="489"/>
      <c r="Z156" s="489"/>
      <c r="AA156" s="489"/>
      <c r="AB156" s="489"/>
      <c r="AC156" s="490"/>
      <c r="AD156" s="477"/>
      <c r="AE156" s="489"/>
      <c r="AF156" s="489"/>
      <c r="AG156" s="489"/>
      <c r="AH156" s="489"/>
      <c r="AI156" s="489"/>
      <c r="AJ156" s="489"/>
      <c r="AK156" s="489"/>
      <c r="AL156" s="490"/>
      <c r="AM156" s="477"/>
      <c r="AN156" s="489"/>
      <c r="AO156" s="489"/>
      <c r="AP156" s="489"/>
      <c r="AQ156" s="489"/>
      <c r="AR156" s="489"/>
      <c r="AS156" s="489"/>
      <c r="AT156" s="489"/>
      <c r="AU156" s="490"/>
      <c r="AV156" s="491"/>
    </row>
    <row r="157" spans="1:48">
      <c r="A157" s="444" t="s">
        <v>196</v>
      </c>
      <c r="B157" s="488" t="s">
        <v>449</v>
      </c>
      <c r="C157" s="477" cm="1">
        <f t="array" ref="C157">_xlfn.XLOOKUP(A157,'TB upload'!A:A,'TB upload'!C:C-'TB upload'!B:B,0,0)*-1</f>
        <v>410699.36</v>
      </c>
      <c r="D157" s="489"/>
      <c r="E157" s="942" cm="1">
        <f t="array" ref="E157">_xlfn.XLOOKUP(A157,'TB upload'!A:A,'TB upload'!E:E-'TB upload'!D:D,0,0)*-1</f>
        <v>0</v>
      </c>
      <c r="F157" s="489"/>
      <c r="G157" s="477" cm="1">
        <f t="array" ref="G157">_xlfn.XLOOKUP(A157,'TB upload'!A:A,'TB upload'!G:G-'TB upload'!F:F,0,0)*-1</f>
        <v>0</v>
      </c>
      <c r="H157" s="489"/>
      <c r="I157" s="477" cm="1">
        <f t="array" ref="I157">_xlfn.XLOOKUP(A157,'TB upload'!A:A,'TB upload'!I:I-'TB upload'!H:H,0,0)*-1</f>
        <v>0</v>
      </c>
      <c r="J157" s="489"/>
      <c r="K157" s="490">
        <f t="shared" ref="K157:K158" si="37">SUM(C157:J157)</f>
        <v>410699.36</v>
      </c>
      <c r="L157" s="311">
        <v>410699.36</v>
      </c>
      <c r="M157" s="311"/>
      <c r="N157" s="311">
        <v>0</v>
      </c>
      <c r="O157" s="311"/>
      <c r="P157" s="311">
        <v>0</v>
      </c>
      <c r="Q157" s="311"/>
      <c r="R157" s="311">
        <v>0</v>
      </c>
      <c r="S157" s="311"/>
      <c r="T157" s="311">
        <v>410699.36</v>
      </c>
      <c r="U157" s="649">
        <v>410699.36</v>
      </c>
      <c r="V157" s="489"/>
      <c r="W157" s="489"/>
      <c r="X157" s="489"/>
      <c r="Y157" s="489"/>
      <c r="Z157" s="489"/>
      <c r="AA157" s="489"/>
      <c r="AB157" s="489"/>
      <c r="AC157" s="490">
        <v>410699.36</v>
      </c>
      <c r="AD157" s="477">
        <v>297208</v>
      </c>
      <c r="AE157" s="489"/>
      <c r="AF157" s="489">
        <v>0</v>
      </c>
      <c r="AG157" s="489"/>
      <c r="AH157" s="489">
        <v>0</v>
      </c>
      <c r="AI157" s="489"/>
      <c r="AJ157" s="489">
        <v>0</v>
      </c>
      <c r="AK157" s="489"/>
      <c r="AL157" s="490">
        <v>297208</v>
      </c>
      <c r="AM157" s="477">
        <v>1891187</v>
      </c>
      <c r="AN157" s="489"/>
      <c r="AO157" s="489"/>
      <c r="AP157" s="489"/>
      <c r="AQ157" s="489"/>
      <c r="AR157" s="489"/>
      <c r="AS157" s="489"/>
      <c r="AT157" s="489"/>
      <c r="AU157" s="490">
        <v>1891187</v>
      </c>
      <c r="AV157" s="491"/>
    </row>
    <row r="158" spans="1:48">
      <c r="A158" s="444" t="s">
        <v>302</v>
      </c>
      <c r="B158" s="488" t="s">
        <v>449</v>
      </c>
      <c r="C158" s="477" cm="1">
        <f t="array" ref="C158">_xlfn.XLOOKUP(A158,'TB upload'!A:A,'TB upload'!C:C-'TB upload'!B:B,0,0)*-1</f>
        <v>12657.62</v>
      </c>
      <c r="D158" s="489"/>
      <c r="E158" s="942" cm="1">
        <f t="array" ref="E158">_xlfn.XLOOKUP(A158,'TB upload'!A:A,'TB upload'!E:E-'TB upload'!D:D,0,0)*-1</f>
        <v>0</v>
      </c>
      <c r="F158" s="489"/>
      <c r="G158" s="477" cm="1">
        <f t="array" ref="G158">_xlfn.XLOOKUP(A158,'TB upload'!A:A,'TB upload'!G:G-'TB upload'!F:F,0,0)*-1</f>
        <v>0</v>
      </c>
      <c r="H158" s="489"/>
      <c r="I158" s="477" cm="1">
        <f t="array" ref="I158">_xlfn.XLOOKUP(A158,'TB upload'!A:A,'TB upload'!I:I-'TB upload'!H:H,0,0)*-1</f>
        <v>0</v>
      </c>
      <c r="J158" s="489"/>
      <c r="K158" s="490">
        <f t="shared" si="37"/>
        <v>12657.62</v>
      </c>
      <c r="L158" s="311">
        <v>12657.62</v>
      </c>
      <c r="M158" s="311"/>
      <c r="N158" s="311">
        <v>0</v>
      </c>
      <c r="O158" s="311"/>
      <c r="P158" s="311">
        <v>0</v>
      </c>
      <c r="Q158" s="311"/>
      <c r="R158" s="311">
        <v>0</v>
      </c>
      <c r="S158" s="311"/>
      <c r="T158" s="311">
        <v>12657.62</v>
      </c>
      <c r="U158" s="649">
        <v>12657.62</v>
      </c>
      <c r="V158" s="489"/>
      <c r="W158" s="489"/>
      <c r="X158" s="489"/>
      <c r="Y158" s="489"/>
      <c r="Z158" s="489"/>
      <c r="AA158" s="489"/>
      <c r="AB158" s="489"/>
      <c r="AC158" s="490">
        <v>12657.62</v>
      </c>
      <c r="AD158" s="477">
        <v>0</v>
      </c>
      <c r="AE158" s="489"/>
      <c r="AF158" s="489">
        <v>0</v>
      </c>
      <c r="AG158" s="489"/>
      <c r="AH158" s="489">
        <v>0</v>
      </c>
      <c r="AI158" s="489"/>
      <c r="AJ158" s="489">
        <v>0</v>
      </c>
      <c r="AK158" s="489"/>
      <c r="AL158" s="490">
        <v>0</v>
      </c>
      <c r="AM158" s="477">
        <v>30024.63</v>
      </c>
      <c r="AN158" s="489">
        <v>-24151</v>
      </c>
      <c r="AO158" s="489"/>
      <c r="AP158" s="489"/>
      <c r="AQ158" s="489"/>
      <c r="AR158" s="489"/>
      <c r="AS158" s="489"/>
      <c r="AT158" s="489"/>
      <c r="AU158" s="490">
        <v>5873.630000000001</v>
      </c>
      <c r="AV158" s="491"/>
    </row>
    <row r="159" spans="1:48" ht="15" thickBot="1">
      <c r="B159" s="499"/>
      <c r="C159" s="477"/>
      <c r="D159" s="489"/>
      <c r="E159" s="489"/>
      <c r="F159" s="489"/>
      <c r="G159" s="489"/>
      <c r="H159" s="489"/>
      <c r="I159" s="489"/>
      <c r="J159" s="489"/>
      <c r="K159" s="490"/>
      <c r="L159" s="311"/>
      <c r="M159" s="311"/>
      <c r="N159" s="311"/>
      <c r="O159" s="311"/>
      <c r="P159" s="311"/>
      <c r="Q159" s="311"/>
      <c r="R159" s="311"/>
      <c r="S159" s="311"/>
      <c r="T159" s="311"/>
      <c r="U159" s="477"/>
      <c r="V159" s="489"/>
      <c r="W159" s="489"/>
      <c r="X159" s="489"/>
      <c r="Y159" s="489"/>
      <c r="Z159" s="489"/>
      <c r="AA159" s="489"/>
      <c r="AB159" s="489"/>
      <c r="AC159" s="490"/>
      <c r="AD159" s="477"/>
      <c r="AE159" s="489"/>
      <c r="AF159" s="489"/>
      <c r="AG159" s="489"/>
      <c r="AH159" s="489"/>
      <c r="AI159" s="489"/>
      <c r="AJ159" s="489"/>
      <c r="AK159" s="489"/>
      <c r="AL159" s="490"/>
      <c r="AM159" s="477"/>
      <c r="AN159" s="489"/>
      <c r="AO159" s="489"/>
      <c r="AP159" s="489"/>
      <c r="AQ159" s="489"/>
      <c r="AR159" s="489"/>
      <c r="AS159" s="489"/>
      <c r="AT159" s="489"/>
      <c r="AU159" s="490"/>
      <c r="AV159" s="491"/>
    </row>
    <row r="160" spans="1:48" ht="15.6" thickTop="1" thickBot="1">
      <c r="A160" s="492"/>
      <c r="B160" s="493" t="s">
        <v>51</v>
      </c>
      <c r="C160" s="911">
        <f>SUM(C156:C159)</f>
        <v>423356.98</v>
      </c>
      <c r="D160" s="495">
        <f t="shared" ref="D160:K160" si="38">SUM(D156:D159)</f>
        <v>0</v>
      </c>
      <c r="E160" s="495">
        <f t="shared" si="38"/>
        <v>0</v>
      </c>
      <c r="F160" s="495">
        <f t="shared" si="38"/>
        <v>0</v>
      </c>
      <c r="G160" s="495">
        <f t="shared" si="38"/>
        <v>0</v>
      </c>
      <c r="H160" s="495">
        <f t="shared" si="38"/>
        <v>0</v>
      </c>
      <c r="I160" s="495">
        <f t="shared" si="38"/>
        <v>0</v>
      </c>
      <c r="J160" s="495">
        <f t="shared" si="38"/>
        <v>0</v>
      </c>
      <c r="K160" s="497">
        <f t="shared" si="38"/>
        <v>423356.98</v>
      </c>
      <c r="L160" s="991">
        <v>423356.98</v>
      </c>
      <c r="M160" s="991">
        <v>0</v>
      </c>
      <c r="N160" s="991">
        <v>0</v>
      </c>
      <c r="O160" s="991">
        <v>0</v>
      </c>
      <c r="P160" s="991">
        <v>0</v>
      </c>
      <c r="Q160" s="991">
        <v>0</v>
      </c>
      <c r="R160" s="991">
        <v>0</v>
      </c>
      <c r="S160" s="991">
        <v>0</v>
      </c>
      <c r="T160" s="991">
        <v>423356.98</v>
      </c>
      <c r="U160" s="911">
        <v>423356.98</v>
      </c>
      <c r="V160" s="495">
        <v>0</v>
      </c>
      <c r="W160" s="495">
        <v>0</v>
      </c>
      <c r="X160" s="495">
        <v>0</v>
      </c>
      <c r="Y160" s="495">
        <v>0</v>
      </c>
      <c r="Z160" s="495">
        <v>0</v>
      </c>
      <c r="AA160" s="495">
        <v>0</v>
      </c>
      <c r="AB160" s="495">
        <v>0</v>
      </c>
      <c r="AC160" s="497">
        <v>423356.98</v>
      </c>
      <c r="AD160" s="494">
        <v>297208</v>
      </c>
      <c r="AE160" s="495">
        <v>0</v>
      </c>
      <c r="AF160" s="495">
        <v>0</v>
      </c>
      <c r="AG160" s="495">
        <v>0</v>
      </c>
      <c r="AH160" s="495">
        <v>0</v>
      </c>
      <c r="AI160" s="495">
        <v>0</v>
      </c>
      <c r="AJ160" s="495">
        <v>0</v>
      </c>
      <c r="AK160" s="495">
        <v>0</v>
      </c>
      <c r="AL160" s="497">
        <v>297208</v>
      </c>
      <c r="AM160" s="494">
        <v>1921211.63</v>
      </c>
      <c r="AN160" s="495">
        <v>-24151</v>
      </c>
      <c r="AO160" s="495">
        <v>0</v>
      </c>
      <c r="AP160" s="495">
        <v>0</v>
      </c>
      <c r="AQ160" s="495">
        <v>0</v>
      </c>
      <c r="AR160" s="495">
        <v>0</v>
      </c>
      <c r="AS160" s="495">
        <v>0</v>
      </c>
      <c r="AT160" s="495">
        <v>0</v>
      </c>
      <c r="AU160" s="497">
        <v>1897060.63</v>
      </c>
      <c r="AV160" s="491">
        <f>AL160-AU160</f>
        <v>-1599852.63</v>
      </c>
    </row>
    <row r="161" spans="1:48" ht="15" thickTop="1">
      <c r="A161" s="155" t="s">
        <v>1141</v>
      </c>
      <c r="B161" s="488"/>
      <c r="C161" s="477"/>
      <c r="D161" s="489"/>
      <c r="E161" s="489"/>
      <c r="F161" s="489"/>
      <c r="G161" s="489"/>
      <c r="H161" s="489"/>
      <c r="I161" s="489"/>
      <c r="J161" s="489"/>
      <c r="K161" s="490"/>
      <c r="L161" s="311"/>
      <c r="M161" s="311"/>
      <c r="N161" s="311"/>
      <c r="O161" s="311"/>
      <c r="P161" s="311"/>
      <c r="Q161" s="311"/>
      <c r="R161" s="311"/>
      <c r="S161" s="311"/>
      <c r="T161" s="311"/>
      <c r="U161" s="477"/>
      <c r="V161" s="489"/>
      <c r="W161" s="489"/>
      <c r="X161" s="489"/>
      <c r="Y161" s="489"/>
      <c r="Z161" s="489"/>
      <c r="AA161" s="489"/>
      <c r="AB161" s="489"/>
      <c r="AC161" s="490"/>
      <c r="AD161" s="477"/>
      <c r="AE161" s="489"/>
      <c r="AF161" s="489"/>
      <c r="AG161" s="489"/>
      <c r="AH161" s="489"/>
      <c r="AI161" s="489"/>
      <c r="AJ161" s="489"/>
      <c r="AK161" s="489"/>
      <c r="AL161" s="490"/>
      <c r="AM161" s="477"/>
      <c r="AN161" s="489"/>
      <c r="AO161" s="489"/>
      <c r="AP161" s="489"/>
      <c r="AQ161" s="489"/>
      <c r="AR161" s="489"/>
      <c r="AS161" s="489"/>
      <c r="AT161" s="489"/>
      <c r="AU161" s="490"/>
    </row>
    <row r="162" spans="1:48">
      <c r="A162" s="444" t="s">
        <v>195</v>
      </c>
      <c r="B162" s="488" t="s">
        <v>449</v>
      </c>
      <c r="C162" s="477" cm="1">
        <f t="array" ref="C162">_xlfn.XLOOKUP(A162,'TB upload'!A:A,'TB upload'!C:C-'TB upload'!B:B,0,0)*-1</f>
        <v>0</v>
      </c>
      <c r="D162" s="489"/>
      <c r="E162" s="942" cm="1">
        <f t="array" ref="E162">_xlfn.XLOOKUP(A162,'TB upload'!A:A,'TB upload'!E:E-'TB upload'!D:D,0,0)*-1</f>
        <v>0</v>
      </c>
      <c r="F162" s="489"/>
      <c r="G162" s="477" cm="1">
        <f t="array" ref="G162">_xlfn.XLOOKUP(A162,'TB upload'!A:A,'TB upload'!G:G-'TB upload'!F:F,0,0)*-1</f>
        <v>0</v>
      </c>
      <c r="H162" s="489"/>
      <c r="I162" s="477" cm="1">
        <f t="array" ref="I162">_xlfn.XLOOKUP(A162,'TB upload'!A:A,'TB upload'!I:I-'TB upload'!H:H,0,0)*-1</f>
        <v>0</v>
      </c>
      <c r="J162" s="489"/>
      <c r="K162" s="490">
        <f>SUM(C162:J162)</f>
        <v>0</v>
      </c>
      <c r="L162" s="311">
        <v>0</v>
      </c>
      <c r="M162" s="311"/>
      <c r="N162" s="311">
        <v>0</v>
      </c>
      <c r="O162" s="311"/>
      <c r="P162" s="311">
        <v>0</v>
      </c>
      <c r="Q162" s="311"/>
      <c r="R162" s="311">
        <v>0</v>
      </c>
      <c r="S162" s="311"/>
      <c r="T162" s="311">
        <v>0</v>
      </c>
      <c r="U162" s="477">
        <v>0</v>
      </c>
      <c r="V162" s="489"/>
      <c r="W162" s="489"/>
      <c r="X162" s="489"/>
      <c r="Y162" s="489"/>
      <c r="Z162" s="489"/>
      <c r="AA162" s="489"/>
      <c r="AB162" s="489"/>
      <c r="AC162" s="490">
        <v>0</v>
      </c>
      <c r="AD162" s="477">
        <v>0</v>
      </c>
      <c r="AE162" s="489"/>
      <c r="AF162" s="489">
        <v>0</v>
      </c>
      <c r="AG162" s="489"/>
      <c r="AH162" s="489">
        <v>0</v>
      </c>
      <c r="AI162" s="489"/>
      <c r="AJ162" s="489">
        <v>0</v>
      </c>
      <c r="AK162" s="489"/>
      <c r="AL162" s="490">
        <v>0</v>
      </c>
      <c r="AM162" s="477">
        <v>1013333</v>
      </c>
      <c r="AN162" s="489"/>
      <c r="AO162" s="489"/>
      <c r="AP162" s="489"/>
      <c r="AQ162" s="489"/>
      <c r="AR162" s="489"/>
      <c r="AS162" s="489"/>
      <c r="AT162" s="489"/>
      <c r="AU162" s="490">
        <v>1013333</v>
      </c>
      <c r="AV162" s="491"/>
    </row>
    <row r="163" spans="1:48" ht="15" thickBot="1">
      <c r="B163" s="499"/>
      <c r="C163" s="477"/>
      <c r="D163" s="489"/>
      <c r="E163" s="489"/>
      <c r="F163" s="489"/>
      <c r="G163" s="489"/>
      <c r="H163" s="489"/>
      <c r="I163" s="489"/>
      <c r="J163" s="489"/>
      <c r="K163" s="490"/>
      <c r="L163" s="311"/>
      <c r="M163" s="311"/>
      <c r="N163" s="311"/>
      <c r="O163" s="311"/>
      <c r="P163" s="311"/>
      <c r="Q163" s="311"/>
      <c r="R163" s="311"/>
      <c r="S163" s="311"/>
      <c r="T163" s="311"/>
      <c r="U163" s="477"/>
      <c r="V163" s="489"/>
      <c r="W163" s="489"/>
      <c r="X163" s="489"/>
      <c r="Y163" s="489"/>
      <c r="Z163" s="489"/>
      <c r="AA163" s="489"/>
      <c r="AB163" s="489"/>
      <c r="AC163" s="490"/>
      <c r="AD163" s="477"/>
      <c r="AE163" s="489"/>
      <c r="AF163" s="489"/>
      <c r="AG163" s="489"/>
      <c r="AH163" s="489"/>
      <c r="AI163" s="489"/>
      <c r="AJ163" s="489"/>
      <c r="AK163" s="489"/>
      <c r="AL163" s="490"/>
      <c r="AM163" s="477"/>
      <c r="AN163" s="489"/>
      <c r="AO163" s="489"/>
      <c r="AP163" s="489"/>
      <c r="AQ163" s="489"/>
      <c r="AR163" s="489"/>
      <c r="AS163" s="489"/>
      <c r="AT163" s="489"/>
      <c r="AU163" s="490"/>
      <c r="AV163" s="491"/>
    </row>
    <row r="164" spans="1:48" ht="15.6" thickTop="1" thickBot="1">
      <c r="A164" s="492"/>
      <c r="B164" s="493" t="s">
        <v>51</v>
      </c>
      <c r="C164" s="494">
        <f>SUM(C161:C163)</f>
        <v>0</v>
      </c>
      <c r="D164" s="495">
        <f t="shared" ref="D164:K164" si="39">SUM(D161:D163)</f>
        <v>0</v>
      </c>
      <c r="E164" s="495">
        <f t="shared" si="39"/>
        <v>0</v>
      </c>
      <c r="F164" s="495">
        <f t="shared" si="39"/>
        <v>0</v>
      </c>
      <c r="G164" s="495">
        <f t="shared" si="39"/>
        <v>0</v>
      </c>
      <c r="H164" s="495">
        <f t="shared" si="39"/>
        <v>0</v>
      </c>
      <c r="I164" s="495">
        <f t="shared" si="39"/>
        <v>0</v>
      </c>
      <c r="J164" s="495">
        <f t="shared" si="39"/>
        <v>0</v>
      </c>
      <c r="K164" s="497">
        <f t="shared" si="39"/>
        <v>0</v>
      </c>
      <c r="L164" s="991">
        <v>0</v>
      </c>
      <c r="M164" s="991">
        <v>0</v>
      </c>
      <c r="N164" s="991">
        <v>0</v>
      </c>
      <c r="O164" s="991">
        <v>0</v>
      </c>
      <c r="P164" s="991">
        <v>0</v>
      </c>
      <c r="Q164" s="991">
        <v>0</v>
      </c>
      <c r="R164" s="991">
        <v>0</v>
      </c>
      <c r="S164" s="991">
        <v>0</v>
      </c>
      <c r="T164" s="991">
        <v>0</v>
      </c>
      <c r="U164" s="494">
        <v>0</v>
      </c>
      <c r="V164" s="495">
        <v>0</v>
      </c>
      <c r="W164" s="495">
        <v>0</v>
      </c>
      <c r="X164" s="495">
        <v>0</v>
      </c>
      <c r="Y164" s="495">
        <v>0</v>
      </c>
      <c r="Z164" s="495">
        <v>0</v>
      </c>
      <c r="AA164" s="495">
        <v>0</v>
      </c>
      <c r="AB164" s="495">
        <v>0</v>
      </c>
      <c r="AC164" s="497">
        <v>0</v>
      </c>
      <c r="AD164" s="494">
        <v>0</v>
      </c>
      <c r="AE164" s="495">
        <v>0</v>
      </c>
      <c r="AF164" s="495">
        <v>0</v>
      </c>
      <c r="AG164" s="495">
        <v>0</v>
      </c>
      <c r="AH164" s="495">
        <v>0</v>
      </c>
      <c r="AI164" s="495">
        <v>0</v>
      </c>
      <c r="AJ164" s="495">
        <v>0</v>
      </c>
      <c r="AK164" s="495">
        <v>0</v>
      </c>
      <c r="AL164" s="497">
        <v>0</v>
      </c>
      <c r="AM164" s="494">
        <v>1013333</v>
      </c>
      <c r="AN164" s="495">
        <v>0</v>
      </c>
      <c r="AO164" s="495">
        <v>0</v>
      </c>
      <c r="AP164" s="495">
        <v>0</v>
      </c>
      <c r="AQ164" s="495">
        <v>0</v>
      </c>
      <c r="AR164" s="495">
        <v>0</v>
      </c>
      <c r="AS164" s="495">
        <v>0</v>
      </c>
      <c r="AT164" s="495">
        <v>0</v>
      </c>
      <c r="AU164" s="497">
        <v>1013333</v>
      </c>
      <c r="AV164" s="491">
        <f>AL164-AU164</f>
        <v>-1013333</v>
      </c>
    </row>
    <row r="165" spans="1:48" ht="15" thickTop="1">
      <c r="A165" s="158"/>
      <c r="B165" s="488"/>
      <c r="C165" s="477"/>
      <c r="D165" s="489"/>
      <c r="E165" s="489"/>
      <c r="F165" s="489"/>
      <c r="G165" s="489"/>
      <c r="H165" s="489"/>
      <c r="I165" s="489"/>
      <c r="J165" s="489"/>
      <c r="K165" s="490"/>
      <c r="L165" s="311"/>
      <c r="M165" s="311"/>
      <c r="N165" s="311"/>
      <c r="O165" s="311"/>
      <c r="P165" s="311"/>
      <c r="Q165" s="311"/>
      <c r="R165" s="311"/>
      <c r="S165" s="311"/>
      <c r="T165" s="311"/>
      <c r="U165" s="477"/>
      <c r="V165" s="489"/>
      <c r="W165" s="489"/>
      <c r="X165" s="489"/>
      <c r="Y165" s="489"/>
      <c r="Z165" s="489"/>
      <c r="AA165" s="489"/>
      <c r="AB165" s="489"/>
      <c r="AC165" s="490"/>
      <c r="AD165" s="477"/>
      <c r="AE165" s="489"/>
      <c r="AF165" s="489"/>
      <c r="AG165" s="489"/>
      <c r="AH165" s="489"/>
      <c r="AI165" s="489"/>
      <c r="AJ165" s="489"/>
      <c r="AK165" s="489"/>
      <c r="AL165" s="490"/>
      <c r="AM165" s="477"/>
      <c r="AN165" s="489"/>
      <c r="AO165" s="489"/>
      <c r="AP165" s="489"/>
      <c r="AQ165" s="489"/>
      <c r="AR165" s="489"/>
      <c r="AS165" s="489"/>
      <c r="AT165" s="489"/>
      <c r="AU165" s="490"/>
    </row>
    <row r="166" spans="1:48">
      <c r="A166" s="155" t="s">
        <v>992</v>
      </c>
      <c r="B166" s="488"/>
      <c r="C166" s="477"/>
      <c r="D166" s="489"/>
      <c r="E166" s="489"/>
      <c r="F166" s="489"/>
      <c r="G166" s="489"/>
      <c r="H166" s="489"/>
      <c r="I166" s="489"/>
      <c r="J166" s="489"/>
      <c r="K166" s="490"/>
      <c r="L166" s="311"/>
      <c r="M166" s="311"/>
      <c r="N166" s="311"/>
      <c r="O166" s="311"/>
      <c r="P166" s="311"/>
      <c r="Q166" s="311"/>
      <c r="R166" s="311"/>
      <c r="S166" s="311"/>
      <c r="T166" s="311"/>
      <c r="U166" s="477"/>
      <c r="V166" s="489"/>
      <c r="W166" s="489"/>
      <c r="X166" s="489"/>
      <c r="Y166" s="489"/>
      <c r="Z166" s="489"/>
      <c r="AA166" s="489"/>
      <c r="AB166" s="489"/>
      <c r="AC166" s="490"/>
      <c r="AD166" s="477"/>
      <c r="AE166" s="489"/>
      <c r="AF166" s="489"/>
      <c r="AG166" s="489"/>
      <c r="AH166" s="489"/>
      <c r="AI166" s="489"/>
      <c r="AJ166" s="489"/>
      <c r="AK166" s="489"/>
      <c r="AL166" s="490"/>
      <c r="AM166" s="477"/>
      <c r="AN166" s="489"/>
      <c r="AO166" s="489"/>
      <c r="AP166" s="489"/>
      <c r="AQ166" s="489"/>
      <c r="AR166" s="489"/>
      <c r="AS166" s="489"/>
      <c r="AT166" s="489"/>
      <c r="AU166" s="490"/>
    </row>
    <row r="167" spans="1:48" ht="28.8">
      <c r="A167" s="444" t="s">
        <v>991</v>
      </c>
      <c r="B167" s="488" t="s">
        <v>449</v>
      </c>
      <c r="C167" s="477" cm="1">
        <f t="array" ref="C167">_xlfn.XLOOKUP(A167,'TB upload'!A:A,'TB upload'!C:C-'TB upload'!B:B,0,0)*-1</f>
        <v>0</v>
      </c>
      <c r="D167" s="489">
        <v>1134938.5245901637</v>
      </c>
      <c r="E167" s="942" cm="1">
        <f t="array" ref="E167">_xlfn.XLOOKUP(A167,'TB upload'!A:A,'TB upload'!E:E-'TB upload'!D:D,0,0)*-1</f>
        <v>0</v>
      </c>
      <c r="F167" s="489"/>
      <c r="G167" s="477" cm="1">
        <f t="array" ref="G167">_xlfn.XLOOKUP(A167,'TB upload'!A:A,'TB upload'!G:G-'TB upload'!F:F,0,0)*-1</f>
        <v>0</v>
      </c>
      <c r="H167" s="489"/>
      <c r="I167" s="477" cm="1">
        <f t="array" ref="I167">_xlfn.XLOOKUP(A167,'TB upload'!A:A,'TB upload'!I:I-'TB upload'!H:H,0,0)*-1</f>
        <v>0</v>
      </c>
      <c r="J167" s="489"/>
      <c r="K167" s="490">
        <f>SUM(C167:J167)</f>
        <v>1134938.5245901637</v>
      </c>
      <c r="L167" s="311">
        <v>0</v>
      </c>
      <c r="M167" s="311"/>
      <c r="N167" s="311">
        <v>0</v>
      </c>
      <c r="O167" s="311"/>
      <c r="P167" s="311">
        <v>0</v>
      </c>
      <c r="Q167" s="311"/>
      <c r="R167" s="311">
        <v>0</v>
      </c>
      <c r="S167" s="311"/>
      <c r="T167" s="311">
        <v>0</v>
      </c>
      <c r="U167" s="477">
        <v>0</v>
      </c>
      <c r="V167" s="489"/>
      <c r="W167" s="489"/>
      <c r="X167" s="489"/>
      <c r="Y167" s="489"/>
      <c r="Z167" s="489"/>
      <c r="AA167" s="489"/>
      <c r="AB167" s="489"/>
      <c r="AC167" s="490">
        <v>0</v>
      </c>
      <c r="AD167" s="477">
        <v>0</v>
      </c>
      <c r="AE167" s="489"/>
      <c r="AF167" s="489">
        <v>0</v>
      </c>
      <c r="AG167" s="489"/>
      <c r="AH167" s="489">
        <v>0</v>
      </c>
      <c r="AI167" s="489"/>
      <c r="AJ167" s="489">
        <v>0</v>
      </c>
      <c r="AK167" s="489"/>
      <c r="AL167" s="490">
        <v>0</v>
      </c>
      <c r="AM167" s="477">
        <v>787106</v>
      </c>
      <c r="AN167" s="489"/>
      <c r="AO167" s="489"/>
      <c r="AP167" s="489"/>
      <c r="AQ167" s="489"/>
      <c r="AR167" s="489"/>
      <c r="AS167" s="489"/>
      <c r="AT167" s="489"/>
      <c r="AU167" s="490">
        <v>787106</v>
      </c>
      <c r="AV167" s="491"/>
    </row>
    <row r="168" spans="1:48" ht="15" thickBot="1">
      <c r="B168" s="499"/>
      <c r="C168" s="477"/>
      <c r="D168" s="489"/>
      <c r="E168" s="489"/>
      <c r="F168" s="489"/>
      <c r="G168" s="489"/>
      <c r="H168" s="489"/>
      <c r="I168" s="489"/>
      <c r="J168" s="489"/>
      <c r="K168" s="490"/>
      <c r="L168" s="311"/>
      <c r="M168" s="311"/>
      <c r="N168" s="311"/>
      <c r="O168" s="311"/>
      <c r="P168" s="311"/>
      <c r="Q168" s="311"/>
      <c r="R168" s="311"/>
      <c r="S168" s="311"/>
      <c r="T168" s="311"/>
      <c r="U168" s="477"/>
      <c r="V168" s="489"/>
      <c r="W168" s="489"/>
      <c r="X168" s="489"/>
      <c r="Y168" s="489"/>
      <c r="Z168" s="489"/>
      <c r="AA168" s="489"/>
      <c r="AB168" s="489"/>
      <c r="AC168" s="490"/>
      <c r="AD168" s="477"/>
      <c r="AE168" s="489"/>
      <c r="AF168" s="489"/>
      <c r="AG168" s="489"/>
      <c r="AH168" s="489"/>
      <c r="AI168" s="489"/>
      <c r="AJ168" s="489"/>
      <c r="AK168" s="489"/>
      <c r="AL168" s="490"/>
      <c r="AM168" s="477"/>
      <c r="AN168" s="489"/>
      <c r="AO168" s="489"/>
      <c r="AP168" s="489"/>
      <c r="AQ168" s="489"/>
      <c r="AR168" s="489"/>
      <c r="AS168" s="489"/>
      <c r="AT168" s="489"/>
      <c r="AU168" s="490"/>
      <c r="AV168" s="491"/>
    </row>
    <row r="169" spans="1:48" ht="15.6" thickTop="1" thickBot="1">
      <c r="A169" s="492"/>
      <c r="B169" s="493" t="s">
        <v>51</v>
      </c>
      <c r="C169" s="494">
        <f>SUM(C166:C168)</f>
        <v>0</v>
      </c>
      <c r="D169" s="495">
        <f t="shared" ref="D169:K169" si="40">SUM(D166:D168)</f>
        <v>1134938.5245901637</v>
      </c>
      <c r="E169" s="495">
        <f t="shared" si="40"/>
        <v>0</v>
      </c>
      <c r="F169" s="495">
        <f t="shared" si="40"/>
        <v>0</v>
      </c>
      <c r="G169" s="495">
        <f t="shared" si="40"/>
        <v>0</v>
      </c>
      <c r="H169" s="495">
        <f t="shared" si="40"/>
        <v>0</v>
      </c>
      <c r="I169" s="495">
        <f t="shared" si="40"/>
        <v>0</v>
      </c>
      <c r="J169" s="495">
        <f t="shared" si="40"/>
        <v>0</v>
      </c>
      <c r="K169" s="497">
        <f t="shared" si="40"/>
        <v>1134938.5245901637</v>
      </c>
      <c r="L169" s="991">
        <v>0</v>
      </c>
      <c r="M169" s="991">
        <v>0</v>
      </c>
      <c r="N169" s="991">
        <v>0</v>
      </c>
      <c r="O169" s="991">
        <v>0</v>
      </c>
      <c r="P169" s="991">
        <v>0</v>
      </c>
      <c r="Q169" s="991">
        <v>0</v>
      </c>
      <c r="R169" s="991">
        <v>0</v>
      </c>
      <c r="S169" s="991">
        <v>0</v>
      </c>
      <c r="T169" s="991">
        <v>0</v>
      </c>
      <c r="U169" s="494">
        <v>0</v>
      </c>
      <c r="V169" s="495">
        <v>0</v>
      </c>
      <c r="W169" s="495">
        <v>0</v>
      </c>
      <c r="X169" s="495">
        <v>0</v>
      </c>
      <c r="Y169" s="495">
        <v>0</v>
      </c>
      <c r="Z169" s="495">
        <v>0</v>
      </c>
      <c r="AA169" s="495">
        <v>0</v>
      </c>
      <c r="AB169" s="495">
        <v>0</v>
      </c>
      <c r="AC169" s="497">
        <v>0</v>
      </c>
      <c r="AD169" s="494">
        <v>0</v>
      </c>
      <c r="AE169" s="495">
        <v>0</v>
      </c>
      <c r="AF169" s="495">
        <v>0</v>
      </c>
      <c r="AG169" s="495">
        <v>0</v>
      </c>
      <c r="AH169" s="495">
        <v>0</v>
      </c>
      <c r="AI169" s="495">
        <v>0</v>
      </c>
      <c r="AJ169" s="495">
        <v>0</v>
      </c>
      <c r="AK169" s="495">
        <v>0</v>
      </c>
      <c r="AL169" s="497">
        <v>0</v>
      </c>
      <c r="AM169" s="494">
        <v>787106</v>
      </c>
      <c r="AN169" s="495">
        <v>0</v>
      </c>
      <c r="AO169" s="495">
        <v>0</v>
      </c>
      <c r="AP169" s="495">
        <v>0</v>
      </c>
      <c r="AQ169" s="495">
        <v>0</v>
      </c>
      <c r="AR169" s="495">
        <v>0</v>
      </c>
      <c r="AS169" s="495">
        <v>0</v>
      </c>
      <c r="AT169" s="495">
        <v>0</v>
      </c>
      <c r="AU169" s="497">
        <v>787106</v>
      </c>
      <c r="AV169" s="491">
        <f>AL169-AU169</f>
        <v>-787106</v>
      </c>
    </row>
    <row r="170" spans="1:48" ht="15" thickTop="1">
      <c r="A170" s="158"/>
      <c r="B170" s="488"/>
      <c r="C170" s="477"/>
      <c r="D170" s="489"/>
      <c r="E170" s="489"/>
      <c r="F170" s="489"/>
      <c r="G170" s="489"/>
      <c r="H170" s="489"/>
      <c r="I170" s="489"/>
      <c r="J170" s="489"/>
      <c r="K170" s="490"/>
      <c r="L170" s="311"/>
      <c r="M170" s="311"/>
      <c r="N170" s="311"/>
      <c r="O170" s="311"/>
      <c r="P170" s="311"/>
      <c r="Q170" s="311"/>
      <c r="R170" s="311"/>
      <c r="S170" s="311"/>
      <c r="T170" s="311"/>
      <c r="U170" s="477"/>
      <c r="V170" s="489"/>
      <c r="W170" s="489"/>
      <c r="X170" s="489"/>
      <c r="Y170" s="489"/>
      <c r="Z170" s="489"/>
      <c r="AA170" s="489"/>
      <c r="AB170" s="489"/>
      <c r="AC170" s="490"/>
      <c r="AD170" s="477"/>
      <c r="AE170" s="489"/>
      <c r="AF170" s="489"/>
      <c r="AG170" s="489"/>
      <c r="AH170" s="489"/>
      <c r="AI170" s="489"/>
      <c r="AJ170" s="489"/>
      <c r="AK170" s="489"/>
      <c r="AL170" s="490"/>
      <c r="AM170" s="477"/>
      <c r="AN170" s="489"/>
      <c r="AO170" s="489"/>
      <c r="AP170" s="489"/>
      <c r="AQ170" s="489"/>
      <c r="AR170" s="489"/>
      <c r="AS170" s="489"/>
      <c r="AT170" s="489"/>
      <c r="AU170" s="490"/>
    </row>
    <row r="171" spans="1:48">
      <c r="A171" s="155" t="s">
        <v>312</v>
      </c>
      <c r="B171" s="488"/>
      <c r="C171" s="477"/>
      <c r="D171" s="489"/>
      <c r="E171" s="489"/>
      <c r="F171" s="489"/>
      <c r="G171" s="489"/>
      <c r="H171" s="489"/>
      <c r="I171" s="489"/>
      <c r="J171" s="489"/>
      <c r="K171" s="490"/>
      <c r="L171" s="311"/>
      <c r="M171" s="311"/>
      <c r="N171" s="311"/>
      <c r="O171" s="311"/>
      <c r="P171" s="311"/>
      <c r="Q171" s="311"/>
      <c r="R171" s="311"/>
      <c r="S171" s="311"/>
      <c r="T171" s="311"/>
      <c r="U171" s="477"/>
      <c r="V171" s="489"/>
      <c r="W171" s="489"/>
      <c r="X171" s="489"/>
      <c r="Y171" s="489"/>
      <c r="Z171" s="489"/>
      <c r="AA171" s="489"/>
      <c r="AB171" s="489"/>
      <c r="AC171" s="490"/>
      <c r="AD171" s="477"/>
      <c r="AE171" s="489"/>
      <c r="AF171" s="489"/>
      <c r="AG171" s="489"/>
      <c r="AH171" s="489"/>
      <c r="AI171" s="489"/>
      <c r="AJ171" s="489"/>
      <c r="AK171" s="489"/>
      <c r="AL171" s="490"/>
      <c r="AM171" s="477"/>
      <c r="AN171" s="489"/>
      <c r="AO171" s="489"/>
      <c r="AP171" s="489"/>
      <c r="AQ171" s="489"/>
      <c r="AR171" s="489"/>
      <c r="AS171" s="489"/>
      <c r="AT171" s="489"/>
      <c r="AU171" s="490"/>
    </row>
    <row r="172" spans="1:48">
      <c r="A172" s="444" t="s">
        <v>1069</v>
      </c>
      <c r="B172" s="488" t="s">
        <v>449</v>
      </c>
      <c r="C172" s="477" cm="1">
        <f t="array" ref="C172">_xlfn.XLOOKUP(A172,'TB upload'!A:A,'TB upload'!C:C-'TB upload'!B:B,0,0)*-1</f>
        <v>0</v>
      </c>
      <c r="D172" s="489"/>
      <c r="E172" s="942" cm="1">
        <f t="array" ref="E172">_xlfn.XLOOKUP(A172,'TB upload'!A:A,'TB upload'!E:E-'TB upload'!D:D,0,0)*-1</f>
        <v>0</v>
      </c>
      <c r="F172" s="489"/>
      <c r="G172" s="477" cm="1">
        <f t="array" ref="G172">_xlfn.XLOOKUP(A172,'TB upload'!A:A,'TB upload'!G:G-'TB upload'!F:F,0,0)*-1</f>
        <v>0</v>
      </c>
      <c r="H172" s="489"/>
      <c r="I172" s="477" cm="1">
        <f t="array" ref="I172">_xlfn.XLOOKUP(A172,'TB upload'!A:A,'TB upload'!I:I-'TB upload'!H:H,0,0)*-1</f>
        <v>0</v>
      </c>
      <c r="J172" s="489"/>
      <c r="K172" s="490">
        <f t="shared" ref="K172:K179" si="41">SUM(C172:J172)</f>
        <v>0</v>
      </c>
      <c r="L172" s="311">
        <v>0</v>
      </c>
      <c r="M172" s="311"/>
      <c r="N172" s="311">
        <v>0</v>
      </c>
      <c r="O172" s="311"/>
      <c r="P172" s="311">
        <v>0</v>
      </c>
      <c r="Q172" s="311"/>
      <c r="R172" s="311">
        <v>0</v>
      </c>
      <c r="S172" s="311"/>
      <c r="T172" s="311">
        <v>0</v>
      </c>
      <c r="U172" s="477">
        <v>0</v>
      </c>
      <c r="V172" s="489"/>
      <c r="W172" s="489"/>
      <c r="X172" s="489"/>
      <c r="Y172" s="489"/>
      <c r="Z172" s="489"/>
      <c r="AA172" s="489"/>
      <c r="AB172" s="489"/>
      <c r="AC172" s="490">
        <v>0</v>
      </c>
      <c r="AD172" s="477">
        <v>56370.71</v>
      </c>
      <c r="AE172" s="489"/>
      <c r="AF172" s="489">
        <v>0</v>
      </c>
      <c r="AG172" s="489"/>
      <c r="AH172" s="489">
        <v>0</v>
      </c>
      <c r="AI172" s="489"/>
      <c r="AJ172" s="489">
        <v>0</v>
      </c>
      <c r="AK172" s="489">
        <v>-56370.71</v>
      </c>
      <c r="AL172" s="490">
        <v>0</v>
      </c>
      <c r="AM172" s="477">
        <v>244921.23</v>
      </c>
      <c r="AN172" s="489"/>
      <c r="AO172" s="489"/>
      <c r="AP172" s="489"/>
      <c r="AQ172" s="489"/>
      <c r="AR172" s="489"/>
      <c r="AS172" s="489"/>
      <c r="AT172" s="489"/>
      <c r="AU172" s="490">
        <v>244921.23</v>
      </c>
      <c r="AV172" s="491"/>
    </row>
    <row r="173" spans="1:48" ht="28.8">
      <c r="A173" s="444" t="s">
        <v>515</v>
      </c>
      <c r="B173" s="488" t="s">
        <v>449</v>
      </c>
      <c r="C173" s="477" cm="1">
        <f t="array" ref="C173">_xlfn.XLOOKUP(A173,'TB upload'!A:A,'TB upload'!C:C-'TB upload'!B:B,0,0)*-1</f>
        <v>24789</v>
      </c>
      <c r="D173" s="489"/>
      <c r="E173" s="942" cm="1">
        <f t="array" ref="E173">_xlfn.XLOOKUP(A173,'TB upload'!A:A,'TB upload'!E:E-'TB upload'!D:D,0,0)*-1</f>
        <v>0</v>
      </c>
      <c r="F173" s="489"/>
      <c r="G173" s="477" cm="1">
        <f t="array" ref="G173">_xlfn.XLOOKUP(A173,'TB upload'!A:A,'TB upload'!G:G-'TB upload'!F:F,0,0)*-1</f>
        <v>0</v>
      </c>
      <c r="H173" s="489"/>
      <c r="I173" s="477" cm="1">
        <f t="array" ref="I173">_xlfn.XLOOKUP(A173,'TB upload'!A:A,'TB upload'!I:I-'TB upload'!H:H,0,0)*-1</f>
        <v>0</v>
      </c>
      <c r="J173" s="489"/>
      <c r="K173" s="490">
        <f t="shared" si="41"/>
        <v>24789</v>
      </c>
      <c r="L173" s="311">
        <v>24789</v>
      </c>
      <c r="M173" s="311"/>
      <c r="N173" s="311">
        <v>0</v>
      </c>
      <c r="O173" s="311"/>
      <c r="P173" s="311">
        <v>0</v>
      </c>
      <c r="Q173" s="311"/>
      <c r="R173" s="311">
        <v>0</v>
      </c>
      <c r="S173" s="311"/>
      <c r="T173" s="311">
        <v>24789</v>
      </c>
      <c r="U173" s="649">
        <v>24789</v>
      </c>
      <c r="V173" s="489"/>
      <c r="W173" s="489"/>
      <c r="X173" s="489"/>
      <c r="Y173" s="489"/>
      <c r="Z173" s="489"/>
      <c r="AA173" s="489"/>
      <c r="AB173" s="489"/>
      <c r="AC173" s="490">
        <v>24789</v>
      </c>
      <c r="AD173" s="477">
        <v>24789.18</v>
      </c>
      <c r="AE173" s="489"/>
      <c r="AF173" s="489">
        <v>0</v>
      </c>
      <c r="AG173" s="489"/>
      <c r="AH173" s="489">
        <v>0</v>
      </c>
      <c r="AI173" s="489"/>
      <c r="AJ173" s="489">
        <v>0</v>
      </c>
      <c r="AK173" s="489">
        <v>-24789.18</v>
      </c>
      <c r="AL173" s="490">
        <v>0</v>
      </c>
      <c r="AM173" s="477">
        <v>21955.59</v>
      </c>
      <c r="AN173" s="489"/>
      <c r="AO173" s="489"/>
      <c r="AP173" s="489"/>
      <c r="AQ173" s="489"/>
      <c r="AR173" s="489"/>
      <c r="AS173" s="489"/>
      <c r="AT173" s="489"/>
      <c r="AU173" s="490">
        <v>21955.59</v>
      </c>
      <c r="AV173" s="491"/>
    </row>
    <row r="174" spans="1:48">
      <c r="A174" s="444" t="s">
        <v>516</v>
      </c>
      <c r="B174" s="488" t="s">
        <v>449</v>
      </c>
      <c r="C174" s="477" cm="1">
        <f t="array" ref="C174">_xlfn.XLOOKUP(A174,'TB upload'!A:A,'TB upload'!C:C-'TB upload'!B:B,0,0)*-1</f>
        <v>235.95</v>
      </c>
      <c r="D174" s="489"/>
      <c r="E174" s="942" cm="1">
        <f t="array" ref="E174">_xlfn.XLOOKUP(A174,'TB upload'!A:A,'TB upload'!E:E-'TB upload'!D:D,0,0)*-1</f>
        <v>0</v>
      </c>
      <c r="F174" s="489"/>
      <c r="G174" s="477" cm="1">
        <f t="array" ref="G174">_xlfn.XLOOKUP(A174,'TB upload'!A:A,'TB upload'!G:G-'TB upload'!F:F,0,0)*-1</f>
        <v>0</v>
      </c>
      <c r="H174" s="489"/>
      <c r="I174" s="477" cm="1">
        <f t="array" ref="I174">_xlfn.XLOOKUP(A174,'TB upload'!A:A,'TB upload'!I:I-'TB upload'!H:H,0,0)*-1</f>
        <v>0</v>
      </c>
      <c r="J174" s="489"/>
      <c r="K174" s="490">
        <f t="shared" si="41"/>
        <v>235.95</v>
      </c>
      <c r="L174" s="311">
        <v>235.95</v>
      </c>
      <c r="M174" s="311"/>
      <c r="N174" s="311">
        <v>0</v>
      </c>
      <c r="O174" s="311"/>
      <c r="P174" s="311">
        <v>0</v>
      </c>
      <c r="Q174" s="311"/>
      <c r="R174" s="311">
        <v>0</v>
      </c>
      <c r="S174" s="311"/>
      <c r="T174" s="311">
        <v>235.95</v>
      </c>
      <c r="U174" s="477">
        <v>0</v>
      </c>
      <c r="V174" s="489"/>
      <c r="W174" s="489"/>
      <c r="X174" s="489"/>
      <c r="Y174" s="489"/>
      <c r="Z174" s="489"/>
      <c r="AA174" s="489"/>
      <c r="AB174" s="489"/>
      <c r="AC174" s="490">
        <v>0</v>
      </c>
      <c r="AD174" s="477">
        <v>236119.33</v>
      </c>
      <c r="AE174" s="489"/>
      <c r="AF174" s="489">
        <v>0</v>
      </c>
      <c r="AG174" s="489"/>
      <c r="AH174" s="489">
        <v>0</v>
      </c>
      <c r="AI174" s="489"/>
      <c r="AJ174" s="489">
        <v>0</v>
      </c>
      <c r="AK174" s="489">
        <v>-236119.33</v>
      </c>
      <c r="AL174" s="490">
        <v>0</v>
      </c>
      <c r="AM174" s="477">
        <v>552364.93000000005</v>
      </c>
      <c r="AN174" s="489"/>
      <c r="AO174" s="489"/>
      <c r="AP174" s="489"/>
      <c r="AQ174" s="489"/>
      <c r="AR174" s="489"/>
      <c r="AS174" s="489"/>
      <c r="AT174" s="489"/>
      <c r="AU174" s="490">
        <v>552364.93000000005</v>
      </c>
      <c r="AV174" s="491"/>
    </row>
    <row r="175" spans="1:48">
      <c r="A175" s="444" t="s">
        <v>1156</v>
      </c>
      <c r="B175" s="488" t="s">
        <v>449</v>
      </c>
      <c r="C175" s="477" cm="1">
        <f t="array" ref="C175">_xlfn.XLOOKUP(A175,'TB upload'!A:A,'TB upload'!C:C-'TB upload'!B:B,0,0)*-1</f>
        <v>0</v>
      </c>
      <c r="D175" s="489"/>
      <c r="E175" s="942" cm="1">
        <f t="array" ref="E175">_xlfn.XLOOKUP(A175,'TB upload'!A:A,'TB upload'!E:E-'TB upload'!D:D,0,0)*-1</f>
        <v>0</v>
      </c>
      <c r="F175" s="489"/>
      <c r="G175" s="477" cm="1">
        <f t="array" ref="G175">_xlfn.XLOOKUP(A175,'TB upload'!A:A,'TB upload'!G:G-'TB upload'!F:F,0,0)*-1</f>
        <v>0</v>
      </c>
      <c r="H175" s="489"/>
      <c r="I175" s="477" cm="1">
        <f t="array" ref="I175">_xlfn.XLOOKUP(A175,'TB upload'!A:A,'TB upload'!I:I-'TB upload'!H:H,0,0)*-1</f>
        <v>0</v>
      </c>
      <c r="J175" s="489"/>
      <c r="K175" s="490">
        <f t="shared" si="41"/>
        <v>0</v>
      </c>
      <c r="L175" s="311">
        <v>0</v>
      </c>
      <c r="M175" s="311"/>
      <c r="N175" s="311">
        <v>0</v>
      </c>
      <c r="O175" s="311"/>
      <c r="P175" s="311">
        <v>0</v>
      </c>
      <c r="Q175" s="311"/>
      <c r="R175" s="311">
        <v>0</v>
      </c>
      <c r="S175" s="311"/>
      <c r="T175" s="311">
        <v>0</v>
      </c>
      <c r="U175" s="477">
        <v>0</v>
      </c>
      <c r="V175" s="489"/>
      <c r="W175" s="489"/>
      <c r="X175" s="489"/>
      <c r="Y175" s="489"/>
      <c r="Z175" s="489"/>
      <c r="AA175" s="489"/>
      <c r="AB175" s="489"/>
      <c r="AC175" s="490">
        <v>0</v>
      </c>
      <c r="AD175" s="477">
        <v>30420.05</v>
      </c>
      <c r="AE175" s="489"/>
      <c r="AF175" s="489">
        <v>0</v>
      </c>
      <c r="AG175" s="489"/>
      <c r="AH175" s="489">
        <v>0</v>
      </c>
      <c r="AI175" s="489"/>
      <c r="AJ175" s="489">
        <v>0</v>
      </c>
      <c r="AK175" s="489">
        <v>-30420.05</v>
      </c>
      <c r="AL175" s="490">
        <v>0</v>
      </c>
      <c r="AM175" s="477">
        <v>11800</v>
      </c>
      <c r="AN175" s="489"/>
      <c r="AO175" s="489"/>
      <c r="AP175" s="489"/>
      <c r="AQ175" s="489"/>
      <c r="AR175" s="489"/>
      <c r="AS175" s="489"/>
      <c r="AT175" s="489"/>
      <c r="AU175" s="490">
        <v>11800</v>
      </c>
      <c r="AV175" s="491"/>
    </row>
    <row r="176" spans="1:48">
      <c r="A176" s="444" t="s">
        <v>1196</v>
      </c>
      <c r="B176" s="488" t="s">
        <v>449</v>
      </c>
      <c r="C176" s="477" cm="1">
        <f t="array" ref="C176">_xlfn.XLOOKUP(A176,'TB upload'!A:A,'TB upload'!C:C-'TB upload'!B:B,0,0)*-1</f>
        <v>0</v>
      </c>
      <c r="D176" s="489"/>
      <c r="E176" s="942" cm="1">
        <f t="array" ref="E176">_xlfn.XLOOKUP(A176,'TB upload'!A:A,'TB upload'!E:E-'TB upload'!D:D,0,0)*-1</f>
        <v>0</v>
      </c>
      <c r="F176" s="489"/>
      <c r="G176" s="477" cm="1">
        <f t="array" ref="G176">_xlfn.XLOOKUP(A176,'TB upload'!A:A,'TB upload'!G:G-'TB upload'!F:F,0,0)*-1</f>
        <v>0</v>
      </c>
      <c r="H176" s="489"/>
      <c r="I176" s="477" cm="1">
        <f t="array" ref="I176">_xlfn.XLOOKUP(A176,'TB upload'!A:A,'TB upload'!I:I-'TB upload'!H:H,0,0)*-1</f>
        <v>0</v>
      </c>
      <c r="J176" s="489"/>
      <c r="K176" s="490">
        <f t="shared" si="41"/>
        <v>0</v>
      </c>
      <c r="L176" s="311">
        <v>0</v>
      </c>
      <c r="M176" s="311"/>
      <c r="N176" s="311">
        <v>0</v>
      </c>
      <c r="O176" s="311"/>
      <c r="P176" s="311">
        <v>0</v>
      </c>
      <c r="Q176" s="311"/>
      <c r="R176" s="311">
        <v>0</v>
      </c>
      <c r="S176" s="311"/>
      <c r="T176" s="311">
        <v>0</v>
      </c>
      <c r="U176" s="477">
        <v>0</v>
      </c>
      <c r="V176" s="489"/>
      <c r="W176" s="489"/>
      <c r="X176" s="489"/>
      <c r="Y176" s="489"/>
      <c r="Z176" s="489"/>
      <c r="AA176" s="489"/>
      <c r="AB176" s="489"/>
      <c r="AC176" s="490">
        <v>0</v>
      </c>
      <c r="AD176" s="477">
        <v>0</v>
      </c>
      <c r="AE176" s="489"/>
      <c r="AF176" s="489">
        <v>0</v>
      </c>
      <c r="AG176" s="489"/>
      <c r="AH176" s="489">
        <v>0</v>
      </c>
      <c r="AI176" s="489"/>
      <c r="AJ176" s="489">
        <v>0</v>
      </c>
      <c r="AK176" s="489"/>
      <c r="AL176" s="490">
        <v>0</v>
      </c>
      <c r="AM176" s="477"/>
      <c r="AN176" s="489"/>
      <c r="AO176" s="489"/>
      <c r="AP176" s="489"/>
      <c r="AQ176" s="489">
        <v>2423</v>
      </c>
      <c r="AR176" s="489"/>
      <c r="AS176" s="489"/>
      <c r="AT176" s="489"/>
      <c r="AU176" s="490">
        <v>2423</v>
      </c>
      <c r="AV176" s="491"/>
    </row>
    <row r="177" spans="1:48">
      <c r="A177" s="444" t="s">
        <v>197</v>
      </c>
      <c r="B177" s="488" t="s">
        <v>449</v>
      </c>
      <c r="C177" s="477" cm="1">
        <f t="array" ref="C177">_xlfn.XLOOKUP(A177,'TB upload'!A:A,'TB upload'!C:C-'TB upload'!B:B,0,0)*-1</f>
        <v>11651</v>
      </c>
      <c r="D177" s="489"/>
      <c r="E177" s="942" cm="1">
        <f t="array" ref="E177">_xlfn.XLOOKUP(A177,'TB upload'!A:A,'TB upload'!E:E-'TB upload'!D:D,0,0)*-1</f>
        <v>0</v>
      </c>
      <c r="F177" s="489"/>
      <c r="G177" s="477" cm="1">
        <f t="array" ref="G177">_xlfn.XLOOKUP(A177,'TB upload'!A:A,'TB upload'!G:G-'TB upload'!F:F,0,0)*-1</f>
        <v>0</v>
      </c>
      <c r="H177" s="489"/>
      <c r="I177" s="477" cm="1">
        <f t="array" ref="I177">_xlfn.XLOOKUP(A177,'TB upload'!A:A,'TB upload'!I:I-'TB upload'!H:H,0,0)*-1</f>
        <v>0</v>
      </c>
      <c r="J177" s="489"/>
      <c r="K177" s="490">
        <f t="shared" si="41"/>
        <v>11651</v>
      </c>
      <c r="L177" s="311">
        <v>11646</v>
      </c>
      <c r="M177" s="311"/>
      <c r="N177" s="311">
        <v>0</v>
      </c>
      <c r="O177" s="311"/>
      <c r="P177" s="311">
        <v>0</v>
      </c>
      <c r="Q177" s="311"/>
      <c r="R177" s="311">
        <v>0</v>
      </c>
      <c r="S177" s="311"/>
      <c r="T177" s="311">
        <v>11646</v>
      </c>
      <c r="U177" s="649">
        <v>9847</v>
      </c>
      <c r="V177" s="489"/>
      <c r="W177" s="489"/>
      <c r="X177" s="489"/>
      <c r="Y177" s="489"/>
      <c r="Z177" s="489"/>
      <c r="AA177" s="489"/>
      <c r="AB177" s="489"/>
      <c r="AC177" s="490">
        <v>9847</v>
      </c>
      <c r="AD177" s="477">
        <v>7126</v>
      </c>
      <c r="AE177" s="489"/>
      <c r="AF177" s="489">
        <v>0</v>
      </c>
      <c r="AG177" s="489"/>
      <c r="AH177" s="489">
        <v>0</v>
      </c>
      <c r="AI177" s="489"/>
      <c r="AJ177" s="489">
        <v>0</v>
      </c>
      <c r="AK177" s="489"/>
      <c r="AL177" s="490">
        <v>7126</v>
      </c>
      <c r="AM177" s="477">
        <v>43067</v>
      </c>
      <c r="AN177" s="489"/>
      <c r="AO177" s="489"/>
      <c r="AP177" s="489"/>
      <c r="AQ177" s="489">
        <v>235</v>
      </c>
      <c r="AR177" s="489"/>
      <c r="AS177" s="489"/>
      <c r="AT177" s="489"/>
      <c r="AU177" s="490">
        <v>43302</v>
      </c>
      <c r="AV177" s="491"/>
    </row>
    <row r="178" spans="1:48">
      <c r="A178" s="444" t="s">
        <v>1435</v>
      </c>
      <c r="B178" s="488" t="s">
        <v>1432</v>
      </c>
      <c r="C178" s="477"/>
      <c r="D178" s="489">
        <f>-D256</f>
        <v>0</v>
      </c>
      <c r="E178" s="489"/>
      <c r="F178" s="489"/>
      <c r="G178" s="489"/>
      <c r="H178" s="489"/>
      <c r="I178" s="489"/>
      <c r="J178" s="489"/>
      <c r="K178" s="490">
        <f t="shared" si="41"/>
        <v>0</v>
      </c>
      <c r="L178" s="311"/>
      <c r="M178" s="311"/>
      <c r="N178" s="311"/>
      <c r="O178" s="311"/>
      <c r="P178" s="311"/>
      <c r="Q178" s="311"/>
      <c r="R178" s="311"/>
      <c r="S178" s="311"/>
      <c r="T178" s="311">
        <v>0</v>
      </c>
      <c r="U178" s="477"/>
      <c r="V178" s="489"/>
      <c r="W178" s="489"/>
      <c r="X178" s="489"/>
      <c r="Y178" s="489"/>
      <c r="Z178" s="489"/>
      <c r="AA178" s="489"/>
      <c r="AB178" s="489"/>
      <c r="AC178" s="490">
        <v>0</v>
      </c>
      <c r="AD178" s="477"/>
      <c r="AE178" s="489">
        <v>90939</v>
      </c>
      <c r="AF178" s="489"/>
      <c r="AG178" s="489"/>
      <c r="AH178" s="489"/>
      <c r="AI178" s="489"/>
      <c r="AJ178" s="489"/>
      <c r="AK178" s="489"/>
      <c r="AL178" s="490">
        <v>90939</v>
      </c>
      <c r="AM178" s="477">
        <v>10962.509589041099</v>
      </c>
      <c r="AN178" s="489">
        <v>0</v>
      </c>
      <c r="AO178" s="489"/>
      <c r="AP178" s="489"/>
      <c r="AQ178" s="489"/>
      <c r="AR178" s="489"/>
      <c r="AS178" s="489"/>
      <c r="AT178" s="489"/>
      <c r="AU178" s="490">
        <v>10962.509589041099</v>
      </c>
      <c r="AV178" s="491"/>
    </row>
    <row r="179" spans="1:48" ht="15" thickBot="1">
      <c r="A179" s="444" t="s">
        <v>1434</v>
      </c>
      <c r="B179" s="488" t="s">
        <v>1432</v>
      </c>
      <c r="C179" s="477"/>
      <c r="D179" s="489"/>
      <c r="E179" s="489"/>
      <c r="F179" s="489"/>
      <c r="G179" s="489"/>
      <c r="H179" s="489">
        <f>-D179</f>
        <v>0</v>
      </c>
      <c r="I179" s="489"/>
      <c r="J179" s="489"/>
      <c r="K179" s="490">
        <f t="shared" si="41"/>
        <v>0</v>
      </c>
      <c r="L179" s="311"/>
      <c r="M179" s="311"/>
      <c r="N179" s="311"/>
      <c r="O179" s="311"/>
      <c r="P179" s="311"/>
      <c r="Q179" s="311">
        <v>0</v>
      </c>
      <c r="R179" s="311"/>
      <c r="S179" s="311"/>
      <c r="T179" s="311">
        <v>0</v>
      </c>
      <c r="U179" s="477"/>
      <c r="V179" s="489"/>
      <c r="W179" s="489"/>
      <c r="X179" s="489"/>
      <c r="Y179" s="489"/>
      <c r="Z179" s="489">
        <v>0</v>
      </c>
      <c r="AA179" s="489"/>
      <c r="AB179" s="489"/>
      <c r="AC179" s="490">
        <v>0</v>
      </c>
      <c r="AD179" s="477"/>
      <c r="AE179" s="489">
        <v>14412.333333333334</v>
      </c>
      <c r="AF179" s="489"/>
      <c r="AG179" s="489"/>
      <c r="AH179" s="489"/>
      <c r="AI179" s="489">
        <v>-14412.333333333334</v>
      </c>
      <c r="AJ179" s="489"/>
      <c r="AK179" s="489"/>
      <c r="AL179" s="490">
        <v>0</v>
      </c>
      <c r="AM179" s="477"/>
      <c r="AN179" s="489">
        <v>0</v>
      </c>
      <c r="AO179" s="489"/>
      <c r="AP179" s="489"/>
      <c r="AQ179" s="489"/>
      <c r="AR179" s="489"/>
      <c r="AS179" s="489"/>
      <c r="AT179" s="489"/>
      <c r="AU179" s="490">
        <v>0</v>
      </c>
      <c r="AV179" s="491"/>
    </row>
    <row r="180" spans="1:48" ht="15.6" thickTop="1" thickBot="1">
      <c r="A180" s="492"/>
      <c r="B180" s="493" t="s">
        <v>51</v>
      </c>
      <c r="C180" s="911">
        <f t="shared" ref="C180:K180" si="42">SUM(C171:C179)</f>
        <v>36675.949999999997</v>
      </c>
      <c r="D180" s="495">
        <f t="shared" si="42"/>
        <v>0</v>
      </c>
      <c r="E180" s="495">
        <f t="shared" si="42"/>
        <v>0</v>
      </c>
      <c r="F180" s="495">
        <f t="shared" si="42"/>
        <v>0</v>
      </c>
      <c r="G180" s="495">
        <f t="shared" si="42"/>
        <v>0</v>
      </c>
      <c r="H180" s="495">
        <f t="shared" si="42"/>
        <v>0</v>
      </c>
      <c r="I180" s="495">
        <f t="shared" si="42"/>
        <v>0</v>
      </c>
      <c r="J180" s="495">
        <f t="shared" si="42"/>
        <v>0</v>
      </c>
      <c r="K180" s="496">
        <f t="shared" si="42"/>
        <v>36675.949999999997</v>
      </c>
      <c r="L180" s="990">
        <v>36670.949999999997</v>
      </c>
      <c r="M180" s="990">
        <v>0</v>
      </c>
      <c r="N180" s="990">
        <v>0</v>
      </c>
      <c r="O180" s="990">
        <v>0</v>
      </c>
      <c r="P180" s="990">
        <v>0</v>
      </c>
      <c r="Q180" s="990">
        <v>0</v>
      </c>
      <c r="R180" s="990">
        <v>0</v>
      </c>
      <c r="S180" s="990">
        <v>0</v>
      </c>
      <c r="T180" s="990">
        <v>36670.949999999997</v>
      </c>
      <c r="U180" s="911">
        <v>34636</v>
      </c>
      <c r="V180" s="495">
        <v>0</v>
      </c>
      <c r="W180" s="495">
        <v>0</v>
      </c>
      <c r="X180" s="495">
        <v>0</v>
      </c>
      <c r="Y180" s="495">
        <v>0</v>
      </c>
      <c r="Z180" s="495">
        <v>0</v>
      </c>
      <c r="AA180" s="495">
        <v>0</v>
      </c>
      <c r="AB180" s="495">
        <v>0</v>
      </c>
      <c r="AC180" s="496">
        <v>34636</v>
      </c>
      <c r="AD180" s="494">
        <v>354825.26999999996</v>
      </c>
      <c r="AE180" s="495">
        <v>105351.33333333333</v>
      </c>
      <c r="AF180" s="495">
        <v>0</v>
      </c>
      <c r="AG180" s="495">
        <v>0</v>
      </c>
      <c r="AH180" s="495">
        <v>0</v>
      </c>
      <c r="AI180" s="495">
        <v>-14412.333333333334</v>
      </c>
      <c r="AJ180" s="495">
        <v>0</v>
      </c>
      <c r="AK180" s="495">
        <v>-347699.26999999996</v>
      </c>
      <c r="AL180" s="496">
        <v>98065</v>
      </c>
      <c r="AM180" s="494">
        <v>885071.25958904112</v>
      </c>
      <c r="AN180" s="495">
        <v>0</v>
      </c>
      <c r="AO180" s="495">
        <v>0</v>
      </c>
      <c r="AP180" s="495">
        <v>0</v>
      </c>
      <c r="AQ180" s="495">
        <v>2658</v>
      </c>
      <c r="AR180" s="495">
        <v>0</v>
      </c>
      <c r="AS180" s="495">
        <v>0</v>
      </c>
      <c r="AT180" s="495">
        <v>0</v>
      </c>
      <c r="AU180" s="497">
        <v>887729.25958904112</v>
      </c>
      <c r="AV180" s="491">
        <f>AL180-AU180</f>
        <v>-789664.25958904112</v>
      </c>
    </row>
    <row r="181" spans="1:48" ht="15" thickTop="1">
      <c r="A181" s="155" t="s">
        <v>761</v>
      </c>
      <c r="B181" s="488"/>
      <c r="C181" s="477"/>
      <c r="D181" s="489"/>
      <c r="E181" s="489"/>
      <c r="F181" s="489"/>
      <c r="G181" s="489"/>
      <c r="H181" s="489"/>
      <c r="I181" s="489"/>
      <c r="J181" s="489"/>
      <c r="K181" s="490"/>
      <c r="L181" s="311"/>
      <c r="M181" s="311"/>
      <c r="N181" s="311"/>
      <c r="O181" s="311"/>
      <c r="P181" s="311"/>
      <c r="Q181" s="311"/>
      <c r="R181" s="311"/>
      <c r="S181" s="311"/>
      <c r="T181" s="311"/>
      <c r="U181" s="477"/>
      <c r="V181" s="489"/>
      <c r="W181" s="489"/>
      <c r="X181" s="489"/>
      <c r="Y181" s="489"/>
      <c r="Z181" s="489"/>
      <c r="AA181" s="489"/>
      <c r="AB181" s="489"/>
      <c r="AC181" s="490"/>
      <c r="AD181" s="477"/>
      <c r="AE181" s="489"/>
      <c r="AF181" s="489"/>
      <c r="AG181" s="489"/>
      <c r="AH181" s="489"/>
      <c r="AI181" s="489"/>
      <c r="AJ181" s="489"/>
      <c r="AK181" s="489"/>
      <c r="AL181" s="490"/>
      <c r="AM181" s="477"/>
      <c r="AN181" s="489"/>
      <c r="AO181" s="489"/>
      <c r="AP181" s="489"/>
      <c r="AQ181" s="489"/>
      <c r="AR181" s="489"/>
      <c r="AS181" s="489"/>
      <c r="AT181" s="489"/>
      <c r="AU181" s="490"/>
    </row>
    <row r="182" spans="1:48" ht="23.4" customHeight="1">
      <c r="A182" s="158" t="s">
        <v>1406</v>
      </c>
      <c r="B182" s="488"/>
      <c r="C182" s="477"/>
      <c r="D182" s="489"/>
      <c r="E182" s="489"/>
      <c r="F182" s="489"/>
      <c r="G182" s="489"/>
      <c r="H182" s="489"/>
      <c r="I182" s="489"/>
      <c r="J182" s="489"/>
      <c r="K182" s="490"/>
      <c r="L182" s="311"/>
      <c r="M182" s="311"/>
      <c r="N182" s="311"/>
      <c r="O182" s="311"/>
      <c r="P182" s="311"/>
      <c r="Q182" s="311"/>
      <c r="R182" s="311"/>
      <c r="S182" s="311"/>
      <c r="T182" s="311"/>
      <c r="U182" s="477"/>
      <c r="V182" s="489"/>
      <c r="W182" s="489"/>
      <c r="X182" s="489"/>
      <c r="Y182" s="489"/>
      <c r="Z182" s="489"/>
      <c r="AA182" s="489"/>
      <c r="AB182" s="489"/>
      <c r="AC182" s="490"/>
      <c r="AD182" s="477"/>
      <c r="AE182" s="489"/>
      <c r="AF182" s="489"/>
      <c r="AG182" s="489"/>
      <c r="AH182" s="489"/>
      <c r="AI182" s="489"/>
      <c r="AJ182" s="489"/>
      <c r="AK182" s="489"/>
      <c r="AL182" s="490"/>
      <c r="AM182" s="477"/>
      <c r="AN182" s="489"/>
      <c r="AO182" s="489"/>
      <c r="AP182" s="489"/>
      <c r="AQ182" s="489"/>
      <c r="AR182" s="489"/>
      <c r="AS182" s="489"/>
      <c r="AT182" s="489"/>
      <c r="AU182" s="490"/>
    </row>
    <row r="183" spans="1:48">
      <c r="A183" s="444" t="s">
        <v>177</v>
      </c>
      <c r="B183" s="488" t="s">
        <v>449</v>
      </c>
      <c r="C183" s="477" cm="1">
        <f t="array" ref="C183">_xlfn.XLOOKUP(A183,'TB upload'!A:A,'TB upload'!C:C-'TB upload'!B:B,0,0)*-1</f>
        <v>18914.57</v>
      </c>
      <c r="D183" s="489"/>
      <c r="E183" s="942" cm="1">
        <f t="array" ref="E183">_xlfn.XLOOKUP(A183,'TB upload'!A:A,'TB upload'!E:E-'TB upload'!D:D,0,0)*-1</f>
        <v>0</v>
      </c>
      <c r="F183" s="489"/>
      <c r="G183" s="477" cm="1">
        <f t="array" ref="G183">_xlfn.XLOOKUP(A183,'TB upload'!A:A,'TB upload'!G:G-'TB upload'!F:F,0,0)*-1</f>
        <v>0</v>
      </c>
      <c r="H183" s="489"/>
      <c r="I183" s="477" cm="1">
        <f t="array" ref="I183">_xlfn.XLOOKUP(A183,'TB upload'!A:A,'TB upload'!I:I-'TB upload'!H:H,0,0)*-1</f>
        <v>0</v>
      </c>
      <c r="J183" s="489"/>
      <c r="K183" s="490">
        <f t="shared" ref="K183:K184" si="43">SUM(C183:J183)</f>
        <v>18914.57</v>
      </c>
      <c r="L183" s="311">
        <v>16500.62</v>
      </c>
      <c r="M183" s="311"/>
      <c r="N183" s="311">
        <v>0</v>
      </c>
      <c r="O183" s="311"/>
      <c r="P183" s="311">
        <v>0</v>
      </c>
      <c r="Q183" s="311"/>
      <c r="R183" s="311">
        <v>0</v>
      </c>
      <c r="S183" s="311"/>
      <c r="T183" s="311">
        <v>16500.62</v>
      </c>
      <c r="U183" s="649">
        <v>14087.49</v>
      </c>
      <c r="V183" s="489"/>
      <c r="W183" s="489"/>
      <c r="X183" s="489"/>
      <c r="Y183" s="489"/>
      <c r="Z183" s="489"/>
      <c r="AA183" s="489"/>
      <c r="AB183" s="489"/>
      <c r="AC183" s="490">
        <v>14087.49</v>
      </c>
      <c r="AD183" s="477">
        <v>521197.7</v>
      </c>
      <c r="AE183" s="489"/>
      <c r="AF183" s="489">
        <v>0</v>
      </c>
      <c r="AG183" s="489"/>
      <c r="AH183" s="489">
        <v>0</v>
      </c>
      <c r="AI183" s="489"/>
      <c r="AJ183" s="489">
        <v>0</v>
      </c>
      <c r="AK183" s="489"/>
      <c r="AL183" s="490">
        <v>521197.7</v>
      </c>
      <c r="AM183" s="477">
        <v>300000</v>
      </c>
      <c r="AN183" s="489"/>
      <c r="AO183" s="489"/>
      <c r="AP183" s="489"/>
      <c r="AQ183" s="489"/>
      <c r="AR183" s="489"/>
      <c r="AS183" s="489"/>
      <c r="AT183" s="489"/>
      <c r="AU183" s="490">
        <v>300000</v>
      </c>
      <c r="AV183" s="491"/>
    </row>
    <row r="184" spans="1:48">
      <c r="A184" s="444" t="s">
        <v>203</v>
      </c>
      <c r="B184" s="488" t="s">
        <v>449</v>
      </c>
      <c r="C184" s="477" cm="1">
        <f t="array" ref="C184">_xlfn.XLOOKUP(A184,'TB upload'!A:A,'TB upload'!C:C-'TB upload'!B:B,0,0)*-1</f>
        <v>15000</v>
      </c>
      <c r="D184" s="489"/>
      <c r="E184" s="942" cm="1">
        <f t="array" ref="E184">_xlfn.XLOOKUP(A184,'TB upload'!A:A,'TB upload'!E:E-'TB upload'!D:D,0,0)*-1</f>
        <v>0</v>
      </c>
      <c r="F184" s="489"/>
      <c r="G184" s="477" cm="1">
        <f t="array" ref="G184">_xlfn.XLOOKUP(A184,'TB upload'!A:A,'TB upload'!G:G-'TB upload'!F:F,0,0)*-1</f>
        <v>0</v>
      </c>
      <c r="H184" s="489"/>
      <c r="I184" s="477" cm="1">
        <f t="array" ref="I184">_xlfn.XLOOKUP(A184,'TB upload'!A:A,'TB upload'!I:I-'TB upload'!H:H,0,0)*-1</f>
        <v>0</v>
      </c>
      <c r="J184" s="489"/>
      <c r="K184" s="490">
        <f t="shared" si="43"/>
        <v>15000</v>
      </c>
      <c r="L184" s="311">
        <v>15000</v>
      </c>
      <c r="M184" s="311"/>
      <c r="N184" s="311">
        <v>0</v>
      </c>
      <c r="O184" s="311"/>
      <c r="P184" s="311">
        <v>0</v>
      </c>
      <c r="Q184" s="311"/>
      <c r="R184" s="311">
        <v>0</v>
      </c>
      <c r="S184" s="311"/>
      <c r="T184" s="311">
        <v>15000</v>
      </c>
      <c r="U184" s="649">
        <v>15000</v>
      </c>
      <c r="V184" s="489"/>
      <c r="W184" s="489"/>
      <c r="X184" s="489"/>
      <c r="Y184" s="489"/>
      <c r="Z184" s="489"/>
      <c r="AA184" s="489"/>
      <c r="AB184" s="489"/>
      <c r="AC184" s="490">
        <v>15000</v>
      </c>
      <c r="AD184" s="477">
        <v>65400</v>
      </c>
      <c r="AE184" s="489"/>
      <c r="AF184" s="489">
        <v>0</v>
      </c>
      <c r="AG184" s="489"/>
      <c r="AH184" s="489">
        <v>0</v>
      </c>
      <c r="AI184" s="489"/>
      <c r="AJ184" s="489">
        <v>0</v>
      </c>
      <c r="AK184" s="489"/>
      <c r="AL184" s="490">
        <v>65400</v>
      </c>
      <c r="AM184" s="477">
        <v>60000</v>
      </c>
      <c r="AN184" s="489"/>
      <c r="AO184" s="489"/>
      <c r="AP184" s="489"/>
      <c r="AQ184" s="489"/>
      <c r="AR184" s="489"/>
      <c r="AS184" s="489"/>
      <c r="AT184" s="489"/>
      <c r="AU184" s="490">
        <v>60000</v>
      </c>
      <c r="AV184" s="491"/>
    </row>
    <row r="185" spans="1:48" ht="15" thickBot="1">
      <c r="A185" s="158"/>
      <c r="B185" s="488"/>
      <c r="C185" s="477"/>
      <c r="D185" s="489"/>
      <c r="E185" s="489"/>
      <c r="F185" s="489"/>
      <c r="G185" s="489"/>
      <c r="H185" s="489"/>
      <c r="I185" s="489"/>
      <c r="J185" s="489"/>
      <c r="K185" s="490"/>
      <c r="L185" s="311"/>
      <c r="M185" s="311"/>
      <c r="N185" s="311"/>
      <c r="O185" s="311"/>
      <c r="P185" s="311"/>
      <c r="Q185" s="311"/>
      <c r="R185" s="311"/>
      <c r="S185" s="311"/>
      <c r="T185" s="311"/>
      <c r="U185" s="477"/>
      <c r="V185" s="489"/>
      <c r="W185" s="489"/>
      <c r="X185" s="489"/>
      <c r="Y185" s="489"/>
      <c r="Z185" s="489"/>
      <c r="AA185" s="489"/>
      <c r="AB185" s="489"/>
      <c r="AC185" s="490"/>
      <c r="AD185" s="477"/>
      <c r="AE185" s="489"/>
      <c r="AF185" s="489"/>
      <c r="AG185" s="489"/>
      <c r="AH185" s="489"/>
      <c r="AI185" s="489"/>
      <c r="AJ185" s="489"/>
      <c r="AK185" s="489"/>
      <c r="AL185" s="490"/>
      <c r="AM185" s="477"/>
      <c r="AN185" s="489"/>
      <c r="AO185" s="489"/>
      <c r="AP185" s="489"/>
      <c r="AQ185" s="489"/>
      <c r="AR185" s="489"/>
      <c r="AS185" s="489"/>
      <c r="AT185" s="489"/>
      <c r="AU185" s="490"/>
    </row>
    <row r="186" spans="1:48" ht="15.6" thickTop="1" thickBot="1">
      <c r="A186" s="492"/>
      <c r="B186" s="493" t="s">
        <v>51</v>
      </c>
      <c r="C186" s="911">
        <f>SUM(C183:C185)</f>
        <v>33914.57</v>
      </c>
      <c r="D186" s="495">
        <f t="shared" ref="D186:K186" si="44">SUM(D183:D185)</f>
        <v>0</v>
      </c>
      <c r="E186" s="495">
        <f t="shared" si="44"/>
        <v>0</v>
      </c>
      <c r="F186" s="495">
        <f t="shared" si="44"/>
        <v>0</v>
      </c>
      <c r="G186" s="495">
        <f t="shared" si="44"/>
        <v>0</v>
      </c>
      <c r="H186" s="495">
        <f t="shared" si="44"/>
        <v>0</v>
      </c>
      <c r="I186" s="495">
        <f t="shared" si="44"/>
        <v>0</v>
      </c>
      <c r="J186" s="495">
        <f t="shared" si="44"/>
        <v>0</v>
      </c>
      <c r="K186" s="496">
        <f t="shared" si="44"/>
        <v>33914.57</v>
      </c>
      <c r="L186" s="990">
        <v>31500.62</v>
      </c>
      <c r="M186" s="990">
        <v>0</v>
      </c>
      <c r="N186" s="990">
        <v>0</v>
      </c>
      <c r="O186" s="990">
        <v>0</v>
      </c>
      <c r="P186" s="990">
        <v>0</v>
      </c>
      <c r="Q186" s="990">
        <v>0</v>
      </c>
      <c r="R186" s="990">
        <v>0</v>
      </c>
      <c r="S186" s="990">
        <v>0</v>
      </c>
      <c r="T186" s="990">
        <v>31500.62</v>
      </c>
      <c r="U186" s="911">
        <v>29087.489999999998</v>
      </c>
      <c r="V186" s="495">
        <v>0</v>
      </c>
      <c r="W186" s="495">
        <v>0</v>
      </c>
      <c r="X186" s="495">
        <v>0</v>
      </c>
      <c r="Y186" s="495">
        <v>0</v>
      </c>
      <c r="Z186" s="495">
        <v>0</v>
      </c>
      <c r="AA186" s="495">
        <v>0</v>
      </c>
      <c r="AB186" s="495">
        <v>0</v>
      </c>
      <c r="AC186" s="496">
        <v>29087.489999999998</v>
      </c>
      <c r="AD186" s="494">
        <v>586597.69999999995</v>
      </c>
      <c r="AE186" s="495">
        <v>0</v>
      </c>
      <c r="AF186" s="495">
        <v>0</v>
      </c>
      <c r="AG186" s="495">
        <v>0</v>
      </c>
      <c r="AH186" s="495">
        <v>0</v>
      </c>
      <c r="AI186" s="495">
        <v>0</v>
      </c>
      <c r="AJ186" s="495">
        <v>0</v>
      </c>
      <c r="AK186" s="495">
        <v>0</v>
      </c>
      <c r="AL186" s="496">
        <v>586597.69999999995</v>
      </c>
      <c r="AM186" s="494">
        <v>360000</v>
      </c>
      <c r="AN186" s="495">
        <v>0</v>
      </c>
      <c r="AO186" s="495">
        <v>0</v>
      </c>
      <c r="AP186" s="495">
        <v>0</v>
      </c>
      <c r="AQ186" s="495">
        <v>0</v>
      </c>
      <c r="AR186" s="495">
        <v>0</v>
      </c>
      <c r="AS186" s="495">
        <v>0</v>
      </c>
      <c r="AT186" s="495">
        <v>0</v>
      </c>
      <c r="AU186" s="497">
        <v>360000</v>
      </c>
      <c r="AV186" s="491">
        <f>AL186-AU186</f>
        <v>226597.69999999995</v>
      </c>
    </row>
    <row r="187" spans="1:48" ht="15" thickTop="1">
      <c r="A187" s="158" t="s">
        <v>1405</v>
      </c>
      <c r="B187" s="488"/>
      <c r="C187" s="477"/>
      <c r="D187" s="489"/>
      <c r="E187" s="489"/>
      <c r="F187" s="489"/>
      <c r="G187" s="489"/>
      <c r="H187" s="489"/>
      <c r="I187" s="489"/>
      <c r="J187" s="489"/>
      <c r="K187" s="490"/>
      <c r="L187" s="311"/>
      <c r="M187" s="311"/>
      <c r="N187" s="311"/>
      <c r="O187" s="311"/>
      <c r="P187" s="311"/>
      <c r="Q187" s="311"/>
      <c r="R187" s="311"/>
      <c r="S187" s="311"/>
      <c r="T187" s="311"/>
      <c r="U187" s="477"/>
      <c r="V187" s="489"/>
      <c r="W187" s="489"/>
      <c r="X187" s="489"/>
      <c r="Y187" s="489"/>
      <c r="Z187" s="489"/>
      <c r="AA187" s="489"/>
      <c r="AB187" s="489"/>
      <c r="AC187" s="490"/>
      <c r="AD187" s="477"/>
      <c r="AE187" s="489"/>
      <c r="AF187" s="489"/>
      <c r="AG187" s="489"/>
      <c r="AH187" s="489"/>
      <c r="AI187" s="489"/>
      <c r="AJ187" s="489"/>
      <c r="AK187" s="489"/>
      <c r="AL187" s="490"/>
      <c r="AM187" s="477"/>
      <c r="AN187" s="489"/>
      <c r="AO187" s="489"/>
      <c r="AP187" s="489"/>
      <c r="AQ187" s="489"/>
      <c r="AR187" s="489"/>
      <c r="AS187" s="489"/>
      <c r="AT187" s="489"/>
      <c r="AU187" s="490"/>
    </row>
    <row r="188" spans="1:48">
      <c r="A188" s="444" t="s">
        <v>184</v>
      </c>
      <c r="B188" s="488" t="s">
        <v>449</v>
      </c>
      <c r="C188" s="477" cm="1">
        <f t="array" ref="C188">_xlfn.XLOOKUP(A188,'TB upload'!A:A,'TB upload'!C:C-'TB upload'!B:B,0,0)*-1</f>
        <v>0</v>
      </c>
      <c r="D188" s="489"/>
      <c r="E188" s="942" cm="1">
        <f t="array" ref="E188">_xlfn.XLOOKUP(A188,'TB upload'!A:A,'TB upload'!E:E-'TB upload'!D:D,0,0)*-1</f>
        <v>0</v>
      </c>
      <c r="F188" s="489"/>
      <c r="G188" s="477" cm="1">
        <f t="array" ref="G188">_xlfn.XLOOKUP(A188,'TB upload'!A:A,'TB upload'!G:G-'TB upload'!F:F,0,0)*-1</f>
        <v>0</v>
      </c>
      <c r="H188" s="489"/>
      <c r="I188" s="477" cm="1">
        <f t="array" ref="I188">_xlfn.XLOOKUP(A188,'TB upload'!A:A,'TB upload'!I:I-'TB upload'!H:H,0,0)*-1</f>
        <v>0</v>
      </c>
      <c r="J188" s="489"/>
      <c r="K188" s="490">
        <f t="shared" ref="K188:K189" si="45">SUM(C188:J188)</f>
        <v>0</v>
      </c>
      <c r="L188" s="311">
        <v>0</v>
      </c>
      <c r="M188" s="311"/>
      <c r="N188" s="311">
        <v>0</v>
      </c>
      <c r="O188" s="311"/>
      <c r="P188" s="311">
        <v>0</v>
      </c>
      <c r="Q188" s="311"/>
      <c r="R188" s="311">
        <v>0</v>
      </c>
      <c r="S188" s="311"/>
      <c r="T188" s="311">
        <v>0</v>
      </c>
      <c r="U188" s="477">
        <v>0</v>
      </c>
      <c r="V188" s="489"/>
      <c r="W188" s="489"/>
      <c r="X188" s="489"/>
      <c r="Y188" s="489"/>
      <c r="Z188" s="489"/>
      <c r="AA188" s="489"/>
      <c r="AB188" s="489"/>
      <c r="AC188" s="490">
        <v>0</v>
      </c>
      <c r="AD188" s="477">
        <v>26266.16</v>
      </c>
      <c r="AE188" s="489"/>
      <c r="AF188" s="489">
        <v>0</v>
      </c>
      <c r="AG188" s="489"/>
      <c r="AH188" s="489">
        <v>0</v>
      </c>
      <c r="AI188" s="489"/>
      <c r="AJ188" s="489">
        <v>24039</v>
      </c>
      <c r="AK188" s="489"/>
      <c r="AL188" s="490">
        <v>50305.16</v>
      </c>
      <c r="AM188" s="477">
        <v>0</v>
      </c>
      <c r="AN188" s="489"/>
      <c r="AO188" s="489"/>
      <c r="AP188" s="489"/>
      <c r="AQ188" s="489"/>
      <c r="AR188" s="489"/>
      <c r="AS188" s="489"/>
      <c r="AT188" s="489"/>
      <c r="AU188" s="490">
        <v>0</v>
      </c>
      <c r="AV188" s="491"/>
    </row>
    <row r="189" spans="1:48">
      <c r="A189" s="444" t="s">
        <v>1157</v>
      </c>
      <c r="B189" s="488" t="s">
        <v>449</v>
      </c>
      <c r="C189" s="477" cm="1">
        <f t="array" ref="C189">_xlfn.XLOOKUP(A189,'TB upload'!A:A,'TB upload'!C:C-'TB upload'!B:B,0,0)*-1</f>
        <v>0</v>
      </c>
      <c r="D189" s="489"/>
      <c r="E189" s="942" cm="1">
        <f t="array" ref="E189">_xlfn.XLOOKUP(A189,'TB upload'!A:A,'TB upload'!E:E-'TB upload'!D:D,0,0)*-1</f>
        <v>0</v>
      </c>
      <c r="F189" s="489"/>
      <c r="G189" s="477" cm="1">
        <f t="array" ref="G189">_xlfn.XLOOKUP(A189,'TB upload'!A:A,'TB upload'!G:G-'TB upload'!F:F,0,0)*-1</f>
        <v>0</v>
      </c>
      <c r="H189" s="489"/>
      <c r="I189" s="477" cm="1">
        <f t="array" ref="I189">_xlfn.XLOOKUP(A189,'TB upload'!A:A,'TB upload'!I:I-'TB upload'!H:H,0,0)*-1</f>
        <v>0</v>
      </c>
      <c r="J189" s="489"/>
      <c r="K189" s="490">
        <f t="shared" si="45"/>
        <v>0</v>
      </c>
      <c r="L189" s="311">
        <v>0</v>
      </c>
      <c r="M189" s="311"/>
      <c r="N189" s="311">
        <v>0</v>
      </c>
      <c r="O189" s="311"/>
      <c r="P189" s="311">
        <v>0</v>
      </c>
      <c r="Q189" s="311"/>
      <c r="R189" s="311">
        <v>0</v>
      </c>
      <c r="S189" s="311"/>
      <c r="T189" s="311">
        <v>0</v>
      </c>
      <c r="U189" s="477">
        <v>0</v>
      </c>
      <c r="V189" s="489"/>
      <c r="W189" s="489"/>
      <c r="X189" s="489"/>
      <c r="Y189" s="489"/>
      <c r="Z189" s="489"/>
      <c r="AA189" s="489"/>
      <c r="AB189" s="489"/>
      <c r="AC189" s="490">
        <v>0</v>
      </c>
      <c r="AD189" s="477">
        <v>0</v>
      </c>
      <c r="AE189" s="489"/>
      <c r="AF189" s="489">
        <v>0</v>
      </c>
      <c r="AG189" s="489"/>
      <c r="AH189" s="489">
        <v>0</v>
      </c>
      <c r="AI189" s="489"/>
      <c r="AJ189" s="489">
        <v>0</v>
      </c>
      <c r="AK189" s="489"/>
      <c r="AL189" s="490">
        <v>0</v>
      </c>
      <c r="AM189" s="477">
        <v>14616.61</v>
      </c>
      <c r="AN189" s="489"/>
      <c r="AO189" s="489"/>
      <c r="AP189" s="489"/>
      <c r="AQ189" s="489"/>
      <c r="AR189" s="489"/>
      <c r="AS189" s="489"/>
      <c r="AT189" s="489"/>
      <c r="AU189" s="490">
        <v>14616.61</v>
      </c>
      <c r="AV189" s="491"/>
    </row>
    <row r="190" spans="1:48" ht="15" thickBot="1">
      <c r="A190" s="158"/>
      <c r="B190" s="488"/>
      <c r="C190" s="477"/>
      <c r="D190" s="489"/>
      <c r="E190" s="489"/>
      <c r="F190" s="489"/>
      <c r="G190" s="489"/>
      <c r="H190" s="489"/>
      <c r="I190" s="489"/>
      <c r="J190" s="489"/>
      <c r="K190" s="490"/>
      <c r="L190" s="311"/>
      <c r="M190" s="311"/>
      <c r="N190" s="311"/>
      <c r="O190" s="311"/>
      <c r="P190" s="311"/>
      <c r="Q190" s="311"/>
      <c r="R190" s="311"/>
      <c r="S190" s="311"/>
      <c r="T190" s="311"/>
      <c r="U190" s="477"/>
      <c r="V190" s="489"/>
      <c r="W190" s="489"/>
      <c r="X190" s="489"/>
      <c r="Y190" s="489"/>
      <c r="Z190" s="489"/>
      <c r="AA190" s="489"/>
      <c r="AB190" s="489"/>
      <c r="AC190" s="490"/>
      <c r="AD190" s="477"/>
      <c r="AE190" s="489"/>
      <c r="AF190" s="489"/>
      <c r="AG190" s="489"/>
      <c r="AH190" s="489"/>
      <c r="AI190" s="489"/>
      <c r="AJ190" s="489"/>
      <c r="AK190" s="489"/>
      <c r="AL190" s="490"/>
      <c r="AM190" s="477"/>
      <c r="AN190" s="489"/>
      <c r="AO190" s="489"/>
      <c r="AP190" s="489"/>
      <c r="AQ190" s="489"/>
      <c r="AR190" s="489"/>
      <c r="AS190" s="489"/>
      <c r="AT190" s="489"/>
      <c r="AU190" s="490"/>
    </row>
    <row r="191" spans="1:48" ht="15.6" thickTop="1" thickBot="1">
      <c r="A191" s="492"/>
      <c r="B191" s="493" t="s">
        <v>51</v>
      </c>
      <c r="C191" s="494">
        <f t="shared" ref="C191:H191" si="46">SUM(C188:C190)</f>
        <v>0</v>
      </c>
      <c r="D191" s="495">
        <f t="shared" si="46"/>
        <v>0</v>
      </c>
      <c r="E191" s="495">
        <f t="shared" si="46"/>
        <v>0</v>
      </c>
      <c r="F191" s="495">
        <f t="shared" si="46"/>
        <v>0</v>
      </c>
      <c r="G191" s="495">
        <f t="shared" si="46"/>
        <v>0</v>
      </c>
      <c r="H191" s="495">
        <f t="shared" si="46"/>
        <v>0</v>
      </c>
      <c r="I191" s="495">
        <f t="shared" ref="I191:K191" si="47">SUM(I188:I190)</f>
        <v>0</v>
      </c>
      <c r="J191" s="495">
        <f t="shared" si="47"/>
        <v>0</v>
      </c>
      <c r="K191" s="496">
        <f t="shared" si="47"/>
        <v>0</v>
      </c>
      <c r="L191" s="990">
        <v>0</v>
      </c>
      <c r="M191" s="990">
        <v>0</v>
      </c>
      <c r="N191" s="990">
        <v>0</v>
      </c>
      <c r="O191" s="990">
        <v>0</v>
      </c>
      <c r="P191" s="990">
        <v>0</v>
      </c>
      <c r="Q191" s="990">
        <v>0</v>
      </c>
      <c r="R191" s="990">
        <v>0</v>
      </c>
      <c r="S191" s="990">
        <v>0</v>
      </c>
      <c r="T191" s="990">
        <v>0</v>
      </c>
      <c r="U191" s="494">
        <v>0</v>
      </c>
      <c r="V191" s="495">
        <v>0</v>
      </c>
      <c r="W191" s="495">
        <v>0</v>
      </c>
      <c r="X191" s="495">
        <v>0</v>
      </c>
      <c r="Y191" s="495">
        <v>0</v>
      </c>
      <c r="Z191" s="495">
        <v>0</v>
      </c>
      <c r="AA191" s="495">
        <v>0</v>
      </c>
      <c r="AB191" s="495">
        <v>0</v>
      </c>
      <c r="AC191" s="496">
        <v>0</v>
      </c>
      <c r="AD191" s="494">
        <v>26266.16</v>
      </c>
      <c r="AE191" s="495">
        <v>0</v>
      </c>
      <c r="AF191" s="495">
        <v>0</v>
      </c>
      <c r="AG191" s="495">
        <v>0</v>
      </c>
      <c r="AH191" s="495">
        <v>0</v>
      </c>
      <c r="AI191" s="495">
        <v>0</v>
      </c>
      <c r="AJ191" s="495">
        <v>24039</v>
      </c>
      <c r="AK191" s="495">
        <v>0</v>
      </c>
      <c r="AL191" s="496">
        <v>50305.16</v>
      </c>
      <c r="AM191" s="494">
        <v>14616.61</v>
      </c>
      <c r="AN191" s="495">
        <v>0</v>
      </c>
      <c r="AO191" s="495">
        <v>0</v>
      </c>
      <c r="AP191" s="495">
        <v>0</v>
      </c>
      <c r="AQ191" s="495">
        <v>0</v>
      </c>
      <c r="AR191" s="495">
        <v>0</v>
      </c>
      <c r="AS191" s="495">
        <v>0</v>
      </c>
      <c r="AT191" s="495">
        <v>0</v>
      </c>
      <c r="AU191" s="497">
        <v>14616.61</v>
      </c>
      <c r="AV191" s="491">
        <f>AL191-AU191</f>
        <v>35688.550000000003</v>
      </c>
    </row>
    <row r="192" spans="1:48" ht="15" thickTop="1">
      <c r="A192" s="158" t="s">
        <v>1404</v>
      </c>
      <c r="B192" s="488"/>
      <c r="C192" s="477"/>
      <c r="D192" s="489"/>
      <c r="E192" s="489"/>
      <c r="F192" s="489"/>
      <c r="G192" s="489"/>
      <c r="H192" s="489"/>
      <c r="I192" s="489"/>
      <c r="J192" s="489"/>
      <c r="K192" s="490"/>
      <c r="L192" s="311"/>
      <c r="M192" s="311"/>
      <c r="N192" s="311"/>
      <c r="O192" s="311"/>
      <c r="P192" s="311"/>
      <c r="Q192" s="311"/>
      <c r="R192" s="311"/>
      <c r="S192" s="311"/>
      <c r="T192" s="311"/>
      <c r="U192" s="477"/>
      <c r="V192" s="489"/>
      <c r="W192" s="489"/>
      <c r="X192" s="489"/>
      <c r="Y192" s="489"/>
      <c r="Z192" s="489"/>
      <c r="AA192" s="489"/>
      <c r="AB192" s="489"/>
      <c r="AC192" s="490"/>
      <c r="AD192" s="477"/>
      <c r="AE192" s="489"/>
      <c r="AF192" s="489"/>
      <c r="AG192" s="489"/>
      <c r="AH192" s="489"/>
      <c r="AI192" s="489"/>
      <c r="AJ192" s="489"/>
      <c r="AK192" s="489"/>
      <c r="AL192" s="490"/>
      <c r="AM192" s="477"/>
      <c r="AN192" s="489"/>
      <c r="AO192" s="489"/>
      <c r="AP192" s="489"/>
      <c r="AQ192" s="489"/>
      <c r="AR192" s="489"/>
      <c r="AS192" s="489"/>
      <c r="AT192" s="489"/>
      <c r="AU192" s="490"/>
    </row>
    <row r="193" spans="1:48">
      <c r="A193" s="444" t="s">
        <v>185</v>
      </c>
      <c r="B193" s="488" t="s">
        <v>449</v>
      </c>
      <c r="C193" s="477" cm="1">
        <f t="array" ref="C193">_xlfn.XLOOKUP(A193,'TB upload'!A:A,'TB upload'!C:C-'TB upload'!B:B,0,0)*-1</f>
        <v>0</v>
      </c>
      <c r="D193" s="489"/>
      <c r="E193" s="942" cm="1">
        <f t="array" ref="E193">_xlfn.XLOOKUP(A193,'TB upload'!A:A,'TB upload'!E:E-'TB upload'!D:D,0,0)*-1</f>
        <v>0</v>
      </c>
      <c r="F193" s="489"/>
      <c r="G193" s="477" cm="1">
        <f t="array" ref="G193">_xlfn.XLOOKUP(A193,'TB upload'!A:A,'TB upload'!G:G-'TB upload'!F:F,0,0)*-1</f>
        <v>0</v>
      </c>
      <c r="H193" s="489"/>
      <c r="I193" s="477" cm="1">
        <f t="array" ref="I193">_xlfn.XLOOKUP(A193,'TB upload'!A:A,'TB upload'!I:I-'TB upload'!H:H,0,0)*-1</f>
        <v>0</v>
      </c>
      <c r="J193" s="489"/>
      <c r="K193" s="490">
        <f>SUM(C193:J193)</f>
        <v>0</v>
      </c>
      <c r="L193" s="311">
        <v>0</v>
      </c>
      <c r="M193" s="311"/>
      <c r="N193" s="311">
        <v>0</v>
      </c>
      <c r="O193" s="311"/>
      <c r="P193" s="311">
        <v>0</v>
      </c>
      <c r="Q193" s="311"/>
      <c r="R193" s="311">
        <v>0</v>
      </c>
      <c r="S193" s="311"/>
      <c r="T193" s="311">
        <v>0</v>
      </c>
      <c r="U193" s="477">
        <v>0</v>
      </c>
      <c r="V193" s="489"/>
      <c r="W193" s="489"/>
      <c r="X193" s="489"/>
      <c r="Y193" s="489"/>
      <c r="Z193" s="489"/>
      <c r="AA193" s="489"/>
      <c r="AB193" s="489"/>
      <c r="AC193" s="490">
        <v>0</v>
      </c>
      <c r="AD193" s="477">
        <v>249971.22</v>
      </c>
      <c r="AE193" s="489"/>
      <c r="AF193" s="489">
        <v>0</v>
      </c>
      <c r="AG193" s="489"/>
      <c r="AH193" s="489">
        <v>0</v>
      </c>
      <c r="AI193" s="489"/>
      <c r="AJ193" s="489">
        <v>0</v>
      </c>
      <c r="AK193" s="489">
        <v>0</v>
      </c>
      <c r="AL193" s="490">
        <v>249971.22</v>
      </c>
      <c r="AM193" s="477">
        <v>710353.42</v>
      </c>
      <c r="AN193" s="489"/>
      <c r="AO193" s="489"/>
      <c r="AP193" s="489"/>
      <c r="AQ193" s="489"/>
      <c r="AR193" s="489"/>
      <c r="AS193" s="489"/>
      <c r="AT193" s="489"/>
      <c r="AU193" s="490">
        <v>710353.42</v>
      </c>
      <c r="AV193" s="491"/>
    </row>
    <row r="194" spans="1:48" ht="15" thickBot="1">
      <c r="A194" s="158"/>
      <c r="B194" s="488"/>
      <c r="C194" s="477"/>
      <c r="D194" s="489"/>
      <c r="E194" s="489"/>
      <c r="F194" s="489"/>
      <c r="G194" s="489"/>
      <c r="H194" s="489"/>
      <c r="I194" s="489"/>
      <c r="J194" s="489"/>
      <c r="K194" s="490"/>
      <c r="L194" s="311"/>
      <c r="M194" s="311"/>
      <c r="N194" s="311"/>
      <c r="O194" s="311"/>
      <c r="P194" s="311"/>
      <c r="Q194" s="311"/>
      <c r="R194" s="311"/>
      <c r="S194" s="311"/>
      <c r="T194" s="311"/>
      <c r="U194" s="477"/>
      <c r="V194" s="489"/>
      <c r="W194" s="489"/>
      <c r="X194" s="489"/>
      <c r="Y194" s="489"/>
      <c r="Z194" s="489"/>
      <c r="AA194" s="489"/>
      <c r="AB194" s="489"/>
      <c r="AC194" s="490"/>
      <c r="AD194" s="477"/>
      <c r="AE194" s="489"/>
      <c r="AF194" s="489"/>
      <c r="AG194" s="489"/>
      <c r="AH194" s="489"/>
      <c r="AI194" s="489"/>
      <c r="AJ194" s="489"/>
      <c r="AK194" s="489"/>
      <c r="AL194" s="490"/>
      <c r="AM194" s="477"/>
      <c r="AN194" s="489"/>
      <c r="AO194" s="489"/>
      <c r="AP194" s="489"/>
      <c r="AQ194" s="489"/>
      <c r="AR194" s="489"/>
      <c r="AS194" s="489"/>
      <c r="AT194" s="489"/>
      <c r="AU194" s="490"/>
    </row>
    <row r="195" spans="1:48" ht="15.6" thickTop="1" thickBot="1">
      <c r="A195" s="492"/>
      <c r="B195" s="493" t="s">
        <v>51</v>
      </c>
      <c r="C195" s="494">
        <f t="shared" ref="C195:K195" si="48">SUM(C193:C194)</f>
        <v>0</v>
      </c>
      <c r="D195" s="495">
        <f t="shared" si="48"/>
        <v>0</v>
      </c>
      <c r="E195" s="495">
        <f t="shared" si="48"/>
        <v>0</v>
      </c>
      <c r="F195" s="495">
        <f t="shared" si="48"/>
        <v>0</v>
      </c>
      <c r="G195" s="495">
        <f t="shared" si="48"/>
        <v>0</v>
      </c>
      <c r="H195" s="495">
        <f t="shared" si="48"/>
        <v>0</v>
      </c>
      <c r="I195" s="495">
        <f t="shared" si="48"/>
        <v>0</v>
      </c>
      <c r="J195" s="495">
        <f t="shared" si="48"/>
        <v>0</v>
      </c>
      <c r="K195" s="496">
        <f t="shared" si="48"/>
        <v>0</v>
      </c>
      <c r="L195" s="990">
        <v>0</v>
      </c>
      <c r="M195" s="990">
        <v>0</v>
      </c>
      <c r="N195" s="990">
        <v>0</v>
      </c>
      <c r="O195" s="990">
        <v>0</v>
      </c>
      <c r="P195" s="990">
        <v>0</v>
      </c>
      <c r="Q195" s="990">
        <v>0</v>
      </c>
      <c r="R195" s="990">
        <v>0</v>
      </c>
      <c r="S195" s="990">
        <v>0</v>
      </c>
      <c r="T195" s="990">
        <v>0</v>
      </c>
      <c r="U195" s="494">
        <v>0</v>
      </c>
      <c r="V195" s="495">
        <v>0</v>
      </c>
      <c r="W195" s="495">
        <v>0</v>
      </c>
      <c r="X195" s="495">
        <v>0</v>
      </c>
      <c r="Y195" s="495">
        <v>0</v>
      </c>
      <c r="Z195" s="495">
        <v>0</v>
      </c>
      <c r="AA195" s="495">
        <v>0</v>
      </c>
      <c r="AB195" s="495">
        <v>0</v>
      </c>
      <c r="AC195" s="496">
        <v>0</v>
      </c>
      <c r="AD195" s="494">
        <v>249971.22</v>
      </c>
      <c r="AE195" s="495">
        <v>0</v>
      </c>
      <c r="AF195" s="495">
        <v>0</v>
      </c>
      <c r="AG195" s="495">
        <v>0</v>
      </c>
      <c r="AH195" s="495">
        <v>0</v>
      </c>
      <c r="AI195" s="495">
        <v>0</v>
      </c>
      <c r="AJ195" s="495">
        <v>0</v>
      </c>
      <c r="AK195" s="495">
        <v>0</v>
      </c>
      <c r="AL195" s="496">
        <v>249971.22</v>
      </c>
      <c r="AM195" s="494">
        <v>710353.42</v>
      </c>
      <c r="AN195" s="495">
        <v>0</v>
      </c>
      <c r="AO195" s="495">
        <v>0</v>
      </c>
      <c r="AP195" s="495">
        <v>0</v>
      </c>
      <c r="AQ195" s="495">
        <v>0</v>
      </c>
      <c r="AR195" s="495">
        <v>0</v>
      </c>
      <c r="AS195" s="495">
        <v>0</v>
      </c>
      <c r="AT195" s="495">
        <v>0</v>
      </c>
      <c r="AU195" s="497">
        <v>710353.42</v>
      </c>
      <c r="AV195" s="491">
        <f>AL195-AU195</f>
        <v>-460382.20000000007</v>
      </c>
    </row>
    <row r="196" spans="1:48" ht="15" thickTop="1">
      <c r="A196" s="158" t="s">
        <v>1403</v>
      </c>
      <c r="B196" s="488"/>
      <c r="C196" s="477"/>
      <c r="D196" s="489"/>
      <c r="E196" s="489"/>
      <c r="F196" s="489"/>
      <c r="G196" s="489"/>
      <c r="H196" s="489"/>
      <c r="I196" s="489"/>
      <c r="J196" s="489"/>
      <c r="K196" s="490"/>
      <c r="L196" s="311"/>
      <c r="M196" s="311"/>
      <c r="N196" s="311"/>
      <c r="O196" s="311"/>
      <c r="P196" s="311"/>
      <c r="Q196" s="311"/>
      <c r="R196" s="311"/>
      <c r="S196" s="311"/>
      <c r="T196" s="311"/>
      <c r="U196" s="477"/>
      <c r="V196" s="489"/>
      <c r="W196" s="489"/>
      <c r="X196" s="489"/>
      <c r="Y196" s="489"/>
      <c r="Z196" s="489"/>
      <c r="AA196" s="489"/>
      <c r="AB196" s="489"/>
      <c r="AC196" s="490"/>
      <c r="AD196" s="477"/>
      <c r="AE196" s="489"/>
      <c r="AF196" s="489"/>
      <c r="AG196" s="489"/>
      <c r="AH196" s="489"/>
      <c r="AI196" s="489"/>
      <c r="AJ196" s="489"/>
      <c r="AK196" s="489"/>
      <c r="AL196" s="490"/>
      <c r="AM196" s="477"/>
      <c r="AN196" s="489"/>
      <c r="AO196" s="489"/>
      <c r="AP196" s="489"/>
      <c r="AQ196" s="489"/>
      <c r="AR196" s="489"/>
      <c r="AS196" s="489"/>
      <c r="AT196" s="489"/>
      <c r="AU196" s="490"/>
    </row>
    <row r="197" spans="1:48">
      <c r="A197" s="444" t="s">
        <v>201</v>
      </c>
      <c r="B197" s="488" t="s">
        <v>449</v>
      </c>
      <c r="C197" s="477" cm="1">
        <f t="array" ref="C197">_xlfn.XLOOKUP(A197,'TB upload'!A:A,'TB upload'!C:C-'TB upload'!B:B,0,0)*-1</f>
        <v>642302.02</v>
      </c>
      <c r="D197" s="489"/>
      <c r="E197" s="942" cm="1">
        <f t="array" ref="E197">_xlfn.XLOOKUP(A197,'TB upload'!A:A,'TB upload'!E:E-'TB upload'!D:D,0,0)*-1</f>
        <v>0</v>
      </c>
      <c r="F197" s="489"/>
      <c r="G197" s="477" cm="1">
        <f t="array" ref="G197">_xlfn.XLOOKUP(A197,'TB upload'!A:A,'TB upload'!G:G-'TB upload'!F:F,0,0)*-1</f>
        <v>0</v>
      </c>
      <c r="H197" s="489"/>
      <c r="I197" s="477" cm="1">
        <f t="array" ref="I197">_xlfn.XLOOKUP(A197,'TB upload'!A:A,'TB upload'!I:I-'TB upload'!H:H,0,0)*-1</f>
        <v>0</v>
      </c>
      <c r="J197" s="489"/>
      <c r="K197" s="490">
        <f>SUM(C197:J197)</f>
        <v>642302.02</v>
      </c>
      <c r="L197" s="311">
        <v>642302.02</v>
      </c>
      <c r="M197" s="311"/>
      <c r="N197" s="311">
        <v>0</v>
      </c>
      <c r="O197" s="311"/>
      <c r="P197" s="311">
        <v>0</v>
      </c>
      <c r="Q197" s="311"/>
      <c r="R197" s="311">
        <v>0</v>
      </c>
      <c r="S197" s="311"/>
      <c r="T197" s="311">
        <v>642302.02</v>
      </c>
      <c r="U197" s="649">
        <v>595600.56000000006</v>
      </c>
      <c r="V197" s="489"/>
      <c r="W197" s="489"/>
      <c r="X197" s="489"/>
      <c r="Y197" s="489"/>
      <c r="Z197" s="489"/>
      <c r="AA197" s="489"/>
      <c r="AB197" s="489"/>
      <c r="AC197" s="490">
        <v>595600.56000000006</v>
      </c>
      <c r="AD197" s="477">
        <v>4697028.92</v>
      </c>
      <c r="AE197" s="489"/>
      <c r="AF197" s="489">
        <v>0</v>
      </c>
      <c r="AG197" s="489"/>
      <c r="AH197" s="489">
        <v>-595511</v>
      </c>
      <c r="AI197" s="489"/>
      <c r="AJ197" s="489">
        <v>0</v>
      </c>
      <c r="AK197" s="489">
        <v>27000</v>
      </c>
      <c r="AL197" s="490">
        <v>4128517.92</v>
      </c>
      <c r="AM197" s="477">
        <v>701277.26</v>
      </c>
      <c r="AN197" s="489"/>
      <c r="AO197" s="489"/>
      <c r="AP197" s="489"/>
      <c r="AQ197" s="489">
        <v>668118</v>
      </c>
      <c r="AR197" s="489"/>
      <c r="AS197" s="489"/>
      <c r="AT197" s="489"/>
      <c r="AU197" s="490">
        <v>1369395.26</v>
      </c>
      <c r="AV197" s="491"/>
    </row>
    <row r="198" spans="1:48" ht="15" thickBot="1">
      <c r="A198" s="158"/>
      <c r="B198" s="488"/>
      <c r="C198" s="477"/>
      <c r="D198" s="489"/>
      <c r="E198" s="489"/>
      <c r="F198" s="489"/>
      <c r="G198" s="489"/>
      <c r="H198" s="489"/>
      <c r="I198" s="489"/>
      <c r="J198" s="489"/>
      <c r="K198" s="490"/>
      <c r="L198" s="311"/>
      <c r="M198" s="311"/>
      <c r="N198" s="311"/>
      <c r="O198" s="311"/>
      <c r="P198" s="311"/>
      <c r="Q198" s="311"/>
      <c r="R198" s="311"/>
      <c r="S198" s="311"/>
      <c r="T198" s="311"/>
      <c r="U198" s="477"/>
      <c r="V198" s="489"/>
      <c r="W198" s="489"/>
      <c r="X198" s="489"/>
      <c r="Y198" s="489"/>
      <c r="Z198" s="489"/>
      <c r="AA198" s="489"/>
      <c r="AB198" s="489"/>
      <c r="AC198" s="490"/>
      <c r="AD198" s="477"/>
      <c r="AE198" s="489"/>
      <c r="AF198" s="489"/>
      <c r="AG198" s="489"/>
      <c r="AH198" s="489"/>
      <c r="AI198" s="489"/>
      <c r="AJ198" s="489"/>
      <c r="AK198" s="489"/>
      <c r="AL198" s="490"/>
      <c r="AM198" s="477"/>
      <c r="AN198" s="489"/>
      <c r="AO198" s="489"/>
      <c r="AP198" s="489"/>
      <c r="AQ198" s="489"/>
      <c r="AR198" s="489"/>
      <c r="AS198" s="489"/>
      <c r="AT198" s="489"/>
      <c r="AU198" s="490"/>
    </row>
    <row r="199" spans="1:48" ht="15.6" thickTop="1" thickBot="1">
      <c r="A199" s="492"/>
      <c r="B199" s="493" t="s">
        <v>51</v>
      </c>
      <c r="C199" s="911">
        <f t="shared" ref="C199:K199" si="49">SUM(C197:C198)</f>
        <v>642302.02</v>
      </c>
      <c r="D199" s="495">
        <f t="shared" si="49"/>
        <v>0</v>
      </c>
      <c r="E199" s="495">
        <f t="shared" si="49"/>
        <v>0</v>
      </c>
      <c r="F199" s="495">
        <f t="shared" si="49"/>
        <v>0</v>
      </c>
      <c r="G199" s="495">
        <f t="shared" si="49"/>
        <v>0</v>
      </c>
      <c r="H199" s="495">
        <f t="shared" si="49"/>
        <v>0</v>
      </c>
      <c r="I199" s="495">
        <f t="shared" si="49"/>
        <v>0</v>
      </c>
      <c r="J199" s="495">
        <f t="shared" si="49"/>
        <v>0</v>
      </c>
      <c r="K199" s="496">
        <f t="shared" si="49"/>
        <v>642302.02</v>
      </c>
      <c r="L199" s="990">
        <v>642302.02</v>
      </c>
      <c r="M199" s="990">
        <v>0</v>
      </c>
      <c r="N199" s="990">
        <v>0</v>
      </c>
      <c r="O199" s="990">
        <v>0</v>
      </c>
      <c r="P199" s="990">
        <v>0</v>
      </c>
      <c r="Q199" s="990">
        <v>0</v>
      </c>
      <c r="R199" s="990">
        <v>0</v>
      </c>
      <c r="S199" s="990">
        <v>0</v>
      </c>
      <c r="T199" s="990">
        <v>642302.02</v>
      </c>
      <c r="U199" s="911">
        <v>595600.56000000006</v>
      </c>
      <c r="V199" s="495">
        <v>0</v>
      </c>
      <c r="W199" s="495">
        <v>0</v>
      </c>
      <c r="X199" s="495">
        <v>0</v>
      </c>
      <c r="Y199" s="495">
        <v>0</v>
      </c>
      <c r="Z199" s="495">
        <v>0</v>
      </c>
      <c r="AA199" s="495">
        <v>0</v>
      </c>
      <c r="AB199" s="495">
        <v>0</v>
      </c>
      <c r="AC199" s="496">
        <v>595600.56000000006</v>
      </c>
      <c r="AD199" s="494">
        <v>4697028.92</v>
      </c>
      <c r="AE199" s="495">
        <v>0</v>
      </c>
      <c r="AF199" s="495">
        <v>0</v>
      </c>
      <c r="AG199" s="495">
        <v>0</v>
      </c>
      <c r="AH199" s="495">
        <v>-595511</v>
      </c>
      <c r="AI199" s="495">
        <v>0</v>
      </c>
      <c r="AJ199" s="495">
        <v>0</v>
      </c>
      <c r="AK199" s="495">
        <v>27000</v>
      </c>
      <c r="AL199" s="496">
        <v>4128517.92</v>
      </c>
      <c r="AM199" s="494">
        <v>701277.26</v>
      </c>
      <c r="AN199" s="495">
        <v>0</v>
      </c>
      <c r="AO199" s="495">
        <v>0</v>
      </c>
      <c r="AP199" s="495">
        <v>0</v>
      </c>
      <c r="AQ199" s="495">
        <v>668118</v>
      </c>
      <c r="AR199" s="495">
        <v>0</v>
      </c>
      <c r="AS199" s="495">
        <v>0</v>
      </c>
      <c r="AT199" s="495">
        <v>0</v>
      </c>
      <c r="AU199" s="497">
        <v>1369395.26</v>
      </c>
      <c r="AV199" s="491">
        <f>AL199-AU199</f>
        <v>2759122.66</v>
      </c>
    </row>
    <row r="200" spans="1:48" ht="15" thickTop="1">
      <c r="A200" s="158"/>
      <c r="B200" s="488"/>
      <c r="C200" s="477"/>
      <c r="D200" s="489"/>
      <c r="E200" s="489"/>
      <c r="F200" s="489"/>
      <c r="G200" s="489"/>
      <c r="H200" s="489"/>
      <c r="I200" s="489"/>
      <c r="J200" s="489"/>
      <c r="K200" s="490"/>
      <c r="L200" s="311"/>
      <c r="M200" s="311"/>
      <c r="N200" s="311"/>
      <c r="O200" s="311"/>
      <c r="P200" s="311"/>
      <c r="Q200" s="311"/>
      <c r="R200" s="311"/>
      <c r="S200" s="311"/>
      <c r="T200" s="311"/>
      <c r="U200" s="477"/>
      <c r="V200" s="489"/>
      <c r="W200" s="489"/>
      <c r="X200" s="489"/>
      <c r="Y200" s="489"/>
      <c r="Z200" s="489"/>
      <c r="AA200" s="489"/>
      <c r="AB200" s="489"/>
      <c r="AC200" s="490"/>
      <c r="AD200" s="477"/>
      <c r="AE200" s="489"/>
      <c r="AF200" s="489"/>
      <c r="AG200" s="489"/>
      <c r="AH200" s="489"/>
      <c r="AI200" s="489"/>
      <c r="AJ200" s="489"/>
      <c r="AK200" s="489"/>
      <c r="AL200" s="490"/>
      <c r="AM200" s="477"/>
      <c r="AN200" s="489"/>
      <c r="AO200" s="489"/>
      <c r="AP200" s="489"/>
      <c r="AQ200" s="489"/>
      <c r="AR200" s="489"/>
      <c r="AS200" s="489"/>
      <c r="AT200" s="489"/>
      <c r="AU200" s="490"/>
    </row>
    <row r="201" spans="1:48">
      <c r="A201" s="158" t="s">
        <v>1142</v>
      </c>
      <c r="B201" s="488"/>
      <c r="C201" s="477"/>
      <c r="D201" s="489"/>
      <c r="E201" s="489"/>
      <c r="F201" s="489"/>
      <c r="G201" s="489"/>
      <c r="H201" s="489"/>
      <c r="I201" s="489"/>
      <c r="J201" s="489"/>
      <c r="K201" s="490"/>
      <c r="L201" s="311"/>
      <c r="M201" s="311"/>
      <c r="N201" s="311"/>
      <c r="O201" s="311"/>
      <c r="P201" s="311"/>
      <c r="Q201" s="311"/>
      <c r="R201" s="311"/>
      <c r="S201" s="311"/>
      <c r="T201" s="311"/>
      <c r="U201" s="477"/>
      <c r="V201" s="489"/>
      <c r="W201" s="489"/>
      <c r="X201" s="489"/>
      <c r="Y201" s="489"/>
      <c r="Z201" s="489"/>
      <c r="AA201" s="489"/>
      <c r="AB201" s="489"/>
      <c r="AC201" s="490"/>
      <c r="AD201" s="477"/>
      <c r="AE201" s="489"/>
      <c r="AF201" s="489"/>
      <c r="AG201" s="489"/>
      <c r="AH201" s="489"/>
      <c r="AI201" s="489"/>
      <c r="AJ201" s="489"/>
      <c r="AK201" s="489"/>
      <c r="AL201" s="490"/>
      <c r="AM201" s="477"/>
      <c r="AN201" s="489"/>
      <c r="AO201" s="489"/>
      <c r="AP201" s="489"/>
      <c r="AQ201" s="489"/>
      <c r="AR201" s="489"/>
      <c r="AS201" s="489"/>
      <c r="AT201" s="489"/>
      <c r="AU201" s="490"/>
    </row>
    <row r="202" spans="1:48">
      <c r="A202" s="444" t="s">
        <v>183</v>
      </c>
      <c r="B202" s="488" t="s">
        <v>449</v>
      </c>
      <c r="C202" s="477" cm="1">
        <f t="array" ref="C202">_xlfn.XLOOKUP(A202,'TB upload'!A:A,'TB upload'!C:C-'TB upload'!B:B,0,0)*-1</f>
        <v>371376</v>
      </c>
      <c r="D202" s="489"/>
      <c r="E202" s="942" cm="1">
        <f t="array" ref="E202">_xlfn.XLOOKUP(A202,'TB upload'!A:A,'TB upload'!E:E-'TB upload'!D:D,0,0)*-1</f>
        <v>0</v>
      </c>
      <c r="F202" s="489"/>
      <c r="G202" s="477" cm="1">
        <f t="array" ref="G202">_xlfn.XLOOKUP(A202,'TB upload'!A:A,'TB upload'!G:G-'TB upload'!F:F,0,0)*-1</f>
        <v>0</v>
      </c>
      <c r="H202" s="489"/>
      <c r="I202" s="477" cm="1">
        <f t="array" ref="I202">_xlfn.XLOOKUP(A202,'TB upload'!A:A,'TB upload'!I:I-'TB upload'!H:H,0,0)*-1</f>
        <v>0</v>
      </c>
      <c r="J202" s="489"/>
      <c r="K202" s="490">
        <f>SUM(C202:J202)</f>
        <v>371376</v>
      </c>
      <c r="L202" s="311">
        <v>371376</v>
      </c>
      <c r="M202" s="311"/>
      <c r="N202" s="311">
        <v>0</v>
      </c>
      <c r="O202" s="311"/>
      <c r="P202" s="311">
        <v>0</v>
      </c>
      <c r="Q202" s="311"/>
      <c r="R202" s="311">
        <v>0</v>
      </c>
      <c r="S202" s="311"/>
      <c r="T202" s="311">
        <v>371376</v>
      </c>
      <c r="U202" s="649">
        <v>371376</v>
      </c>
      <c r="V202" s="489"/>
      <c r="W202" s="489"/>
      <c r="X202" s="489"/>
      <c r="Y202" s="489"/>
      <c r="Z202" s="489"/>
      <c r="AA202" s="489"/>
      <c r="AB202" s="489"/>
      <c r="AC202" s="490">
        <v>371376</v>
      </c>
      <c r="AD202" s="477">
        <v>604877</v>
      </c>
      <c r="AE202" s="489"/>
      <c r="AF202" s="489">
        <v>0</v>
      </c>
      <c r="AG202" s="489"/>
      <c r="AH202" s="489">
        <v>0</v>
      </c>
      <c r="AI202" s="489"/>
      <c r="AJ202" s="489">
        <v>0</v>
      </c>
      <c r="AK202" s="489">
        <v>-371392</v>
      </c>
      <c r="AL202" s="490">
        <v>233485</v>
      </c>
      <c r="AM202" s="477">
        <v>298328</v>
      </c>
      <c r="AN202" s="489"/>
      <c r="AO202" s="489"/>
      <c r="AP202" s="489"/>
      <c r="AQ202" s="489"/>
      <c r="AR202" s="489"/>
      <c r="AS202" s="489"/>
      <c r="AT202" s="489"/>
      <c r="AU202" s="490">
        <v>298328</v>
      </c>
      <c r="AV202" s="491"/>
    </row>
    <row r="203" spans="1:48" ht="15" thickBot="1">
      <c r="A203" s="158"/>
      <c r="B203" s="488"/>
      <c r="C203" s="477"/>
      <c r="D203" s="489"/>
      <c r="E203" s="489"/>
      <c r="F203" s="489"/>
      <c r="G203" s="489"/>
      <c r="H203" s="489"/>
      <c r="I203" s="489"/>
      <c r="J203" s="489"/>
      <c r="K203" s="490"/>
      <c r="L203" s="311"/>
      <c r="M203" s="311"/>
      <c r="N203" s="311"/>
      <c r="O203" s="311"/>
      <c r="P203" s="311"/>
      <c r="Q203" s="311"/>
      <c r="R203" s="311"/>
      <c r="S203" s="311"/>
      <c r="T203" s="311"/>
      <c r="U203" s="477"/>
      <c r="V203" s="489"/>
      <c r="W203" s="489"/>
      <c r="X203" s="489"/>
      <c r="Y203" s="489"/>
      <c r="Z203" s="489"/>
      <c r="AA203" s="489"/>
      <c r="AB203" s="489"/>
      <c r="AC203" s="490"/>
      <c r="AD203" s="477"/>
      <c r="AE203" s="489"/>
      <c r="AF203" s="489"/>
      <c r="AG203" s="489"/>
      <c r="AH203" s="489"/>
      <c r="AI203" s="489"/>
      <c r="AJ203" s="489"/>
      <c r="AK203" s="489"/>
      <c r="AL203" s="490"/>
      <c r="AM203" s="477"/>
      <c r="AN203" s="489"/>
      <c r="AO203" s="489"/>
      <c r="AP203" s="489"/>
      <c r="AQ203" s="489"/>
      <c r="AR203" s="489"/>
      <c r="AS203" s="489"/>
      <c r="AT203" s="489"/>
      <c r="AU203" s="490"/>
    </row>
    <row r="204" spans="1:48" ht="15.6" thickTop="1" thickBot="1">
      <c r="A204" s="492"/>
      <c r="B204" s="493" t="s">
        <v>51</v>
      </c>
      <c r="C204" s="911">
        <f t="shared" ref="C204:K204" si="50">SUM(C202:C203)</f>
        <v>371376</v>
      </c>
      <c r="D204" s="495">
        <f t="shared" si="50"/>
        <v>0</v>
      </c>
      <c r="E204" s="495">
        <f t="shared" si="50"/>
        <v>0</v>
      </c>
      <c r="F204" s="495">
        <f t="shared" si="50"/>
        <v>0</v>
      </c>
      <c r="G204" s="495">
        <f t="shared" si="50"/>
        <v>0</v>
      </c>
      <c r="H204" s="495">
        <f t="shared" si="50"/>
        <v>0</v>
      </c>
      <c r="I204" s="495">
        <f t="shared" si="50"/>
        <v>0</v>
      </c>
      <c r="J204" s="495">
        <f t="shared" si="50"/>
        <v>0</v>
      </c>
      <c r="K204" s="496">
        <f t="shared" si="50"/>
        <v>371376</v>
      </c>
      <c r="L204" s="990">
        <v>371376</v>
      </c>
      <c r="M204" s="990">
        <v>0</v>
      </c>
      <c r="N204" s="990">
        <v>0</v>
      </c>
      <c r="O204" s="990">
        <v>0</v>
      </c>
      <c r="P204" s="990">
        <v>0</v>
      </c>
      <c r="Q204" s="990">
        <v>0</v>
      </c>
      <c r="R204" s="990">
        <v>0</v>
      </c>
      <c r="S204" s="990">
        <v>0</v>
      </c>
      <c r="T204" s="990">
        <v>371376</v>
      </c>
      <c r="U204" s="911">
        <v>371376</v>
      </c>
      <c r="V204" s="495">
        <v>0</v>
      </c>
      <c r="W204" s="495">
        <v>0</v>
      </c>
      <c r="X204" s="495">
        <v>0</v>
      </c>
      <c r="Y204" s="495">
        <v>0</v>
      </c>
      <c r="Z204" s="495">
        <v>0</v>
      </c>
      <c r="AA204" s="495">
        <v>0</v>
      </c>
      <c r="AB204" s="495">
        <v>0</v>
      </c>
      <c r="AC204" s="496">
        <v>371376</v>
      </c>
      <c r="AD204" s="494">
        <v>604877</v>
      </c>
      <c r="AE204" s="495">
        <v>0</v>
      </c>
      <c r="AF204" s="495">
        <v>0</v>
      </c>
      <c r="AG204" s="495">
        <v>0</v>
      </c>
      <c r="AH204" s="495">
        <v>0</v>
      </c>
      <c r="AI204" s="495">
        <v>0</v>
      </c>
      <c r="AJ204" s="495">
        <v>0</v>
      </c>
      <c r="AK204" s="495">
        <v>-371392</v>
      </c>
      <c r="AL204" s="496">
        <v>233485</v>
      </c>
      <c r="AM204" s="494">
        <v>298328</v>
      </c>
      <c r="AN204" s="495">
        <v>0</v>
      </c>
      <c r="AO204" s="495">
        <v>0</v>
      </c>
      <c r="AP204" s="495">
        <v>0</v>
      </c>
      <c r="AQ204" s="495">
        <v>0</v>
      </c>
      <c r="AR204" s="495">
        <v>0</v>
      </c>
      <c r="AS204" s="495">
        <v>0</v>
      </c>
      <c r="AT204" s="495">
        <v>0</v>
      </c>
      <c r="AU204" s="497">
        <v>298328</v>
      </c>
      <c r="AV204" s="491">
        <f>AL204-AU204</f>
        <v>-64843</v>
      </c>
    </row>
    <row r="205" spans="1:48" ht="15" thickTop="1">
      <c r="A205" s="158"/>
      <c r="B205" s="488"/>
      <c r="C205" s="477"/>
      <c r="D205" s="489"/>
      <c r="E205" s="489"/>
      <c r="F205" s="489"/>
      <c r="G205" s="489"/>
      <c r="H205" s="489"/>
      <c r="I205" s="489"/>
      <c r="J205" s="489"/>
      <c r="K205" s="490"/>
      <c r="L205" s="311"/>
      <c r="M205" s="311"/>
      <c r="N205" s="311"/>
      <c r="O205" s="311"/>
      <c r="P205" s="311"/>
      <c r="Q205" s="311"/>
      <c r="R205" s="311"/>
      <c r="S205" s="311"/>
      <c r="T205" s="311"/>
      <c r="U205" s="477"/>
      <c r="V205" s="489"/>
      <c r="W205" s="489"/>
      <c r="X205" s="489"/>
      <c r="Y205" s="489"/>
      <c r="Z205" s="489"/>
      <c r="AA205" s="489"/>
      <c r="AB205" s="489"/>
      <c r="AC205" s="490"/>
      <c r="AD205" s="477"/>
      <c r="AE205" s="489"/>
      <c r="AF205" s="489"/>
      <c r="AG205" s="489"/>
      <c r="AH205" s="489"/>
      <c r="AI205" s="489"/>
      <c r="AJ205" s="489"/>
      <c r="AK205" s="489"/>
      <c r="AL205" s="490"/>
      <c r="AM205" s="477"/>
      <c r="AN205" s="489"/>
      <c r="AO205" s="489"/>
      <c r="AP205" s="489"/>
      <c r="AQ205" s="489"/>
      <c r="AR205" s="489"/>
      <c r="AS205" s="489"/>
      <c r="AT205" s="489"/>
      <c r="AU205" s="490"/>
    </row>
    <row r="206" spans="1:48">
      <c r="A206" s="155" t="s">
        <v>248</v>
      </c>
      <c r="B206" s="488"/>
      <c r="C206" s="477"/>
      <c r="D206" s="489"/>
      <c r="E206" s="489"/>
      <c r="F206" s="489"/>
      <c r="G206" s="489"/>
      <c r="H206" s="489"/>
      <c r="I206" s="489"/>
      <c r="J206" s="489"/>
      <c r="K206" s="490"/>
      <c r="L206" s="311"/>
      <c r="M206" s="311"/>
      <c r="N206" s="311"/>
      <c r="O206" s="311"/>
      <c r="P206" s="311"/>
      <c r="Q206" s="311"/>
      <c r="R206" s="311"/>
      <c r="S206" s="311"/>
      <c r="T206" s="311"/>
      <c r="U206" s="477"/>
      <c r="V206" s="489"/>
      <c r="W206" s="489"/>
      <c r="X206" s="489"/>
      <c r="Y206" s="489"/>
      <c r="Z206" s="489"/>
      <c r="AA206" s="489"/>
      <c r="AB206" s="489"/>
      <c r="AC206" s="490"/>
      <c r="AD206" s="477"/>
      <c r="AE206" s="489"/>
      <c r="AF206" s="489"/>
      <c r="AG206" s="489"/>
      <c r="AH206" s="489"/>
      <c r="AI206" s="489"/>
      <c r="AJ206" s="489"/>
      <c r="AK206" s="489"/>
      <c r="AL206" s="490"/>
      <c r="AM206" s="477"/>
      <c r="AN206" s="489"/>
      <c r="AO206" s="489"/>
      <c r="AP206" s="489"/>
      <c r="AQ206" s="489"/>
      <c r="AR206" s="489"/>
      <c r="AS206" s="489"/>
      <c r="AT206" s="489"/>
      <c r="AU206" s="490"/>
    </row>
    <row r="207" spans="1:48">
      <c r="A207" s="444" t="s">
        <v>190</v>
      </c>
      <c r="B207" s="488" t="s">
        <v>449</v>
      </c>
      <c r="C207" s="477" cm="1">
        <f t="array" ref="C207">_xlfn.XLOOKUP(A207,'TB upload'!A:A,'TB upload'!C:C-'TB upload'!B:B,0,0)*-1</f>
        <v>7085</v>
      </c>
      <c r="D207" s="489"/>
      <c r="E207" s="942" cm="1">
        <f t="array" ref="E207">_xlfn.XLOOKUP(A207,'TB upload'!A:A,'TB upload'!E:E-'TB upload'!D:D,0,0)*-1</f>
        <v>0</v>
      </c>
      <c r="F207" s="489"/>
      <c r="G207" s="477" cm="1">
        <f t="array" ref="G207">_xlfn.XLOOKUP(A207,'TB upload'!A:A,'TB upload'!G:G-'TB upload'!F:F,0,0)*-1</f>
        <v>0</v>
      </c>
      <c r="H207" s="489"/>
      <c r="I207" s="477" cm="1">
        <f t="array" ref="I207">_xlfn.XLOOKUP(A207,'TB upload'!A:A,'TB upload'!I:I-'TB upload'!H:H,0,0)*-1</f>
        <v>0</v>
      </c>
      <c r="J207" s="489"/>
      <c r="K207" s="490">
        <f t="shared" ref="K207:K208" si="51">SUM(C207:J207)</f>
        <v>7085</v>
      </c>
      <c r="L207" s="311">
        <v>7085</v>
      </c>
      <c r="M207" s="311"/>
      <c r="N207" s="311">
        <v>0</v>
      </c>
      <c r="O207" s="311"/>
      <c r="P207" s="311">
        <v>0</v>
      </c>
      <c r="Q207" s="311"/>
      <c r="R207" s="311">
        <v>0</v>
      </c>
      <c r="S207" s="311"/>
      <c r="T207" s="311">
        <v>7085</v>
      </c>
      <c r="U207" s="649">
        <v>7085</v>
      </c>
      <c r="V207" s="489"/>
      <c r="W207" s="489"/>
      <c r="X207" s="489"/>
      <c r="Y207" s="489"/>
      <c r="Z207" s="489"/>
      <c r="AA207" s="489">
        <v>11755</v>
      </c>
      <c r="AB207" s="489"/>
      <c r="AC207" s="490">
        <v>18840</v>
      </c>
      <c r="AD207" s="477">
        <v>32947</v>
      </c>
      <c r="AE207" s="489"/>
      <c r="AF207" s="489">
        <v>0</v>
      </c>
      <c r="AG207" s="489"/>
      <c r="AH207" s="489">
        <v>0</v>
      </c>
      <c r="AI207" s="489"/>
      <c r="AJ207" s="489">
        <v>0</v>
      </c>
      <c r="AK207" s="489"/>
      <c r="AL207" s="490">
        <v>32947</v>
      </c>
      <c r="AM207" s="477">
        <v>29482</v>
      </c>
      <c r="AN207" s="489"/>
      <c r="AO207" s="489"/>
      <c r="AP207" s="489"/>
      <c r="AQ207" s="489"/>
      <c r="AR207" s="489"/>
      <c r="AS207" s="489"/>
      <c r="AT207" s="489"/>
      <c r="AU207" s="490">
        <v>29482</v>
      </c>
      <c r="AV207" s="491"/>
    </row>
    <row r="208" spans="1:48">
      <c r="A208" s="444" t="s">
        <v>1425</v>
      </c>
      <c r="B208" s="488" t="s">
        <v>449</v>
      </c>
      <c r="C208" s="477" cm="1">
        <f t="array" ref="C208">_xlfn.XLOOKUP(A208,'TB upload'!A:A,'TB upload'!C:C-'TB upload'!B:B,0,0)*-1</f>
        <v>0</v>
      </c>
      <c r="D208" s="489"/>
      <c r="E208" s="942" cm="1">
        <f t="array" ref="E208">_xlfn.XLOOKUP(A208,'TB upload'!A:A,'TB upload'!E:E-'TB upload'!D:D,0,0)*-1</f>
        <v>0</v>
      </c>
      <c r="F208" s="489"/>
      <c r="G208" s="477" cm="1">
        <f t="array" ref="G208">_xlfn.XLOOKUP(A208,'TB upload'!A:A,'TB upload'!G:G-'TB upload'!F:F,0,0)*-1</f>
        <v>0</v>
      </c>
      <c r="H208" s="489"/>
      <c r="I208" s="477" cm="1">
        <f t="array" ref="I208">_xlfn.XLOOKUP(A208,'TB upload'!A:A,'TB upload'!I:I-'TB upload'!H:H,0,0)*-1</f>
        <v>11755</v>
      </c>
      <c r="J208" s="489"/>
      <c r="K208" s="490">
        <f t="shared" si="51"/>
        <v>11755</v>
      </c>
      <c r="L208" s="311">
        <v>0</v>
      </c>
      <c r="M208" s="311"/>
      <c r="N208" s="311">
        <v>0</v>
      </c>
      <c r="O208" s="311"/>
      <c r="P208" s="311">
        <v>0</v>
      </c>
      <c r="Q208" s="311"/>
      <c r="R208" s="311">
        <v>11755</v>
      </c>
      <c r="S208" s="311"/>
      <c r="T208" s="311">
        <v>11755</v>
      </c>
      <c r="U208" s="477">
        <v>0</v>
      </c>
      <c r="V208" s="489"/>
      <c r="W208" s="489"/>
      <c r="X208" s="489"/>
      <c r="Y208" s="489"/>
      <c r="Z208" s="489"/>
      <c r="AA208" s="489"/>
      <c r="AB208" s="489"/>
      <c r="AC208" s="490">
        <v>0</v>
      </c>
      <c r="AD208" s="477">
        <v>0</v>
      </c>
      <c r="AE208" s="489"/>
      <c r="AF208" s="489">
        <v>0</v>
      </c>
      <c r="AG208" s="489"/>
      <c r="AH208" s="489">
        <v>0</v>
      </c>
      <c r="AI208" s="489"/>
      <c r="AJ208" s="489">
        <v>42840</v>
      </c>
      <c r="AK208" s="489"/>
      <c r="AL208" s="490">
        <v>42840</v>
      </c>
      <c r="AM208" s="477">
        <v>0</v>
      </c>
      <c r="AN208" s="489"/>
      <c r="AO208" s="489"/>
      <c r="AP208" s="489"/>
      <c r="AQ208" s="489"/>
      <c r="AR208" s="489"/>
      <c r="AS208" s="489"/>
      <c r="AT208" s="489"/>
      <c r="AU208" s="490">
        <v>0</v>
      </c>
      <c r="AV208" s="491"/>
    </row>
    <row r="209" spans="1:48" ht="15" thickBot="1">
      <c r="A209" s="158"/>
      <c r="B209" s="488"/>
      <c r="C209" s="477"/>
      <c r="D209" s="489"/>
      <c r="E209" s="489"/>
      <c r="F209" s="489"/>
      <c r="G209" s="489"/>
      <c r="H209" s="489"/>
      <c r="I209" s="489"/>
      <c r="J209" s="489"/>
      <c r="K209" s="490"/>
      <c r="L209" s="311"/>
      <c r="M209" s="311"/>
      <c r="N209" s="311"/>
      <c r="O209" s="311"/>
      <c r="P209" s="311"/>
      <c r="Q209" s="311"/>
      <c r="R209" s="311"/>
      <c r="S209" s="311"/>
      <c r="T209" s="311"/>
      <c r="U209" s="477"/>
      <c r="V209" s="489"/>
      <c r="W209" s="489"/>
      <c r="X209" s="489"/>
      <c r="Y209" s="489"/>
      <c r="Z209" s="489"/>
      <c r="AA209" s="489"/>
      <c r="AB209" s="489"/>
      <c r="AC209" s="490"/>
      <c r="AD209" s="477"/>
      <c r="AE209" s="489"/>
      <c r="AF209" s="489"/>
      <c r="AG209" s="489"/>
      <c r="AH209" s="489"/>
      <c r="AI209" s="489"/>
      <c r="AJ209" s="489"/>
      <c r="AK209" s="489"/>
      <c r="AL209" s="490"/>
      <c r="AM209" s="477"/>
      <c r="AN209" s="489"/>
      <c r="AO209" s="489"/>
      <c r="AP209" s="489"/>
      <c r="AQ209" s="489"/>
      <c r="AR209" s="489"/>
      <c r="AS209" s="489"/>
      <c r="AT209" s="489"/>
      <c r="AU209" s="490"/>
    </row>
    <row r="210" spans="1:48" ht="15.6" thickTop="1" thickBot="1">
      <c r="A210" s="492"/>
      <c r="B210" s="493" t="s">
        <v>51</v>
      </c>
      <c r="C210" s="911">
        <f t="shared" ref="C210:J210" si="52">SUM(C207:C209)</f>
        <v>7085</v>
      </c>
      <c r="D210" s="495">
        <f t="shared" si="52"/>
        <v>0</v>
      </c>
      <c r="E210" s="495">
        <f t="shared" si="52"/>
        <v>0</v>
      </c>
      <c r="F210" s="495">
        <f t="shared" si="52"/>
        <v>0</v>
      </c>
      <c r="G210" s="495">
        <f t="shared" si="52"/>
        <v>0</v>
      </c>
      <c r="H210" s="495">
        <f t="shared" si="52"/>
        <v>0</v>
      </c>
      <c r="I210" s="495">
        <f t="shared" si="52"/>
        <v>11755</v>
      </c>
      <c r="J210" s="495">
        <f t="shared" si="52"/>
        <v>0</v>
      </c>
      <c r="K210" s="496">
        <f>SUM(K207:K209)</f>
        <v>18840</v>
      </c>
      <c r="L210" s="990">
        <v>7085</v>
      </c>
      <c r="M210" s="990">
        <v>0</v>
      </c>
      <c r="N210" s="990">
        <v>0</v>
      </c>
      <c r="O210" s="990">
        <v>0</v>
      </c>
      <c r="P210" s="990">
        <v>0</v>
      </c>
      <c r="Q210" s="990">
        <v>0</v>
      </c>
      <c r="R210" s="990">
        <v>11755</v>
      </c>
      <c r="S210" s="990">
        <v>0</v>
      </c>
      <c r="T210" s="990">
        <v>18840</v>
      </c>
      <c r="U210" s="911">
        <v>7085</v>
      </c>
      <c r="V210" s="495">
        <v>0</v>
      </c>
      <c r="W210" s="495">
        <v>0</v>
      </c>
      <c r="X210" s="495">
        <v>0</v>
      </c>
      <c r="Y210" s="495">
        <v>0</v>
      </c>
      <c r="Z210" s="495">
        <v>0</v>
      </c>
      <c r="AA210" s="495">
        <v>11755</v>
      </c>
      <c r="AB210" s="495">
        <v>0</v>
      </c>
      <c r="AC210" s="496">
        <v>18840</v>
      </c>
      <c r="AD210" s="494">
        <v>32947</v>
      </c>
      <c r="AE210" s="495">
        <v>0</v>
      </c>
      <c r="AF210" s="495">
        <v>0</v>
      </c>
      <c r="AG210" s="495">
        <v>0</v>
      </c>
      <c r="AH210" s="495">
        <v>0</v>
      </c>
      <c r="AI210" s="495">
        <v>0</v>
      </c>
      <c r="AJ210" s="495">
        <v>42840</v>
      </c>
      <c r="AK210" s="495">
        <v>0</v>
      </c>
      <c r="AL210" s="496">
        <v>75787</v>
      </c>
      <c r="AM210" s="494">
        <v>29482</v>
      </c>
      <c r="AN210" s="495">
        <v>0</v>
      </c>
      <c r="AO210" s="495">
        <v>0</v>
      </c>
      <c r="AP210" s="495">
        <v>0</v>
      </c>
      <c r="AQ210" s="495">
        <v>0</v>
      </c>
      <c r="AR210" s="495">
        <v>0</v>
      </c>
      <c r="AS210" s="495">
        <v>0</v>
      </c>
      <c r="AT210" s="495">
        <v>0</v>
      </c>
      <c r="AU210" s="497">
        <v>29482</v>
      </c>
      <c r="AV210" s="491">
        <f>AL210-AU210</f>
        <v>46305</v>
      </c>
    </row>
    <row r="211" spans="1:48" ht="15" thickTop="1">
      <c r="A211" s="158"/>
      <c r="B211" s="488"/>
      <c r="C211" s="477"/>
      <c r="D211" s="489"/>
      <c r="E211" s="489"/>
      <c r="F211" s="489"/>
      <c r="G211" s="489"/>
      <c r="H211" s="489"/>
      <c r="I211" s="489"/>
      <c r="J211" s="489"/>
      <c r="K211" s="490"/>
      <c r="L211" s="311"/>
      <c r="M211" s="311"/>
      <c r="N211" s="311"/>
      <c r="O211" s="311"/>
      <c r="P211" s="311"/>
      <c r="Q211" s="311"/>
      <c r="R211" s="311"/>
      <c r="S211" s="311"/>
      <c r="T211" s="311"/>
      <c r="U211" s="477"/>
      <c r="V211" s="489"/>
      <c r="W211" s="489"/>
      <c r="X211" s="489"/>
      <c r="Y211" s="489"/>
      <c r="Z211" s="489"/>
      <c r="AA211" s="489"/>
      <c r="AB211" s="489"/>
      <c r="AC211" s="490"/>
      <c r="AD211" s="477"/>
      <c r="AE211" s="489"/>
      <c r="AF211" s="489"/>
      <c r="AG211" s="489"/>
      <c r="AH211" s="489"/>
      <c r="AI211" s="489"/>
      <c r="AJ211" s="489"/>
      <c r="AK211" s="489"/>
      <c r="AL211" s="490"/>
      <c r="AM211" s="477"/>
      <c r="AN211" s="489"/>
      <c r="AO211" s="489"/>
      <c r="AP211" s="489"/>
      <c r="AQ211" s="489"/>
      <c r="AR211" s="489"/>
      <c r="AS211" s="489"/>
      <c r="AT211" s="489"/>
      <c r="AU211" s="490"/>
    </row>
    <row r="212" spans="1:48">
      <c r="A212" s="158" t="s">
        <v>1018</v>
      </c>
      <c r="B212" s="488"/>
      <c r="C212" s="477"/>
      <c r="D212" s="489"/>
      <c r="E212" s="489"/>
      <c r="F212" s="489"/>
      <c r="G212" s="489"/>
      <c r="H212" s="489"/>
      <c r="I212" s="489"/>
      <c r="J212" s="489"/>
      <c r="K212" s="490"/>
      <c r="L212" s="311"/>
      <c r="M212" s="311"/>
      <c r="N212" s="311"/>
      <c r="O212" s="311"/>
      <c r="P212" s="311"/>
      <c r="Q212" s="311"/>
      <c r="R212" s="311"/>
      <c r="S212" s="311"/>
      <c r="T212" s="311"/>
      <c r="U212" s="477"/>
      <c r="V212" s="489"/>
      <c r="W212" s="489"/>
      <c r="X212" s="489"/>
      <c r="Y212" s="489"/>
      <c r="Z212" s="489"/>
      <c r="AA212" s="489"/>
      <c r="AB212" s="489"/>
      <c r="AC212" s="490"/>
      <c r="AD212" s="477"/>
      <c r="AE212" s="489"/>
      <c r="AF212" s="489"/>
      <c r="AG212" s="489"/>
      <c r="AH212" s="489"/>
      <c r="AI212" s="489"/>
      <c r="AJ212" s="489"/>
      <c r="AK212" s="489"/>
      <c r="AL212" s="490"/>
      <c r="AM212" s="477"/>
      <c r="AN212" s="489"/>
      <c r="AO212" s="489"/>
      <c r="AP212" s="489"/>
      <c r="AQ212" s="489"/>
      <c r="AR212" s="489"/>
      <c r="AS212" s="489"/>
      <c r="AT212" s="489"/>
      <c r="AU212" s="490"/>
    </row>
    <row r="213" spans="1:48">
      <c r="A213" s="444" t="s">
        <v>1383</v>
      </c>
      <c r="B213" s="488" t="s">
        <v>449</v>
      </c>
      <c r="C213" s="477" cm="1">
        <f t="array" ref="C213">_xlfn.XLOOKUP(A213,'TB upload'!A:A,'TB upload'!C:C-'TB upload'!B:B,0,0)*-1</f>
        <v>548910.06999999995</v>
      </c>
      <c r="D213" s="489"/>
      <c r="E213" s="942" cm="1">
        <f t="array" ref="E213">_xlfn.XLOOKUP(A213,'TB upload'!A:A,'TB upload'!E:E-'TB upload'!D:D,0,0)*-1</f>
        <v>0</v>
      </c>
      <c r="F213" s="489"/>
      <c r="G213" s="477" cm="1">
        <f t="array" ref="G213">_xlfn.XLOOKUP(A213,'TB upload'!A:A,'TB upload'!G:G-'TB upload'!F:F,0,0)*-1</f>
        <v>0</v>
      </c>
      <c r="H213" s="489"/>
      <c r="I213" s="477" cm="1">
        <f t="array" ref="I213">_xlfn.XLOOKUP(A213,'TB upload'!A:A,'TB upload'!I:I-'TB upload'!H:H,0,0)*-1</f>
        <v>0</v>
      </c>
      <c r="J213" s="489"/>
      <c r="K213" s="490">
        <f t="shared" ref="K213:K214" si="53">SUM(C213:J213)</f>
        <v>548910.06999999995</v>
      </c>
      <c r="L213" s="311">
        <v>170163.09</v>
      </c>
      <c r="M213" s="311"/>
      <c r="N213" s="311">
        <v>0</v>
      </c>
      <c r="O213" s="311"/>
      <c r="P213" s="311">
        <v>0</v>
      </c>
      <c r="Q213" s="311"/>
      <c r="R213" s="311">
        <v>0</v>
      </c>
      <c r="S213" s="311"/>
      <c r="T213" s="311">
        <v>170163.09</v>
      </c>
      <c r="U213" s="649">
        <v>170163.09</v>
      </c>
      <c r="V213" s="489"/>
      <c r="W213" s="489"/>
      <c r="X213" s="489"/>
      <c r="Y213" s="489"/>
      <c r="Z213" s="489"/>
      <c r="AA213" s="489"/>
      <c r="AB213" s="489"/>
      <c r="AC213" s="490">
        <v>170163.09</v>
      </c>
      <c r="AD213" s="477">
        <v>124818.6</v>
      </c>
      <c r="AE213" s="489"/>
      <c r="AF213" s="489">
        <v>0</v>
      </c>
      <c r="AG213" s="489"/>
      <c r="AH213" s="489">
        <v>0</v>
      </c>
      <c r="AI213" s="489"/>
      <c r="AJ213" s="489">
        <v>0</v>
      </c>
      <c r="AK213" s="489">
        <v>-86741.14</v>
      </c>
      <c r="AL213" s="490">
        <v>38077.460000000006</v>
      </c>
      <c r="AM213" s="477">
        <v>0</v>
      </c>
      <c r="AN213" s="489"/>
      <c r="AO213" s="489"/>
      <c r="AP213" s="489"/>
      <c r="AQ213" s="489"/>
      <c r="AR213" s="489"/>
      <c r="AS213" s="489"/>
      <c r="AT213" s="489"/>
      <c r="AU213" s="490">
        <v>0</v>
      </c>
      <c r="AV213" s="491"/>
    </row>
    <row r="214" spans="1:48">
      <c r="A214" s="444" t="s">
        <v>192</v>
      </c>
      <c r="B214" s="488" t="s">
        <v>449</v>
      </c>
      <c r="C214" s="477" cm="1">
        <f t="array" ref="C214">_xlfn.XLOOKUP(A214,'TB upload'!A:A,'TB upload'!C:C-'TB upload'!B:B,0,0)*-1</f>
        <v>0</v>
      </c>
      <c r="D214" s="489"/>
      <c r="E214" s="942" cm="1">
        <f t="array" ref="E214">_xlfn.XLOOKUP(A214,'TB upload'!A:A,'TB upload'!E:E-'TB upload'!D:D,0,0)*-1</f>
        <v>0</v>
      </c>
      <c r="F214" s="489"/>
      <c r="G214" s="477" cm="1">
        <f t="array" ref="G214">_xlfn.XLOOKUP(A214,'TB upload'!A:A,'TB upload'!G:G-'TB upload'!F:F,0,0)*-1</f>
        <v>0</v>
      </c>
      <c r="H214" s="489"/>
      <c r="I214" s="477" cm="1">
        <f t="array" ref="I214">_xlfn.XLOOKUP(A214,'TB upload'!A:A,'TB upload'!I:I-'TB upload'!H:H,0,0)*-1</f>
        <v>0</v>
      </c>
      <c r="J214" s="489"/>
      <c r="K214" s="490">
        <f t="shared" si="53"/>
        <v>0</v>
      </c>
      <c r="L214" s="311">
        <v>0</v>
      </c>
      <c r="M214" s="311"/>
      <c r="N214" s="311">
        <v>0</v>
      </c>
      <c r="O214" s="311"/>
      <c r="P214" s="311">
        <v>0</v>
      </c>
      <c r="Q214" s="311"/>
      <c r="R214" s="311">
        <v>0</v>
      </c>
      <c r="S214" s="311"/>
      <c r="T214" s="311">
        <v>0</v>
      </c>
      <c r="U214" s="477">
        <v>0</v>
      </c>
      <c r="V214" s="489"/>
      <c r="W214" s="489"/>
      <c r="X214" s="489"/>
      <c r="Y214" s="489"/>
      <c r="Z214" s="489"/>
      <c r="AA214" s="489"/>
      <c r="AB214" s="489"/>
      <c r="AC214" s="490">
        <v>0</v>
      </c>
      <c r="AD214" s="477">
        <v>0</v>
      </c>
      <c r="AE214" s="489"/>
      <c r="AF214" s="489">
        <v>0</v>
      </c>
      <c r="AG214" s="489"/>
      <c r="AH214" s="489">
        <v>0</v>
      </c>
      <c r="AI214" s="489"/>
      <c r="AJ214" s="489">
        <v>0</v>
      </c>
      <c r="AK214" s="489"/>
      <c r="AL214" s="490">
        <v>0</v>
      </c>
      <c r="AM214" s="477">
        <v>122301.48</v>
      </c>
      <c r="AN214" s="489"/>
      <c r="AO214" s="489"/>
      <c r="AP214" s="489"/>
      <c r="AQ214" s="489"/>
      <c r="AR214" s="489"/>
      <c r="AS214" s="489"/>
      <c r="AT214" s="489"/>
      <c r="AU214" s="490">
        <v>122301.48</v>
      </c>
      <c r="AV214" s="491"/>
    </row>
    <row r="215" spans="1:48" ht="15" thickBot="1">
      <c r="A215" s="158"/>
      <c r="B215" s="488"/>
      <c r="C215" s="477"/>
      <c r="D215" s="489"/>
      <c r="E215" s="489"/>
      <c r="F215" s="489"/>
      <c r="G215" s="489"/>
      <c r="H215" s="489"/>
      <c r="I215" s="489"/>
      <c r="J215" s="489"/>
      <c r="K215" s="490"/>
      <c r="L215" s="311"/>
      <c r="M215" s="311"/>
      <c r="N215" s="311"/>
      <c r="O215" s="311"/>
      <c r="P215" s="311"/>
      <c r="Q215" s="311"/>
      <c r="R215" s="311"/>
      <c r="S215" s="311"/>
      <c r="T215" s="311"/>
      <c r="U215" s="477"/>
      <c r="V215" s="489"/>
      <c r="W215" s="489"/>
      <c r="X215" s="489"/>
      <c r="Y215" s="489"/>
      <c r="Z215" s="489"/>
      <c r="AA215" s="489"/>
      <c r="AB215" s="489"/>
      <c r="AC215" s="490"/>
      <c r="AD215" s="477"/>
      <c r="AE215" s="489"/>
      <c r="AF215" s="489"/>
      <c r="AG215" s="489"/>
      <c r="AH215" s="489"/>
      <c r="AI215" s="489"/>
      <c r="AJ215" s="489"/>
      <c r="AK215" s="489"/>
      <c r="AL215" s="490"/>
      <c r="AM215" s="477"/>
      <c r="AN215" s="489"/>
      <c r="AO215" s="489"/>
      <c r="AP215" s="489"/>
      <c r="AQ215" s="489"/>
      <c r="AR215" s="489"/>
      <c r="AS215" s="489"/>
      <c r="AT215" s="489"/>
      <c r="AU215" s="490"/>
    </row>
    <row r="216" spans="1:48" ht="15.6" thickTop="1" thickBot="1">
      <c r="A216" s="492"/>
      <c r="B216" s="493" t="s">
        <v>51</v>
      </c>
      <c r="C216" s="911">
        <f>SUM(C213:C215)</f>
        <v>548910.06999999995</v>
      </c>
      <c r="D216" s="495">
        <f t="shared" ref="D216:K216" si="54">SUM(D213:D215)</f>
        <v>0</v>
      </c>
      <c r="E216" s="495">
        <f t="shared" si="54"/>
        <v>0</v>
      </c>
      <c r="F216" s="495">
        <f t="shared" si="54"/>
        <v>0</v>
      </c>
      <c r="G216" s="495">
        <f t="shared" si="54"/>
        <v>0</v>
      </c>
      <c r="H216" s="495">
        <f t="shared" si="54"/>
        <v>0</v>
      </c>
      <c r="I216" s="495">
        <f t="shared" si="54"/>
        <v>0</v>
      </c>
      <c r="J216" s="495">
        <f t="shared" si="54"/>
        <v>0</v>
      </c>
      <c r="K216" s="496">
        <f t="shared" si="54"/>
        <v>548910.06999999995</v>
      </c>
      <c r="L216" s="990">
        <v>170163.09</v>
      </c>
      <c r="M216" s="990">
        <v>0</v>
      </c>
      <c r="N216" s="990">
        <v>0</v>
      </c>
      <c r="O216" s="990">
        <v>0</v>
      </c>
      <c r="P216" s="990">
        <v>0</v>
      </c>
      <c r="Q216" s="990">
        <v>0</v>
      </c>
      <c r="R216" s="990">
        <v>0</v>
      </c>
      <c r="S216" s="990">
        <v>0</v>
      </c>
      <c r="T216" s="990">
        <v>170163.09</v>
      </c>
      <c r="U216" s="911">
        <v>170163.09</v>
      </c>
      <c r="V216" s="495">
        <v>0</v>
      </c>
      <c r="W216" s="495">
        <v>0</v>
      </c>
      <c r="X216" s="495">
        <v>0</v>
      </c>
      <c r="Y216" s="495">
        <v>0</v>
      </c>
      <c r="Z216" s="495">
        <v>0</v>
      </c>
      <c r="AA216" s="495">
        <v>0</v>
      </c>
      <c r="AB216" s="495">
        <v>0</v>
      </c>
      <c r="AC216" s="496">
        <v>170163.09</v>
      </c>
      <c r="AD216" s="494">
        <v>124818.6</v>
      </c>
      <c r="AE216" s="495">
        <v>0</v>
      </c>
      <c r="AF216" s="495">
        <v>0</v>
      </c>
      <c r="AG216" s="495">
        <v>0</v>
      </c>
      <c r="AH216" s="495">
        <v>0</v>
      </c>
      <c r="AI216" s="495">
        <v>0</v>
      </c>
      <c r="AJ216" s="495">
        <v>0</v>
      </c>
      <c r="AK216" s="495">
        <v>-86741.14</v>
      </c>
      <c r="AL216" s="496">
        <v>38077.460000000006</v>
      </c>
      <c r="AM216" s="494">
        <v>122301.48</v>
      </c>
      <c r="AN216" s="495">
        <v>0</v>
      </c>
      <c r="AO216" s="495">
        <v>0</v>
      </c>
      <c r="AP216" s="495">
        <v>0</v>
      </c>
      <c r="AQ216" s="495">
        <v>0</v>
      </c>
      <c r="AR216" s="495">
        <v>0</v>
      </c>
      <c r="AS216" s="495">
        <v>0</v>
      </c>
      <c r="AT216" s="495">
        <v>0</v>
      </c>
      <c r="AU216" s="497">
        <v>122301.48</v>
      </c>
      <c r="AV216" s="491">
        <f>AL216-AU216</f>
        <v>-84224.01999999999</v>
      </c>
    </row>
    <row r="217" spans="1:48" ht="15" thickTop="1">
      <c r="A217" s="158"/>
      <c r="B217" s="488"/>
      <c r="C217" s="477"/>
      <c r="D217" s="489"/>
      <c r="E217" s="489"/>
      <c r="F217" s="489"/>
      <c r="G217" s="489"/>
      <c r="H217" s="489"/>
      <c r="I217" s="489"/>
      <c r="J217" s="489"/>
      <c r="K217" s="490"/>
      <c r="L217" s="311"/>
      <c r="M217" s="311"/>
      <c r="N217" s="311"/>
      <c r="O217" s="311"/>
      <c r="P217" s="311"/>
      <c r="Q217" s="311"/>
      <c r="R217" s="311"/>
      <c r="S217" s="311"/>
      <c r="T217" s="311"/>
      <c r="U217" s="477"/>
      <c r="V217" s="489"/>
      <c r="W217" s="489"/>
      <c r="X217" s="489"/>
      <c r="Y217" s="489"/>
      <c r="Z217" s="489"/>
      <c r="AA217" s="489"/>
      <c r="AB217" s="489"/>
      <c r="AC217" s="490"/>
      <c r="AD217" s="477"/>
      <c r="AE217" s="489"/>
      <c r="AF217" s="489"/>
      <c r="AG217" s="489"/>
      <c r="AH217" s="489"/>
      <c r="AI217" s="489"/>
      <c r="AJ217" s="489"/>
      <c r="AK217" s="489"/>
      <c r="AL217" s="490"/>
      <c r="AM217" s="477"/>
      <c r="AN217" s="489"/>
      <c r="AO217" s="489"/>
      <c r="AP217" s="489"/>
      <c r="AQ217" s="489"/>
      <c r="AR217" s="489"/>
      <c r="AS217" s="489"/>
      <c r="AT217" s="489"/>
      <c r="AU217" s="490"/>
    </row>
    <row r="218" spans="1:48">
      <c r="A218" s="158" t="s">
        <v>1402</v>
      </c>
      <c r="B218" s="488"/>
      <c r="C218" s="477"/>
      <c r="D218" s="489"/>
      <c r="E218" s="489"/>
      <c r="F218" s="489"/>
      <c r="G218" s="489"/>
      <c r="H218" s="489"/>
      <c r="I218" s="489"/>
      <c r="J218" s="489"/>
      <c r="K218" s="490"/>
      <c r="L218" s="311"/>
      <c r="M218" s="311"/>
      <c r="N218" s="311"/>
      <c r="O218" s="311"/>
      <c r="P218" s="311"/>
      <c r="Q218" s="311"/>
      <c r="R218" s="311"/>
      <c r="S218" s="311"/>
      <c r="T218" s="311"/>
      <c r="U218" s="477"/>
      <c r="V218" s="489"/>
      <c r="W218" s="489"/>
      <c r="X218" s="489"/>
      <c r="Y218" s="489"/>
      <c r="Z218" s="489"/>
      <c r="AA218" s="489"/>
      <c r="AB218" s="489"/>
      <c r="AC218" s="490"/>
      <c r="AD218" s="477"/>
      <c r="AE218" s="489"/>
      <c r="AF218" s="489"/>
      <c r="AG218" s="489"/>
      <c r="AH218" s="489"/>
      <c r="AI218" s="489"/>
      <c r="AJ218" s="489"/>
      <c r="AK218" s="489"/>
      <c r="AL218" s="490"/>
      <c r="AM218" s="477"/>
      <c r="AN218" s="489"/>
      <c r="AO218" s="489"/>
      <c r="AP218" s="489"/>
      <c r="AQ218" s="489"/>
      <c r="AR218" s="489"/>
      <c r="AS218" s="489"/>
      <c r="AT218" s="489"/>
      <c r="AU218" s="490"/>
    </row>
    <row r="219" spans="1:48">
      <c r="A219" s="444" t="s">
        <v>198</v>
      </c>
      <c r="B219" s="488" t="s">
        <v>449</v>
      </c>
      <c r="C219" s="477" cm="1">
        <f t="array" ref="C219">_xlfn.XLOOKUP(A219,'TB upload'!A:A,'TB upload'!C:C-'TB upload'!B:B,0,0)*-1</f>
        <v>0</v>
      </c>
      <c r="D219" s="489"/>
      <c r="E219" s="942" cm="1">
        <f t="array" ref="E219">_xlfn.XLOOKUP(A219,'TB upload'!A:A,'TB upload'!E:E-'TB upload'!D:D,0,0)*-1</f>
        <v>0</v>
      </c>
      <c r="F219" s="489"/>
      <c r="G219" s="477" cm="1">
        <f t="array" ref="G219">_xlfn.XLOOKUP(A219,'TB upload'!A:A,'TB upload'!G:G-'TB upload'!F:F,0,0)*-1</f>
        <v>0</v>
      </c>
      <c r="H219" s="489"/>
      <c r="I219" s="477" cm="1">
        <f t="array" ref="I219">_xlfn.XLOOKUP(A219,'TB upload'!A:A,'TB upload'!I:I-'TB upload'!H:H,0,0)*-1</f>
        <v>0</v>
      </c>
      <c r="J219" s="489"/>
      <c r="K219" s="490">
        <f>SUM(C219:J219)</f>
        <v>0</v>
      </c>
      <c r="L219" s="311">
        <v>0</v>
      </c>
      <c r="M219" s="311"/>
      <c r="N219" s="311">
        <v>0</v>
      </c>
      <c r="O219" s="311"/>
      <c r="P219" s="311">
        <v>0</v>
      </c>
      <c r="Q219" s="311"/>
      <c r="R219" s="311">
        <v>0</v>
      </c>
      <c r="S219" s="311"/>
      <c r="T219" s="311">
        <v>0</v>
      </c>
      <c r="U219" s="477">
        <v>0</v>
      </c>
      <c r="V219" s="489"/>
      <c r="W219" s="489"/>
      <c r="X219" s="489"/>
      <c r="Y219" s="489"/>
      <c r="Z219" s="489"/>
      <c r="AA219" s="489"/>
      <c r="AB219" s="489"/>
      <c r="AC219" s="490">
        <v>0</v>
      </c>
      <c r="AD219" s="477">
        <v>0</v>
      </c>
      <c r="AE219" s="489"/>
      <c r="AF219" s="489">
        <v>0</v>
      </c>
      <c r="AG219" s="489"/>
      <c r="AH219" s="489">
        <v>0</v>
      </c>
      <c r="AI219" s="489"/>
      <c r="AJ219" s="489">
        <v>0</v>
      </c>
      <c r="AK219" s="489"/>
      <c r="AL219" s="490">
        <v>0</v>
      </c>
      <c r="AM219" s="477">
        <v>5774.07</v>
      </c>
      <c r="AN219" s="489"/>
      <c r="AO219" s="489"/>
      <c r="AP219" s="489"/>
      <c r="AQ219" s="489"/>
      <c r="AR219" s="489"/>
      <c r="AS219" s="489"/>
      <c r="AT219" s="489"/>
      <c r="AU219" s="490">
        <v>5774.07</v>
      </c>
      <c r="AV219" s="491"/>
    </row>
    <row r="220" spans="1:48" ht="15" thickBot="1">
      <c r="A220" s="158"/>
      <c r="B220" s="488"/>
      <c r="C220" s="477"/>
      <c r="D220" s="489"/>
      <c r="E220" s="489"/>
      <c r="F220" s="489"/>
      <c r="G220" s="489"/>
      <c r="H220" s="489"/>
      <c r="I220" s="489"/>
      <c r="J220" s="489"/>
      <c r="K220" s="490"/>
      <c r="L220" s="311"/>
      <c r="M220" s="311"/>
      <c r="N220" s="311"/>
      <c r="O220" s="311"/>
      <c r="P220" s="311"/>
      <c r="Q220" s="311"/>
      <c r="R220" s="311"/>
      <c r="S220" s="311"/>
      <c r="T220" s="311"/>
      <c r="U220" s="477"/>
      <c r="V220" s="489"/>
      <c r="W220" s="489"/>
      <c r="X220" s="489"/>
      <c r="Y220" s="489"/>
      <c r="Z220" s="489"/>
      <c r="AA220" s="489"/>
      <c r="AB220" s="489"/>
      <c r="AC220" s="490"/>
      <c r="AD220" s="477"/>
      <c r="AE220" s="489"/>
      <c r="AF220" s="489"/>
      <c r="AG220" s="489"/>
      <c r="AH220" s="489"/>
      <c r="AI220" s="489"/>
      <c r="AJ220" s="489"/>
      <c r="AK220" s="489"/>
      <c r="AL220" s="490"/>
      <c r="AM220" s="477"/>
      <c r="AN220" s="489"/>
      <c r="AO220" s="489"/>
      <c r="AP220" s="489"/>
      <c r="AQ220" s="489"/>
      <c r="AR220" s="489"/>
      <c r="AS220" s="489"/>
      <c r="AT220" s="489"/>
      <c r="AU220" s="490"/>
    </row>
    <row r="221" spans="1:48" ht="15.6" thickTop="1" thickBot="1">
      <c r="A221" s="492"/>
      <c r="B221" s="493" t="s">
        <v>51</v>
      </c>
      <c r="C221" s="494">
        <f t="shared" ref="C221:K221" si="55">SUM(C219:C220)</f>
        <v>0</v>
      </c>
      <c r="D221" s="495">
        <f t="shared" si="55"/>
        <v>0</v>
      </c>
      <c r="E221" s="495">
        <f t="shared" si="55"/>
        <v>0</v>
      </c>
      <c r="F221" s="495">
        <f t="shared" si="55"/>
        <v>0</v>
      </c>
      <c r="G221" s="495">
        <f t="shared" si="55"/>
        <v>0</v>
      </c>
      <c r="H221" s="495">
        <f t="shared" si="55"/>
        <v>0</v>
      </c>
      <c r="I221" s="495">
        <f t="shared" si="55"/>
        <v>0</v>
      </c>
      <c r="J221" s="495">
        <f t="shared" si="55"/>
        <v>0</v>
      </c>
      <c r="K221" s="497">
        <f t="shared" si="55"/>
        <v>0</v>
      </c>
      <c r="L221" s="991">
        <v>0</v>
      </c>
      <c r="M221" s="991">
        <v>0</v>
      </c>
      <c r="N221" s="991">
        <v>0</v>
      </c>
      <c r="O221" s="991">
        <v>0</v>
      </c>
      <c r="P221" s="991">
        <v>0</v>
      </c>
      <c r="Q221" s="991">
        <v>0</v>
      </c>
      <c r="R221" s="991">
        <v>0</v>
      </c>
      <c r="S221" s="991">
        <v>0</v>
      </c>
      <c r="T221" s="991">
        <v>0</v>
      </c>
      <c r="U221" s="494">
        <v>0</v>
      </c>
      <c r="V221" s="495">
        <v>0</v>
      </c>
      <c r="W221" s="495">
        <v>0</v>
      </c>
      <c r="X221" s="495">
        <v>0</v>
      </c>
      <c r="Y221" s="495">
        <v>0</v>
      </c>
      <c r="Z221" s="495">
        <v>0</v>
      </c>
      <c r="AA221" s="495">
        <v>0</v>
      </c>
      <c r="AB221" s="495">
        <v>0</v>
      </c>
      <c r="AC221" s="497">
        <v>0</v>
      </c>
      <c r="AD221" s="494">
        <v>0</v>
      </c>
      <c r="AE221" s="495">
        <v>0</v>
      </c>
      <c r="AF221" s="495">
        <v>0</v>
      </c>
      <c r="AG221" s="495">
        <v>0</v>
      </c>
      <c r="AH221" s="495">
        <v>0</v>
      </c>
      <c r="AI221" s="495">
        <v>0</v>
      </c>
      <c r="AJ221" s="495">
        <v>0</v>
      </c>
      <c r="AK221" s="495">
        <v>0</v>
      </c>
      <c r="AL221" s="497">
        <v>0</v>
      </c>
      <c r="AM221" s="494">
        <v>5774.07</v>
      </c>
      <c r="AN221" s="495">
        <v>0</v>
      </c>
      <c r="AO221" s="495">
        <v>0</v>
      </c>
      <c r="AP221" s="495">
        <v>0</v>
      </c>
      <c r="AQ221" s="495">
        <v>0</v>
      </c>
      <c r="AR221" s="495">
        <v>0</v>
      </c>
      <c r="AS221" s="495">
        <v>0</v>
      </c>
      <c r="AT221" s="495">
        <v>0</v>
      </c>
      <c r="AU221" s="497">
        <v>5774.07</v>
      </c>
      <c r="AV221" s="491">
        <f>AL221-AU221</f>
        <v>-5774.07</v>
      </c>
    </row>
    <row r="222" spans="1:48" ht="15" thickTop="1">
      <c r="A222" s="158" t="s">
        <v>313</v>
      </c>
      <c r="B222" s="488"/>
      <c r="C222" s="477"/>
      <c r="D222" s="489"/>
      <c r="E222" s="489"/>
      <c r="F222" s="489"/>
      <c r="G222" s="489"/>
      <c r="H222" s="489"/>
      <c r="I222" s="489"/>
      <c r="J222" s="489"/>
      <c r="K222" s="490"/>
      <c r="L222" s="311"/>
      <c r="M222" s="311"/>
      <c r="N222" s="311"/>
      <c r="O222" s="311"/>
      <c r="P222" s="311"/>
      <c r="Q222" s="311"/>
      <c r="R222" s="311"/>
      <c r="S222" s="311"/>
      <c r="T222" s="311"/>
      <c r="U222" s="477"/>
      <c r="V222" s="489"/>
      <c r="W222" s="489"/>
      <c r="X222" s="489"/>
      <c r="Y222" s="489"/>
      <c r="Z222" s="489"/>
      <c r="AA222" s="489"/>
      <c r="AB222" s="489"/>
      <c r="AC222" s="490"/>
      <c r="AD222" s="477"/>
      <c r="AE222" s="489"/>
      <c r="AF222" s="489"/>
      <c r="AG222" s="489"/>
      <c r="AH222" s="489"/>
      <c r="AI222" s="489"/>
      <c r="AJ222" s="489"/>
      <c r="AK222" s="489"/>
      <c r="AL222" s="490"/>
      <c r="AM222" s="477"/>
      <c r="AN222" s="489"/>
      <c r="AO222" s="489"/>
      <c r="AP222" s="489"/>
      <c r="AQ222" s="489"/>
      <c r="AR222" s="489"/>
      <c r="AS222" s="489"/>
      <c r="AT222" s="489"/>
      <c r="AU222" s="490"/>
    </row>
    <row r="223" spans="1:48">
      <c r="A223" s="444" t="s">
        <v>194</v>
      </c>
      <c r="B223" s="488" t="s">
        <v>449</v>
      </c>
      <c r="C223" s="477" cm="1">
        <f t="array" ref="C223">_xlfn.XLOOKUP(A223,'TB upload'!A:A,'TB upload'!C:C-'TB upload'!B:B,0,0)*-1</f>
        <v>0</v>
      </c>
      <c r="D223" s="489"/>
      <c r="E223" s="942" cm="1">
        <f t="array" ref="E223">_xlfn.XLOOKUP(A223,'TB upload'!A:A,'TB upload'!E:E-'TB upload'!D:D,0,0)*-1</f>
        <v>0</v>
      </c>
      <c r="F223" s="489"/>
      <c r="G223" s="477" cm="1">
        <f t="array" ref="G223">_xlfn.XLOOKUP(A223,'TB upload'!A:A,'TB upload'!G:G-'TB upload'!F:F,0,0)*-1</f>
        <v>0</v>
      </c>
      <c r="H223" s="489"/>
      <c r="I223" s="477" cm="1">
        <f t="array" ref="I223">_xlfn.XLOOKUP(A223,'TB upload'!A:A,'TB upload'!I:I-'TB upload'!H:H,0,0)*-1</f>
        <v>0</v>
      </c>
      <c r="J223" s="489"/>
      <c r="K223" s="490">
        <f>SUM(C223:J223)</f>
        <v>0</v>
      </c>
      <c r="L223" s="311">
        <v>0</v>
      </c>
      <c r="M223" s="311"/>
      <c r="N223" s="311">
        <v>0</v>
      </c>
      <c r="O223" s="311"/>
      <c r="P223" s="311">
        <v>0</v>
      </c>
      <c r="Q223" s="311"/>
      <c r="R223" s="311">
        <v>0</v>
      </c>
      <c r="S223" s="311"/>
      <c r="T223" s="311">
        <v>0</v>
      </c>
      <c r="U223" s="477">
        <v>0</v>
      </c>
      <c r="V223" s="489"/>
      <c r="W223" s="489"/>
      <c r="X223" s="489"/>
      <c r="Y223" s="489"/>
      <c r="Z223" s="489"/>
      <c r="AA223" s="489"/>
      <c r="AB223" s="489"/>
      <c r="AC223" s="490">
        <v>0</v>
      </c>
      <c r="AD223" s="477">
        <v>90277</v>
      </c>
      <c r="AE223" s="489"/>
      <c r="AF223" s="489">
        <v>0</v>
      </c>
      <c r="AG223" s="489"/>
      <c r="AH223" s="489">
        <v>0</v>
      </c>
      <c r="AI223" s="489"/>
      <c r="AJ223" s="489">
        <v>0</v>
      </c>
      <c r="AK223" s="489">
        <v>11012</v>
      </c>
      <c r="AL223" s="490">
        <v>101289</v>
      </c>
      <c r="AM223" s="477">
        <v>29262</v>
      </c>
      <c r="AN223" s="489"/>
      <c r="AO223" s="489"/>
      <c r="AP223" s="489"/>
      <c r="AQ223" s="489"/>
      <c r="AR223" s="489"/>
      <c r="AS223" s="489"/>
      <c r="AT223" s="489"/>
      <c r="AU223" s="490">
        <v>29262</v>
      </c>
      <c r="AV223" s="491"/>
    </row>
    <row r="224" spans="1:48" ht="15" thickBot="1">
      <c r="A224" s="158"/>
      <c r="B224" s="488"/>
      <c r="C224" s="477"/>
      <c r="D224" s="489"/>
      <c r="E224" s="489"/>
      <c r="F224" s="489"/>
      <c r="G224" s="489"/>
      <c r="H224" s="489"/>
      <c r="I224" s="489"/>
      <c r="J224" s="489"/>
      <c r="K224" s="490"/>
      <c r="L224" s="311"/>
      <c r="M224" s="311"/>
      <c r="N224" s="311"/>
      <c r="O224" s="311"/>
      <c r="P224" s="311"/>
      <c r="Q224" s="311"/>
      <c r="R224" s="311"/>
      <c r="S224" s="311"/>
      <c r="T224" s="311"/>
      <c r="U224" s="477"/>
      <c r="V224" s="489"/>
      <c r="W224" s="489"/>
      <c r="X224" s="489"/>
      <c r="Y224" s="489"/>
      <c r="Z224" s="489"/>
      <c r="AA224" s="489"/>
      <c r="AB224" s="489"/>
      <c r="AC224" s="490"/>
      <c r="AD224" s="477"/>
      <c r="AE224" s="489"/>
      <c r="AF224" s="489"/>
      <c r="AG224" s="489"/>
      <c r="AH224" s="489"/>
      <c r="AI224" s="489"/>
      <c r="AJ224" s="489"/>
      <c r="AK224" s="489"/>
      <c r="AL224" s="490"/>
      <c r="AM224" s="477"/>
      <c r="AN224" s="489"/>
      <c r="AO224" s="489"/>
      <c r="AP224" s="489"/>
      <c r="AQ224" s="489"/>
      <c r="AR224" s="489"/>
      <c r="AS224" s="489"/>
      <c r="AT224" s="489"/>
      <c r="AU224" s="490"/>
    </row>
    <row r="225" spans="1:48" ht="15.6" thickTop="1" thickBot="1">
      <c r="A225" s="492"/>
      <c r="B225" s="493" t="s">
        <v>51</v>
      </c>
      <c r="C225" s="494">
        <f t="shared" ref="C225:K225" si="56">SUM(C223:C224)</f>
        <v>0</v>
      </c>
      <c r="D225" s="495">
        <f t="shared" si="56"/>
        <v>0</v>
      </c>
      <c r="E225" s="495">
        <f t="shared" si="56"/>
        <v>0</v>
      </c>
      <c r="F225" s="495">
        <f t="shared" si="56"/>
        <v>0</v>
      </c>
      <c r="G225" s="495">
        <f t="shared" si="56"/>
        <v>0</v>
      </c>
      <c r="H225" s="495">
        <f t="shared" si="56"/>
        <v>0</v>
      </c>
      <c r="I225" s="495">
        <f t="shared" si="56"/>
        <v>0</v>
      </c>
      <c r="J225" s="495">
        <f t="shared" si="56"/>
        <v>0</v>
      </c>
      <c r="K225" s="496">
        <f t="shared" si="56"/>
        <v>0</v>
      </c>
      <c r="L225" s="990">
        <v>0</v>
      </c>
      <c r="M225" s="990">
        <v>0</v>
      </c>
      <c r="N225" s="990">
        <v>0</v>
      </c>
      <c r="O225" s="990">
        <v>0</v>
      </c>
      <c r="P225" s="990">
        <v>0</v>
      </c>
      <c r="Q225" s="990">
        <v>0</v>
      </c>
      <c r="R225" s="990">
        <v>0</v>
      </c>
      <c r="S225" s="990">
        <v>0</v>
      </c>
      <c r="T225" s="990">
        <v>0</v>
      </c>
      <c r="U225" s="494">
        <v>0</v>
      </c>
      <c r="V225" s="495">
        <v>0</v>
      </c>
      <c r="W225" s="495">
        <v>0</v>
      </c>
      <c r="X225" s="495">
        <v>0</v>
      </c>
      <c r="Y225" s="495">
        <v>0</v>
      </c>
      <c r="Z225" s="495">
        <v>0</v>
      </c>
      <c r="AA225" s="495">
        <v>0</v>
      </c>
      <c r="AB225" s="495">
        <v>0</v>
      </c>
      <c r="AC225" s="496">
        <v>0</v>
      </c>
      <c r="AD225" s="494">
        <v>90277</v>
      </c>
      <c r="AE225" s="495">
        <v>0</v>
      </c>
      <c r="AF225" s="495">
        <v>0</v>
      </c>
      <c r="AG225" s="495">
        <v>0</v>
      </c>
      <c r="AH225" s="495">
        <v>0</v>
      </c>
      <c r="AI225" s="495">
        <v>0</v>
      </c>
      <c r="AJ225" s="495">
        <v>0</v>
      </c>
      <c r="AK225" s="495">
        <v>11012</v>
      </c>
      <c r="AL225" s="496">
        <v>101289</v>
      </c>
      <c r="AM225" s="494">
        <v>29262</v>
      </c>
      <c r="AN225" s="495">
        <v>0</v>
      </c>
      <c r="AO225" s="495">
        <v>0</v>
      </c>
      <c r="AP225" s="495">
        <v>0</v>
      </c>
      <c r="AQ225" s="495">
        <v>0</v>
      </c>
      <c r="AR225" s="495">
        <v>0</v>
      </c>
      <c r="AS225" s="495">
        <v>0</v>
      </c>
      <c r="AT225" s="495">
        <v>0</v>
      </c>
      <c r="AU225" s="497">
        <v>29262</v>
      </c>
      <c r="AV225" s="491">
        <f>AL225-AU225</f>
        <v>72027</v>
      </c>
    </row>
    <row r="226" spans="1:48" ht="15" thickTop="1">
      <c r="B226" s="499"/>
      <c r="C226" s="477"/>
      <c r="D226" s="489"/>
      <c r="E226" s="489"/>
      <c r="F226" s="489"/>
      <c r="G226" s="489"/>
      <c r="H226" s="489"/>
      <c r="I226" s="489"/>
      <c r="J226" s="489"/>
      <c r="K226" s="490"/>
      <c r="L226" s="311"/>
      <c r="M226" s="311"/>
      <c r="N226" s="311"/>
      <c r="O226" s="311"/>
      <c r="P226" s="311"/>
      <c r="Q226" s="311"/>
      <c r="R226" s="311"/>
      <c r="S226" s="311"/>
      <c r="T226" s="311"/>
      <c r="U226" s="477"/>
      <c r="V226" s="489"/>
      <c r="W226" s="489"/>
      <c r="X226" s="489"/>
      <c r="Y226" s="489"/>
      <c r="Z226" s="489"/>
      <c r="AA226" s="489"/>
      <c r="AB226" s="489"/>
      <c r="AC226" s="490"/>
      <c r="AD226" s="477"/>
      <c r="AE226" s="489"/>
      <c r="AF226" s="489"/>
      <c r="AG226" s="489"/>
      <c r="AH226" s="489"/>
      <c r="AI226" s="489"/>
      <c r="AJ226" s="489"/>
      <c r="AK226" s="489"/>
      <c r="AL226" s="490"/>
      <c r="AM226" s="477"/>
      <c r="AN226" s="489"/>
      <c r="AO226" s="489"/>
      <c r="AP226" s="489"/>
      <c r="AQ226" s="489"/>
      <c r="AR226" s="489"/>
      <c r="AS226" s="489"/>
      <c r="AT226" s="489"/>
      <c r="AU226" s="490"/>
      <c r="AV226" s="491"/>
    </row>
    <row r="227" spans="1:48">
      <c r="A227" s="155" t="s">
        <v>1143</v>
      </c>
      <c r="B227" s="488"/>
      <c r="C227" s="477"/>
      <c r="D227" s="489"/>
      <c r="E227" s="489"/>
      <c r="F227" s="489"/>
      <c r="G227" s="489"/>
      <c r="H227" s="489"/>
      <c r="I227" s="489"/>
      <c r="J227" s="489"/>
      <c r="K227" s="490"/>
      <c r="L227" s="311"/>
      <c r="M227" s="311"/>
      <c r="N227" s="311"/>
      <c r="O227" s="311"/>
      <c r="P227" s="311"/>
      <c r="Q227" s="311"/>
      <c r="R227" s="311"/>
      <c r="S227" s="311"/>
      <c r="T227" s="311"/>
      <c r="U227" s="477"/>
      <c r="V227" s="489"/>
      <c r="W227" s="489"/>
      <c r="X227" s="489"/>
      <c r="Y227" s="489"/>
      <c r="Z227" s="489"/>
      <c r="AA227" s="489"/>
      <c r="AB227" s="489"/>
      <c r="AC227" s="490"/>
      <c r="AD227" s="477"/>
      <c r="AE227" s="489"/>
      <c r="AF227" s="489"/>
      <c r="AG227" s="489"/>
      <c r="AH227" s="489"/>
      <c r="AI227" s="489"/>
      <c r="AJ227" s="489"/>
      <c r="AK227" s="489"/>
      <c r="AL227" s="490"/>
      <c r="AM227" s="477"/>
      <c r="AN227" s="489"/>
      <c r="AO227" s="489"/>
      <c r="AP227" s="489"/>
      <c r="AQ227" s="489"/>
      <c r="AR227" s="489"/>
      <c r="AS227" s="489"/>
      <c r="AT227" s="489"/>
      <c r="AU227" s="490"/>
    </row>
    <row r="228" spans="1:48">
      <c r="A228" s="444" t="s">
        <v>160</v>
      </c>
      <c r="B228" s="488" t="s">
        <v>449</v>
      </c>
      <c r="C228" s="477" cm="1">
        <f t="array" ref="C228">_xlfn.XLOOKUP(A228,'TB upload'!A:A,'TB upload'!C:C-'TB upload'!B:B,0,0)*-1</f>
        <v>77396.179999999993</v>
      </c>
      <c r="D228" s="489"/>
      <c r="E228" s="942" cm="1">
        <f t="array" ref="E228">_xlfn.XLOOKUP(A228,'TB upload'!A:A,'TB upload'!E:E-'TB upload'!D:D,0,0)*-1</f>
        <v>0</v>
      </c>
      <c r="F228" s="489"/>
      <c r="G228" s="477" cm="1">
        <f t="array" ref="G228">_xlfn.XLOOKUP(A228,'TB upload'!A:A,'TB upload'!G:G-'TB upload'!F:F,0,0)*-1</f>
        <v>0</v>
      </c>
      <c r="H228" s="489"/>
      <c r="I228" s="477" cm="1">
        <f t="array" ref="I228">_xlfn.XLOOKUP(A228,'TB upload'!A:A,'TB upload'!I:I-'TB upload'!H:H,0,0)*-1</f>
        <v>0</v>
      </c>
      <c r="J228" s="489"/>
      <c r="K228" s="490">
        <f t="shared" ref="K228:K232" si="57">SUM(C228:J228)</f>
        <v>77396.179999999993</v>
      </c>
      <c r="L228" s="311">
        <v>77396.179999999993</v>
      </c>
      <c r="M228" s="311"/>
      <c r="N228" s="311">
        <v>0</v>
      </c>
      <c r="O228" s="311"/>
      <c r="P228" s="311">
        <v>0</v>
      </c>
      <c r="Q228" s="311"/>
      <c r="R228" s="311">
        <v>0</v>
      </c>
      <c r="S228" s="311"/>
      <c r="T228" s="311">
        <v>77396.179999999993</v>
      </c>
      <c r="U228" s="649">
        <v>46408.89</v>
      </c>
      <c r="V228" s="489"/>
      <c r="W228" s="489"/>
      <c r="X228" s="489"/>
      <c r="Y228" s="489"/>
      <c r="Z228" s="489"/>
      <c r="AA228" s="489"/>
      <c r="AB228" s="489"/>
      <c r="AC228" s="490">
        <v>46408.89</v>
      </c>
      <c r="AD228" s="477">
        <v>4745.72</v>
      </c>
      <c r="AE228" s="489"/>
      <c r="AF228" s="489">
        <v>0</v>
      </c>
      <c r="AG228" s="489"/>
      <c r="AH228" s="489">
        <v>0</v>
      </c>
      <c r="AI228" s="489"/>
      <c r="AJ228" s="489">
        <v>0</v>
      </c>
      <c r="AK228" s="489"/>
      <c r="AL228" s="490">
        <v>4745.72</v>
      </c>
      <c r="AM228" s="477">
        <v>2121438.34</v>
      </c>
      <c r="AN228" s="489"/>
      <c r="AO228" s="489"/>
      <c r="AP228" s="489"/>
      <c r="AQ228" s="489">
        <v>140670</v>
      </c>
      <c r="AR228" s="489"/>
      <c r="AS228" s="489"/>
      <c r="AT228" s="489"/>
      <c r="AU228" s="490">
        <v>2262108.34</v>
      </c>
      <c r="AV228" s="491"/>
    </row>
    <row r="229" spans="1:48" ht="28.8">
      <c r="A229" s="444" t="s">
        <v>1423</v>
      </c>
      <c r="B229" s="488" t="s">
        <v>449</v>
      </c>
      <c r="C229" s="477" cm="1">
        <f t="array" ref="C229">_xlfn.XLOOKUP(A229,'TB upload'!A:A,'TB upload'!C:C-'TB upload'!B:B,0,0)*-1</f>
        <v>0</v>
      </c>
      <c r="D229" s="489"/>
      <c r="E229" s="942" cm="1">
        <f t="array" ref="E229">_xlfn.XLOOKUP(A229,'TB upload'!A:A,'TB upload'!E:E-'TB upload'!D:D,0,0)*-1</f>
        <v>0</v>
      </c>
      <c r="F229" s="489"/>
      <c r="G229" s="477" cm="1">
        <f t="array" ref="G229">_xlfn.XLOOKUP(A229,'TB upload'!A:A,'TB upload'!G:G-'TB upload'!F:F,0,0)*-1</f>
        <v>1479.68</v>
      </c>
      <c r="H229" s="489"/>
      <c r="I229" s="477" cm="1">
        <f t="array" ref="I229">_xlfn.XLOOKUP(A229,'TB upload'!A:A,'TB upload'!I:I-'TB upload'!H:H,0,0)*-1</f>
        <v>0</v>
      </c>
      <c r="J229" s="489"/>
      <c r="K229" s="490">
        <f t="shared" si="57"/>
        <v>1479.68</v>
      </c>
      <c r="L229" s="311">
        <v>0</v>
      </c>
      <c r="M229" s="311"/>
      <c r="N229" s="311">
        <v>0</v>
      </c>
      <c r="O229" s="311"/>
      <c r="P229" s="311">
        <v>1479.68</v>
      </c>
      <c r="Q229" s="311"/>
      <c r="R229" s="311">
        <v>0</v>
      </c>
      <c r="S229" s="311"/>
      <c r="T229" s="311">
        <v>1479.68</v>
      </c>
      <c r="U229" s="477">
        <v>0</v>
      </c>
      <c r="V229" s="489"/>
      <c r="W229" s="489"/>
      <c r="X229" s="489"/>
      <c r="Y229" s="489">
        <v>1480</v>
      </c>
      <c r="Z229" s="489"/>
      <c r="AA229" s="489">
        <v>4480</v>
      </c>
      <c r="AB229" s="489"/>
      <c r="AC229" s="490">
        <v>5960</v>
      </c>
      <c r="AD229" s="477">
        <v>0</v>
      </c>
      <c r="AE229" s="489"/>
      <c r="AF229" s="489">
        <v>0</v>
      </c>
      <c r="AG229" s="489"/>
      <c r="AH229" s="489">
        <v>28691.86</v>
      </c>
      <c r="AI229" s="489"/>
      <c r="AJ229" s="489">
        <v>0</v>
      </c>
      <c r="AK229" s="489"/>
      <c r="AL229" s="490">
        <v>28691.86</v>
      </c>
      <c r="AM229" s="477">
        <v>0</v>
      </c>
      <c r="AN229" s="489"/>
      <c r="AO229" s="489"/>
      <c r="AP229" s="489"/>
      <c r="AQ229" s="489"/>
      <c r="AR229" s="489"/>
      <c r="AS229" s="489"/>
      <c r="AT229" s="489"/>
      <c r="AU229" s="490">
        <v>0</v>
      </c>
      <c r="AV229" s="491"/>
    </row>
    <row r="230" spans="1:48" ht="28.8">
      <c r="A230" s="444" t="s">
        <v>1428</v>
      </c>
      <c r="B230" s="488" t="s">
        <v>449</v>
      </c>
      <c r="C230" s="477" cm="1">
        <f t="array" ref="C230">_xlfn.XLOOKUP(A230,'TB upload'!A:A,'TB upload'!C:C-'TB upload'!B:B,0,0)*-1</f>
        <v>0</v>
      </c>
      <c r="D230" s="489"/>
      <c r="E230" s="942" cm="1">
        <f t="array" ref="E230">_xlfn.XLOOKUP(A230,'TB upload'!A:A,'TB upload'!E:E-'TB upload'!D:D,0,0)*-1</f>
        <v>2084.92</v>
      </c>
      <c r="F230" s="489"/>
      <c r="G230" s="477" cm="1">
        <f t="array" ref="G230">_xlfn.XLOOKUP(A230,'TB upload'!A:A,'TB upload'!G:G-'TB upload'!F:F,0,0)*-1</f>
        <v>0</v>
      </c>
      <c r="H230" s="489"/>
      <c r="I230" s="477" cm="1">
        <f t="array" ref="I230">_xlfn.XLOOKUP(A230,'TB upload'!A:A,'TB upload'!I:I-'TB upload'!H:H,0,0)*-1</f>
        <v>0</v>
      </c>
      <c r="J230" s="489"/>
      <c r="K230" s="490">
        <f t="shared" si="57"/>
        <v>2084.92</v>
      </c>
      <c r="L230" s="311">
        <v>0</v>
      </c>
      <c r="M230" s="311"/>
      <c r="N230" s="311">
        <v>2084.92</v>
      </c>
      <c r="O230" s="311"/>
      <c r="P230" s="311">
        <v>0</v>
      </c>
      <c r="Q230" s="311"/>
      <c r="R230" s="311">
        <v>0</v>
      </c>
      <c r="S230" s="311"/>
      <c r="T230" s="311">
        <v>2084.92</v>
      </c>
      <c r="U230" s="477">
        <v>0</v>
      </c>
      <c r="V230" s="489"/>
      <c r="W230" s="489"/>
      <c r="X230" s="489"/>
      <c r="Y230" s="489"/>
      <c r="Z230" s="489"/>
      <c r="AA230" s="489"/>
      <c r="AB230" s="489"/>
      <c r="AC230" s="490">
        <v>0</v>
      </c>
      <c r="AD230" s="477">
        <v>0</v>
      </c>
      <c r="AE230" s="489"/>
      <c r="AF230" s="489">
        <v>62654.080000000002</v>
      </c>
      <c r="AG230" s="489"/>
      <c r="AH230" s="489">
        <v>0</v>
      </c>
      <c r="AI230" s="489"/>
      <c r="AJ230" s="489">
        <v>0</v>
      </c>
      <c r="AK230" s="489"/>
      <c r="AL230" s="490">
        <v>62654.080000000002</v>
      </c>
      <c r="AM230" s="477">
        <v>0</v>
      </c>
      <c r="AN230" s="489"/>
      <c r="AO230" s="489"/>
      <c r="AP230" s="489"/>
      <c r="AQ230" s="489"/>
      <c r="AR230" s="489"/>
      <c r="AS230" s="489"/>
      <c r="AT230" s="489"/>
      <c r="AU230" s="490">
        <v>0</v>
      </c>
      <c r="AV230" s="491"/>
    </row>
    <row r="231" spans="1:48">
      <c r="A231" s="444" t="s">
        <v>1552</v>
      </c>
      <c r="B231" s="488" t="s">
        <v>449</v>
      </c>
      <c r="C231" s="477" cm="1">
        <f t="array" ref="C231">_xlfn.XLOOKUP(A231,'TB upload'!A:A,'TB upload'!C:C-'TB upload'!B:B,0,0)*-1</f>
        <v>0</v>
      </c>
      <c r="D231" s="489"/>
      <c r="E231" s="942" cm="1">
        <f t="array" ref="E231">_xlfn.XLOOKUP(A231,'TB upload'!A:A,'TB upload'!E:E-'TB upload'!D:D,0,0)*-1</f>
        <v>0</v>
      </c>
      <c r="F231" s="489"/>
      <c r="G231" s="477" cm="1">
        <f t="array" ref="G231">_xlfn.XLOOKUP(A231,'TB upload'!A:A,'TB upload'!G:G-'TB upload'!F:F,0,0)*-1</f>
        <v>0</v>
      </c>
      <c r="H231" s="489"/>
      <c r="I231" s="477" cm="1">
        <f t="array" ref="I231">_xlfn.XLOOKUP(A231,'TB upload'!A:A,'TB upload'!I:I-'TB upload'!H:H,0,0)*-1</f>
        <v>4480</v>
      </c>
      <c r="J231" s="489"/>
      <c r="K231" s="490">
        <f t="shared" ref="K231" si="58">SUM(C231:J231)</f>
        <v>4480</v>
      </c>
      <c r="L231" s="311">
        <v>0</v>
      </c>
      <c r="M231" s="311"/>
      <c r="N231" s="311">
        <v>0</v>
      </c>
      <c r="O231" s="311"/>
      <c r="P231" s="311">
        <v>0</v>
      </c>
      <c r="Q231" s="311"/>
      <c r="R231" s="311">
        <v>4480</v>
      </c>
      <c r="S231" s="311"/>
      <c r="T231" s="311">
        <v>4480</v>
      </c>
      <c r="U231" s="477">
        <v>0</v>
      </c>
      <c r="V231" s="489"/>
      <c r="W231" s="489"/>
      <c r="X231" s="489"/>
      <c r="Y231" s="489"/>
      <c r="Z231" s="489"/>
      <c r="AA231" s="489"/>
      <c r="AB231" s="489"/>
      <c r="AC231" s="490">
        <v>0</v>
      </c>
      <c r="AD231" s="477">
        <v>0</v>
      </c>
      <c r="AE231" s="489"/>
      <c r="AF231" s="489">
        <v>0</v>
      </c>
      <c r="AG231" s="489"/>
      <c r="AH231" s="489">
        <v>0</v>
      </c>
      <c r="AI231" s="489"/>
      <c r="AJ231" s="489">
        <v>0</v>
      </c>
      <c r="AK231" s="489"/>
      <c r="AL231" s="490">
        <v>0</v>
      </c>
      <c r="AM231" s="477">
        <v>0</v>
      </c>
      <c r="AN231" s="489"/>
      <c r="AO231" s="489"/>
      <c r="AP231" s="489"/>
      <c r="AQ231" s="489"/>
      <c r="AR231" s="489"/>
      <c r="AS231" s="489"/>
      <c r="AT231" s="489"/>
      <c r="AU231" s="490">
        <v>0</v>
      </c>
      <c r="AV231" s="491"/>
    </row>
    <row r="232" spans="1:48" ht="15" thickBot="1">
      <c r="A232" s="444" t="s">
        <v>1381</v>
      </c>
      <c r="B232" s="488" t="s">
        <v>449</v>
      </c>
      <c r="C232" s="477" cm="1">
        <f t="array" ref="C232">_xlfn.XLOOKUP(A232,'TB upload'!A:A,'TB upload'!C:C-'TB upload'!B:B,0,0)*-1</f>
        <v>8424</v>
      </c>
      <c r="D232" s="489"/>
      <c r="E232" s="942" cm="1">
        <f t="array" ref="E232">_xlfn.XLOOKUP(A232,'TB upload'!A:A,'TB upload'!E:E-'TB upload'!D:D,0,0)*-1</f>
        <v>0</v>
      </c>
      <c r="F232" s="489"/>
      <c r="G232" s="477" cm="1">
        <f t="array" ref="G232">_xlfn.XLOOKUP(A232,'TB upload'!A:A,'TB upload'!G:G-'TB upload'!F:F,0,0)*-1</f>
        <v>0</v>
      </c>
      <c r="H232" s="489"/>
      <c r="I232" s="477" cm="1">
        <f t="array" ref="I232">_xlfn.XLOOKUP(A232,'TB upload'!A:A,'TB upload'!I:I-'TB upload'!H:H,0,0)*-1</f>
        <v>0</v>
      </c>
      <c r="J232" s="489"/>
      <c r="K232" s="490">
        <f t="shared" si="57"/>
        <v>8424</v>
      </c>
      <c r="L232" s="311">
        <v>8424</v>
      </c>
      <c r="M232" s="311"/>
      <c r="N232" s="311">
        <v>0</v>
      </c>
      <c r="O232" s="311"/>
      <c r="P232" s="311">
        <v>0</v>
      </c>
      <c r="Q232" s="311"/>
      <c r="R232" s="311">
        <v>0</v>
      </c>
      <c r="S232" s="311"/>
      <c r="T232" s="311">
        <v>8424</v>
      </c>
      <c r="U232" s="649">
        <v>5774</v>
      </c>
      <c r="V232" s="489"/>
      <c r="W232" s="489"/>
      <c r="X232" s="489"/>
      <c r="Y232" s="489"/>
      <c r="Z232" s="489"/>
      <c r="AA232" s="489"/>
      <c r="AB232" s="489"/>
      <c r="AC232" s="490">
        <v>5774</v>
      </c>
      <c r="AD232" s="477">
        <v>5720</v>
      </c>
      <c r="AE232" s="489"/>
      <c r="AF232" s="489">
        <v>0</v>
      </c>
      <c r="AG232" s="489"/>
      <c r="AH232" s="489">
        <v>0</v>
      </c>
      <c r="AI232" s="489"/>
      <c r="AJ232" s="489">
        <v>0</v>
      </c>
      <c r="AK232" s="489"/>
      <c r="AL232" s="490">
        <v>5720</v>
      </c>
      <c r="AM232" s="477">
        <v>0</v>
      </c>
      <c r="AN232" s="489"/>
      <c r="AO232" s="489"/>
      <c r="AP232" s="489"/>
      <c r="AQ232" s="489"/>
      <c r="AR232" s="489"/>
      <c r="AS232" s="489"/>
      <c r="AT232" s="489"/>
      <c r="AU232" s="490">
        <v>0</v>
      </c>
      <c r="AV232" s="491"/>
    </row>
    <row r="233" spans="1:48" ht="15.6" thickTop="1" thickBot="1">
      <c r="A233" s="492"/>
      <c r="B233" s="493" t="s">
        <v>51</v>
      </c>
      <c r="C233" s="911">
        <f t="shared" ref="C233:H233" si="59">SUM(C228:C232)</f>
        <v>85820.18</v>
      </c>
      <c r="D233" s="495">
        <f t="shared" si="59"/>
        <v>0</v>
      </c>
      <c r="E233" s="495">
        <f t="shared" si="59"/>
        <v>2084.92</v>
      </c>
      <c r="F233" s="495">
        <f t="shared" si="59"/>
        <v>0</v>
      </c>
      <c r="G233" s="495">
        <f t="shared" si="59"/>
        <v>1479.68</v>
      </c>
      <c r="H233" s="495">
        <f t="shared" si="59"/>
        <v>0</v>
      </c>
      <c r="I233" s="495">
        <f t="shared" ref="I233:K233" si="60">SUM(I228:I232)</f>
        <v>4480</v>
      </c>
      <c r="J233" s="495">
        <f t="shared" si="60"/>
        <v>0</v>
      </c>
      <c r="K233" s="496">
        <f t="shared" si="60"/>
        <v>93864.779999999984</v>
      </c>
      <c r="L233" s="990">
        <v>85820.18</v>
      </c>
      <c r="M233" s="990">
        <v>0</v>
      </c>
      <c r="N233" s="990">
        <v>2084.92</v>
      </c>
      <c r="O233" s="990">
        <v>0</v>
      </c>
      <c r="P233" s="990">
        <v>1479.68</v>
      </c>
      <c r="Q233" s="990">
        <v>0</v>
      </c>
      <c r="R233" s="990">
        <v>4480</v>
      </c>
      <c r="S233" s="990">
        <v>0</v>
      </c>
      <c r="T233" s="990">
        <v>93864.779999999984</v>
      </c>
      <c r="U233" s="911">
        <v>52182.89</v>
      </c>
      <c r="V233" s="495">
        <v>0</v>
      </c>
      <c r="W233" s="495">
        <v>0</v>
      </c>
      <c r="X233" s="495">
        <v>0</v>
      </c>
      <c r="Y233" s="495">
        <v>1480</v>
      </c>
      <c r="Z233" s="495">
        <v>0</v>
      </c>
      <c r="AA233" s="495">
        <v>4480</v>
      </c>
      <c r="AB233" s="495">
        <v>0</v>
      </c>
      <c r="AC233" s="496">
        <v>58142.89</v>
      </c>
      <c r="AD233" s="494">
        <v>10465.720000000001</v>
      </c>
      <c r="AE233" s="495">
        <v>0</v>
      </c>
      <c r="AF233" s="495">
        <v>62654.080000000002</v>
      </c>
      <c r="AG233" s="495">
        <v>0</v>
      </c>
      <c r="AH233" s="495">
        <v>28691.86</v>
      </c>
      <c r="AI233" s="495">
        <v>0</v>
      </c>
      <c r="AJ233" s="495">
        <v>0</v>
      </c>
      <c r="AK233" s="495">
        <v>0</v>
      </c>
      <c r="AL233" s="496">
        <v>101811.66</v>
      </c>
      <c r="AM233" s="494">
        <v>2121438.34</v>
      </c>
      <c r="AN233" s="495">
        <v>0</v>
      </c>
      <c r="AO233" s="495">
        <v>0</v>
      </c>
      <c r="AP233" s="495">
        <v>0</v>
      </c>
      <c r="AQ233" s="495">
        <v>140670</v>
      </c>
      <c r="AR233" s="495">
        <v>0</v>
      </c>
      <c r="AS233" s="495">
        <v>0</v>
      </c>
      <c r="AT233" s="495">
        <v>0</v>
      </c>
      <c r="AU233" s="497">
        <v>2262108.34</v>
      </c>
      <c r="AV233" s="491">
        <f>AL233-AU233</f>
        <v>-2160296.6799999997</v>
      </c>
    </row>
    <row r="234" spans="1:48" ht="15" thickTop="1">
      <c r="A234" s="158" t="s">
        <v>1144</v>
      </c>
      <c r="B234" s="488"/>
      <c r="C234" s="477"/>
      <c r="D234" s="489"/>
      <c r="E234" s="489"/>
      <c r="F234" s="489"/>
      <c r="G234" s="489"/>
      <c r="H234" s="489"/>
      <c r="I234" s="489"/>
      <c r="J234" s="489"/>
      <c r="K234" s="490"/>
      <c r="L234" s="311"/>
      <c r="M234" s="311"/>
      <c r="N234" s="311"/>
      <c r="O234" s="311"/>
      <c r="P234" s="311"/>
      <c r="Q234" s="311"/>
      <c r="R234" s="311"/>
      <c r="S234" s="311"/>
      <c r="T234" s="311"/>
      <c r="U234" s="477"/>
      <c r="V234" s="489"/>
      <c r="W234" s="489"/>
      <c r="X234" s="489"/>
      <c r="Y234" s="489"/>
      <c r="Z234" s="489"/>
      <c r="AA234" s="489"/>
      <c r="AB234" s="489"/>
      <c r="AC234" s="490"/>
      <c r="AD234" s="477"/>
      <c r="AE234" s="489"/>
      <c r="AF234" s="489"/>
      <c r="AG234" s="489"/>
      <c r="AH234" s="489"/>
      <c r="AI234" s="489"/>
      <c r="AJ234" s="489"/>
      <c r="AK234" s="489"/>
      <c r="AL234" s="490"/>
      <c r="AM234" s="477"/>
      <c r="AN234" s="489"/>
      <c r="AO234" s="489"/>
      <c r="AP234" s="489"/>
      <c r="AQ234" s="489"/>
      <c r="AR234" s="489"/>
      <c r="AS234" s="489"/>
      <c r="AT234" s="489"/>
      <c r="AU234" s="490"/>
    </row>
    <row r="235" spans="1:48">
      <c r="A235" s="444" t="s">
        <v>178</v>
      </c>
      <c r="B235" s="488" t="s">
        <v>449</v>
      </c>
      <c r="C235" s="477" cm="1">
        <f t="array" ref="C235">_xlfn.XLOOKUP(A235,'TB upload'!A:A,'TB upload'!C:C-'TB upload'!B:B,0,0)*-1</f>
        <v>378416.53</v>
      </c>
      <c r="D235" s="489"/>
      <c r="E235" s="942" cm="1">
        <f t="array" ref="E235">_xlfn.XLOOKUP(A235,'TB upload'!A:A,'TB upload'!E:E-'TB upload'!D:D,0,0)*-1</f>
        <v>0</v>
      </c>
      <c r="F235" s="489"/>
      <c r="G235" s="477" cm="1">
        <f t="array" ref="G235">_xlfn.XLOOKUP(A235,'TB upload'!A:A,'TB upload'!G:G-'TB upload'!F:F,0,0)*-1</f>
        <v>0</v>
      </c>
      <c r="H235" s="489"/>
      <c r="I235" s="477" cm="1">
        <f t="array" ref="I235">_xlfn.XLOOKUP(A235,'TB upload'!A:A,'TB upload'!I:I-'TB upload'!H:H,0,0)*-1</f>
        <v>0</v>
      </c>
      <c r="J235" s="489"/>
      <c r="K235" s="490">
        <f>SUM(C235:J235)</f>
        <v>378416.53</v>
      </c>
      <c r="L235" s="311">
        <v>377192.66</v>
      </c>
      <c r="M235" s="311"/>
      <c r="N235" s="311">
        <v>0</v>
      </c>
      <c r="O235" s="311"/>
      <c r="P235" s="311">
        <v>0</v>
      </c>
      <c r="Q235" s="311"/>
      <c r="R235" s="311">
        <v>0</v>
      </c>
      <c r="S235" s="311"/>
      <c r="T235" s="311">
        <v>377192.66</v>
      </c>
      <c r="U235" s="649">
        <v>294192.26</v>
      </c>
      <c r="V235" s="489"/>
      <c r="W235" s="489"/>
      <c r="X235" s="489"/>
      <c r="Y235" s="489"/>
      <c r="Z235" s="489"/>
      <c r="AA235" s="489"/>
      <c r="AB235" s="489"/>
      <c r="AC235" s="490">
        <v>294192.26</v>
      </c>
      <c r="AD235" s="477">
        <v>21949754.260000002</v>
      </c>
      <c r="AE235" s="489"/>
      <c r="AF235" s="489">
        <v>0</v>
      </c>
      <c r="AG235" s="489"/>
      <c r="AH235" s="489">
        <v>0</v>
      </c>
      <c r="AI235" s="489"/>
      <c r="AJ235" s="489">
        <v>0</v>
      </c>
      <c r="AK235" s="489"/>
      <c r="AL235" s="490">
        <v>21949754.260000002</v>
      </c>
      <c r="AM235" s="477">
        <v>22350389</v>
      </c>
      <c r="AN235" s="489"/>
      <c r="AO235" s="489"/>
      <c r="AP235" s="489"/>
      <c r="AQ235" s="489">
        <v>593327</v>
      </c>
      <c r="AR235" s="489"/>
      <c r="AS235" s="489"/>
      <c r="AT235" s="489"/>
      <c r="AU235" s="490">
        <v>22943716</v>
      </c>
      <c r="AV235" s="491"/>
    </row>
    <row r="236" spans="1:48" ht="15" thickBot="1">
      <c r="A236" s="158"/>
      <c r="B236" s="488"/>
      <c r="C236" s="477"/>
      <c r="D236" s="489"/>
      <c r="E236" s="489"/>
      <c r="F236" s="489"/>
      <c r="G236" s="489"/>
      <c r="H236" s="489"/>
      <c r="I236" s="489"/>
      <c r="J236" s="489"/>
      <c r="K236" s="490"/>
      <c r="L236" s="311"/>
      <c r="M236" s="311"/>
      <c r="N236" s="311"/>
      <c r="O236" s="311"/>
      <c r="P236" s="311"/>
      <c r="Q236" s="311"/>
      <c r="R236" s="311"/>
      <c r="S236" s="311"/>
      <c r="T236" s="311"/>
      <c r="U236" s="477"/>
      <c r="V236" s="489"/>
      <c r="W236" s="489"/>
      <c r="X236" s="489"/>
      <c r="Y236" s="489"/>
      <c r="Z236" s="489"/>
      <c r="AA236" s="489"/>
      <c r="AB236" s="489"/>
      <c r="AC236" s="490"/>
      <c r="AD236" s="477"/>
      <c r="AE236" s="489"/>
      <c r="AF236" s="489"/>
      <c r="AG236" s="489"/>
      <c r="AH236" s="489"/>
      <c r="AI236" s="489"/>
      <c r="AJ236" s="489"/>
      <c r="AK236" s="489"/>
      <c r="AL236" s="490"/>
      <c r="AM236" s="477"/>
      <c r="AN236" s="489"/>
      <c r="AO236" s="489"/>
      <c r="AP236" s="489"/>
      <c r="AQ236" s="489"/>
      <c r="AR236" s="489"/>
      <c r="AS236" s="489"/>
      <c r="AT236" s="489"/>
      <c r="AU236" s="490"/>
    </row>
    <row r="237" spans="1:48" ht="15.6" thickTop="1" thickBot="1">
      <c r="A237" s="492"/>
      <c r="B237" s="493" t="s">
        <v>51</v>
      </c>
      <c r="C237" s="911">
        <f t="shared" ref="C237:K237" si="61">SUM(C235:C236)</f>
        <v>378416.53</v>
      </c>
      <c r="D237" s="495">
        <f t="shared" si="61"/>
        <v>0</v>
      </c>
      <c r="E237" s="495">
        <f t="shared" si="61"/>
        <v>0</v>
      </c>
      <c r="F237" s="495">
        <f t="shared" si="61"/>
        <v>0</v>
      </c>
      <c r="G237" s="495">
        <f t="shared" si="61"/>
        <v>0</v>
      </c>
      <c r="H237" s="495">
        <f t="shared" si="61"/>
        <v>0</v>
      </c>
      <c r="I237" s="495">
        <f t="shared" si="61"/>
        <v>0</v>
      </c>
      <c r="J237" s="495">
        <f t="shared" si="61"/>
        <v>0</v>
      </c>
      <c r="K237" s="496">
        <f t="shared" si="61"/>
        <v>378416.53</v>
      </c>
      <c r="L237" s="990">
        <v>377192.66</v>
      </c>
      <c r="M237" s="990">
        <v>0</v>
      </c>
      <c r="N237" s="990">
        <v>0</v>
      </c>
      <c r="O237" s="990">
        <v>0</v>
      </c>
      <c r="P237" s="990">
        <v>0</v>
      </c>
      <c r="Q237" s="990">
        <v>0</v>
      </c>
      <c r="R237" s="990">
        <v>0</v>
      </c>
      <c r="S237" s="990">
        <v>0</v>
      </c>
      <c r="T237" s="990">
        <v>377192.66</v>
      </c>
      <c r="U237" s="911">
        <v>294192.26</v>
      </c>
      <c r="V237" s="495">
        <v>0</v>
      </c>
      <c r="W237" s="495">
        <v>0</v>
      </c>
      <c r="X237" s="495">
        <v>0</v>
      </c>
      <c r="Y237" s="495">
        <v>0</v>
      </c>
      <c r="Z237" s="495">
        <v>0</v>
      </c>
      <c r="AA237" s="495">
        <v>0</v>
      </c>
      <c r="AB237" s="495">
        <v>0</v>
      </c>
      <c r="AC237" s="496">
        <v>294192.26</v>
      </c>
      <c r="AD237" s="494">
        <v>21949754.260000002</v>
      </c>
      <c r="AE237" s="495">
        <v>0</v>
      </c>
      <c r="AF237" s="495">
        <v>0</v>
      </c>
      <c r="AG237" s="495">
        <v>0</v>
      </c>
      <c r="AH237" s="495">
        <v>0</v>
      </c>
      <c r="AI237" s="495">
        <v>0</v>
      </c>
      <c r="AJ237" s="495">
        <v>0</v>
      </c>
      <c r="AK237" s="495">
        <v>0</v>
      </c>
      <c r="AL237" s="496">
        <v>21949754.260000002</v>
      </c>
      <c r="AM237" s="494">
        <v>22350389</v>
      </c>
      <c r="AN237" s="495">
        <v>0</v>
      </c>
      <c r="AO237" s="495">
        <v>0</v>
      </c>
      <c r="AP237" s="495">
        <v>0</v>
      </c>
      <c r="AQ237" s="495">
        <v>593327</v>
      </c>
      <c r="AR237" s="495">
        <v>0</v>
      </c>
      <c r="AS237" s="495">
        <v>0</v>
      </c>
      <c r="AT237" s="495">
        <v>0</v>
      </c>
      <c r="AU237" s="497">
        <v>22943716</v>
      </c>
      <c r="AV237" s="491">
        <f>AL237-AU237</f>
        <v>-993961.73999999836</v>
      </c>
    </row>
    <row r="238" spans="1:48" ht="15" thickTop="1">
      <c r="B238" s="499"/>
      <c r="C238" s="477"/>
      <c r="D238" s="489"/>
      <c r="E238" s="489"/>
      <c r="F238" s="489"/>
      <c r="G238" s="489"/>
      <c r="H238" s="489"/>
      <c r="I238" s="489"/>
      <c r="J238" s="489"/>
      <c r="K238" s="490"/>
      <c r="L238" s="311"/>
      <c r="M238" s="311"/>
      <c r="N238" s="311"/>
      <c r="O238" s="311"/>
      <c r="P238" s="311"/>
      <c r="Q238" s="311"/>
      <c r="R238" s="311"/>
      <c r="S238" s="311"/>
      <c r="T238" s="311"/>
      <c r="U238" s="477"/>
      <c r="V238" s="489"/>
      <c r="W238" s="489"/>
      <c r="X238" s="489"/>
      <c r="Y238" s="489"/>
      <c r="Z238" s="489"/>
      <c r="AA238" s="489"/>
      <c r="AB238" s="489"/>
      <c r="AC238" s="490"/>
      <c r="AD238" s="477"/>
      <c r="AE238" s="489"/>
      <c r="AF238" s="489"/>
      <c r="AG238" s="489"/>
      <c r="AH238" s="489"/>
      <c r="AI238" s="489"/>
      <c r="AJ238" s="489"/>
      <c r="AK238" s="489"/>
      <c r="AL238" s="490"/>
      <c r="AM238" s="477"/>
      <c r="AN238" s="489"/>
      <c r="AO238" s="489"/>
      <c r="AP238" s="489"/>
      <c r="AQ238" s="489"/>
      <c r="AR238" s="489"/>
      <c r="AS238" s="489"/>
      <c r="AT238" s="489"/>
      <c r="AU238" s="490"/>
      <c r="AV238" s="491"/>
    </row>
    <row r="239" spans="1:48">
      <c r="A239" s="155" t="s">
        <v>251</v>
      </c>
      <c r="B239" s="488"/>
      <c r="C239" s="477"/>
      <c r="D239" s="489"/>
      <c r="E239" s="489"/>
      <c r="F239" s="489"/>
      <c r="G239" s="489"/>
      <c r="H239" s="489"/>
      <c r="I239" s="489"/>
      <c r="J239" s="489"/>
      <c r="K239" s="490"/>
      <c r="L239" s="311"/>
      <c r="M239" s="311"/>
      <c r="N239" s="311"/>
      <c r="O239" s="311"/>
      <c r="P239" s="311"/>
      <c r="Q239" s="311"/>
      <c r="R239" s="311"/>
      <c r="S239" s="311"/>
      <c r="T239" s="311"/>
      <c r="U239" s="477"/>
      <c r="V239" s="489"/>
      <c r="W239" s="489"/>
      <c r="X239" s="489"/>
      <c r="Y239" s="489"/>
      <c r="Z239" s="489"/>
      <c r="AA239" s="489"/>
      <c r="AB239" s="489"/>
      <c r="AC239" s="490"/>
      <c r="AD239" s="477"/>
      <c r="AE239" s="489"/>
      <c r="AF239" s="489"/>
      <c r="AG239" s="489"/>
      <c r="AH239" s="489"/>
      <c r="AI239" s="489"/>
      <c r="AJ239" s="489"/>
      <c r="AK239" s="489"/>
      <c r="AL239" s="490"/>
      <c r="AM239" s="477"/>
      <c r="AN239" s="489"/>
      <c r="AO239" s="489"/>
      <c r="AP239" s="489"/>
      <c r="AQ239" s="489"/>
      <c r="AR239" s="489"/>
      <c r="AS239" s="489"/>
      <c r="AT239" s="489"/>
      <c r="AU239" s="490"/>
    </row>
    <row r="240" spans="1:48">
      <c r="A240" s="444" t="s">
        <v>188</v>
      </c>
      <c r="B240" s="488" t="s">
        <v>449</v>
      </c>
      <c r="C240" s="477" cm="1">
        <f t="array" ref="C240">_xlfn.XLOOKUP(A240,'TB upload'!A:A,'TB upload'!C:C-'TB upload'!B:B,0,0)*-1</f>
        <v>32833</v>
      </c>
      <c r="D240" s="489"/>
      <c r="E240" s="942" cm="1">
        <f t="array" ref="E240">_xlfn.XLOOKUP(A240,'TB upload'!A:A,'TB upload'!E:E-'TB upload'!D:D,0,0)*-1</f>
        <v>0</v>
      </c>
      <c r="F240" s="489"/>
      <c r="G240" s="477" cm="1">
        <f t="array" ref="G240">_xlfn.XLOOKUP(A240,'TB upload'!A:A,'TB upload'!G:G-'TB upload'!F:F,0,0)*-1</f>
        <v>0</v>
      </c>
      <c r="H240" s="489"/>
      <c r="I240" s="477" cm="1">
        <f t="array" ref="I240">_xlfn.XLOOKUP(A240,'TB upload'!A:A,'TB upload'!I:I-'TB upload'!H:H,0,0)*-1</f>
        <v>540</v>
      </c>
      <c r="J240" s="489"/>
      <c r="K240" s="490">
        <f t="shared" ref="K240:K243" si="62">SUM(C240:J240)</f>
        <v>33373</v>
      </c>
      <c r="L240" s="311">
        <v>32833</v>
      </c>
      <c r="M240" s="311"/>
      <c r="N240" s="311">
        <v>0</v>
      </c>
      <c r="O240" s="311"/>
      <c r="P240" s="311">
        <v>0</v>
      </c>
      <c r="Q240" s="311"/>
      <c r="R240" s="311">
        <v>540</v>
      </c>
      <c r="S240" s="311"/>
      <c r="T240" s="311">
        <v>33373</v>
      </c>
      <c r="U240" s="649">
        <v>32833</v>
      </c>
      <c r="V240" s="489"/>
      <c r="W240" s="489"/>
      <c r="X240" s="489"/>
      <c r="Y240" s="489"/>
      <c r="Z240" s="489"/>
      <c r="AA240" s="489">
        <v>540</v>
      </c>
      <c r="AB240" s="489"/>
      <c r="AC240" s="490">
        <v>33373</v>
      </c>
      <c r="AD240" s="477">
        <v>219679.82</v>
      </c>
      <c r="AE240" s="489"/>
      <c r="AF240" s="489">
        <v>0</v>
      </c>
      <c r="AG240" s="489"/>
      <c r="AH240" s="489">
        <v>0</v>
      </c>
      <c r="AI240" s="489"/>
      <c r="AJ240" s="489">
        <v>32938</v>
      </c>
      <c r="AK240" s="489">
        <v>24942</v>
      </c>
      <c r="AL240" s="490">
        <v>277559.82</v>
      </c>
      <c r="AM240" s="477">
        <v>346784.46</v>
      </c>
      <c r="AN240" s="489"/>
      <c r="AO240" s="489"/>
      <c r="AP240" s="489"/>
      <c r="AQ240" s="489"/>
      <c r="AR240" s="489"/>
      <c r="AS240" s="489"/>
      <c r="AT240" s="489"/>
      <c r="AU240" s="490">
        <v>346784.46</v>
      </c>
      <c r="AV240" s="491"/>
    </row>
    <row r="241" spans="1:48">
      <c r="A241" s="444" t="s">
        <v>523</v>
      </c>
      <c r="B241" s="488" t="s">
        <v>449</v>
      </c>
      <c r="C241" s="477" cm="1">
        <f t="array" ref="C241">_xlfn.XLOOKUP(A241,'TB upload'!A:A,'TB upload'!C:C-'TB upload'!B:B,0,0)*-1</f>
        <v>16550</v>
      </c>
      <c r="D241" s="489"/>
      <c r="E241" s="942" cm="1">
        <f t="array" ref="E241">_xlfn.XLOOKUP(A241,'TB upload'!A:A,'TB upload'!E:E-'TB upload'!D:D,0,0)*-1</f>
        <v>0</v>
      </c>
      <c r="F241" s="489"/>
      <c r="G241" s="477" cm="1">
        <f t="array" ref="G241">_xlfn.XLOOKUP(A241,'TB upload'!A:A,'TB upload'!G:G-'TB upload'!F:F,0,0)*-1</f>
        <v>0</v>
      </c>
      <c r="H241" s="489"/>
      <c r="I241" s="477" cm="1">
        <f t="array" ref="I241">_xlfn.XLOOKUP(A241,'TB upload'!A:A,'TB upload'!I:I-'TB upload'!H:H,0,0)*-1</f>
        <v>0</v>
      </c>
      <c r="J241" s="489"/>
      <c r="K241" s="490">
        <f t="shared" si="62"/>
        <v>16550</v>
      </c>
      <c r="L241" s="311">
        <v>16550</v>
      </c>
      <c r="M241" s="311"/>
      <c r="N241" s="311">
        <v>0</v>
      </c>
      <c r="O241" s="311"/>
      <c r="P241" s="311">
        <v>0</v>
      </c>
      <c r="Q241" s="311"/>
      <c r="R241" s="311">
        <v>0</v>
      </c>
      <c r="S241" s="311"/>
      <c r="T241" s="311">
        <v>16550</v>
      </c>
      <c r="U241" s="649">
        <v>10300</v>
      </c>
      <c r="V241" s="489"/>
      <c r="W241" s="489"/>
      <c r="X241" s="489"/>
      <c r="Y241" s="489"/>
      <c r="Z241" s="489"/>
      <c r="AA241" s="489"/>
      <c r="AB241" s="489"/>
      <c r="AC241" s="490">
        <v>10300</v>
      </c>
      <c r="AD241" s="477">
        <v>98908</v>
      </c>
      <c r="AE241" s="489"/>
      <c r="AF241" s="489">
        <v>0</v>
      </c>
      <c r="AG241" s="489"/>
      <c r="AH241" s="489">
        <v>0</v>
      </c>
      <c r="AI241" s="489"/>
      <c r="AJ241" s="489">
        <v>0</v>
      </c>
      <c r="AK241" s="489"/>
      <c r="AL241" s="490">
        <v>98908</v>
      </c>
      <c r="AM241" s="477">
        <v>107622</v>
      </c>
      <c r="AN241" s="489"/>
      <c r="AO241" s="489"/>
      <c r="AP241" s="489"/>
      <c r="AQ241" s="489">
        <v>12000</v>
      </c>
      <c r="AR241" s="489"/>
      <c r="AS241" s="489"/>
      <c r="AT241" s="489"/>
      <c r="AU241" s="490">
        <v>119622</v>
      </c>
      <c r="AV241" s="491"/>
    </row>
    <row r="242" spans="1:48">
      <c r="A242" s="444" t="s">
        <v>1384</v>
      </c>
      <c r="B242" s="488" t="s">
        <v>449</v>
      </c>
      <c r="C242" s="477" cm="1">
        <f t="array" ref="C242">_xlfn.XLOOKUP(A242,'TB upload'!A:A,'TB upload'!C:C-'TB upload'!B:B,0,0)*-1</f>
        <v>0</v>
      </c>
      <c r="D242" s="489"/>
      <c r="E242" s="942" cm="1">
        <f t="array" ref="E242">_xlfn.XLOOKUP(A242,'TB upload'!A:A,'TB upload'!E:E-'TB upload'!D:D,0,0)*-1</f>
        <v>0</v>
      </c>
      <c r="F242" s="489"/>
      <c r="G242" s="477" cm="1">
        <f t="array" ref="G242">_xlfn.XLOOKUP(A242,'TB upload'!A:A,'TB upload'!G:G-'TB upload'!F:F,0,0)*-1</f>
        <v>0</v>
      </c>
      <c r="H242" s="489"/>
      <c r="I242" s="477" cm="1">
        <f t="array" ref="I242">_xlfn.XLOOKUP(A242,'TB upload'!A:A,'TB upload'!I:I-'TB upload'!H:H,0,0)*-1</f>
        <v>0</v>
      </c>
      <c r="J242" s="489"/>
      <c r="K242" s="490">
        <f t="shared" si="62"/>
        <v>0</v>
      </c>
      <c r="L242" s="311">
        <v>0</v>
      </c>
      <c r="M242" s="311"/>
      <c r="N242" s="311">
        <v>0</v>
      </c>
      <c r="O242" s="311"/>
      <c r="P242" s="311">
        <v>0</v>
      </c>
      <c r="Q242" s="311"/>
      <c r="R242" s="311">
        <v>0</v>
      </c>
      <c r="S242" s="311"/>
      <c r="T242" s="311">
        <v>0</v>
      </c>
      <c r="U242" s="477">
        <v>0</v>
      </c>
      <c r="V242" s="489"/>
      <c r="W242" s="489"/>
      <c r="X242" s="489"/>
      <c r="Y242" s="489"/>
      <c r="Z242" s="489"/>
      <c r="AA242" s="489"/>
      <c r="AB242" s="489"/>
      <c r="AC242" s="490">
        <v>0</v>
      </c>
      <c r="AD242" s="477">
        <v>10080</v>
      </c>
      <c r="AE242" s="489"/>
      <c r="AF242" s="489">
        <v>0</v>
      </c>
      <c r="AG242" s="489"/>
      <c r="AH242" s="489">
        <v>0</v>
      </c>
      <c r="AI242" s="489"/>
      <c r="AJ242" s="489">
        <v>0</v>
      </c>
      <c r="AK242" s="489"/>
      <c r="AL242" s="490">
        <v>10080</v>
      </c>
      <c r="AM242" s="477">
        <v>0</v>
      </c>
      <c r="AN242" s="489"/>
      <c r="AO242" s="489"/>
      <c r="AP242" s="489"/>
      <c r="AQ242" s="489"/>
      <c r="AR242" s="489"/>
      <c r="AS242" s="489"/>
      <c r="AT242" s="489"/>
      <c r="AU242" s="490">
        <v>0</v>
      </c>
      <c r="AV242" s="491"/>
    </row>
    <row r="243" spans="1:48">
      <c r="A243" s="444" t="s">
        <v>218</v>
      </c>
      <c r="B243" s="488" t="s">
        <v>449</v>
      </c>
      <c r="C243" s="477" cm="1">
        <f t="array" ref="C243">_xlfn.XLOOKUP(A243,'TB upload'!A:A,'TB upload'!C:C-'TB upload'!B:B,0,0)*-1</f>
        <v>8807</v>
      </c>
      <c r="D243" s="489"/>
      <c r="E243" s="942" cm="1">
        <f t="array" ref="E243">_xlfn.XLOOKUP(A243,'TB upload'!A:A,'TB upload'!E:E-'TB upload'!D:D,0,0)*-1</f>
        <v>21243</v>
      </c>
      <c r="F243" s="489"/>
      <c r="G243" s="477" cm="1">
        <f t="array" ref="G243">_xlfn.XLOOKUP(A243,'TB upload'!A:A,'TB upload'!G:G-'TB upload'!F:F,0,0)*-1</f>
        <v>0</v>
      </c>
      <c r="H243" s="489"/>
      <c r="I243" s="477" cm="1">
        <f t="array" ref="I243">_xlfn.XLOOKUP(A243,'TB upload'!A:A,'TB upload'!I:I-'TB upload'!H:H,0,0)*-1</f>
        <v>0</v>
      </c>
      <c r="J243" s="489"/>
      <c r="K243" s="490">
        <f t="shared" si="62"/>
        <v>30050</v>
      </c>
      <c r="L243" s="311">
        <v>6707</v>
      </c>
      <c r="M243" s="311"/>
      <c r="N243" s="311">
        <v>21243</v>
      </c>
      <c r="O243" s="311"/>
      <c r="P243" s="311">
        <v>0</v>
      </c>
      <c r="Q243" s="311"/>
      <c r="R243" s="311">
        <v>0</v>
      </c>
      <c r="S243" s="311"/>
      <c r="T243" s="311">
        <v>27950</v>
      </c>
      <c r="U243" s="649">
        <v>6707</v>
      </c>
      <c r="V243" s="489"/>
      <c r="W243" s="489">
        <v>21243</v>
      </c>
      <c r="X243" s="489"/>
      <c r="Y243" s="489"/>
      <c r="Z243" s="489"/>
      <c r="AA243" s="489"/>
      <c r="AB243" s="489"/>
      <c r="AC243" s="490">
        <v>27950</v>
      </c>
      <c r="AD243" s="477">
        <v>1497747.28</v>
      </c>
      <c r="AE243" s="489"/>
      <c r="AF243" s="489">
        <v>0</v>
      </c>
      <c r="AG243" s="489"/>
      <c r="AH243" s="489">
        <v>0</v>
      </c>
      <c r="AI243" s="489"/>
      <c r="AJ243" s="489">
        <v>0</v>
      </c>
      <c r="AK243" s="489"/>
      <c r="AL243" s="490">
        <v>1497747.28</v>
      </c>
      <c r="AM243" s="477">
        <v>471716.38</v>
      </c>
      <c r="AN243" s="489"/>
      <c r="AO243" s="489"/>
      <c r="AP243" s="489"/>
      <c r="AQ243" s="489"/>
      <c r="AR243" s="489"/>
      <c r="AS243" s="489"/>
      <c r="AT243" s="489"/>
      <c r="AU243" s="490">
        <v>471716.38</v>
      </c>
      <c r="AV243" s="491"/>
    </row>
    <row r="244" spans="1:48" ht="15" thickBot="1">
      <c r="A244" s="158"/>
      <c r="B244" s="488"/>
      <c r="C244" s="477"/>
      <c r="D244" s="489"/>
      <c r="E244" s="489"/>
      <c r="F244" s="489"/>
      <c r="G244" s="489"/>
      <c r="H244" s="489"/>
      <c r="I244" s="489"/>
      <c r="J244" s="489"/>
      <c r="K244" s="490"/>
      <c r="L244" s="311"/>
      <c r="M244" s="311"/>
      <c r="N244" s="311"/>
      <c r="O244" s="311"/>
      <c r="P244" s="311"/>
      <c r="Q244" s="311"/>
      <c r="R244" s="311"/>
      <c r="S244" s="311"/>
      <c r="T244" s="311"/>
      <c r="U244" s="477"/>
      <c r="V244" s="489"/>
      <c r="W244" s="489"/>
      <c r="X244" s="489"/>
      <c r="Y244" s="489"/>
      <c r="Z244" s="489"/>
      <c r="AA244" s="489"/>
      <c r="AB244" s="489"/>
      <c r="AC244" s="490"/>
      <c r="AD244" s="477"/>
      <c r="AE244" s="489"/>
      <c r="AF244" s="489"/>
      <c r="AG244" s="489"/>
      <c r="AH244" s="489"/>
      <c r="AI244" s="489"/>
      <c r="AJ244" s="489"/>
      <c r="AK244" s="489"/>
      <c r="AL244" s="490"/>
      <c r="AM244" s="477"/>
      <c r="AN244" s="489"/>
      <c r="AO244" s="489"/>
      <c r="AP244" s="489"/>
      <c r="AQ244" s="489"/>
      <c r="AR244" s="489"/>
      <c r="AS244" s="489"/>
      <c r="AT244" s="489"/>
      <c r="AU244" s="490"/>
    </row>
    <row r="245" spans="1:48" ht="15.6" thickTop="1" thickBot="1">
      <c r="A245" s="492"/>
      <c r="B245" s="493" t="s">
        <v>51</v>
      </c>
      <c r="C245" s="911">
        <f t="shared" ref="C245:H245" si="63">SUM(C240:C244)</f>
        <v>58190</v>
      </c>
      <c r="D245" s="495">
        <f t="shared" si="63"/>
        <v>0</v>
      </c>
      <c r="E245" s="495">
        <f t="shared" si="63"/>
        <v>21243</v>
      </c>
      <c r="F245" s="495">
        <f t="shared" si="63"/>
        <v>0</v>
      </c>
      <c r="G245" s="495">
        <f t="shared" si="63"/>
        <v>0</v>
      </c>
      <c r="H245" s="495">
        <f t="shared" si="63"/>
        <v>0</v>
      </c>
      <c r="I245" s="495">
        <f t="shared" ref="I245:K245" si="64">SUM(I240:I244)</f>
        <v>540</v>
      </c>
      <c r="J245" s="495">
        <f t="shared" si="64"/>
        <v>0</v>
      </c>
      <c r="K245" s="496">
        <f t="shared" si="64"/>
        <v>79973</v>
      </c>
      <c r="L245" s="990">
        <v>56090</v>
      </c>
      <c r="M245" s="990">
        <v>0</v>
      </c>
      <c r="N245" s="990">
        <v>21243</v>
      </c>
      <c r="O245" s="990">
        <v>0</v>
      </c>
      <c r="P245" s="990">
        <v>0</v>
      </c>
      <c r="Q245" s="990">
        <v>0</v>
      </c>
      <c r="R245" s="990">
        <v>540</v>
      </c>
      <c r="S245" s="990">
        <v>0</v>
      </c>
      <c r="T245" s="990">
        <v>77873</v>
      </c>
      <c r="U245" s="911">
        <v>49840</v>
      </c>
      <c r="V245" s="495">
        <v>0</v>
      </c>
      <c r="W245" s="495">
        <v>21243</v>
      </c>
      <c r="X245" s="495">
        <v>0</v>
      </c>
      <c r="Y245" s="495">
        <v>0</v>
      </c>
      <c r="Z245" s="495">
        <v>0</v>
      </c>
      <c r="AA245" s="495">
        <v>540</v>
      </c>
      <c r="AB245" s="495">
        <v>0</v>
      </c>
      <c r="AC245" s="496">
        <v>71623</v>
      </c>
      <c r="AD245" s="494">
        <v>1826415.1</v>
      </c>
      <c r="AE245" s="495">
        <v>0</v>
      </c>
      <c r="AF245" s="495">
        <v>0</v>
      </c>
      <c r="AG245" s="495">
        <v>0</v>
      </c>
      <c r="AH245" s="495">
        <v>0</v>
      </c>
      <c r="AI245" s="495">
        <v>0</v>
      </c>
      <c r="AJ245" s="495">
        <v>32938</v>
      </c>
      <c r="AK245" s="495">
        <v>24942</v>
      </c>
      <c r="AL245" s="496">
        <v>1884295.1</v>
      </c>
      <c r="AM245" s="494">
        <v>926122.84000000008</v>
      </c>
      <c r="AN245" s="495">
        <v>0</v>
      </c>
      <c r="AO245" s="495">
        <v>0</v>
      </c>
      <c r="AP245" s="495">
        <v>0</v>
      </c>
      <c r="AQ245" s="495">
        <v>12000</v>
      </c>
      <c r="AR245" s="495">
        <v>0</v>
      </c>
      <c r="AS245" s="495">
        <v>0</v>
      </c>
      <c r="AT245" s="495">
        <v>0</v>
      </c>
      <c r="AU245" s="497">
        <v>938122.84000000008</v>
      </c>
      <c r="AV245" s="491">
        <f>AL245-AU245</f>
        <v>946172.26</v>
      </c>
    </row>
    <row r="246" spans="1:48" ht="15" thickTop="1">
      <c r="A246" s="158" t="s">
        <v>252</v>
      </c>
      <c r="B246" s="488"/>
      <c r="C246" s="477"/>
      <c r="D246" s="489"/>
      <c r="E246" s="489"/>
      <c r="F246" s="489"/>
      <c r="G246" s="489"/>
      <c r="H246" s="489"/>
      <c r="I246" s="489"/>
      <c r="J246" s="489"/>
      <c r="K246" s="490"/>
      <c r="L246" s="311"/>
      <c r="M246" s="311"/>
      <c r="N246" s="311"/>
      <c r="O246" s="311"/>
      <c r="P246" s="311"/>
      <c r="Q246" s="311"/>
      <c r="R246" s="311"/>
      <c r="S246" s="311"/>
      <c r="T246" s="311"/>
      <c r="U246" s="477"/>
      <c r="V246" s="489"/>
      <c r="W246" s="489"/>
      <c r="X246" s="489"/>
      <c r="Y246" s="489"/>
      <c r="Z246" s="489"/>
      <c r="AA246" s="489"/>
      <c r="AB246" s="489"/>
      <c r="AC246" s="490"/>
      <c r="AD246" s="477"/>
      <c r="AE246" s="489"/>
      <c r="AF246" s="489"/>
      <c r="AG246" s="489"/>
      <c r="AH246" s="489"/>
      <c r="AI246" s="489"/>
      <c r="AJ246" s="489"/>
      <c r="AK246" s="489"/>
      <c r="AL246" s="490"/>
      <c r="AM246" s="477"/>
      <c r="AN246" s="489"/>
      <c r="AO246" s="489"/>
      <c r="AP246" s="489"/>
      <c r="AQ246" s="489"/>
      <c r="AR246" s="489"/>
      <c r="AS246" s="489"/>
      <c r="AT246" s="489"/>
      <c r="AU246" s="490"/>
    </row>
    <row r="247" spans="1:48">
      <c r="A247" s="444" t="s">
        <v>200</v>
      </c>
      <c r="B247" s="488" t="s">
        <v>449</v>
      </c>
      <c r="C247" s="477" cm="1">
        <f t="array" ref="C247">_xlfn.XLOOKUP(A247,'TB upload'!A:A,'TB upload'!C:C-'TB upload'!B:B,0,0)*-1</f>
        <v>1136064.8</v>
      </c>
      <c r="D247" s="489">
        <v>72000</v>
      </c>
      <c r="E247" s="942" cm="1">
        <f t="array" ref="E247">_xlfn.XLOOKUP(A247,'TB upload'!A:A,'TB upload'!E:E-'TB upload'!D:D,0,0)*-1</f>
        <v>0</v>
      </c>
      <c r="F247" s="489"/>
      <c r="G247" s="477" cm="1">
        <f t="array" ref="G247">_xlfn.XLOOKUP(A247,'TB upload'!A:A,'TB upload'!G:G-'TB upload'!F:F,0,0)*-1</f>
        <v>0</v>
      </c>
      <c r="H247" s="489"/>
      <c r="I247" s="477" cm="1">
        <f t="array" ref="I247">_xlfn.XLOOKUP(A247,'TB upload'!A:A,'TB upload'!I:I-'TB upload'!H:H,0,0)*-1</f>
        <v>0</v>
      </c>
      <c r="J247" s="489"/>
      <c r="K247" s="490">
        <f t="shared" ref="K247:K250" si="65">SUM(C247:J247)</f>
        <v>1208064.8</v>
      </c>
      <c r="L247" s="311">
        <v>803764.8</v>
      </c>
      <c r="M247" s="311"/>
      <c r="N247" s="311">
        <v>0</v>
      </c>
      <c r="O247" s="311"/>
      <c r="P247" s="311">
        <v>0</v>
      </c>
      <c r="Q247" s="311"/>
      <c r="R247" s="311">
        <v>0</v>
      </c>
      <c r="S247" s="311"/>
      <c r="T247" s="311">
        <v>803764.8</v>
      </c>
      <c r="U247" s="649">
        <v>747514.8</v>
      </c>
      <c r="V247" s="489"/>
      <c r="W247" s="489"/>
      <c r="X247" s="489"/>
      <c r="Y247" s="489"/>
      <c r="Z247" s="489"/>
      <c r="AA247" s="489"/>
      <c r="AB247" s="489"/>
      <c r="AC247" s="490">
        <v>747514.8</v>
      </c>
      <c r="AD247" s="477">
        <v>9504234</v>
      </c>
      <c r="AE247" s="489"/>
      <c r="AF247" s="489">
        <v>0</v>
      </c>
      <c r="AG247" s="489"/>
      <c r="AH247" s="489">
        <v>0</v>
      </c>
      <c r="AI247" s="489"/>
      <c r="AJ247" s="489">
        <v>13000</v>
      </c>
      <c r="AK247" s="489"/>
      <c r="AL247" s="490">
        <v>9517234</v>
      </c>
      <c r="AM247" s="477">
        <v>4593972.2</v>
      </c>
      <c r="AN247" s="489"/>
      <c r="AO247" s="489"/>
      <c r="AP247" s="489"/>
      <c r="AQ247" s="489"/>
      <c r="AR247" s="489"/>
      <c r="AS247" s="489"/>
      <c r="AT247" s="489"/>
      <c r="AU247" s="490">
        <v>4593972.2</v>
      </c>
      <c r="AV247" s="491"/>
    </row>
    <row r="248" spans="1:48">
      <c r="A248" s="444" t="s">
        <v>212</v>
      </c>
      <c r="B248" s="488" t="s">
        <v>449</v>
      </c>
      <c r="C248" s="477" cm="1">
        <f t="array" ref="C248">_xlfn.XLOOKUP(A248,'TB upload'!A:A,'TB upload'!C:C-'TB upload'!B:B,0,0)*-1</f>
        <v>469210</v>
      </c>
      <c r="D248" s="489"/>
      <c r="E248" s="942" cm="1">
        <f t="array" ref="E248">_xlfn.XLOOKUP(A248,'TB upload'!A:A,'TB upload'!E:E-'TB upload'!D:D,0,0)*-1</f>
        <v>0</v>
      </c>
      <c r="F248" s="489"/>
      <c r="G248" s="477" cm="1">
        <f t="array" ref="G248">_xlfn.XLOOKUP(A248,'TB upload'!A:A,'TB upload'!G:G-'TB upload'!F:F,0,0)*-1</f>
        <v>0</v>
      </c>
      <c r="H248" s="489"/>
      <c r="I248" s="477" cm="1">
        <f t="array" ref="I248">_xlfn.XLOOKUP(A248,'TB upload'!A:A,'TB upload'!I:I-'TB upload'!H:H,0,0)*-1</f>
        <v>0</v>
      </c>
      <c r="J248" s="489"/>
      <c r="K248" s="490">
        <f t="shared" si="65"/>
        <v>469210</v>
      </c>
      <c r="L248" s="311">
        <v>469210</v>
      </c>
      <c r="M248" s="311"/>
      <c r="N248" s="311">
        <v>0</v>
      </c>
      <c r="O248" s="311"/>
      <c r="P248" s="311">
        <v>0</v>
      </c>
      <c r="Q248" s="311"/>
      <c r="R248" s="311">
        <v>0</v>
      </c>
      <c r="S248" s="311"/>
      <c r="T248" s="311">
        <v>469210</v>
      </c>
      <c r="U248" s="649">
        <v>469210</v>
      </c>
      <c r="V248" s="489"/>
      <c r="W248" s="489"/>
      <c r="X248" s="489"/>
      <c r="Y248" s="489"/>
      <c r="Z248" s="489"/>
      <c r="AA248" s="489"/>
      <c r="AB248" s="489"/>
      <c r="AC248" s="490">
        <v>469210</v>
      </c>
      <c r="AD248" s="477">
        <v>2275720</v>
      </c>
      <c r="AE248" s="489"/>
      <c r="AF248" s="489">
        <v>0</v>
      </c>
      <c r="AG248" s="489"/>
      <c r="AH248" s="489">
        <v>0</v>
      </c>
      <c r="AI248" s="489"/>
      <c r="AJ248" s="489">
        <v>0</v>
      </c>
      <c r="AK248" s="489"/>
      <c r="AL248" s="490">
        <v>2275720</v>
      </c>
      <c r="AM248" s="477">
        <v>1100400</v>
      </c>
      <c r="AN248" s="489"/>
      <c r="AO248" s="489"/>
      <c r="AP248" s="489"/>
      <c r="AQ248" s="489"/>
      <c r="AR248" s="489"/>
      <c r="AS248" s="489"/>
      <c r="AT248" s="489"/>
      <c r="AU248" s="490">
        <v>1100400</v>
      </c>
      <c r="AV248" s="491"/>
    </row>
    <row r="249" spans="1:48">
      <c r="A249" s="444" t="s">
        <v>1424</v>
      </c>
      <c r="B249" s="488" t="s">
        <v>449</v>
      </c>
      <c r="C249" s="477" cm="1">
        <f t="array" ref="C249">_xlfn.XLOOKUP(A249,'TB upload'!A:A,'TB upload'!C:C-'TB upload'!B:B,0,0)*-1</f>
        <v>0</v>
      </c>
      <c r="D249" s="489"/>
      <c r="E249" s="942" cm="1">
        <f t="array" ref="E249">_xlfn.XLOOKUP(A249,'TB upload'!A:A,'TB upload'!E:E-'TB upload'!D:D,0,0)*-1</f>
        <v>0</v>
      </c>
      <c r="F249" s="489"/>
      <c r="G249" s="477" cm="1">
        <f t="array" ref="G249">_xlfn.XLOOKUP(A249,'TB upload'!A:A,'TB upload'!G:G-'TB upload'!F:F,0,0)*-1</f>
        <v>0</v>
      </c>
      <c r="H249" s="489"/>
      <c r="I249" s="477" cm="1">
        <f t="array" ref="I249">_xlfn.XLOOKUP(A249,'TB upload'!A:A,'TB upload'!I:I-'TB upload'!H:H,0,0)*-1</f>
        <v>0</v>
      </c>
      <c r="J249" s="489"/>
      <c r="K249" s="490">
        <f t="shared" si="65"/>
        <v>0</v>
      </c>
      <c r="L249" s="311">
        <v>0</v>
      </c>
      <c r="M249" s="311"/>
      <c r="N249" s="311">
        <v>0</v>
      </c>
      <c r="O249" s="311"/>
      <c r="P249" s="311">
        <v>0</v>
      </c>
      <c r="Q249" s="311"/>
      <c r="R249" s="311">
        <v>0</v>
      </c>
      <c r="S249" s="311"/>
      <c r="T249" s="311">
        <v>0</v>
      </c>
      <c r="U249" s="477">
        <v>0</v>
      </c>
      <c r="V249" s="489"/>
      <c r="W249" s="489"/>
      <c r="X249" s="489"/>
      <c r="Y249" s="489"/>
      <c r="Z249" s="489"/>
      <c r="AA249" s="489"/>
      <c r="AB249" s="489"/>
      <c r="AC249" s="490">
        <v>0</v>
      </c>
      <c r="AD249" s="477">
        <v>0</v>
      </c>
      <c r="AE249" s="489"/>
      <c r="AF249" s="489">
        <v>0</v>
      </c>
      <c r="AG249" s="489"/>
      <c r="AH249" s="489">
        <v>9900</v>
      </c>
      <c r="AI249" s="489"/>
      <c r="AJ249" s="489">
        <v>0</v>
      </c>
      <c r="AK249" s="489"/>
      <c r="AL249" s="490">
        <v>9900</v>
      </c>
      <c r="AM249" s="477">
        <v>0</v>
      </c>
      <c r="AN249" s="489"/>
      <c r="AO249" s="489"/>
      <c r="AP249" s="489"/>
      <c r="AQ249" s="489"/>
      <c r="AR249" s="489"/>
      <c r="AS249" s="489"/>
      <c r="AT249" s="489"/>
      <c r="AU249" s="490">
        <v>0</v>
      </c>
      <c r="AV249" s="491"/>
    </row>
    <row r="250" spans="1:48">
      <c r="A250" s="444" t="s">
        <v>1179</v>
      </c>
      <c r="B250" s="488" t="s">
        <v>449</v>
      </c>
      <c r="C250" s="477" cm="1">
        <f t="array" ref="C250">_xlfn.XLOOKUP(A250,'TB upload'!A:A,'TB upload'!C:C-'TB upload'!B:B,0,0)*-1</f>
        <v>0</v>
      </c>
      <c r="D250" s="489"/>
      <c r="E250" s="942" cm="1">
        <f t="array" ref="E250">_xlfn.XLOOKUP(A250,'TB upload'!A:A,'TB upload'!E:E-'TB upload'!D:D,0,0)*-1</f>
        <v>0</v>
      </c>
      <c r="F250" s="489"/>
      <c r="G250" s="477" cm="1">
        <f t="array" ref="G250">_xlfn.XLOOKUP(A250,'TB upload'!A:A,'TB upload'!G:G-'TB upload'!F:F,0,0)*-1</f>
        <v>0</v>
      </c>
      <c r="H250" s="489"/>
      <c r="I250" s="477" cm="1">
        <f t="array" ref="I250">_xlfn.XLOOKUP(A250,'TB upload'!A:A,'TB upload'!I:I-'TB upload'!H:H,0,0)*-1</f>
        <v>0</v>
      </c>
      <c r="J250" s="489"/>
      <c r="K250" s="490">
        <f t="shared" si="65"/>
        <v>0</v>
      </c>
      <c r="L250" s="311">
        <v>0</v>
      </c>
      <c r="M250" s="311"/>
      <c r="N250" s="311">
        <v>0</v>
      </c>
      <c r="O250" s="311"/>
      <c r="P250" s="311">
        <v>0</v>
      </c>
      <c r="Q250" s="311"/>
      <c r="R250" s="311">
        <v>0</v>
      </c>
      <c r="S250" s="311"/>
      <c r="T250" s="311">
        <v>0</v>
      </c>
      <c r="U250" s="477">
        <v>0</v>
      </c>
      <c r="V250" s="489"/>
      <c r="W250" s="489"/>
      <c r="X250" s="489"/>
      <c r="Y250" s="489"/>
      <c r="Z250" s="489"/>
      <c r="AA250" s="489"/>
      <c r="AB250" s="489"/>
      <c r="AC250" s="490">
        <v>0</v>
      </c>
      <c r="AD250" s="477">
        <v>0</v>
      </c>
      <c r="AE250" s="489"/>
      <c r="AF250" s="489">
        <v>0</v>
      </c>
      <c r="AG250" s="489"/>
      <c r="AH250" s="489">
        <v>0</v>
      </c>
      <c r="AI250" s="489"/>
      <c r="AJ250" s="489">
        <v>0</v>
      </c>
      <c r="AK250" s="489"/>
      <c r="AL250" s="490">
        <v>0</v>
      </c>
      <c r="AM250" s="477">
        <v>895000</v>
      </c>
      <c r="AN250" s="489"/>
      <c r="AO250" s="489"/>
      <c r="AP250" s="489"/>
      <c r="AQ250" s="489">
        <v>92500</v>
      </c>
      <c r="AR250" s="489"/>
      <c r="AS250" s="489"/>
      <c r="AT250" s="489"/>
      <c r="AU250" s="490">
        <v>987500</v>
      </c>
      <c r="AV250" s="491"/>
    </row>
    <row r="251" spans="1:48" ht="15" thickBot="1">
      <c r="A251" s="158"/>
      <c r="B251" s="488"/>
      <c r="C251" s="477"/>
      <c r="D251" s="489"/>
      <c r="E251" s="489"/>
      <c r="F251" s="489"/>
      <c r="G251" s="489"/>
      <c r="H251" s="489"/>
      <c r="I251" s="489"/>
      <c r="J251" s="489"/>
      <c r="K251" s="490"/>
      <c r="L251" s="311"/>
      <c r="M251" s="311"/>
      <c r="N251" s="311"/>
      <c r="O251" s="311"/>
      <c r="P251" s="311"/>
      <c r="Q251" s="311"/>
      <c r="R251" s="311"/>
      <c r="S251" s="311"/>
      <c r="T251" s="311"/>
      <c r="U251" s="477"/>
      <c r="V251" s="489"/>
      <c r="W251" s="489"/>
      <c r="X251" s="489"/>
      <c r="Y251" s="489"/>
      <c r="Z251" s="489"/>
      <c r="AA251" s="489"/>
      <c r="AB251" s="489"/>
      <c r="AC251" s="490"/>
      <c r="AD251" s="477"/>
      <c r="AE251" s="489"/>
      <c r="AF251" s="489"/>
      <c r="AG251" s="489"/>
      <c r="AH251" s="489"/>
      <c r="AI251" s="489"/>
      <c r="AJ251" s="489"/>
      <c r="AK251" s="489"/>
      <c r="AL251" s="490"/>
      <c r="AM251" s="477"/>
      <c r="AN251" s="489"/>
      <c r="AO251" s="489"/>
      <c r="AP251" s="489"/>
      <c r="AQ251" s="489"/>
      <c r="AR251" s="489"/>
      <c r="AS251" s="489"/>
      <c r="AT251" s="489"/>
      <c r="AU251" s="490"/>
    </row>
    <row r="252" spans="1:48" ht="15.6" thickTop="1" thickBot="1">
      <c r="A252" s="492"/>
      <c r="B252" s="493" t="s">
        <v>51</v>
      </c>
      <c r="C252" s="911">
        <f t="shared" ref="C252:H252" si="66">SUM(C247:C251)</f>
        <v>1605274.8</v>
      </c>
      <c r="D252" s="495">
        <f t="shared" si="66"/>
        <v>72000</v>
      </c>
      <c r="E252" s="495">
        <f t="shared" si="66"/>
        <v>0</v>
      </c>
      <c r="F252" s="495">
        <f t="shared" si="66"/>
        <v>0</v>
      </c>
      <c r="G252" s="495">
        <f t="shared" si="66"/>
        <v>0</v>
      </c>
      <c r="H252" s="495">
        <f t="shared" si="66"/>
        <v>0</v>
      </c>
      <c r="I252" s="495">
        <f t="shared" ref="I252:K252" si="67">SUM(I247:I251)</f>
        <v>0</v>
      </c>
      <c r="J252" s="495">
        <f t="shared" si="67"/>
        <v>0</v>
      </c>
      <c r="K252" s="496">
        <f t="shared" si="67"/>
        <v>1677274.8</v>
      </c>
      <c r="L252" s="990">
        <v>1272974.8</v>
      </c>
      <c r="M252" s="990">
        <v>0</v>
      </c>
      <c r="N252" s="990">
        <v>0</v>
      </c>
      <c r="O252" s="990">
        <v>0</v>
      </c>
      <c r="P252" s="990">
        <v>0</v>
      </c>
      <c r="Q252" s="990">
        <v>0</v>
      </c>
      <c r="R252" s="990">
        <v>0</v>
      </c>
      <c r="S252" s="990">
        <v>0</v>
      </c>
      <c r="T252" s="990">
        <v>1272974.8</v>
      </c>
      <c r="U252" s="911">
        <v>1216724.8</v>
      </c>
      <c r="V252" s="495">
        <v>0</v>
      </c>
      <c r="W252" s="495">
        <v>0</v>
      </c>
      <c r="X252" s="495">
        <v>0</v>
      </c>
      <c r="Y252" s="495">
        <v>0</v>
      </c>
      <c r="Z252" s="495">
        <v>0</v>
      </c>
      <c r="AA252" s="495">
        <v>0</v>
      </c>
      <c r="AB252" s="495">
        <v>0</v>
      </c>
      <c r="AC252" s="496">
        <v>1216724.8</v>
      </c>
      <c r="AD252" s="494">
        <v>11779954</v>
      </c>
      <c r="AE252" s="495">
        <v>0</v>
      </c>
      <c r="AF252" s="495">
        <v>0</v>
      </c>
      <c r="AG252" s="495">
        <v>0</v>
      </c>
      <c r="AH252" s="495">
        <v>9900</v>
      </c>
      <c r="AI252" s="495">
        <v>0</v>
      </c>
      <c r="AJ252" s="495">
        <v>13000</v>
      </c>
      <c r="AK252" s="495">
        <v>0</v>
      </c>
      <c r="AL252" s="496">
        <v>11802854</v>
      </c>
      <c r="AM252" s="494">
        <v>6589372.2000000002</v>
      </c>
      <c r="AN252" s="495">
        <v>0</v>
      </c>
      <c r="AO252" s="495">
        <v>0</v>
      </c>
      <c r="AP252" s="495">
        <v>0</v>
      </c>
      <c r="AQ252" s="495">
        <v>92500</v>
      </c>
      <c r="AR252" s="495">
        <v>0</v>
      </c>
      <c r="AS252" s="495">
        <v>0</v>
      </c>
      <c r="AT252" s="495">
        <v>0</v>
      </c>
      <c r="AU252" s="497">
        <v>6681872.2000000002</v>
      </c>
      <c r="AV252" s="491">
        <f>AL252-AU252</f>
        <v>5120981.8</v>
      </c>
    </row>
    <row r="253" spans="1:48" ht="15" thickTop="1">
      <c r="A253" s="155" t="s">
        <v>382</v>
      </c>
      <c r="B253" s="488"/>
      <c r="C253" s="477"/>
      <c r="D253" s="489"/>
      <c r="E253" s="489"/>
      <c r="F253" s="489"/>
      <c r="G253" s="489"/>
      <c r="H253" s="489"/>
      <c r="I253" s="489"/>
      <c r="J253" s="489"/>
      <c r="K253" s="490"/>
      <c r="L253" s="311"/>
      <c r="M253" s="311"/>
      <c r="N253" s="311"/>
      <c r="O253" s="311"/>
      <c r="P253" s="311"/>
      <c r="Q253" s="311"/>
      <c r="R253" s="311"/>
      <c r="S253" s="311"/>
      <c r="T253" s="311"/>
      <c r="U253" s="477"/>
      <c r="V253" s="489"/>
      <c r="W253" s="489"/>
      <c r="X253" s="489"/>
      <c r="Y253" s="489"/>
      <c r="Z253" s="489"/>
      <c r="AA253" s="489"/>
      <c r="AB253" s="489"/>
      <c r="AC253" s="490"/>
      <c r="AD253" s="477"/>
      <c r="AE253" s="489"/>
      <c r="AF253" s="489"/>
      <c r="AG253" s="489"/>
      <c r="AH253" s="489"/>
      <c r="AI253" s="489"/>
      <c r="AJ253" s="489"/>
      <c r="AK253" s="489"/>
      <c r="AL253" s="490"/>
      <c r="AM253" s="477"/>
      <c r="AN253" s="489"/>
      <c r="AO253" s="489"/>
      <c r="AP253" s="489"/>
      <c r="AQ253" s="489"/>
      <c r="AR253" s="489"/>
      <c r="AS253" s="489"/>
      <c r="AT253" s="489"/>
      <c r="AU253" s="490"/>
    </row>
    <row r="254" spans="1:48">
      <c r="A254" s="444" t="s">
        <v>210</v>
      </c>
      <c r="B254" s="488" t="s">
        <v>449</v>
      </c>
      <c r="C254" s="477" cm="1">
        <f t="array" ref="C254">_xlfn.XLOOKUP(A254,'TB upload'!A:A,'TB upload'!C:C-'TB upload'!B:B,0,0)*-1</f>
        <v>130000</v>
      </c>
      <c r="D254" s="489">
        <f>-ROU!K52</f>
        <v>0</v>
      </c>
      <c r="E254" s="942" cm="1">
        <f t="array" ref="E254">_xlfn.XLOOKUP(A254,'TB upload'!A:A,'TB upload'!E:E-'TB upload'!D:D,0,0)*-1</f>
        <v>309850</v>
      </c>
      <c r="F254" s="489"/>
      <c r="G254" s="477" cm="1">
        <f t="array" ref="G254">_xlfn.XLOOKUP(A254,'TB upload'!A:A,'TB upload'!G:G-'TB upload'!F:F,0,0)*-1</f>
        <v>0</v>
      </c>
      <c r="H254" s="489"/>
      <c r="I254" s="477" cm="1">
        <f t="array" ref="I254">_xlfn.XLOOKUP(A254,'TB upload'!A:A,'TB upload'!I:I-'TB upload'!H:H,0,0)*-1</f>
        <v>50751.5</v>
      </c>
      <c r="J254" s="489"/>
      <c r="K254" s="490">
        <f>SUM(C254:J254)</f>
        <v>490601.5</v>
      </c>
      <c r="L254" s="311">
        <v>130000</v>
      </c>
      <c r="M254" s="311"/>
      <c r="N254" s="311">
        <v>309850</v>
      </c>
      <c r="O254" s="311"/>
      <c r="P254" s="311">
        <v>0</v>
      </c>
      <c r="Q254" s="311"/>
      <c r="R254" s="311">
        <v>50751.5</v>
      </c>
      <c r="S254" s="311"/>
      <c r="T254" s="311">
        <v>490601.5</v>
      </c>
      <c r="U254" s="649">
        <v>85000</v>
      </c>
      <c r="V254" s="489"/>
      <c r="W254" s="489">
        <v>309850</v>
      </c>
      <c r="X254" s="489"/>
      <c r="Y254" s="489"/>
      <c r="Z254" s="489"/>
      <c r="AA254" s="489">
        <v>50751</v>
      </c>
      <c r="AB254" s="489"/>
      <c r="AC254" s="490">
        <v>445601</v>
      </c>
      <c r="AD254" s="477">
        <v>2588226.06</v>
      </c>
      <c r="AE254" s="489">
        <v>-2239076.06</v>
      </c>
      <c r="AF254" s="489">
        <v>457629</v>
      </c>
      <c r="AG254" s="489"/>
      <c r="AH254" s="489">
        <v>0</v>
      </c>
      <c r="AI254" s="489"/>
      <c r="AJ254" s="489">
        <v>157729.41</v>
      </c>
      <c r="AK254" s="489">
        <v>29500</v>
      </c>
      <c r="AL254" s="490">
        <v>994008.41</v>
      </c>
      <c r="AM254" s="477">
        <v>3306712.03</v>
      </c>
      <c r="AN254" s="489">
        <v>-3041740</v>
      </c>
      <c r="AO254" s="489"/>
      <c r="AP254" s="489"/>
      <c r="AQ254" s="489"/>
      <c r="AR254" s="489"/>
      <c r="AS254" s="489"/>
      <c r="AT254" s="489"/>
      <c r="AU254" s="490">
        <v>264972.0299999998</v>
      </c>
      <c r="AV254" s="491"/>
    </row>
    <row r="255" spans="1:48" ht="15" thickBot="1">
      <c r="A255" s="158" t="s">
        <v>1436</v>
      </c>
      <c r="B255" s="488" t="s">
        <v>1432</v>
      </c>
      <c r="C255" s="477"/>
      <c r="D255" s="489"/>
      <c r="E255" s="489"/>
      <c r="F255" s="489"/>
      <c r="G255" s="489"/>
      <c r="H255" s="489"/>
      <c r="I255" s="489"/>
      <c r="J255" s="489"/>
      <c r="K255" s="490">
        <f>SUM(C255:J255)</f>
        <v>0</v>
      </c>
      <c r="L255" s="311"/>
      <c r="M255" s="311"/>
      <c r="N255" s="311"/>
      <c r="O255" s="311"/>
      <c r="P255" s="311"/>
      <c r="Q255" s="311"/>
      <c r="R255" s="311"/>
      <c r="S255" s="311"/>
      <c r="T255" s="311">
        <v>0</v>
      </c>
      <c r="U255" s="477"/>
      <c r="V255" s="489"/>
      <c r="W255" s="489"/>
      <c r="X255" s="489"/>
      <c r="Y255" s="489"/>
      <c r="Z255" s="489"/>
      <c r="AA255" s="489"/>
      <c r="AB255" s="489"/>
      <c r="AC255" s="490">
        <v>0</v>
      </c>
      <c r="AD255" s="477"/>
      <c r="AE255" s="489">
        <v>-365680</v>
      </c>
      <c r="AF255" s="489"/>
      <c r="AG255" s="489"/>
      <c r="AH255" s="489"/>
      <c r="AI255" s="489"/>
      <c r="AJ255" s="489"/>
      <c r="AK255" s="489"/>
      <c r="AL255" s="490">
        <v>-365680</v>
      </c>
      <c r="AM255" s="477"/>
      <c r="AN255" s="489"/>
      <c r="AO255" s="489"/>
      <c r="AP255" s="489"/>
      <c r="AQ255" s="489"/>
      <c r="AR255" s="489"/>
      <c r="AS255" s="489"/>
      <c r="AT255" s="489"/>
      <c r="AU255" s="490"/>
    </row>
    <row r="256" spans="1:48" ht="15.6" thickTop="1" thickBot="1">
      <c r="A256" s="492"/>
      <c r="B256" s="493" t="s">
        <v>51</v>
      </c>
      <c r="C256" s="911">
        <f t="shared" ref="C256:K256" si="68">SUM(C254:C255)</f>
        <v>130000</v>
      </c>
      <c r="D256" s="495">
        <f t="shared" si="68"/>
        <v>0</v>
      </c>
      <c r="E256" s="495">
        <f t="shared" si="68"/>
        <v>309850</v>
      </c>
      <c r="F256" s="495">
        <f t="shared" si="68"/>
        <v>0</v>
      </c>
      <c r="G256" s="495">
        <f t="shared" si="68"/>
        <v>0</v>
      </c>
      <c r="H256" s="495">
        <f t="shared" si="68"/>
        <v>0</v>
      </c>
      <c r="I256" s="495">
        <f t="shared" si="68"/>
        <v>50751.5</v>
      </c>
      <c r="J256" s="495">
        <f t="shared" si="68"/>
        <v>0</v>
      </c>
      <c r="K256" s="496">
        <f t="shared" si="68"/>
        <v>490601.5</v>
      </c>
      <c r="L256" s="990">
        <v>130000</v>
      </c>
      <c r="M256" s="990">
        <v>0</v>
      </c>
      <c r="N256" s="990">
        <v>309850</v>
      </c>
      <c r="O256" s="990">
        <v>0</v>
      </c>
      <c r="P256" s="990">
        <v>0</v>
      </c>
      <c r="Q256" s="990">
        <v>0</v>
      </c>
      <c r="R256" s="990">
        <v>50751.5</v>
      </c>
      <c r="S256" s="990">
        <v>0</v>
      </c>
      <c r="T256" s="990">
        <v>490601.5</v>
      </c>
      <c r="U256" s="911">
        <v>85000</v>
      </c>
      <c r="V256" s="495">
        <v>0</v>
      </c>
      <c r="W256" s="495">
        <v>309850</v>
      </c>
      <c r="X256" s="495">
        <v>0</v>
      </c>
      <c r="Y256" s="495">
        <v>0</v>
      </c>
      <c r="Z256" s="495">
        <v>0</v>
      </c>
      <c r="AA256" s="495">
        <v>50751</v>
      </c>
      <c r="AB256" s="495">
        <v>0</v>
      </c>
      <c r="AC256" s="496">
        <v>445601</v>
      </c>
      <c r="AD256" s="494">
        <v>2588226.06</v>
      </c>
      <c r="AE256" s="495">
        <v>-2604756.06</v>
      </c>
      <c r="AF256" s="495">
        <v>457629</v>
      </c>
      <c r="AG256" s="495">
        <v>0</v>
      </c>
      <c r="AH256" s="495">
        <v>0</v>
      </c>
      <c r="AI256" s="495">
        <v>0</v>
      </c>
      <c r="AJ256" s="495">
        <v>157729.41</v>
      </c>
      <c r="AK256" s="495">
        <v>29500</v>
      </c>
      <c r="AL256" s="496">
        <v>628328.41</v>
      </c>
      <c r="AM256" s="494">
        <v>3306712.03</v>
      </c>
      <c r="AN256" s="495">
        <v>-3041740</v>
      </c>
      <c r="AO256" s="495">
        <v>0</v>
      </c>
      <c r="AP256" s="495">
        <v>0</v>
      </c>
      <c r="AQ256" s="495">
        <v>0</v>
      </c>
      <c r="AR256" s="495">
        <v>0</v>
      </c>
      <c r="AS256" s="495">
        <v>0</v>
      </c>
      <c r="AT256" s="495">
        <v>0</v>
      </c>
      <c r="AU256" s="497">
        <v>264972.0299999998</v>
      </c>
      <c r="AV256" s="491">
        <f>AL256-AU256</f>
        <v>363356.38000000024</v>
      </c>
    </row>
    <row r="257" spans="1:50" ht="15" thickTop="1">
      <c r="A257" s="158" t="s">
        <v>1401</v>
      </c>
      <c r="B257" s="488"/>
      <c r="C257" s="477"/>
      <c r="D257" s="489"/>
      <c r="E257" s="489"/>
      <c r="F257" s="489"/>
      <c r="G257" s="489"/>
      <c r="H257" s="489"/>
      <c r="I257" s="489"/>
      <c r="J257" s="489"/>
      <c r="K257" s="490">
        <f>SUM(C257:J257)</f>
        <v>0</v>
      </c>
      <c r="L257" s="311"/>
      <c r="M257" s="311"/>
      <c r="N257" s="311"/>
      <c r="O257" s="311"/>
      <c r="P257" s="311"/>
      <c r="Q257" s="311"/>
      <c r="R257" s="311"/>
      <c r="S257" s="311"/>
      <c r="T257" s="311">
        <v>0</v>
      </c>
      <c r="U257" s="477"/>
      <c r="V257" s="489"/>
      <c r="W257" s="489"/>
      <c r="X257" s="489"/>
      <c r="Y257" s="489"/>
      <c r="Z257" s="489"/>
      <c r="AA257" s="489"/>
      <c r="AB257" s="489"/>
      <c r="AC257" s="490">
        <v>0</v>
      </c>
      <c r="AD257" s="477"/>
      <c r="AE257" s="489"/>
      <c r="AF257" s="489"/>
      <c r="AG257" s="489"/>
      <c r="AH257" s="489"/>
      <c r="AI257" s="489"/>
      <c r="AJ257" s="489"/>
      <c r="AK257" s="489"/>
      <c r="AL257" s="490">
        <v>0</v>
      </c>
      <c r="AM257" s="477"/>
      <c r="AN257" s="489"/>
      <c r="AO257" s="489"/>
      <c r="AP257" s="489"/>
      <c r="AQ257" s="489"/>
      <c r="AR257" s="489"/>
      <c r="AS257" s="489"/>
      <c r="AT257" s="489"/>
      <c r="AU257" s="490"/>
    </row>
    <row r="258" spans="1:50">
      <c r="A258" s="158" t="s">
        <v>1437</v>
      </c>
      <c r="B258" s="488" t="s">
        <v>1432</v>
      </c>
      <c r="C258" s="477"/>
      <c r="D258" s="489">
        <f>ROU!L40</f>
        <v>0</v>
      </c>
      <c r="E258" s="489"/>
      <c r="F258" s="489"/>
      <c r="G258" s="489"/>
      <c r="H258" s="489"/>
      <c r="I258" s="489"/>
      <c r="J258" s="489"/>
      <c r="K258" s="490">
        <f>SUM(C258:J258)</f>
        <v>0</v>
      </c>
      <c r="L258" s="311"/>
      <c r="M258" s="311"/>
      <c r="N258" s="311"/>
      <c r="O258" s="311"/>
      <c r="P258" s="311"/>
      <c r="Q258" s="311"/>
      <c r="R258" s="311"/>
      <c r="S258" s="311"/>
      <c r="T258" s="311">
        <v>0</v>
      </c>
      <c r="U258" s="477"/>
      <c r="V258" s="489"/>
      <c r="W258" s="489"/>
      <c r="X258" s="489"/>
      <c r="Y258" s="489"/>
      <c r="Z258" s="489"/>
      <c r="AA258" s="489"/>
      <c r="AB258" s="489"/>
      <c r="AC258" s="490">
        <v>0</v>
      </c>
      <c r="AD258" s="477"/>
      <c r="AE258" s="489">
        <v>303131</v>
      </c>
      <c r="AF258" s="489"/>
      <c r="AG258" s="489"/>
      <c r="AH258" s="489"/>
      <c r="AI258" s="489"/>
      <c r="AJ258" s="489"/>
      <c r="AK258" s="489"/>
      <c r="AL258" s="490">
        <v>303131</v>
      </c>
      <c r="AM258" s="477"/>
      <c r="AN258" s="489">
        <v>24151</v>
      </c>
      <c r="AO258" s="489"/>
      <c r="AP258" s="489"/>
      <c r="AQ258" s="489"/>
      <c r="AR258" s="489"/>
      <c r="AS258" s="489"/>
      <c r="AT258" s="489"/>
      <c r="AU258" s="490">
        <v>24151</v>
      </c>
      <c r="AV258" s="491"/>
    </row>
    <row r="259" spans="1:50" ht="15" thickBot="1">
      <c r="A259" s="158"/>
      <c r="B259" s="488"/>
      <c r="C259" s="477"/>
      <c r="D259" s="489"/>
      <c r="E259" s="489"/>
      <c r="F259" s="489"/>
      <c r="G259" s="489"/>
      <c r="H259" s="489"/>
      <c r="I259" s="489"/>
      <c r="J259" s="489"/>
      <c r="K259" s="490"/>
      <c r="L259" s="311"/>
      <c r="M259" s="311"/>
      <c r="N259" s="311"/>
      <c r="O259" s="311"/>
      <c r="P259" s="311"/>
      <c r="Q259" s="311"/>
      <c r="R259" s="311"/>
      <c r="S259" s="311"/>
      <c r="T259" s="311"/>
      <c r="U259" s="477"/>
      <c r="V259" s="489"/>
      <c r="W259" s="489"/>
      <c r="X259" s="489"/>
      <c r="Y259" s="489"/>
      <c r="Z259" s="489"/>
      <c r="AA259" s="489"/>
      <c r="AB259" s="489"/>
      <c r="AC259" s="490"/>
      <c r="AD259" s="477"/>
      <c r="AE259" s="489"/>
      <c r="AF259" s="489"/>
      <c r="AG259" s="489"/>
      <c r="AH259" s="489"/>
      <c r="AI259" s="489"/>
      <c r="AJ259" s="489"/>
      <c r="AK259" s="489"/>
      <c r="AL259" s="490"/>
      <c r="AM259" s="477"/>
      <c r="AN259" s="489"/>
      <c r="AO259" s="489"/>
      <c r="AP259" s="489"/>
      <c r="AQ259" s="489"/>
      <c r="AR259" s="489"/>
      <c r="AS259" s="489"/>
      <c r="AT259" s="489"/>
      <c r="AU259" s="490"/>
    </row>
    <row r="260" spans="1:50" ht="15.6" thickTop="1" thickBot="1">
      <c r="A260" s="492"/>
      <c r="B260" s="493" t="s">
        <v>51</v>
      </c>
      <c r="C260" s="494">
        <f t="shared" ref="C260:K260" si="69">SUM(C258:C259)</f>
        <v>0</v>
      </c>
      <c r="D260" s="495">
        <f t="shared" si="69"/>
        <v>0</v>
      </c>
      <c r="E260" s="495">
        <f t="shared" si="69"/>
        <v>0</v>
      </c>
      <c r="F260" s="495">
        <f t="shared" si="69"/>
        <v>0</v>
      </c>
      <c r="G260" s="495">
        <f t="shared" si="69"/>
        <v>0</v>
      </c>
      <c r="H260" s="495">
        <f t="shared" si="69"/>
        <v>0</v>
      </c>
      <c r="I260" s="495">
        <f t="shared" si="69"/>
        <v>0</v>
      </c>
      <c r="J260" s="495">
        <f t="shared" si="69"/>
        <v>0</v>
      </c>
      <c r="K260" s="497">
        <f t="shared" si="69"/>
        <v>0</v>
      </c>
      <c r="L260" s="991">
        <v>0</v>
      </c>
      <c r="M260" s="991">
        <v>0</v>
      </c>
      <c r="N260" s="991">
        <v>0</v>
      </c>
      <c r="O260" s="991">
        <v>0</v>
      </c>
      <c r="P260" s="991">
        <v>0</v>
      </c>
      <c r="Q260" s="991">
        <v>0</v>
      </c>
      <c r="R260" s="991">
        <v>0</v>
      </c>
      <c r="S260" s="991">
        <v>0</v>
      </c>
      <c r="T260" s="991">
        <v>0</v>
      </c>
      <c r="U260" s="494">
        <v>0</v>
      </c>
      <c r="V260" s="495">
        <v>0</v>
      </c>
      <c r="W260" s="495">
        <v>0</v>
      </c>
      <c r="X260" s="495">
        <v>0</v>
      </c>
      <c r="Y260" s="495">
        <v>0</v>
      </c>
      <c r="Z260" s="495">
        <v>0</v>
      </c>
      <c r="AA260" s="495">
        <v>0</v>
      </c>
      <c r="AB260" s="495">
        <v>0</v>
      </c>
      <c r="AC260" s="497">
        <v>0</v>
      </c>
      <c r="AD260" s="494">
        <v>0</v>
      </c>
      <c r="AE260" s="495">
        <v>303131</v>
      </c>
      <c r="AF260" s="495">
        <v>0</v>
      </c>
      <c r="AG260" s="495">
        <v>0</v>
      </c>
      <c r="AH260" s="495">
        <v>0</v>
      </c>
      <c r="AI260" s="495">
        <v>0</v>
      </c>
      <c r="AJ260" s="495">
        <v>0</v>
      </c>
      <c r="AK260" s="495">
        <v>0</v>
      </c>
      <c r="AL260" s="497">
        <v>303131</v>
      </c>
      <c r="AM260" s="494">
        <v>0</v>
      </c>
      <c r="AN260" s="495">
        <v>24151</v>
      </c>
      <c r="AO260" s="495">
        <v>0</v>
      </c>
      <c r="AP260" s="495">
        <v>0</v>
      </c>
      <c r="AQ260" s="495">
        <v>0</v>
      </c>
      <c r="AR260" s="495">
        <v>0</v>
      </c>
      <c r="AS260" s="495">
        <v>0</v>
      </c>
      <c r="AT260" s="495">
        <v>0</v>
      </c>
      <c r="AU260" s="497">
        <v>24151</v>
      </c>
      <c r="AV260" s="491">
        <f>AL260-AU260</f>
        <v>278980</v>
      </c>
    </row>
    <row r="261" spans="1:50" ht="15" thickTop="1">
      <c r="A261" s="158" t="s">
        <v>1145</v>
      </c>
      <c r="B261" s="488"/>
      <c r="C261" s="477"/>
      <c r="D261" s="489"/>
      <c r="E261" s="489"/>
      <c r="F261" s="489"/>
      <c r="G261" s="489"/>
      <c r="H261" s="489"/>
      <c r="I261" s="489"/>
      <c r="J261" s="489"/>
      <c r="K261" s="490"/>
      <c r="L261" s="311"/>
      <c r="M261" s="311"/>
      <c r="N261" s="311"/>
      <c r="O261" s="311"/>
      <c r="P261" s="311"/>
      <c r="Q261" s="311"/>
      <c r="R261" s="311"/>
      <c r="S261" s="311"/>
      <c r="T261" s="311"/>
      <c r="U261" s="477"/>
      <c r="V261" s="489"/>
      <c r="W261" s="489"/>
      <c r="X261" s="489"/>
      <c r="Y261" s="489"/>
      <c r="Z261" s="489"/>
      <c r="AA261" s="489"/>
      <c r="AB261" s="489"/>
      <c r="AC261" s="490"/>
      <c r="AD261" s="477"/>
      <c r="AE261" s="489"/>
      <c r="AF261" s="489"/>
      <c r="AG261" s="489"/>
      <c r="AH261" s="489"/>
      <c r="AI261" s="489"/>
      <c r="AJ261" s="489"/>
      <c r="AK261" s="489"/>
      <c r="AL261" s="490"/>
      <c r="AM261" s="477"/>
      <c r="AN261" s="489"/>
      <c r="AO261" s="489"/>
      <c r="AP261" s="489"/>
      <c r="AQ261" s="489"/>
      <c r="AR261" s="489"/>
      <c r="AS261" s="489"/>
      <c r="AT261" s="489"/>
      <c r="AU261" s="490"/>
    </row>
    <row r="262" spans="1:50">
      <c r="A262" s="444" t="s">
        <v>990</v>
      </c>
      <c r="B262" s="488" t="s">
        <v>449</v>
      </c>
      <c r="C262" s="477" cm="1">
        <f t="array" ref="C262">_xlfn.XLOOKUP(A262,'TB upload'!A:A,'TB upload'!C:C-'TB upload'!B:B,0,0)*-1</f>
        <v>298932.14</v>
      </c>
      <c r="D262" s="489"/>
      <c r="E262" s="942" cm="1">
        <f t="array" ref="E262">_xlfn.XLOOKUP(A262,'TB upload'!A:A,'TB upload'!E:E-'TB upload'!D:D,0,0)*-1</f>
        <v>0</v>
      </c>
      <c r="F262" s="489"/>
      <c r="G262" s="477" cm="1">
        <f t="array" ref="G262">_xlfn.XLOOKUP(A262,'TB upload'!A:A,'TB upload'!G:G-'TB upload'!F:F,0,0)*-1</f>
        <v>46444</v>
      </c>
      <c r="H262" s="489"/>
      <c r="I262" s="477" cm="1">
        <f t="array" ref="I262">_xlfn.XLOOKUP(A262,'TB upload'!A:A,'TB upload'!I:I-'TB upload'!H:H,0,0)*-1</f>
        <v>0</v>
      </c>
      <c r="J262" s="489"/>
      <c r="K262" s="490">
        <f>SUM(C262:J262)</f>
        <v>345376.14</v>
      </c>
      <c r="L262" s="311">
        <v>298932.14</v>
      </c>
      <c r="M262" s="311"/>
      <c r="N262" s="311">
        <v>0</v>
      </c>
      <c r="O262" s="311"/>
      <c r="P262" s="311">
        <v>46444</v>
      </c>
      <c r="Q262" s="311"/>
      <c r="R262" s="311">
        <v>0</v>
      </c>
      <c r="S262" s="311"/>
      <c r="T262" s="311">
        <v>345376.14</v>
      </c>
      <c r="U262" s="649">
        <v>245026.51</v>
      </c>
      <c r="V262" s="489"/>
      <c r="W262" s="489"/>
      <c r="X262" s="489"/>
      <c r="Y262" s="489">
        <v>46444</v>
      </c>
      <c r="Z262" s="489"/>
      <c r="AA262" s="489"/>
      <c r="AB262" s="489"/>
      <c r="AC262" s="490">
        <v>291470.51</v>
      </c>
      <c r="AD262" s="477">
        <v>46478.1</v>
      </c>
      <c r="AE262" s="489">
        <v>23932</v>
      </c>
      <c r="AF262" s="489">
        <v>0</v>
      </c>
      <c r="AG262" s="489"/>
      <c r="AH262" s="489">
        <v>0</v>
      </c>
      <c r="AI262" s="489"/>
      <c r="AJ262" s="489">
        <v>0</v>
      </c>
      <c r="AK262" s="489"/>
      <c r="AL262" s="490">
        <v>70410.100000000006</v>
      </c>
      <c r="AM262" s="477">
        <v>75152.209999999992</v>
      </c>
      <c r="AN262" s="489"/>
      <c r="AO262" s="489"/>
      <c r="AP262" s="489"/>
      <c r="AQ262" s="489"/>
      <c r="AR262" s="489"/>
      <c r="AS262" s="489"/>
      <c r="AT262" s="489"/>
      <c r="AU262" s="490">
        <v>75152.209999999992</v>
      </c>
      <c r="AV262" s="491"/>
    </row>
    <row r="263" spans="1:50" ht="15" thickBot="1">
      <c r="A263" s="158"/>
      <c r="B263" s="488"/>
      <c r="C263" s="477"/>
      <c r="D263" s="489"/>
      <c r="E263" s="489"/>
      <c r="F263" s="489"/>
      <c r="G263" s="489"/>
      <c r="H263" s="489"/>
      <c r="I263" s="489"/>
      <c r="J263" s="489"/>
      <c r="K263" s="490"/>
      <c r="L263" s="311"/>
      <c r="M263" s="311"/>
      <c r="N263" s="311"/>
      <c r="O263" s="311"/>
      <c r="P263" s="311"/>
      <c r="Q263" s="311"/>
      <c r="R263" s="311"/>
      <c r="S263" s="311"/>
      <c r="T263" s="311"/>
      <c r="U263" s="477"/>
      <c r="V263" s="489"/>
      <c r="W263" s="489"/>
      <c r="X263" s="489"/>
      <c r="Y263" s="489"/>
      <c r="Z263" s="489"/>
      <c r="AA263" s="489"/>
      <c r="AB263" s="489"/>
      <c r="AC263" s="490"/>
      <c r="AD263" s="477"/>
      <c r="AE263" s="489"/>
      <c r="AF263" s="489"/>
      <c r="AG263" s="489"/>
      <c r="AH263" s="489"/>
      <c r="AI263" s="489"/>
      <c r="AJ263" s="489"/>
      <c r="AK263" s="489"/>
      <c r="AL263" s="490"/>
      <c r="AM263" s="477"/>
      <c r="AN263" s="489"/>
      <c r="AO263" s="489"/>
      <c r="AP263" s="489"/>
      <c r="AQ263" s="489"/>
      <c r="AR263" s="489"/>
      <c r="AS263" s="489"/>
      <c r="AT263" s="489"/>
      <c r="AU263" s="490"/>
    </row>
    <row r="264" spans="1:50" ht="15.6" thickTop="1" thickBot="1">
      <c r="A264" s="492"/>
      <c r="B264" s="493" t="s">
        <v>51</v>
      </c>
      <c r="C264" s="911">
        <f t="shared" ref="C264:K264" si="70">SUM(C262:C263)</f>
        <v>298932.14</v>
      </c>
      <c r="D264" s="495">
        <f t="shared" si="70"/>
        <v>0</v>
      </c>
      <c r="E264" s="495">
        <f t="shared" si="70"/>
        <v>0</v>
      </c>
      <c r="F264" s="495">
        <f t="shared" si="70"/>
        <v>0</v>
      </c>
      <c r="G264" s="495">
        <f t="shared" si="70"/>
        <v>46444</v>
      </c>
      <c r="H264" s="495">
        <f t="shared" si="70"/>
        <v>0</v>
      </c>
      <c r="I264" s="495">
        <f t="shared" si="70"/>
        <v>0</v>
      </c>
      <c r="J264" s="495">
        <f t="shared" si="70"/>
        <v>0</v>
      </c>
      <c r="K264" s="496">
        <f t="shared" si="70"/>
        <v>345376.14</v>
      </c>
      <c r="L264" s="990">
        <v>298932.14</v>
      </c>
      <c r="M264" s="990">
        <v>0</v>
      </c>
      <c r="N264" s="990">
        <v>0</v>
      </c>
      <c r="O264" s="990">
        <v>0</v>
      </c>
      <c r="P264" s="990">
        <v>46444</v>
      </c>
      <c r="Q264" s="990">
        <v>0</v>
      </c>
      <c r="R264" s="990">
        <v>0</v>
      </c>
      <c r="S264" s="990">
        <v>0</v>
      </c>
      <c r="T264" s="990">
        <v>345376.14</v>
      </c>
      <c r="U264" s="911">
        <v>245026.51</v>
      </c>
      <c r="V264" s="495">
        <v>0</v>
      </c>
      <c r="W264" s="495">
        <v>0</v>
      </c>
      <c r="X264" s="495">
        <v>0</v>
      </c>
      <c r="Y264" s="495">
        <v>46444</v>
      </c>
      <c r="Z264" s="495">
        <v>0</v>
      </c>
      <c r="AA264" s="495">
        <v>0</v>
      </c>
      <c r="AB264" s="495">
        <v>0</v>
      </c>
      <c r="AC264" s="496">
        <v>291470.51</v>
      </c>
      <c r="AD264" s="494">
        <v>46478.1</v>
      </c>
      <c r="AE264" s="495">
        <v>23932</v>
      </c>
      <c r="AF264" s="495">
        <v>0</v>
      </c>
      <c r="AG264" s="495">
        <v>0</v>
      </c>
      <c r="AH264" s="495">
        <v>0</v>
      </c>
      <c r="AI264" s="495">
        <v>0</v>
      </c>
      <c r="AJ264" s="495">
        <v>0</v>
      </c>
      <c r="AK264" s="495">
        <v>0</v>
      </c>
      <c r="AL264" s="496">
        <v>70410.100000000006</v>
      </c>
      <c r="AM264" s="494">
        <v>75152.209999999992</v>
      </c>
      <c r="AN264" s="495">
        <v>0</v>
      </c>
      <c r="AO264" s="495">
        <v>0</v>
      </c>
      <c r="AP264" s="495">
        <v>0</v>
      </c>
      <c r="AQ264" s="495">
        <v>0</v>
      </c>
      <c r="AR264" s="495">
        <v>0</v>
      </c>
      <c r="AS264" s="495">
        <v>0</v>
      </c>
      <c r="AT264" s="495">
        <v>0</v>
      </c>
      <c r="AU264" s="497">
        <v>75152.209999999992</v>
      </c>
      <c r="AV264" s="491">
        <f>AL264-AU264</f>
        <v>-4742.109999999986</v>
      </c>
    </row>
    <row r="265" spans="1:50" ht="15" thickTop="1">
      <c r="B265" s="499"/>
      <c r="C265" s="477"/>
      <c r="D265" s="489"/>
      <c r="E265" s="489"/>
      <c r="F265" s="489"/>
      <c r="G265" s="489"/>
      <c r="H265" s="489"/>
      <c r="I265" s="489"/>
      <c r="J265" s="489"/>
      <c r="K265" s="490"/>
      <c r="L265" s="311"/>
      <c r="M265" s="311"/>
      <c r="N265" s="311"/>
      <c r="O265" s="311"/>
      <c r="P265" s="311"/>
      <c r="Q265" s="311"/>
      <c r="R265" s="311"/>
      <c r="S265" s="311"/>
      <c r="T265" s="311"/>
      <c r="U265" s="477"/>
      <c r="V265" s="489"/>
      <c r="W265" s="489"/>
      <c r="X265" s="489"/>
      <c r="Y265" s="489"/>
      <c r="Z265" s="489"/>
      <c r="AA265" s="489"/>
      <c r="AB265" s="489"/>
      <c r="AC265" s="490"/>
      <c r="AD265" s="477"/>
      <c r="AE265" s="489"/>
      <c r="AF265" s="489"/>
      <c r="AG265" s="489"/>
      <c r="AH265" s="489"/>
      <c r="AI265" s="489"/>
      <c r="AJ265" s="489"/>
      <c r="AK265" s="489"/>
      <c r="AL265" s="490"/>
      <c r="AM265" s="477"/>
      <c r="AN265" s="489"/>
      <c r="AO265" s="489"/>
      <c r="AP265" s="489"/>
      <c r="AQ265" s="489"/>
      <c r="AR265" s="489"/>
      <c r="AS265" s="489"/>
      <c r="AT265" s="489"/>
      <c r="AU265" s="490"/>
      <c r="AV265" s="491"/>
    </row>
    <row r="266" spans="1:50">
      <c r="A266" s="158" t="s">
        <v>1410</v>
      </c>
      <c r="B266" s="488"/>
      <c r="C266" s="477"/>
      <c r="D266" s="489"/>
      <c r="E266" s="489"/>
      <c r="F266" s="489"/>
      <c r="G266" s="489"/>
      <c r="H266" s="489"/>
      <c r="I266" s="489"/>
      <c r="J266" s="489"/>
      <c r="K266" s="490"/>
      <c r="L266" s="311"/>
      <c r="M266" s="311"/>
      <c r="N266" s="311"/>
      <c r="O266" s="311"/>
      <c r="P266" s="311"/>
      <c r="Q266" s="311"/>
      <c r="R266" s="311"/>
      <c r="S266" s="311"/>
      <c r="T266" s="311"/>
      <c r="U266" s="477"/>
      <c r="V266" s="489"/>
      <c r="W266" s="489"/>
      <c r="X266" s="489"/>
      <c r="Y266" s="489"/>
      <c r="Z266" s="489"/>
      <c r="AA266" s="489"/>
      <c r="AB266" s="489"/>
      <c r="AC266" s="490"/>
      <c r="AD266" s="477"/>
      <c r="AE266" s="489"/>
      <c r="AF266" s="489"/>
      <c r="AG266" s="489"/>
      <c r="AH266" s="489"/>
      <c r="AI266" s="489"/>
      <c r="AJ266" s="489"/>
      <c r="AK266" s="489"/>
      <c r="AL266" s="490"/>
      <c r="AM266" s="477"/>
      <c r="AN266" s="489"/>
      <c r="AO266" s="489"/>
      <c r="AP266" s="489"/>
      <c r="AQ266" s="489"/>
      <c r="AR266" s="489"/>
      <c r="AS266" s="489"/>
      <c r="AT266" s="489"/>
      <c r="AU266" s="490"/>
    </row>
    <row r="267" spans="1:50">
      <c r="A267" s="444" t="s">
        <v>209</v>
      </c>
      <c r="B267" s="488" t="s">
        <v>449</v>
      </c>
      <c r="C267" s="477" cm="1">
        <f t="array" ref="C267">_xlfn.XLOOKUP(A267,'TB upload'!A:A,'TB upload'!C:C-'TB upload'!B:B,0,0)*-1</f>
        <v>6638</v>
      </c>
      <c r="D267" s="489"/>
      <c r="E267" s="942" cm="1">
        <f t="array" ref="E267">_xlfn.XLOOKUP(A267,'TB upload'!A:A,'TB upload'!E:E-'TB upload'!D:D,0,0)*-1</f>
        <v>0</v>
      </c>
      <c r="F267" s="489"/>
      <c r="G267" s="477" cm="1">
        <f t="array" ref="G267">_xlfn.XLOOKUP(A267,'TB upload'!A:A,'TB upload'!G:G-'TB upload'!F:F,0,0)*-1</f>
        <v>0</v>
      </c>
      <c r="H267" s="489"/>
      <c r="I267" s="477" cm="1">
        <f t="array" ref="I267">_xlfn.XLOOKUP(A267,'TB upload'!A:A,'TB upload'!I:I-'TB upload'!H:H,0,0)*-1</f>
        <v>0</v>
      </c>
      <c r="J267" s="489"/>
      <c r="K267" s="490">
        <f>SUM(C267:J267)</f>
        <v>6638</v>
      </c>
      <c r="L267" s="311">
        <v>6638</v>
      </c>
      <c r="M267" s="311"/>
      <c r="N267" s="311">
        <v>0</v>
      </c>
      <c r="O267" s="311"/>
      <c r="P267" s="311">
        <v>0</v>
      </c>
      <c r="Q267" s="311"/>
      <c r="R267" s="311">
        <v>0</v>
      </c>
      <c r="S267" s="311"/>
      <c r="T267" s="311">
        <v>6638</v>
      </c>
      <c r="U267" s="649">
        <v>6638</v>
      </c>
      <c r="V267" s="489"/>
      <c r="W267" s="489"/>
      <c r="X267" s="489"/>
      <c r="Y267" s="489"/>
      <c r="Z267" s="489"/>
      <c r="AA267" s="489"/>
      <c r="AB267" s="489"/>
      <c r="AC267" s="490">
        <v>6638</v>
      </c>
      <c r="AD267" s="477">
        <v>7507</v>
      </c>
      <c r="AE267" s="489"/>
      <c r="AF267" s="489">
        <v>0</v>
      </c>
      <c r="AG267" s="489"/>
      <c r="AH267" s="489">
        <v>0</v>
      </c>
      <c r="AI267" s="489"/>
      <c r="AJ267" s="489">
        <v>0</v>
      </c>
      <c r="AK267" s="489"/>
      <c r="AL267" s="490">
        <v>7507</v>
      </c>
      <c r="AM267" s="477">
        <v>8007</v>
      </c>
      <c r="AN267" s="489"/>
      <c r="AO267" s="489"/>
      <c r="AP267" s="489"/>
      <c r="AQ267" s="489"/>
      <c r="AR267" s="489"/>
      <c r="AS267" s="489"/>
      <c r="AT267" s="489"/>
      <c r="AU267" s="490">
        <v>8007</v>
      </c>
      <c r="AV267" s="491"/>
    </row>
    <row r="268" spans="1:50" ht="15" thickBot="1">
      <c r="A268" s="158"/>
      <c r="B268" s="488"/>
      <c r="C268" s="477"/>
      <c r="D268" s="489"/>
      <c r="E268" s="489"/>
      <c r="F268" s="489"/>
      <c r="G268" s="489"/>
      <c r="H268" s="489"/>
      <c r="I268" s="489"/>
      <c r="J268" s="489"/>
      <c r="K268" s="490"/>
      <c r="L268" s="311"/>
      <c r="M268" s="311"/>
      <c r="N268" s="311"/>
      <c r="O268" s="311"/>
      <c r="P268" s="311"/>
      <c r="Q268" s="311"/>
      <c r="R268" s="311"/>
      <c r="S268" s="311"/>
      <c r="T268" s="311"/>
      <c r="U268" s="477"/>
      <c r="V268" s="489"/>
      <c r="W268" s="489"/>
      <c r="X268" s="489"/>
      <c r="Y268" s="489"/>
      <c r="Z268" s="489"/>
      <c r="AA268" s="489"/>
      <c r="AB268" s="489"/>
      <c r="AC268" s="490"/>
      <c r="AD268" s="477"/>
      <c r="AE268" s="489"/>
      <c r="AF268" s="489"/>
      <c r="AG268" s="489"/>
      <c r="AH268" s="489"/>
      <c r="AI268" s="489"/>
      <c r="AJ268" s="489"/>
      <c r="AK268" s="489"/>
      <c r="AL268" s="490"/>
      <c r="AM268" s="477"/>
      <c r="AN268" s="489"/>
      <c r="AO268" s="489"/>
      <c r="AP268" s="489"/>
      <c r="AQ268" s="489"/>
      <c r="AR268" s="489"/>
      <c r="AS268" s="489"/>
      <c r="AT268" s="489"/>
      <c r="AU268" s="490"/>
    </row>
    <row r="269" spans="1:50" ht="15.6" thickTop="1" thickBot="1">
      <c r="A269" s="492"/>
      <c r="B269" s="493" t="s">
        <v>51</v>
      </c>
      <c r="C269" s="911">
        <f t="shared" ref="C269:K269" si="71">SUM(C267:C268)</f>
        <v>6638</v>
      </c>
      <c r="D269" s="495">
        <f t="shared" si="71"/>
        <v>0</v>
      </c>
      <c r="E269" s="495">
        <f t="shared" si="71"/>
        <v>0</v>
      </c>
      <c r="F269" s="495">
        <f t="shared" si="71"/>
        <v>0</v>
      </c>
      <c r="G269" s="495">
        <f t="shared" si="71"/>
        <v>0</v>
      </c>
      <c r="H269" s="495">
        <f t="shared" si="71"/>
        <v>0</v>
      </c>
      <c r="I269" s="495">
        <f t="shared" si="71"/>
        <v>0</v>
      </c>
      <c r="J269" s="495">
        <f t="shared" si="71"/>
        <v>0</v>
      </c>
      <c r="K269" s="496">
        <f t="shared" si="71"/>
        <v>6638</v>
      </c>
      <c r="L269" s="990">
        <v>6638</v>
      </c>
      <c r="M269" s="990">
        <v>0</v>
      </c>
      <c r="N269" s="990">
        <v>0</v>
      </c>
      <c r="O269" s="990">
        <v>0</v>
      </c>
      <c r="P269" s="990">
        <v>0</v>
      </c>
      <c r="Q269" s="990">
        <v>0</v>
      </c>
      <c r="R269" s="990">
        <v>0</v>
      </c>
      <c r="S269" s="990">
        <v>0</v>
      </c>
      <c r="T269" s="990">
        <v>6638</v>
      </c>
      <c r="U269" s="911">
        <v>6638</v>
      </c>
      <c r="V269" s="495">
        <v>0</v>
      </c>
      <c r="W269" s="495">
        <v>0</v>
      </c>
      <c r="X269" s="495">
        <v>0</v>
      </c>
      <c r="Y269" s="495">
        <v>0</v>
      </c>
      <c r="Z269" s="495">
        <v>0</v>
      </c>
      <c r="AA269" s="495">
        <v>0</v>
      </c>
      <c r="AB269" s="495">
        <v>0</v>
      </c>
      <c r="AC269" s="496">
        <v>6638</v>
      </c>
      <c r="AD269" s="494">
        <v>7507</v>
      </c>
      <c r="AE269" s="495">
        <v>0</v>
      </c>
      <c r="AF269" s="495">
        <v>0</v>
      </c>
      <c r="AG269" s="495">
        <v>0</v>
      </c>
      <c r="AH269" s="495">
        <v>0</v>
      </c>
      <c r="AI269" s="495">
        <v>0</v>
      </c>
      <c r="AJ269" s="495">
        <v>0</v>
      </c>
      <c r="AK269" s="495">
        <v>0</v>
      </c>
      <c r="AL269" s="496">
        <v>7507</v>
      </c>
      <c r="AM269" s="494">
        <v>8007</v>
      </c>
      <c r="AN269" s="495">
        <v>0</v>
      </c>
      <c r="AO269" s="495">
        <v>0</v>
      </c>
      <c r="AP269" s="495">
        <v>0</v>
      </c>
      <c r="AQ269" s="495">
        <v>0</v>
      </c>
      <c r="AR269" s="495">
        <v>0</v>
      </c>
      <c r="AS269" s="495">
        <v>0</v>
      </c>
      <c r="AT269" s="495">
        <v>0</v>
      </c>
      <c r="AU269" s="497">
        <v>8007</v>
      </c>
      <c r="AV269" s="491">
        <f>AL269-AU269</f>
        <v>-500</v>
      </c>
    </row>
    <row r="270" spans="1:50" ht="15" thickTop="1">
      <c r="A270" s="158" t="s">
        <v>1398</v>
      </c>
      <c r="B270" s="488"/>
      <c r="C270" s="477"/>
      <c r="D270" s="489"/>
      <c r="E270" s="489"/>
      <c r="F270" s="489"/>
      <c r="G270" s="489"/>
      <c r="H270" s="489"/>
      <c r="I270" s="489"/>
      <c r="J270" s="489"/>
      <c r="K270" s="490"/>
      <c r="L270" s="311"/>
      <c r="M270" s="311"/>
      <c r="N270" s="311"/>
      <c r="O270" s="311"/>
      <c r="P270" s="311"/>
      <c r="Q270" s="311"/>
      <c r="R270" s="311"/>
      <c r="S270" s="311"/>
      <c r="T270" s="311"/>
      <c r="U270" s="477"/>
      <c r="V270" s="489"/>
      <c r="W270" s="489"/>
      <c r="X270" s="489"/>
      <c r="Y270" s="489"/>
      <c r="Z270" s="489"/>
      <c r="AA270" s="489"/>
      <c r="AB270" s="489"/>
      <c r="AC270" s="490"/>
      <c r="AD270" s="477"/>
      <c r="AE270" s="489"/>
      <c r="AF270" s="489"/>
      <c r="AG270" s="489"/>
      <c r="AH270" s="489"/>
      <c r="AI270" s="489"/>
      <c r="AJ270" s="489"/>
      <c r="AK270" s="489"/>
      <c r="AL270" s="490"/>
      <c r="AM270" s="477"/>
      <c r="AN270" s="489"/>
      <c r="AO270" s="489"/>
      <c r="AP270" s="489"/>
      <c r="AQ270" s="489"/>
      <c r="AR270" s="489"/>
      <c r="AS270" s="489"/>
      <c r="AT270" s="489"/>
      <c r="AU270" s="490"/>
    </row>
    <row r="271" spans="1:50">
      <c r="A271" s="158" t="s">
        <v>1392</v>
      </c>
      <c r="B271" s="488" t="s">
        <v>449</v>
      </c>
      <c r="C271" s="477" cm="1">
        <f t="array" ref="C271">_xlfn.XLOOKUP(A271,'TB upload'!A:A,'TB upload'!C:C-'TB upload'!B:B,0,0)*-1</f>
        <v>1275000</v>
      </c>
      <c r="D271" s="489"/>
      <c r="E271" s="942" cm="1">
        <f t="array" ref="E271">_xlfn.XLOOKUP(A271,'TB upload'!A:A,'TB upload'!E:E-'TB upload'!D:D,0,0)*-1</f>
        <v>0</v>
      </c>
      <c r="F271" s="489"/>
      <c r="G271" s="477" cm="1">
        <f t="array" ref="G271">_xlfn.XLOOKUP(A271,'TB upload'!A:A,'TB upload'!G:G-'TB upload'!F:F,0,0)*-1</f>
        <v>0</v>
      </c>
      <c r="H271" s="489"/>
      <c r="I271" s="477" cm="1">
        <f t="array" ref="I271">_xlfn.XLOOKUP(A271,'TB upload'!A:A,'TB upload'!I:I-'TB upload'!H:H,0,0)*-1</f>
        <v>0</v>
      </c>
      <c r="J271" s="489"/>
      <c r="K271" s="490">
        <f t="shared" ref="K271:K272" si="72">SUM(C271:J271)</f>
        <v>1275000</v>
      </c>
      <c r="L271" s="311">
        <v>1275000</v>
      </c>
      <c r="M271" s="311"/>
      <c r="N271" s="311">
        <v>0</v>
      </c>
      <c r="O271" s="311"/>
      <c r="P271" s="311">
        <v>0</v>
      </c>
      <c r="Q271" s="311"/>
      <c r="R271" s="311">
        <v>0</v>
      </c>
      <c r="S271" s="311"/>
      <c r="T271" s="311">
        <v>1275000</v>
      </c>
      <c r="U271" s="649">
        <v>955000</v>
      </c>
      <c r="V271" s="489"/>
      <c r="W271" s="489">
        <v>2085</v>
      </c>
      <c r="X271" s="489"/>
      <c r="Y271" s="489"/>
      <c r="Z271" s="489"/>
      <c r="AA271" s="489"/>
      <c r="AB271" s="489"/>
      <c r="AC271" s="490">
        <v>957085</v>
      </c>
      <c r="AD271" s="477">
        <v>1899687.56</v>
      </c>
      <c r="AE271" s="489"/>
      <c r="AF271" s="489">
        <v>0</v>
      </c>
      <c r="AG271" s="489"/>
      <c r="AH271" s="489">
        <v>0</v>
      </c>
      <c r="AI271" s="489"/>
      <c r="AJ271" s="489">
        <v>0</v>
      </c>
      <c r="AK271" s="489">
        <v>315000</v>
      </c>
      <c r="AL271" s="490">
        <v>2214687.56</v>
      </c>
      <c r="AM271" s="477">
        <v>0</v>
      </c>
      <c r="AN271" s="489"/>
      <c r="AO271" s="489"/>
      <c r="AP271" s="489"/>
      <c r="AQ271" s="489"/>
      <c r="AR271" s="489"/>
      <c r="AS271" s="489"/>
      <c r="AT271" s="489"/>
      <c r="AU271" s="490">
        <v>0</v>
      </c>
      <c r="AV271" s="491">
        <f t="shared" ref="AV271" si="73">AL271-AU271</f>
        <v>2214687.56</v>
      </c>
      <c r="AW271" s="151">
        <v>50452</v>
      </c>
      <c r="AX271" s="200">
        <f>AU271-AW271</f>
        <v>-50452</v>
      </c>
    </row>
    <row r="272" spans="1:50">
      <c r="A272" s="158" t="s">
        <v>1280</v>
      </c>
      <c r="B272" s="488" t="s">
        <v>450</v>
      </c>
      <c r="C272" s="477">
        <f>IFERROR(VLOOKUP(#REF!,#REF!,7,)+VLOOKUP(#REF!,#REF!,6,),0)</f>
        <v>0</v>
      </c>
      <c r="D272" s="489">
        <f>-D254</f>
        <v>0</v>
      </c>
      <c r="E272" s="489"/>
      <c r="F272" s="489"/>
      <c r="G272" s="489"/>
      <c r="H272" s="489"/>
      <c r="I272" s="489"/>
      <c r="J272" s="489"/>
      <c r="K272" s="490">
        <f t="shared" si="72"/>
        <v>0</v>
      </c>
      <c r="L272" s="311">
        <v>0</v>
      </c>
      <c r="M272" s="311">
        <v>0</v>
      </c>
      <c r="N272" s="311"/>
      <c r="O272" s="311"/>
      <c r="P272" s="311"/>
      <c r="Q272" s="311"/>
      <c r="R272" s="311"/>
      <c r="S272" s="311"/>
      <c r="T272" s="311">
        <v>0</v>
      </c>
      <c r="U272" s="477">
        <v>0</v>
      </c>
      <c r="V272" s="489">
        <v>0</v>
      </c>
      <c r="W272" s="489"/>
      <c r="X272" s="489"/>
      <c r="Y272" s="489"/>
      <c r="Z272" s="489"/>
      <c r="AA272" s="489"/>
      <c r="AB272" s="489"/>
      <c r="AC272" s="490">
        <v>0</v>
      </c>
      <c r="AD272" s="477">
        <v>0</v>
      </c>
      <c r="AE272" s="489">
        <v>2239076.06</v>
      </c>
      <c r="AF272" s="489"/>
      <c r="AG272" s="489"/>
      <c r="AH272" s="489"/>
      <c r="AI272" s="489"/>
      <c r="AJ272" s="489"/>
      <c r="AK272" s="489"/>
      <c r="AL272" s="490">
        <v>2239076.06</v>
      </c>
      <c r="AM272" s="477"/>
      <c r="AN272" s="489">
        <v>2997658</v>
      </c>
      <c r="AO272" s="489"/>
      <c r="AP272" s="489"/>
      <c r="AQ272" s="489"/>
      <c r="AR272" s="489"/>
      <c r="AS272" s="489"/>
      <c r="AT272" s="489"/>
      <c r="AU272" s="490">
        <v>2997658</v>
      </c>
      <c r="AV272" s="491"/>
    </row>
    <row r="273" spans="1:48" ht="15" thickBot="1">
      <c r="A273" s="158"/>
      <c r="B273" s="488"/>
      <c r="C273" s="477"/>
      <c r="D273" s="489"/>
      <c r="E273" s="489"/>
      <c r="F273" s="489"/>
      <c r="G273" s="489"/>
      <c r="H273" s="489"/>
      <c r="I273" s="489"/>
      <c r="J273" s="489"/>
      <c r="K273" s="490"/>
      <c r="L273" s="311"/>
      <c r="M273" s="311"/>
      <c r="N273" s="311"/>
      <c r="O273" s="311"/>
      <c r="P273" s="311"/>
      <c r="Q273" s="311"/>
      <c r="R273" s="311"/>
      <c r="S273" s="311"/>
      <c r="T273" s="311"/>
      <c r="U273" s="477"/>
      <c r="V273" s="489"/>
      <c r="W273" s="489"/>
      <c r="X273" s="489"/>
      <c r="Y273" s="489"/>
      <c r="Z273" s="489"/>
      <c r="AA273" s="489"/>
      <c r="AB273" s="489"/>
      <c r="AC273" s="490"/>
      <c r="AD273" s="477"/>
      <c r="AE273" s="489"/>
      <c r="AF273" s="489"/>
      <c r="AG273" s="489"/>
      <c r="AH273" s="489"/>
      <c r="AI273" s="489"/>
      <c r="AJ273" s="489"/>
      <c r="AK273" s="489"/>
      <c r="AL273" s="490"/>
      <c r="AM273" s="477"/>
      <c r="AN273" s="489"/>
      <c r="AO273" s="489"/>
      <c r="AP273" s="489"/>
      <c r="AQ273" s="489"/>
      <c r="AR273" s="489"/>
      <c r="AS273" s="489"/>
      <c r="AT273" s="489"/>
      <c r="AU273" s="490"/>
    </row>
    <row r="274" spans="1:48" ht="15.6" thickTop="1" thickBot="1">
      <c r="A274" s="492"/>
      <c r="B274" s="493" t="s">
        <v>51</v>
      </c>
      <c r="C274" s="911">
        <f>SUM(C271:C273)</f>
        <v>1275000</v>
      </c>
      <c r="D274" s="495">
        <f t="shared" ref="D274:K274" si="74">SUM(D271:D273)</f>
        <v>0</v>
      </c>
      <c r="E274" s="495">
        <f t="shared" si="74"/>
        <v>0</v>
      </c>
      <c r="F274" s="495">
        <f t="shared" si="74"/>
        <v>0</v>
      </c>
      <c r="G274" s="495">
        <f t="shared" si="74"/>
        <v>0</v>
      </c>
      <c r="H274" s="495">
        <f t="shared" si="74"/>
        <v>0</v>
      </c>
      <c r="I274" s="495">
        <f t="shared" si="74"/>
        <v>0</v>
      </c>
      <c r="J274" s="495">
        <f t="shared" si="74"/>
        <v>0</v>
      </c>
      <c r="K274" s="496">
        <f t="shared" si="74"/>
        <v>1275000</v>
      </c>
      <c r="L274" s="990">
        <v>1275000</v>
      </c>
      <c r="M274" s="990">
        <v>0</v>
      </c>
      <c r="N274" s="990">
        <v>0</v>
      </c>
      <c r="O274" s="990">
        <v>0</v>
      </c>
      <c r="P274" s="990">
        <v>0</v>
      </c>
      <c r="Q274" s="990">
        <v>0</v>
      </c>
      <c r="R274" s="990">
        <v>0</v>
      </c>
      <c r="S274" s="990">
        <v>0</v>
      </c>
      <c r="T274" s="990">
        <v>1275000</v>
      </c>
      <c r="U274" s="911">
        <v>955000</v>
      </c>
      <c r="V274" s="495">
        <v>0</v>
      </c>
      <c r="W274" s="495">
        <v>2085</v>
      </c>
      <c r="X274" s="495">
        <v>0</v>
      </c>
      <c r="Y274" s="495">
        <v>0</v>
      </c>
      <c r="Z274" s="495">
        <v>0</v>
      </c>
      <c r="AA274" s="495">
        <v>0</v>
      </c>
      <c r="AB274" s="495">
        <v>0</v>
      </c>
      <c r="AC274" s="496">
        <v>957085</v>
      </c>
      <c r="AD274" s="494">
        <v>1899687.56</v>
      </c>
      <c r="AE274" s="495">
        <v>2239076.06</v>
      </c>
      <c r="AF274" s="495">
        <v>0</v>
      </c>
      <c r="AG274" s="495">
        <v>0</v>
      </c>
      <c r="AH274" s="495">
        <v>0</v>
      </c>
      <c r="AI274" s="495">
        <v>0</v>
      </c>
      <c r="AJ274" s="495">
        <v>0</v>
      </c>
      <c r="AK274" s="495">
        <v>315000</v>
      </c>
      <c r="AL274" s="496">
        <v>4453763.62</v>
      </c>
      <c r="AM274" s="494">
        <v>0</v>
      </c>
      <c r="AN274" s="495">
        <v>2997658</v>
      </c>
      <c r="AO274" s="495">
        <v>0</v>
      </c>
      <c r="AP274" s="495">
        <v>0</v>
      </c>
      <c r="AQ274" s="495">
        <v>0</v>
      </c>
      <c r="AR274" s="495">
        <v>0</v>
      </c>
      <c r="AS274" s="495">
        <v>0</v>
      </c>
      <c r="AT274" s="495">
        <v>0</v>
      </c>
      <c r="AU274" s="497">
        <v>2997658</v>
      </c>
      <c r="AV274" s="491">
        <f>AL274-AU274</f>
        <v>1456105.62</v>
      </c>
    </row>
    <row r="275" spans="1:48" ht="15" thickTop="1">
      <c r="A275" s="158" t="s">
        <v>1399</v>
      </c>
      <c r="B275" s="488"/>
      <c r="C275" s="477"/>
      <c r="D275" s="489"/>
      <c r="E275" s="489"/>
      <c r="F275" s="489"/>
      <c r="G275" s="489"/>
      <c r="H275" s="489"/>
      <c r="I275" s="489"/>
      <c r="J275" s="489"/>
      <c r="K275" s="490"/>
      <c r="L275" s="311"/>
      <c r="M275" s="311"/>
      <c r="N275" s="311"/>
      <c r="O275" s="311"/>
      <c r="P275" s="311"/>
      <c r="Q275" s="311"/>
      <c r="R275" s="311"/>
      <c r="S275" s="311"/>
      <c r="T275" s="311"/>
      <c r="U275" s="477"/>
      <c r="V275" s="489"/>
      <c r="W275" s="489"/>
      <c r="X275" s="489"/>
      <c r="Y275" s="489"/>
      <c r="Z275" s="489"/>
      <c r="AA275" s="489"/>
      <c r="AB275" s="489"/>
      <c r="AC275" s="490"/>
      <c r="AD275" s="477"/>
      <c r="AE275" s="489"/>
      <c r="AF275" s="489"/>
      <c r="AG275" s="489"/>
      <c r="AH275" s="489"/>
      <c r="AI275" s="489"/>
      <c r="AJ275" s="489"/>
      <c r="AK275" s="489"/>
      <c r="AL275" s="490"/>
      <c r="AM275" s="477"/>
      <c r="AN275" s="489"/>
      <c r="AO275" s="489"/>
      <c r="AP275" s="489"/>
      <c r="AQ275" s="489"/>
      <c r="AR275" s="489"/>
      <c r="AS275" s="489"/>
      <c r="AT275" s="489"/>
      <c r="AU275" s="490"/>
    </row>
    <row r="276" spans="1:48">
      <c r="A276" s="444" t="s">
        <v>179</v>
      </c>
      <c r="B276" s="488" t="s">
        <v>449</v>
      </c>
      <c r="C276" s="477" cm="1">
        <f t="array" ref="C276">_xlfn.XLOOKUP(A276,'TB upload'!A:A,'TB upload'!C:C-'TB upload'!B:B,0,0)*-1</f>
        <v>42500</v>
      </c>
      <c r="D276" s="489"/>
      <c r="E276" s="942" cm="1">
        <f t="array" ref="E276">_xlfn.XLOOKUP(A276,'TB upload'!A:A,'TB upload'!E:E-'TB upload'!D:D,0,0)*-1</f>
        <v>0</v>
      </c>
      <c r="F276" s="489"/>
      <c r="G276" s="477" cm="1">
        <f t="array" ref="G276">_xlfn.XLOOKUP(A276,'TB upload'!A:A,'TB upload'!G:G-'TB upload'!F:F,0,0)*-1</f>
        <v>0</v>
      </c>
      <c r="H276" s="489"/>
      <c r="I276" s="477" cm="1">
        <f t="array" ref="I276">_xlfn.XLOOKUP(A276,'TB upload'!A:A,'TB upload'!I:I-'TB upload'!H:H,0,0)*-1</f>
        <v>0</v>
      </c>
      <c r="J276" s="489"/>
      <c r="K276" s="490">
        <f t="shared" ref="K276:K277" si="75">SUM(C276:J276)</f>
        <v>42500</v>
      </c>
      <c r="L276" s="311">
        <v>17500</v>
      </c>
      <c r="M276" s="311"/>
      <c r="N276" s="311">
        <v>0</v>
      </c>
      <c r="O276" s="311"/>
      <c r="P276" s="311">
        <v>0</v>
      </c>
      <c r="Q276" s="311"/>
      <c r="R276" s="311">
        <v>0</v>
      </c>
      <c r="S276" s="311"/>
      <c r="T276" s="311">
        <v>17500</v>
      </c>
      <c r="U276" s="649">
        <v>17500</v>
      </c>
      <c r="V276" s="489"/>
      <c r="W276" s="489"/>
      <c r="X276" s="489"/>
      <c r="Y276" s="489"/>
      <c r="Z276" s="489"/>
      <c r="AA276" s="489"/>
      <c r="AB276" s="489"/>
      <c r="AC276" s="490">
        <v>17500</v>
      </c>
      <c r="AD276" s="477">
        <v>247500</v>
      </c>
      <c r="AE276" s="489"/>
      <c r="AF276" s="489">
        <v>0</v>
      </c>
      <c r="AG276" s="489"/>
      <c r="AH276" s="489">
        <v>0</v>
      </c>
      <c r="AI276" s="489"/>
      <c r="AJ276" s="489">
        <v>0</v>
      </c>
      <c r="AK276" s="489"/>
      <c r="AL276" s="490">
        <v>247500</v>
      </c>
      <c r="AM276" s="477">
        <v>121000</v>
      </c>
      <c r="AN276" s="489"/>
      <c r="AO276" s="489"/>
      <c r="AP276" s="489"/>
      <c r="AQ276" s="489"/>
      <c r="AR276" s="489"/>
      <c r="AS276" s="489"/>
      <c r="AT276" s="489"/>
      <c r="AU276" s="490">
        <v>121000</v>
      </c>
      <c r="AV276" s="491"/>
    </row>
    <row r="277" spans="1:48">
      <c r="A277" s="444" t="s">
        <v>1186</v>
      </c>
      <c r="B277" s="488" t="s">
        <v>449</v>
      </c>
      <c r="C277" s="477" cm="1">
        <f t="array" ref="C277">_xlfn.XLOOKUP(A277,'TB upload'!A:A,'TB upload'!C:C-'TB upload'!B:B,0,0)*-1</f>
        <v>0</v>
      </c>
      <c r="D277" s="489"/>
      <c r="E277" s="942" cm="1">
        <f t="array" ref="E277">_xlfn.XLOOKUP(A277,'TB upload'!A:A,'TB upload'!E:E-'TB upload'!D:D,0,0)*-1</f>
        <v>0</v>
      </c>
      <c r="F277" s="489"/>
      <c r="G277" s="477" cm="1">
        <f t="array" ref="G277">_xlfn.XLOOKUP(A277,'TB upload'!A:A,'TB upload'!G:G-'TB upload'!F:F,0,0)*-1</f>
        <v>0</v>
      </c>
      <c r="H277" s="489"/>
      <c r="I277" s="477" cm="1">
        <f t="array" ref="I277">_xlfn.XLOOKUP(A277,'TB upload'!A:A,'TB upload'!I:I-'TB upload'!H:H,0,0)*-1</f>
        <v>0</v>
      </c>
      <c r="J277" s="489"/>
      <c r="K277" s="490">
        <f t="shared" si="75"/>
        <v>0</v>
      </c>
      <c r="L277" s="311">
        <v>0</v>
      </c>
      <c r="M277" s="311"/>
      <c r="N277" s="311">
        <v>0</v>
      </c>
      <c r="O277" s="311"/>
      <c r="P277" s="311">
        <v>0</v>
      </c>
      <c r="Q277" s="311"/>
      <c r="R277" s="311">
        <v>0</v>
      </c>
      <c r="S277" s="311"/>
      <c r="T277" s="311">
        <v>0</v>
      </c>
      <c r="U277" s="477">
        <v>0</v>
      </c>
      <c r="V277" s="489"/>
      <c r="W277" s="489"/>
      <c r="X277" s="489"/>
      <c r="Y277" s="489"/>
      <c r="Z277" s="489"/>
      <c r="AA277" s="489"/>
      <c r="AB277" s="489"/>
      <c r="AC277" s="490">
        <v>0</v>
      </c>
      <c r="AD277" s="477">
        <v>0</v>
      </c>
      <c r="AE277" s="489"/>
      <c r="AF277" s="489">
        <v>0</v>
      </c>
      <c r="AG277" s="489"/>
      <c r="AH277" s="489">
        <v>0</v>
      </c>
      <c r="AI277" s="489"/>
      <c r="AJ277" s="489">
        <v>0</v>
      </c>
      <c r="AK277" s="489"/>
      <c r="AL277" s="490">
        <v>0</v>
      </c>
      <c r="AM277" s="477">
        <v>-40000</v>
      </c>
      <c r="AN277" s="489">
        <v>40000</v>
      </c>
      <c r="AO277" s="489"/>
      <c r="AP277" s="489"/>
      <c r="AQ277" s="489"/>
      <c r="AR277" s="489"/>
      <c r="AS277" s="489"/>
      <c r="AT277" s="489"/>
      <c r="AU277" s="490">
        <v>0</v>
      </c>
      <c r="AV277" s="491"/>
    </row>
    <row r="278" spans="1:48" ht="15" thickBot="1">
      <c r="A278" s="158"/>
      <c r="B278" s="488"/>
      <c r="C278" s="477"/>
      <c r="D278" s="489"/>
      <c r="E278" s="489"/>
      <c r="F278" s="489"/>
      <c r="G278" s="489"/>
      <c r="H278" s="489"/>
      <c r="I278" s="489"/>
      <c r="J278" s="489"/>
      <c r="K278" s="490"/>
      <c r="L278" s="311"/>
      <c r="M278" s="311"/>
      <c r="N278" s="311"/>
      <c r="O278" s="311"/>
      <c r="P278" s="311"/>
      <c r="Q278" s="311"/>
      <c r="R278" s="311"/>
      <c r="S278" s="311"/>
      <c r="T278" s="311"/>
      <c r="U278" s="477"/>
      <c r="V278" s="489"/>
      <c r="W278" s="489"/>
      <c r="X278" s="489"/>
      <c r="Y278" s="489"/>
      <c r="Z278" s="489"/>
      <c r="AA278" s="489"/>
      <c r="AB278" s="489"/>
      <c r="AC278" s="490"/>
      <c r="AD278" s="477"/>
      <c r="AE278" s="489"/>
      <c r="AF278" s="489"/>
      <c r="AG278" s="489"/>
      <c r="AH278" s="489"/>
      <c r="AI278" s="489"/>
      <c r="AJ278" s="489"/>
      <c r="AK278" s="489"/>
      <c r="AL278" s="490"/>
      <c r="AM278" s="477"/>
      <c r="AN278" s="489"/>
      <c r="AO278" s="489"/>
      <c r="AP278" s="489"/>
      <c r="AQ278" s="489"/>
      <c r="AR278" s="489"/>
      <c r="AS278" s="489"/>
      <c r="AT278" s="489"/>
      <c r="AU278" s="490"/>
    </row>
    <row r="279" spans="1:48" ht="15.6" thickTop="1" thickBot="1">
      <c r="A279" s="492"/>
      <c r="B279" s="493" t="s">
        <v>51</v>
      </c>
      <c r="C279" s="911">
        <f t="shared" ref="C279:H279" si="76">SUM(C276:C278)</f>
        <v>42500</v>
      </c>
      <c r="D279" s="495">
        <f t="shared" si="76"/>
        <v>0</v>
      </c>
      <c r="E279" s="495">
        <f t="shared" si="76"/>
        <v>0</v>
      </c>
      <c r="F279" s="495">
        <f t="shared" si="76"/>
        <v>0</v>
      </c>
      <c r="G279" s="495">
        <f t="shared" si="76"/>
        <v>0</v>
      </c>
      <c r="H279" s="495">
        <f t="shared" si="76"/>
        <v>0</v>
      </c>
      <c r="I279" s="495">
        <f t="shared" ref="I279:J279" si="77">SUM(I276:I278)</f>
        <v>0</v>
      </c>
      <c r="J279" s="495">
        <f t="shared" si="77"/>
        <v>0</v>
      </c>
      <c r="K279" s="496">
        <f>SUM(K276:K278)</f>
        <v>42500</v>
      </c>
      <c r="L279" s="990">
        <v>17500</v>
      </c>
      <c r="M279" s="990">
        <v>0</v>
      </c>
      <c r="N279" s="990">
        <v>0</v>
      </c>
      <c r="O279" s="990">
        <v>0</v>
      </c>
      <c r="P279" s="990">
        <v>0</v>
      </c>
      <c r="Q279" s="990">
        <v>0</v>
      </c>
      <c r="R279" s="990">
        <v>0</v>
      </c>
      <c r="S279" s="990">
        <v>0</v>
      </c>
      <c r="T279" s="990">
        <v>17500</v>
      </c>
      <c r="U279" s="911">
        <v>17500</v>
      </c>
      <c r="V279" s="495">
        <v>0</v>
      </c>
      <c r="W279" s="495">
        <v>0</v>
      </c>
      <c r="X279" s="495">
        <v>0</v>
      </c>
      <c r="Y279" s="495">
        <v>0</v>
      </c>
      <c r="Z279" s="495">
        <v>0</v>
      </c>
      <c r="AA279" s="495">
        <v>0</v>
      </c>
      <c r="AB279" s="495">
        <v>0</v>
      </c>
      <c r="AC279" s="496">
        <v>17500</v>
      </c>
      <c r="AD279" s="494">
        <v>247500</v>
      </c>
      <c r="AE279" s="495">
        <v>0</v>
      </c>
      <c r="AF279" s="495">
        <v>0</v>
      </c>
      <c r="AG279" s="495">
        <v>0</v>
      </c>
      <c r="AH279" s="495">
        <v>0</v>
      </c>
      <c r="AI279" s="495">
        <v>0</v>
      </c>
      <c r="AJ279" s="495">
        <v>0</v>
      </c>
      <c r="AK279" s="495">
        <v>0</v>
      </c>
      <c r="AL279" s="496">
        <v>247500</v>
      </c>
      <c r="AM279" s="494">
        <v>81000</v>
      </c>
      <c r="AN279" s="495">
        <v>40000</v>
      </c>
      <c r="AO279" s="495">
        <v>0</v>
      </c>
      <c r="AP279" s="495">
        <v>0</v>
      </c>
      <c r="AQ279" s="495">
        <v>0</v>
      </c>
      <c r="AR279" s="495">
        <v>0</v>
      </c>
      <c r="AS279" s="495">
        <v>0</v>
      </c>
      <c r="AT279" s="495">
        <v>0</v>
      </c>
      <c r="AU279" s="497">
        <v>121000</v>
      </c>
      <c r="AV279" s="491">
        <f>AL279-AU279</f>
        <v>126500</v>
      </c>
    </row>
    <row r="280" spans="1:48" ht="15" thickTop="1">
      <c r="A280" s="158" t="s">
        <v>324</v>
      </c>
      <c r="B280" s="488"/>
      <c r="C280" s="477"/>
      <c r="D280" s="489"/>
      <c r="E280" s="489"/>
      <c r="F280" s="489"/>
      <c r="G280" s="489"/>
      <c r="H280" s="489"/>
      <c r="I280" s="489"/>
      <c r="J280" s="489"/>
      <c r="K280" s="490"/>
      <c r="L280" s="311"/>
      <c r="M280" s="311"/>
      <c r="N280" s="311"/>
      <c r="O280" s="311"/>
      <c r="P280" s="311"/>
      <c r="Q280" s="311"/>
      <c r="R280" s="311"/>
      <c r="S280" s="311"/>
      <c r="T280" s="311"/>
      <c r="U280" s="477"/>
      <c r="V280" s="489"/>
      <c r="W280" s="489"/>
      <c r="X280" s="489"/>
      <c r="Y280" s="489"/>
      <c r="Z280" s="489"/>
      <c r="AA280" s="489"/>
      <c r="AB280" s="489"/>
      <c r="AC280" s="490"/>
      <c r="AD280" s="477"/>
      <c r="AE280" s="489"/>
      <c r="AF280" s="489"/>
      <c r="AG280" s="489"/>
      <c r="AH280" s="489"/>
      <c r="AI280" s="489"/>
      <c r="AJ280" s="489"/>
      <c r="AK280" s="489"/>
      <c r="AL280" s="490"/>
      <c r="AM280" s="477"/>
      <c r="AN280" s="489"/>
      <c r="AO280" s="489"/>
      <c r="AP280" s="489"/>
      <c r="AQ280" s="489"/>
      <c r="AR280" s="489"/>
      <c r="AS280" s="489"/>
      <c r="AT280" s="489"/>
      <c r="AU280" s="490"/>
    </row>
    <row r="281" spans="1:48">
      <c r="A281" s="444" t="s">
        <v>180</v>
      </c>
      <c r="B281" s="488" t="s">
        <v>449</v>
      </c>
      <c r="C281" s="477" cm="1">
        <f t="array" ref="C281">_xlfn.XLOOKUP(A281,'TB upload'!A:A,'TB upload'!C:C-'TB upload'!B:B,0,0)*-1</f>
        <v>8381</v>
      </c>
      <c r="D281" s="489"/>
      <c r="E281" s="942" cm="1">
        <f t="array" ref="E281">_xlfn.XLOOKUP(A281,'TB upload'!A:A,'TB upload'!E:E-'TB upload'!D:D,0,0)*-1</f>
        <v>0</v>
      </c>
      <c r="F281" s="489"/>
      <c r="G281" s="477" cm="1">
        <f t="array" ref="G281">_xlfn.XLOOKUP(A281,'TB upload'!A:A,'TB upload'!G:G-'TB upload'!F:F,0,0)*-1</f>
        <v>0</v>
      </c>
      <c r="H281" s="489"/>
      <c r="I281" s="477" cm="1">
        <f t="array" ref="I281">_xlfn.XLOOKUP(A281,'TB upload'!A:A,'TB upload'!I:I-'TB upload'!H:H,0,0)*-1</f>
        <v>0</v>
      </c>
      <c r="J281" s="489"/>
      <c r="K281" s="490">
        <f>SUM(C281:J281)</f>
        <v>8381</v>
      </c>
      <c r="L281" s="311">
        <v>8381</v>
      </c>
      <c r="M281" s="311"/>
      <c r="N281" s="311">
        <v>0</v>
      </c>
      <c r="O281" s="311"/>
      <c r="P281" s="311">
        <v>0</v>
      </c>
      <c r="Q281" s="311"/>
      <c r="R281" s="311">
        <v>0</v>
      </c>
      <c r="S281" s="311"/>
      <c r="T281" s="311">
        <v>8381</v>
      </c>
      <c r="U281" s="649">
        <v>8381</v>
      </c>
      <c r="V281" s="489"/>
      <c r="W281" s="489"/>
      <c r="X281" s="489"/>
      <c r="Y281" s="489"/>
      <c r="Z281" s="489"/>
      <c r="AA281" s="489"/>
      <c r="AB281" s="489"/>
      <c r="AC281" s="490">
        <v>8381</v>
      </c>
      <c r="AD281" s="477">
        <v>8354</v>
      </c>
      <c r="AE281" s="489"/>
      <c r="AF281" s="489">
        <v>0</v>
      </c>
      <c r="AG281" s="489"/>
      <c r="AH281" s="489">
        <v>0</v>
      </c>
      <c r="AI281" s="489"/>
      <c r="AJ281" s="489">
        <v>0</v>
      </c>
      <c r="AK281" s="489"/>
      <c r="AL281" s="490">
        <v>8354</v>
      </c>
      <c r="AM281" s="477">
        <v>-0.01</v>
      </c>
      <c r="AN281" s="489"/>
      <c r="AO281" s="489"/>
      <c r="AP281" s="489"/>
      <c r="AQ281" s="489"/>
      <c r="AR281" s="489"/>
      <c r="AS281" s="489"/>
      <c r="AT281" s="489"/>
      <c r="AU281" s="490">
        <v>-0.01</v>
      </c>
      <c r="AV281" s="491"/>
    </row>
    <row r="282" spans="1:48" ht="15" thickBot="1">
      <c r="A282" s="158"/>
      <c r="B282" s="488"/>
      <c r="C282" s="477"/>
      <c r="D282" s="489"/>
      <c r="E282" s="489"/>
      <c r="F282" s="489"/>
      <c r="G282" s="489"/>
      <c r="H282" s="489"/>
      <c r="I282" s="489"/>
      <c r="J282" s="489"/>
      <c r="K282" s="490"/>
      <c r="L282" s="311"/>
      <c r="M282" s="311"/>
      <c r="N282" s="311"/>
      <c r="O282" s="311"/>
      <c r="P282" s="311"/>
      <c r="Q282" s="311"/>
      <c r="R282" s="311"/>
      <c r="S282" s="311"/>
      <c r="T282" s="311"/>
      <c r="U282" s="477"/>
      <c r="V282" s="489"/>
      <c r="W282" s="489"/>
      <c r="X282" s="489"/>
      <c r="Y282" s="489"/>
      <c r="Z282" s="489"/>
      <c r="AA282" s="489"/>
      <c r="AB282" s="489"/>
      <c r="AC282" s="490"/>
      <c r="AD282" s="477"/>
      <c r="AE282" s="489"/>
      <c r="AF282" s="489"/>
      <c r="AG282" s="489"/>
      <c r="AH282" s="489"/>
      <c r="AI282" s="489"/>
      <c r="AJ282" s="489"/>
      <c r="AK282" s="489"/>
      <c r="AL282" s="490"/>
      <c r="AM282" s="477"/>
      <c r="AN282" s="489"/>
      <c r="AO282" s="489"/>
      <c r="AP282" s="489"/>
      <c r="AQ282" s="489"/>
      <c r="AR282" s="489"/>
      <c r="AS282" s="489"/>
      <c r="AT282" s="489"/>
      <c r="AU282" s="490"/>
    </row>
    <row r="283" spans="1:48" ht="15.6" thickTop="1" thickBot="1">
      <c r="A283" s="492"/>
      <c r="B283" s="493" t="s">
        <v>51</v>
      </c>
      <c r="C283" s="911">
        <f t="shared" ref="C283:K283" si="78">SUM(C281:C282)</f>
        <v>8381</v>
      </c>
      <c r="D283" s="495">
        <f t="shared" si="78"/>
        <v>0</v>
      </c>
      <c r="E283" s="495">
        <f t="shared" si="78"/>
        <v>0</v>
      </c>
      <c r="F283" s="495">
        <f t="shared" si="78"/>
        <v>0</v>
      </c>
      <c r="G283" s="495">
        <f t="shared" si="78"/>
        <v>0</v>
      </c>
      <c r="H283" s="495">
        <f t="shared" si="78"/>
        <v>0</v>
      </c>
      <c r="I283" s="495">
        <f t="shared" si="78"/>
        <v>0</v>
      </c>
      <c r="J283" s="495">
        <f t="shared" si="78"/>
        <v>0</v>
      </c>
      <c r="K283" s="496">
        <f t="shared" si="78"/>
        <v>8381</v>
      </c>
      <c r="L283" s="990">
        <v>8381</v>
      </c>
      <c r="M283" s="990">
        <v>0</v>
      </c>
      <c r="N283" s="990">
        <v>0</v>
      </c>
      <c r="O283" s="990">
        <v>0</v>
      </c>
      <c r="P283" s="990">
        <v>0</v>
      </c>
      <c r="Q283" s="990">
        <v>0</v>
      </c>
      <c r="R283" s="990">
        <v>0</v>
      </c>
      <c r="S283" s="990">
        <v>0</v>
      </c>
      <c r="T283" s="990">
        <v>8381</v>
      </c>
      <c r="U283" s="911">
        <v>8381</v>
      </c>
      <c r="V283" s="495">
        <v>0</v>
      </c>
      <c r="W283" s="495">
        <v>0</v>
      </c>
      <c r="X283" s="495">
        <v>0</v>
      </c>
      <c r="Y283" s="495">
        <v>0</v>
      </c>
      <c r="Z283" s="495">
        <v>0</v>
      </c>
      <c r="AA283" s="495">
        <v>0</v>
      </c>
      <c r="AB283" s="495">
        <v>0</v>
      </c>
      <c r="AC283" s="496">
        <v>8381</v>
      </c>
      <c r="AD283" s="494">
        <v>8354</v>
      </c>
      <c r="AE283" s="495">
        <v>0</v>
      </c>
      <c r="AF283" s="495">
        <v>0</v>
      </c>
      <c r="AG283" s="495">
        <v>0</v>
      </c>
      <c r="AH283" s="495">
        <v>0</v>
      </c>
      <c r="AI283" s="495">
        <v>0</v>
      </c>
      <c r="AJ283" s="495">
        <v>0</v>
      </c>
      <c r="AK283" s="495">
        <v>0</v>
      </c>
      <c r="AL283" s="496">
        <v>8354</v>
      </c>
      <c r="AM283" s="494">
        <v>-0.01</v>
      </c>
      <c r="AN283" s="495">
        <v>0</v>
      </c>
      <c r="AO283" s="495">
        <v>0</v>
      </c>
      <c r="AP283" s="495">
        <v>0</v>
      </c>
      <c r="AQ283" s="495">
        <v>0</v>
      </c>
      <c r="AR283" s="495">
        <v>0</v>
      </c>
      <c r="AS283" s="495">
        <v>0</v>
      </c>
      <c r="AT283" s="495">
        <v>0</v>
      </c>
      <c r="AU283" s="497">
        <v>-0.01</v>
      </c>
      <c r="AV283" s="491">
        <f>AL283-AU283</f>
        <v>8354.01</v>
      </c>
    </row>
    <row r="284" spans="1:48" ht="15" thickTop="1">
      <c r="A284" s="158" t="s">
        <v>524</v>
      </c>
      <c r="B284" s="488"/>
      <c r="C284" s="477"/>
      <c r="D284" s="489"/>
      <c r="E284" s="489"/>
      <c r="F284" s="489"/>
      <c r="G284" s="489"/>
      <c r="H284" s="489"/>
      <c r="I284" s="489"/>
      <c r="J284" s="489"/>
      <c r="K284" s="490"/>
      <c r="L284" s="311"/>
      <c r="M284" s="311"/>
      <c r="N284" s="311"/>
      <c r="O284" s="311"/>
      <c r="P284" s="311"/>
      <c r="Q284" s="311"/>
      <c r="R284" s="311"/>
      <c r="S284" s="311"/>
      <c r="T284" s="311"/>
      <c r="U284" s="477"/>
      <c r="V284" s="489"/>
      <c r="W284" s="489"/>
      <c r="X284" s="489"/>
      <c r="Y284" s="489"/>
      <c r="Z284" s="489"/>
      <c r="AA284" s="489"/>
      <c r="AB284" s="489"/>
      <c r="AC284" s="490"/>
      <c r="AD284" s="477"/>
      <c r="AE284" s="489"/>
      <c r="AF284" s="489"/>
      <c r="AG284" s="489"/>
      <c r="AH284" s="489"/>
      <c r="AI284" s="489"/>
      <c r="AJ284" s="489"/>
      <c r="AK284" s="489"/>
      <c r="AL284" s="490"/>
      <c r="AM284" s="477"/>
      <c r="AN284" s="489"/>
      <c r="AO284" s="489"/>
      <c r="AP284" s="489"/>
      <c r="AQ284" s="489"/>
      <c r="AR284" s="489"/>
      <c r="AS284" s="489"/>
      <c r="AT284" s="489"/>
      <c r="AU284" s="490"/>
    </row>
    <row r="285" spans="1:48">
      <c r="A285" s="444" t="s">
        <v>520</v>
      </c>
      <c r="B285" s="488" t="s">
        <v>449</v>
      </c>
      <c r="C285" s="477" cm="1">
        <f t="array" ref="C285">_xlfn.XLOOKUP(A285,'TB upload'!A:A,'TB upload'!C:C-'TB upload'!B:B,0,0)*-1</f>
        <v>68</v>
      </c>
      <c r="D285" s="489"/>
      <c r="E285" s="942" cm="1">
        <f t="array" ref="E285">_xlfn.XLOOKUP(A285,'TB upload'!A:A,'TB upload'!E:E-'TB upload'!D:D,0,0)*-1</f>
        <v>0</v>
      </c>
      <c r="F285" s="489"/>
      <c r="G285" s="477" cm="1">
        <f t="array" ref="G285">_xlfn.XLOOKUP(A285,'TB upload'!A:A,'TB upload'!G:G-'TB upload'!F:F,0,0)*-1</f>
        <v>0</v>
      </c>
      <c r="H285" s="489"/>
      <c r="I285" s="477" cm="1">
        <f t="array" ref="I285">_xlfn.XLOOKUP(A285,'TB upload'!A:A,'TB upload'!I:I-'TB upload'!H:H,0,0)*-1</f>
        <v>0</v>
      </c>
      <c r="J285" s="489"/>
      <c r="K285" s="490">
        <f t="shared" ref="K285:K289" si="79">SUM(C285:J285)</f>
        <v>68</v>
      </c>
      <c r="L285" s="311">
        <v>68</v>
      </c>
      <c r="M285" s="311"/>
      <c r="N285" s="311">
        <v>0</v>
      </c>
      <c r="O285" s="311"/>
      <c r="P285" s="311">
        <v>0</v>
      </c>
      <c r="Q285" s="311"/>
      <c r="R285" s="311">
        <v>0</v>
      </c>
      <c r="S285" s="311"/>
      <c r="T285" s="311">
        <v>68</v>
      </c>
      <c r="U285" s="649">
        <v>68</v>
      </c>
      <c r="V285" s="489"/>
      <c r="W285" s="489"/>
      <c r="X285" s="489"/>
      <c r="Y285" s="489"/>
      <c r="Z285" s="489"/>
      <c r="AA285" s="489"/>
      <c r="AB285" s="489"/>
      <c r="AC285" s="490">
        <v>68</v>
      </c>
      <c r="AD285" s="477">
        <v>523637.36</v>
      </c>
      <c r="AE285" s="489"/>
      <c r="AF285" s="489">
        <v>0</v>
      </c>
      <c r="AG285" s="489"/>
      <c r="AH285" s="489">
        <v>0</v>
      </c>
      <c r="AI285" s="489"/>
      <c r="AJ285" s="489">
        <v>0</v>
      </c>
      <c r="AK285" s="489"/>
      <c r="AL285" s="490">
        <v>523637.36</v>
      </c>
      <c r="AM285" s="477">
        <v>702700</v>
      </c>
      <c r="AN285" s="489"/>
      <c r="AO285" s="489"/>
      <c r="AP285" s="489"/>
      <c r="AQ285" s="489"/>
      <c r="AR285" s="489"/>
      <c r="AS285" s="489"/>
      <c r="AT285" s="489"/>
      <c r="AU285" s="490">
        <v>702700</v>
      </c>
      <c r="AV285" s="491"/>
    </row>
    <row r="286" spans="1:48">
      <c r="A286" s="158" t="s">
        <v>211</v>
      </c>
      <c r="B286" s="488" t="s">
        <v>449</v>
      </c>
      <c r="C286" s="477" cm="1">
        <f t="array" ref="C286">_xlfn.XLOOKUP(A286,'TB upload'!A:A,'TB upload'!C:C-'TB upload'!B:B,0,0)*-1</f>
        <v>0</v>
      </c>
      <c r="D286" s="489"/>
      <c r="E286" s="942" cm="1">
        <f t="array" ref="E286">_xlfn.XLOOKUP(A286,'TB upload'!A:A,'TB upload'!E:E-'TB upload'!D:D,0,0)*-1</f>
        <v>0</v>
      </c>
      <c r="F286" s="489"/>
      <c r="G286" s="477" cm="1">
        <f t="array" ref="G286">_xlfn.XLOOKUP(A286,'TB upload'!A:A,'TB upload'!G:G-'TB upload'!F:F,0,0)*-1</f>
        <v>0</v>
      </c>
      <c r="H286" s="489"/>
      <c r="I286" s="477" cm="1">
        <f t="array" ref="I286">_xlfn.XLOOKUP(A286,'TB upload'!A:A,'TB upload'!I:I-'TB upload'!H:H,0,0)*-1</f>
        <v>0</v>
      </c>
      <c r="J286" s="489"/>
      <c r="K286" s="490">
        <f t="shared" si="79"/>
        <v>0</v>
      </c>
      <c r="L286" s="311">
        <v>0</v>
      </c>
      <c r="M286" s="311"/>
      <c r="N286" s="311">
        <v>0</v>
      </c>
      <c r="O286" s="311"/>
      <c r="P286" s="311">
        <v>0</v>
      </c>
      <c r="Q286" s="311"/>
      <c r="R286" s="311">
        <v>0</v>
      </c>
      <c r="S286" s="311"/>
      <c r="T286" s="311">
        <v>0</v>
      </c>
      <c r="U286" s="477">
        <v>0</v>
      </c>
      <c r="V286" s="489"/>
      <c r="W286" s="489"/>
      <c r="X286" s="489"/>
      <c r="Y286" s="489"/>
      <c r="Z286" s="489"/>
      <c r="AA286" s="489"/>
      <c r="AB286" s="489"/>
      <c r="AC286" s="490">
        <v>0</v>
      </c>
      <c r="AD286" s="477">
        <v>0</v>
      </c>
      <c r="AE286" s="489"/>
      <c r="AF286" s="489">
        <v>0</v>
      </c>
      <c r="AG286" s="489"/>
      <c r="AH286" s="489">
        <v>0</v>
      </c>
      <c r="AI286" s="489"/>
      <c r="AJ286" s="489">
        <v>0</v>
      </c>
      <c r="AK286" s="489"/>
      <c r="AL286" s="490">
        <v>0</v>
      </c>
      <c r="AM286" s="477">
        <v>2530</v>
      </c>
      <c r="AN286" s="489"/>
      <c r="AO286" s="489"/>
      <c r="AP286" s="489"/>
      <c r="AQ286" s="489">
        <v>12650</v>
      </c>
      <c r="AR286" s="489"/>
      <c r="AS286" s="489"/>
      <c r="AT286" s="489"/>
      <c r="AU286" s="490">
        <v>15180</v>
      </c>
      <c r="AV286" s="491"/>
    </row>
    <row r="287" spans="1:48">
      <c r="A287" s="158" t="s">
        <v>1427</v>
      </c>
      <c r="B287" s="488" t="s">
        <v>449</v>
      </c>
      <c r="C287" s="477" cm="1">
        <f t="array" ref="C287">_xlfn.XLOOKUP(A287,'TB upload'!A:A,'TB upload'!C:C-'TB upload'!B:B,0,0)*-1</f>
        <v>0</v>
      </c>
      <c r="D287" s="489"/>
      <c r="E287" s="942" cm="1">
        <f t="array" ref="E287">_xlfn.XLOOKUP(A287,'TB upload'!A:A,'TB upload'!E:E-'TB upload'!D:D,0,0)*-1</f>
        <v>0</v>
      </c>
      <c r="F287" s="489"/>
      <c r="G287" s="477" cm="1">
        <f t="array" ref="G287">_xlfn.XLOOKUP(A287,'TB upload'!A:A,'TB upload'!G:G-'TB upload'!F:F,0,0)*-1</f>
        <v>0</v>
      </c>
      <c r="H287" s="489"/>
      <c r="I287" s="477" cm="1">
        <f t="array" ref="I287">_xlfn.XLOOKUP(A287,'TB upload'!A:A,'TB upload'!I:I-'TB upload'!H:H,0,0)*-1</f>
        <v>0</v>
      </c>
      <c r="J287" s="489"/>
      <c r="K287" s="490">
        <f t="shared" si="79"/>
        <v>0</v>
      </c>
      <c r="L287" s="311">
        <v>0</v>
      </c>
      <c r="M287" s="311"/>
      <c r="N287" s="311">
        <v>0</v>
      </c>
      <c r="O287" s="311"/>
      <c r="P287" s="311">
        <v>0</v>
      </c>
      <c r="Q287" s="311"/>
      <c r="R287" s="311">
        <v>0</v>
      </c>
      <c r="S287" s="311"/>
      <c r="T287" s="311">
        <v>0</v>
      </c>
      <c r="U287" s="477">
        <v>0</v>
      </c>
      <c r="V287" s="489"/>
      <c r="W287" s="489"/>
      <c r="X287" s="489"/>
      <c r="Y287" s="489"/>
      <c r="Z287" s="489"/>
      <c r="AA287" s="489"/>
      <c r="AB287" s="489"/>
      <c r="AC287" s="490">
        <v>0</v>
      </c>
      <c r="AD287" s="477">
        <v>0</v>
      </c>
      <c r="AE287" s="489"/>
      <c r="AF287" s="489">
        <v>0</v>
      </c>
      <c r="AG287" s="489"/>
      <c r="AH287" s="489">
        <v>0</v>
      </c>
      <c r="AI287" s="489"/>
      <c r="AJ287" s="489">
        <v>62314.3</v>
      </c>
      <c r="AK287" s="489"/>
      <c r="AL287" s="490">
        <v>62314.3</v>
      </c>
      <c r="AM287" s="477">
        <v>0</v>
      </c>
      <c r="AN287" s="489"/>
      <c r="AO287" s="489"/>
      <c r="AP287" s="489"/>
      <c r="AQ287" s="489"/>
      <c r="AR287" s="489"/>
      <c r="AS287" s="489"/>
      <c r="AT287" s="489"/>
      <c r="AU287" s="490">
        <v>0</v>
      </c>
      <c r="AV287" s="491"/>
    </row>
    <row r="288" spans="1:48">
      <c r="A288" s="158" t="s">
        <v>514</v>
      </c>
      <c r="B288" s="488" t="s">
        <v>449</v>
      </c>
      <c r="C288" s="477" cm="1">
        <f t="array" ref="C288">_xlfn.XLOOKUP(A288,'TB upload'!A:A,'TB upload'!C:C-'TB upload'!B:B,0,0)*-1</f>
        <v>0</v>
      </c>
      <c r="D288" s="489"/>
      <c r="E288" s="942" cm="1">
        <f t="array" ref="E288">_xlfn.XLOOKUP(A288,'TB upload'!A:A,'TB upload'!E:E-'TB upload'!D:D,0,0)*-1</f>
        <v>0</v>
      </c>
      <c r="F288" s="489"/>
      <c r="G288" s="477" cm="1">
        <f t="array" ref="G288">_xlfn.XLOOKUP(A288,'TB upload'!A:A,'TB upload'!G:G-'TB upload'!F:F,0,0)*-1</f>
        <v>0</v>
      </c>
      <c r="H288" s="489"/>
      <c r="I288" s="477" cm="1">
        <f t="array" ref="I288">_xlfn.XLOOKUP(A288,'TB upload'!A:A,'TB upload'!I:I-'TB upload'!H:H,0,0)*-1</f>
        <v>0</v>
      </c>
      <c r="J288" s="489"/>
      <c r="K288" s="490">
        <f t="shared" si="79"/>
        <v>0</v>
      </c>
      <c r="L288" s="311">
        <v>0</v>
      </c>
      <c r="M288" s="311"/>
      <c r="N288" s="311">
        <v>0</v>
      </c>
      <c r="O288" s="311"/>
      <c r="P288" s="311">
        <v>0</v>
      </c>
      <c r="Q288" s="311"/>
      <c r="R288" s="311">
        <v>0</v>
      </c>
      <c r="S288" s="311"/>
      <c r="T288" s="311">
        <v>0</v>
      </c>
      <c r="U288" s="477">
        <v>0</v>
      </c>
      <c r="V288" s="489"/>
      <c r="W288" s="489"/>
      <c r="X288" s="489"/>
      <c r="Y288" s="489"/>
      <c r="Z288" s="489"/>
      <c r="AA288" s="489"/>
      <c r="AB288" s="489"/>
      <c r="AC288" s="490">
        <v>0</v>
      </c>
      <c r="AD288" s="477">
        <v>23672</v>
      </c>
      <c r="AE288" s="489"/>
      <c r="AF288" s="489">
        <v>0</v>
      </c>
      <c r="AG288" s="489"/>
      <c r="AH288" s="489">
        <v>0</v>
      </c>
      <c r="AI288" s="489"/>
      <c r="AJ288" s="489">
        <v>0</v>
      </c>
      <c r="AK288" s="489"/>
      <c r="AL288" s="490">
        <v>23672</v>
      </c>
      <c r="AM288" s="477">
        <v>22500</v>
      </c>
      <c r="AN288" s="489"/>
      <c r="AO288" s="489"/>
      <c r="AP288" s="489"/>
      <c r="AQ288" s="489"/>
      <c r="AR288" s="489"/>
      <c r="AS288" s="489"/>
      <c r="AT288" s="489"/>
      <c r="AU288" s="490">
        <v>22500</v>
      </c>
      <c r="AV288" s="491"/>
    </row>
    <row r="289" spans="1:48" ht="15" thickBot="1">
      <c r="A289" s="158" t="s">
        <v>521</v>
      </c>
      <c r="B289" s="488" t="s">
        <v>449</v>
      </c>
      <c r="C289" s="477" cm="1">
        <f t="array" ref="C289">_xlfn.XLOOKUP(A289,'TB upload'!A:A,'TB upload'!C:C-'TB upload'!B:B,0,0)*-1</f>
        <v>953418.04</v>
      </c>
      <c r="D289" s="489"/>
      <c r="E289" s="942" cm="1">
        <f t="array" ref="E289">_xlfn.XLOOKUP(A289,'TB upload'!A:A,'TB upload'!E:E-'TB upload'!D:D,0,0)*-1</f>
        <v>0</v>
      </c>
      <c r="F289" s="489"/>
      <c r="G289" s="477" cm="1">
        <f t="array" ref="G289">_xlfn.XLOOKUP(A289,'TB upload'!A:A,'TB upload'!G:G-'TB upload'!F:F,0,0)*-1</f>
        <v>0</v>
      </c>
      <c r="H289" s="489"/>
      <c r="I289" s="477" cm="1">
        <f t="array" ref="I289">_xlfn.XLOOKUP(A289,'TB upload'!A:A,'TB upload'!I:I-'TB upload'!H:H,0,0)*-1</f>
        <v>0</v>
      </c>
      <c r="J289" s="489"/>
      <c r="K289" s="490">
        <f t="shared" si="79"/>
        <v>953418.04</v>
      </c>
      <c r="L289" s="311">
        <v>887903.69</v>
      </c>
      <c r="M289" s="311"/>
      <c r="N289" s="311">
        <v>0</v>
      </c>
      <c r="O289" s="311"/>
      <c r="P289" s="311">
        <v>0</v>
      </c>
      <c r="Q289" s="311"/>
      <c r="R289" s="311">
        <v>0</v>
      </c>
      <c r="S289" s="311"/>
      <c r="T289" s="311">
        <v>887903.69</v>
      </c>
      <c r="U289" s="649">
        <v>722190.91</v>
      </c>
      <c r="V289" s="489"/>
      <c r="W289" s="489"/>
      <c r="X289" s="489"/>
      <c r="Y289" s="489"/>
      <c r="Z289" s="489"/>
      <c r="AA289" s="489"/>
      <c r="AB289" s="489"/>
      <c r="AC289" s="490">
        <v>722190.91</v>
      </c>
      <c r="AD289" s="477">
        <v>2356465.88</v>
      </c>
      <c r="AE289" s="489"/>
      <c r="AF289" s="489">
        <v>0</v>
      </c>
      <c r="AG289" s="489"/>
      <c r="AH289" s="489">
        <v>0</v>
      </c>
      <c r="AI289" s="489"/>
      <c r="AJ289" s="489">
        <v>0</v>
      </c>
      <c r="AK289" s="489"/>
      <c r="AL289" s="490">
        <v>2356465.88</v>
      </c>
      <c r="AM289" s="477">
        <v>1666462.3</v>
      </c>
      <c r="AN289" s="489"/>
      <c r="AO289" s="489"/>
      <c r="AP289" s="489"/>
      <c r="AQ289" s="489">
        <v>94279</v>
      </c>
      <c r="AR289" s="489"/>
      <c r="AS289" s="489"/>
      <c r="AT289" s="489"/>
      <c r="AU289" s="490">
        <v>1760741.3</v>
      </c>
      <c r="AV289" s="491"/>
    </row>
    <row r="290" spans="1:48" ht="15.6" thickTop="1" thickBot="1">
      <c r="A290" s="492"/>
      <c r="B290" s="493" t="s">
        <v>51</v>
      </c>
      <c r="C290" s="494">
        <f t="shared" ref="C290:H290" si="80">SUM(C285:C289)</f>
        <v>953486.04</v>
      </c>
      <c r="D290" s="495">
        <f t="shared" si="80"/>
        <v>0</v>
      </c>
      <c r="E290" s="495">
        <f t="shared" si="80"/>
        <v>0</v>
      </c>
      <c r="F290" s="495">
        <f t="shared" si="80"/>
        <v>0</v>
      </c>
      <c r="G290" s="495">
        <f t="shared" si="80"/>
        <v>0</v>
      </c>
      <c r="H290" s="495">
        <f t="shared" si="80"/>
        <v>0</v>
      </c>
      <c r="I290" s="495">
        <f t="shared" ref="I290:K290" si="81">SUM(I285:I289)</f>
        <v>0</v>
      </c>
      <c r="J290" s="495">
        <f t="shared" si="81"/>
        <v>0</v>
      </c>
      <c r="K290" s="496">
        <f t="shared" si="81"/>
        <v>953486.04</v>
      </c>
      <c r="L290" s="990">
        <v>887971.69</v>
      </c>
      <c r="M290" s="990">
        <v>0</v>
      </c>
      <c r="N290" s="990">
        <v>0</v>
      </c>
      <c r="O290" s="990">
        <v>0</v>
      </c>
      <c r="P290" s="990">
        <v>0</v>
      </c>
      <c r="Q290" s="990">
        <v>0</v>
      </c>
      <c r="R290" s="990">
        <v>0</v>
      </c>
      <c r="S290" s="990">
        <v>0</v>
      </c>
      <c r="T290" s="990">
        <v>887971.69</v>
      </c>
      <c r="U290" s="494">
        <v>722258.91</v>
      </c>
      <c r="V290" s="495">
        <v>0</v>
      </c>
      <c r="W290" s="495">
        <v>0</v>
      </c>
      <c r="X290" s="495">
        <v>0</v>
      </c>
      <c r="Y290" s="495">
        <v>0</v>
      </c>
      <c r="Z290" s="495">
        <v>0</v>
      </c>
      <c r="AA290" s="495">
        <v>0</v>
      </c>
      <c r="AB290" s="495">
        <v>0</v>
      </c>
      <c r="AC290" s="496">
        <v>722258.91</v>
      </c>
      <c r="AD290" s="494">
        <v>2903775.2399999998</v>
      </c>
      <c r="AE290" s="495">
        <v>0</v>
      </c>
      <c r="AF290" s="495">
        <v>0</v>
      </c>
      <c r="AG290" s="495">
        <v>0</v>
      </c>
      <c r="AH290" s="495">
        <v>0</v>
      </c>
      <c r="AI290" s="495">
        <v>0</v>
      </c>
      <c r="AJ290" s="495">
        <v>62314.3</v>
      </c>
      <c r="AK290" s="495">
        <v>0</v>
      </c>
      <c r="AL290" s="496">
        <v>2966089.54</v>
      </c>
      <c r="AM290" s="494">
        <v>2394192.2999999998</v>
      </c>
      <c r="AN290" s="495">
        <v>0</v>
      </c>
      <c r="AO290" s="495">
        <v>0</v>
      </c>
      <c r="AP290" s="495">
        <v>0</v>
      </c>
      <c r="AQ290" s="495">
        <v>106929</v>
      </c>
      <c r="AR290" s="495">
        <v>0</v>
      </c>
      <c r="AS290" s="495">
        <v>0</v>
      </c>
      <c r="AT290" s="495">
        <v>0</v>
      </c>
      <c r="AU290" s="497">
        <v>2501121.2999999998</v>
      </c>
      <c r="AV290" s="491">
        <f>AL290-AU290</f>
        <v>464968.24000000022</v>
      </c>
    </row>
    <row r="291" spans="1:48" ht="15" thickTop="1">
      <c r="A291" s="158" t="s">
        <v>253</v>
      </c>
      <c r="B291" s="488"/>
      <c r="C291" s="477"/>
      <c r="D291" s="489"/>
      <c r="E291" s="489"/>
      <c r="F291" s="489"/>
      <c r="G291" s="489"/>
      <c r="H291" s="489"/>
      <c r="I291" s="489"/>
      <c r="J291" s="489"/>
      <c r="K291" s="490"/>
      <c r="L291" s="311"/>
      <c r="M291" s="311"/>
      <c r="N291" s="311"/>
      <c r="O291" s="311"/>
      <c r="P291" s="311"/>
      <c r="Q291" s="311"/>
      <c r="R291" s="311"/>
      <c r="S291" s="311"/>
      <c r="T291" s="311"/>
      <c r="U291" s="477"/>
      <c r="V291" s="489"/>
      <c r="W291" s="489"/>
      <c r="X291" s="489"/>
      <c r="Y291" s="489"/>
      <c r="Z291" s="489"/>
      <c r="AA291" s="489"/>
      <c r="AB291" s="489"/>
      <c r="AC291" s="490"/>
      <c r="AD291" s="477"/>
      <c r="AE291" s="489"/>
      <c r="AF291" s="489"/>
      <c r="AG291" s="489"/>
      <c r="AH291" s="489"/>
      <c r="AI291" s="489"/>
      <c r="AJ291" s="489"/>
      <c r="AK291" s="489"/>
      <c r="AL291" s="490"/>
      <c r="AM291" s="477"/>
      <c r="AN291" s="489"/>
      <c r="AO291" s="489"/>
      <c r="AP291" s="489"/>
      <c r="AQ291" s="489"/>
      <c r="AR291" s="489"/>
      <c r="AS291" s="489"/>
      <c r="AT291" s="489"/>
      <c r="AU291" s="490"/>
    </row>
    <row r="292" spans="1:48">
      <c r="A292" s="444" t="s">
        <v>518</v>
      </c>
      <c r="B292" s="488" t="s">
        <v>449</v>
      </c>
      <c r="C292" s="477" cm="1">
        <f t="array" ref="C292">_xlfn.XLOOKUP(A292,'TB upload'!A:A,'TB upload'!C:C-'TB upload'!B:B,0,0)*-1</f>
        <v>4295</v>
      </c>
      <c r="D292" s="489"/>
      <c r="E292" s="942" cm="1">
        <f t="array" ref="E292">_xlfn.XLOOKUP(A292,'TB upload'!A:A,'TB upload'!E:E-'TB upload'!D:D,0,0)*-1</f>
        <v>0</v>
      </c>
      <c r="F292" s="489"/>
      <c r="G292" s="477" cm="1">
        <f t="array" ref="G292">_xlfn.XLOOKUP(A292,'TB upload'!A:A,'TB upload'!G:G-'TB upload'!F:F,0,0)*-1</f>
        <v>0</v>
      </c>
      <c r="H292" s="489"/>
      <c r="I292" s="477" cm="1">
        <f t="array" ref="I292">_xlfn.XLOOKUP(A292,'TB upload'!A:A,'TB upload'!I:I-'TB upload'!H:H,0,0)*-1</f>
        <v>0</v>
      </c>
      <c r="J292" s="489"/>
      <c r="K292" s="490">
        <f>SUM(C292:J292)</f>
        <v>4295</v>
      </c>
      <c r="L292" s="311">
        <v>4295</v>
      </c>
      <c r="M292" s="311"/>
      <c r="N292" s="311">
        <v>0</v>
      </c>
      <c r="O292" s="311"/>
      <c r="P292" s="311">
        <v>0</v>
      </c>
      <c r="Q292" s="311"/>
      <c r="R292" s="311">
        <v>0</v>
      </c>
      <c r="S292" s="311"/>
      <c r="T292" s="311">
        <v>4295</v>
      </c>
      <c r="U292" s="649">
        <v>4295</v>
      </c>
      <c r="V292" s="489"/>
      <c r="W292" s="489"/>
      <c r="X292" s="489"/>
      <c r="Y292" s="489"/>
      <c r="Z292" s="489"/>
      <c r="AA292" s="489"/>
      <c r="AB292" s="489"/>
      <c r="AC292" s="490">
        <v>4295</v>
      </c>
      <c r="AD292" s="477">
        <v>121164.44</v>
      </c>
      <c r="AE292" s="489"/>
      <c r="AF292" s="489">
        <v>0</v>
      </c>
      <c r="AG292" s="489"/>
      <c r="AH292" s="489">
        <v>0</v>
      </c>
      <c r="AI292" s="489"/>
      <c r="AJ292" s="489">
        <v>0</v>
      </c>
      <c r="AK292" s="489"/>
      <c r="AL292" s="490">
        <v>121164.44</v>
      </c>
      <c r="AM292" s="477">
        <v>70995.839999999997</v>
      </c>
      <c r="AN292" s="489"/>
      <c r="AO292" s="489"/>
      <c r="AP292" s="489"/>
      <c r="AQ292" s="489">
        <v>30875</v>
      </c>
      <c r="AR292" s="489"/>
      <c r="AS292" s="489"/>
      <c r="AT292" s="489"/>
      <c r="AU292" s="490">
        <v>101870.84</v>
      </c>
      <c r="AV292" s="491"/>
    </row>
    <row r="293" spans="1:48" ht="15" thickBot="1">
      <c r="A293" s="158"/>
      <c r="B293" s="488"/>
      <c r="C293" s="477"/>
      <c r="D293" s="489"/>
      <c r="E293" s="489"/>
      <c r="F293" s="489"/>
      <c r="G293" s="489"/>
      <c r="H293" s="489"/>
      <c r="I293" s="489"/>
      <c r="J293" s="489"/>
      <c r="K293" s="490"/>
      <c r="L293" s="311"/>
      <c r="M293" s="311"/>
      <c r="N293" s="311"/>
      <c r="O293" s="311"/>
      <c r="P293" s="311"/>
      <c r="Q293" s="311"/>
      <c r="R293" s="311"/>
      <c r="S293" s="311"/>
      <c r="T293" s="311"/>
      <c r="U293" s="477"/>
      <c r="V293" s="489"/>
      <c r="W293" s="489"/>
      <c r="X293" s="489"/>
      <c r="Y293" s="489"/>
      <c r="Z293" s="489"/>
      <c r="AA293" s="489"/>
      <c r="AB293" s="489"/>
      <c r="AC293" s="490"/>
      <c r="AD293" s="477"/>
      <c r="AE293" s="489"/>
      <c r="AF293" s="489"/>
      <c r="AG293" s="489"/>
      <c r="AH293" s="489"/>
      <c r="AI293" s="489"/>
      <c r="AJ293" s="489"/>
      <c r="AK293" s="489"/>
      <c r="AL293" s="490"/>
      <c r="AM293" s="477"/>
      <c r="AN293" s="489"/>
      <c r="AO293" s="489"/>
      <c r="AP293" s="489"/>
      <c r="AQ293" s="489"/>
      <c r="AR293" s="489"/>
      <c r="AS293" s="489"/>
      <c r="AT293" s="489"/>
      <c r="AU293" s="490"/>
    </row>
    <row r="294" spans="1:48" ht="15.6" thickTop="1" thickBot="1">
      <c r="A294" s="492"/>
      <c r="B294" s="493" t="s">
        <v>51</v>
      </c>
      <c r="C294" s="911">
        <f t="shared" ref="C294:K294" si="82">SUM(C292:C293)</f>
        <v>4295</v>
      </c>
      <c r="D294" s="495">
        <f t="shared" si="82"/>
        <v>0</v>
      </c>
      <c r="E294" s="495">
        <f t="shared" si="82"/>
        <v>0</v>
      </c>
      <c r="F294" s="495">
        <f t="shared" si="82"/>
        <v>0</v>
      </c>
      <c r="G294" s="495">
        <f t="shared" si="82"/>
        <v>0</v>
      </c>
      <c r="H294" s="495">
        <f t="shared" si="82"/>
        <v>0</v>
      </c>
      <c r="I294" s="495">
        <f t="shared" si="82"/>
        <v>0</v>
      </c>
      <c r="J294" s="495">
        <f t="shared" si="82"/>
        <v>0</v>
      </c>
      <c r="K294" s="496">
        <f t="shared" si="82"/>
        <v>4295</v>
      </c>
      <c r="L294" s="990">
        <v>4295</v>
      </c>
      <c r="M294" s="990">
        <v>0</v>
      </c>
      <c r="N294" s="990">
        <v>0</v>
      </c>
      <c r="O294" s="990">
        <v>0</v>
      </c>
      <c r="P294" s="990">
        <v>0</v>
      </c>
      <c r="Q294" s="990">
        <v>0</v>
      </c>
      <c r="R294" s="990">
        <v>0</v>
      </c>
      <c r="S294" s="990">
        <v>0</v>
      </c>
      <c r="T294" s="990">
        <v>4295</v>
      </c>
      <c r="U294" s="911">
        <v>4295</v>
      </c>
      <c r="V294" s="495">
        <v>0</v>
      </c>
      <c r="W294" s="495">
        <v>0</v>
      </c>
      <c r="X294" s="495">
        <v>0</v>
      </c>
      <c r="Y294" s="495">
        <v>0</v>
      </c>
      <c r="Z294" s="495">
        <v>0</v>
      </c>
      <c r="AA294" s="495">
        <v>0</v>
      </c>
      <c r="AB294" s="495">
        <v>0</v>
      </c>
      <c r="AC294" s="496">
        <v>4295</v>
      </c>
      <c r="AD294" s="494">
        <v>121164.44</v>
      </c>
      <c r="AE294" s="495">
        <v>0</v>
      </c>
      <c r="AF294" s="495">
        <v>0</v>
      </c>
      <c r="AG294" s="495">
        <v>0</v>
      </c>
      <c r="AH294" s="495">
        <v>0</v>
      </c>
      <c r="AI294" s="495">
        <v>0</v>
      </c>
      <c r="AJ294" s="495">
        <v>0</v>
      </c>
      <c r="AK294" s="495">
        <v>0</v>
      </c>
      <c r="AL294" s="496">
        <v>121164.44</v>
      </c>
      <c r="AM294" s="494">
        <v>70995.839999999997</v>
      </c>
      <c r="AN294" s="495">
        <v>0</v>
      </c>
      <c r="AO294" s="495">
        <v>0</v>
      </c>
      <c r="AP294" s="495">
        <v>0</v>
      </c>
      <c r="AQ294" s="495">
        <v>30875</v>
      </c>
      <c r="AR294" s="495">
        <v>0</v>
      </c>
      <c r="AS294" s="495">
        <v>0</v>
      </c>
      <c r="AT294" s="495">
        <v>0</v>
      </c>
      <c r="AU294" s="497">
        <v>101870.84</v>
      </c>
      <c r="AV294" s="491">
        <f>AL294-AU294</f>
        <v>19293.600000000006</v>
      </c>
    </row>
    <row r="295" spans="1:48" ht="29.4" thickTop="1">
      <c r="A295" s="159" t="s">
        <v>380</v>
      </c>
      <c r="B295" s="488"/>
      <c r="C295" s="477"/>
      <c r="D295" s="489"/>
      <c r="E295" s="489"/>
      <c r="F295" s="489"/>
      <c r="G295" s="489"/>
      <c r="H295" s="489"/>
      <c r="I295" s="489"/>
      <c r="J295" s="489"/>
      <c r="K295" s="490"/>
      <c r="L295" s="311"/>
      <c r="M295" s="311"/>
      <c r="N295" s="311"/>
      <c r="O295" s="311"/>
      <c r="P295" s="311"/>
      <c r="Q295" s="311"/>
      <c r="R295" s="311"/>
      <c r="S295" s="311"/>
      <c r="T295" s="311"/>
      <c r="U295" s="477"/>
      <c r="V295" s="489"/>
      <c r="W295" s="489"/>
      <c r="X295" s="489"/>
      <c r="Y295" s="489"/>
      <c r="Z295" s="489"/>
      <c r="AA295" s="489"/>
      <c r="AB295" s="489"/>
      <c r="AC295" s="490"/>
      <c r="AD295" s="477"/>
      <c r="AE295" s="489"/>
      <c r="AF295" s="489"/>
      <c r="AG295" s="489"/>
      <c r="AH295" s="489"/>
      <c r="AI295" s="489"/>
      <c r="AJ295" s="489"/>
      <c r="AK295" s="489"/>
      <c r="AL295" s="490"/>
      <c r="AM295" s="477"/>
      <c r="AN295" s="489"/>
      <c r="AO295" s="489"/>
      <c r="AP295" s="489"/>
      <c r="AQ295" s="489"/>
      <c r="AR295" s="489"/>
      <c r="AS295" s="489"/>
      <c r="AT295" s="489"/>
      <c r="AU295" s="490"/>
    </row>
    <row r="296" spans="1:48">
      <c r="A296" s="444" t="s">
        <v>207</v>
      </c>
      <c r="B296" s="488" t="s">
        <v>449</v>
      </c>
      <c r="C296" s="477" cm="1">
        <f t="array" ref="C296">_xlfn.XLOOKUP(A296,'TB upload'!A:A,'TB upload'!C:C-'TB upload'!B:B,0,0)*-1</f>
        <v>1589541.17</v>
      </c>
      <c r="D296" s="489"/>
      <c r="E296" s="942" cm="1">
        <f t="array" ref="E296">_xlfn.XLOOKUP(A296,'TB upload'!A:A,'TB upload'!E:E-'TB upload'!D:D,0,0)*-1</f>
        <v>0</v>
      </c>
      <c r="F296" s="489"/>
      <c r="G296" s="477" cm="1">
        <f t="array" ref="G296">_xlfn.XLOOKUP(A296,'TB upload'!A:A,'TB upload'!G:G-'TB upload'!F:F,0,0)*-1</f>
        <v>0</v>
      </c>
      <c r="H296" s="489"/>
      <c r="I296" s="477" cm="1">
        <f t="array" ref="I296">_xlfn.XLOOKUP(A296,'TB upload'!A:A,'TB upload'!I:I-'TB upload'!H:H,0,0)*-1</f>
        <v>0</v>
      </c>
      <c r="J296" s="489"/>
      <c r="K296" s="490">
        <f t="shared" ref="K296:K298" si="83">SUM(C296:J296)</f>
        <v>1589541.17</v>
      </c>
      <c r="L296" s="311">
        <v>1396851.27</v>
      </c>
      <c r="M296" s="311"/>
      <c r="N296" s="311">
        <v>0</v>
      </c>
      <c r="O296" s="311"/>
      <c r="P296" s="311">
        <v>0</v>
      </c>
      <c r="Q296" s="311"/>
      <c r="R296" s="311">
        <v>0</v>
      </c>
      <c r="S296" s="311"/>
      <c r="T296" s="311">
        <v>1396851.27</v>
      </c>
      <c r="U296" s="649">
        <v>1178298.3500000001</v>
      </c>
      <c r="V296" s="489"/>
      <c r="W296" s="489"/>
      <c r="X296" s="489"/>
      <c r="Y296" s="489"/>
      <c r="Z296" s="489"/>
      <c r="AA296" s="489"/>
      <c r="AB296" s="489"/>
      <c r="AC296" s="490">
        <v>1178298.3500000001</v>
      </c>
      <c r="AD296" s="477">
        <v>5977919.8200000003</v>
      </c>
      <c r="AE296" s="489"/>
      <c r="AF296" s="489">
        <v>0</v>
      </c>
      <c r="AG296" s="489"/>
      <c r="AH296" s="489">
        <v>0</v>
      </c>
      <c r="AI296" s="489"/>
      <c r="AJ296" s="489">
        <v>0</v>
      </c>
      <c r="AK296" s="489"/>
      <c r="AL296" s="490">
        <v>5977919.8200000003</v>
      </c>
      <c r="AM296" s="477">
        <v>7405525.8499999996</v>
      </c>
      <c r="AN296" s="489"/>
      <c r="AO296" s="489">
        <v>54441</v>
      </c>
      <c r="AP296" s="489"/>
      <c r="AQ296" s="489">
        <v>538691</v>
      </c>
      <c r="AR296" s="489"/>
      <c r="AS296" s="489"/>
      <c r="AT296" s="489"/>
      <c r="AU296" s="490">
        <v>7998657.8499999996</v>
      </c>
      <c r="AV296" s="491"/>
    </row>
    <row r="297" spans="1:48">
      <c r="A297" s="444" t="s">
        <v>217</v>
      </c>
      <c r="B297" s="488" t="s">
        <v>449</v>
      </c>
      <c r="C297" s="477" cm="1">
        <f t="array" ref="C297">_xlfn.XLOOKUP(A297,'TB upload'!A:A,'TB upload'!C:C-'TB upload'!B:B,0,0)*-1</f>
        <v>33544.519999999997</v>
      </c>
      <c r="D297" s="489"/>
      <c r="E297" s="942" cm="1">
        <f t="array" ref="E297">_xlfn.XLOOKUP(A297,'TB upload'!A:A,'TB upload'!E:E-'TB upload'!D:D,0,0)*-1</f>
        <v>0</v>
      </c>
      <c r="F297" s="489"/>
      <c r="G297" s="477" cm="1">
        <f t="array" ref="G297">_xlfn.XLOOKUP(A297,'TB upload'!A:A,'TB upload'!G:G-'TB upload'!F:F,0,0)*-1</f>
        <v>0</v>
      </c>
      <c r="H297" s="489"/>
      <c r="I297" s="477" cm="1">
        <f t="array" ref="I297">_xlfn.XLOOKUP(A297,'TB upload'!A:A,'TB upload'!I:I-'TB upload'!H:H,0,0)*-1</f>
        <v>0</v>
      </c>
      <c r="J297" s="489"/>
      <c r="K297" s="490">
        <f t="shared" si="83"/>
        <v>33544.519999999997</v>
      </c>
      <c r="L297" s="311">
        <v>30838.86</v>
      </c>
      <c r="M297" s="311"/>
      <c r="N297" s="311">
        <v>0</v>
      </c>
      <c r="O297" s="311"/>
      <c r="P297" s="311">
        <v>0</v>
      </c>
      <c r="Q297" s="311"/>
      <c r="R297" s="311">
        <v>0</v>
      </c>
      <c r="S297" s="311"/>
      <c r="T297" s="311">
        <v>30838.86</v>
      </c>
      <c r="U297" s="649">
        <v>25353.86</v>
      </c>
      <c r="V297" s="489"/>
      <c r="W297" s="489"/>
      <c r="X297" s="489"/>
      <c r="Y297" s="489"/>
      <c r="Z297" s="489"/>
      <c r="AA297" s="489"/>
      <c r="AB297" s="489"/>
      <c r="AC297" s="490">
        <v>25353.86</v>
      </c>
      <c r="AD297" s="477">
        <v>84297.38</v>
      </c>
      <c r="AE297" s="489"/>
      <c r="AF297" s="489">
        <v>0</v>
      </c>
      <c r="AG297" s="489"/>
      <c r="AH297" s="489">
        <v>0</v>
      </c>
      <c r="AI297" s="489"/>
      <c r="AJ297" s="489">
        <v>0</v>
      </c>
      <c r="AK297" s="489"/>
      <c r="AL297" s="490">
        <v>84297.38</v>
      </c>
      <c r="AM297" s="477">
        <v>108354.4</v>
      </c>
      <c r="AN297" s="489"/>
      <c r="AO297" s="489"/>
      <c r="AP297" s="489"/>
      <c r="AQ297" s="489"/>
      <c r="AR297" s="489"/>
      <c r="AS297" s="489"/>
      <c r="AT297" s="489"/>
      <c r="AU297" s="490">
        <v>108354.4</v>
      </c>
      <c r="AV297" s="491"/>
    </row>
    <row r="298" spans="1:48" ht="29.4" thickBot="1">
      <c r="A298" s="159" t="s">
        <v>1076</v>
      </c>
      <c r="B298" s="488" t="s">
        <v>449</v>
      </c>
      <c r="C298" s="477" cm="1">
        <f t="array" ref="C298">_xlfn.XLOOKUP(A298,'TB upload'!A:A,'TB upload'!C:C-'TB upload'!B:B,0,0)*-1</f>
        <v>0</v>
      </c>
      <c r="D298" s="489"/>
      <c r="E298" s="942" cm="1">
        <f t="array" ref="E298">_xlfn.XLOOKUP(A298,'TB upload'!A:A,'TB upload'!E:E-'TB upload'!D:D,0,0)*-1</f>
        <v>0</v>
      </c>
      <c r="F298" s="489"/>
      <c r="G298" s="477" cm="1">
        <f t="array" ref="G298">_xlfn.XLOOKUP(A298,'TB upload'!A:A,'TB upload'!G:G-'TB upload'!F:F,0,0)*-1</f>
        <v>0</v>
      </c>
      <c r="H298" s="489"/>
      <c r="I298" s="477" cm="1">
        <f t="array" ref="I298">_xlfn.XLOOKUP(A298,'TB upload'!A:A,'TB upload'!I:I-'TB upload'!H:H,0,0)*-1</f>
        <v>0</v>
      </c>
      <c r="J298" s="489"/>
      <c r="K298" s="490">
        <f t="shared" si="83"/>
        <v>0</v>
      </c>
      <c r="L298" s="311">
        <v>0</v>
      </c>
      <c r="M298" s="311"/>
      <c r="N298" s="311">
        <v>0</v>
      </c>
      <c r="O298" s="311"/>
      <c r="P298" s="311">
        <v>0</v>
      </c>
      <c r="Q298" s="311"/>
      <c r="R298" s="311">
        <v>0</v>
      </c>
      <c r="S298" s="311"/>
      <c r="T298" s="311">
        <v>0</v>
      </c>
      <c r="U298" s="477">
        <v>0</v>
      </c>
      <c r="V298" s="489"/>
      <c r="W298" s="489"/>
      <c r="X298" s="489"/>
      <c r="Y298" s="489"/>
      <c r="Z298" s="489"/>
      <c r="AA298" s="489"/>
      <c r="AB298" s="489"/>
      <c r="AC298" s="490">
        <v>0</v>
      </c>
      <c r="AD298" s="477">
        <v>0</v>
      </c>
      <c r="AE298" s="489"/>
      <c r="AF298" s="489">
        <v>0</v>
      </c>
      <c r="AG298" s="489"/>
      <c r="AH298" s="489">
        <v>0</v>
      </c>
      <c r="AI298" s="489"/>
      <c r="AJ298" s="489">
        <v>0</v>
      </c>
      <c r="AK298" s="489"/>
      <c r="AL298" s="490">
        <v>0</v>
      </c>
      <c r="AM298" s="477">
        <v>30000</v>
      </c>
      <c r="AN298" s="489"/>
      <c r="AO298" s="489"/>
      <c r="AP298" s="489"/>
      <c r="AQ298" s="489"/>
      <c r="AR298" s="489"/>
      <c r="AS298" s="489"/>
      <c r="AT298" s="489"/>
      <c r="AU298" s="490">
        <v>30000</v>
      </c>
      <c r="AV298" s="491"/>
    </row>
    <row r="299" spans="1:48" ht="15.6" thickTop="1" thickBot="1">
      <c r="A299" s="492"/>
      <c r="B299" s="493" t="s">
        <v>51</v>
      </c>
      <c r="C299" s="911">
        <f t="shared" ref="C299:H299" si="84">SUM(C296:C298)</f>
        <v>1623085.69</v>
      </c>
      <c r="D299" s="495">
        <f t="shared" si="84"/>
        <v>0</v>
      </c>
      <c r="E299" s="495">
        <f t="shared" si="84"/>
        <v>0</v>
      </c>
      <c r="F299" s="495">
        <f t="shared" si="84"/>
        <v>0</v>
      </c>
      <c r="G299" s="495">
        <f t="shared" si="84"/>
        <v>0</v>
      </c>
      <c r="H299" s="495">
        <f t="shared" si="84"/>
        <v>0</v>
      </c>
      <c r="I299" s="495">
        <f t="shared" ref="I299:K299" si="85">SUM(I296:I298)</f>
        <v>0</v>
      </c>
      <c r="J299" s="495">
        <f t="shared" si="85"/>
        <v>0</v>
      </c>
      <c r="K299" s="496">
        <f t="shared" si="85"/>
        <v>1623085.69</v>
      </c>
      <c r="L299" s="990">
        <v>1427690.1300000001</v>
      </c>
      <c r="M299" s="990">
        <v>0</v>
      </c>
      <c r="N299" s="990">
        <v>0</v>
      </c>
      <c r="O299" s="990">
        <v>0</v>
      </c>
      <c r="P299" s="990">
        <v>0</v>
      </c>
      <c r="Q299" s="990">
        <v>0</v>
      </c>
      <c r="R299" s="990">
        <v>0</v>
      </c>
      <c r="S299" s="990">
        <v>0</v>
      </c>
      <c r="T299" s="990">
        <v>1427690.1300000001</v>
      </c>
      <c r="U299" s="911">
        <v>1203652.2100000002</v>
      </c>
      <c r="V299" s="495">
        <v>0</v>
      </c>
      <c r="W299" s="495">
        <v>0</v>
      </c>
      <c r="X299" s="495">
        <v>0</v>
      </c>
      <c r="Y299" s="495">
        <v>0</v>
      </c>
      <c r="Z299" s="495">
        <v>0</v>
      </c>
      <c r="AA299" s="495">
        <v>0</v>
      </c>
      <c r="AB299" s="495">
        <v>0</v>
      </c>
      <c r="AC299" s="496">
        <v>1203652.2100000002</v>
      </c>
      <c r="AD299" s="494">
        <v>6062217.2000000002</v>
      </c>
      <c r="AE299" s="495">
        <v>0</v>
      </c>
      <c r="AF299" s="495">
        <v>0</v>
      </c>
      <c r="AG299" s="495">
        <v>0</v>
      </c>
      <c r="AH299" s="495">
        <v>0</v>
      </c>
      <c r="AI299" s="495">
        <v>0</v>
      </c>
      <c r="AJ299" s="495">
        <v>0</v>
      </c>
      <c r="AK299" s="495">
        <v>0</v>
      </c>
      <c r="AL299" s="496">
        <v>6062217.2000000002</v>
      </c>
      <c r="AM299" s="494">
        <v>7543880.25</v>
      </c>
      <c r="AN299" s="495">
        <v>0</v>
      </c>
      <c r="AO299" s="495">
        <v>54441</v>
      </c>
      <c r="AP299" s="495">
        <v>0</v>
      </c>
      <c r="AQ299" s="495">
        <v>538691</v>
      </c>
      <c r="AR299" s="495">
        <v>0</v>
      </c>
      <c r="AS299" s="495">
        <v>0</v>
      </c>
      <c r="AT299" s="495">
        <v>0</v>
      </c>
      <c r="AU299" s="497">
        <v>8137012.25</v>
      </c>
      <c r="AV299" s="491">
        <f>AL299-AU299</f>
        <v>-2074795.0499999998</v>
      </c>
    </row>
    <row r="300" spans="1:48" ht="15" thickTop="1">
      <c r="A300" s="158" t="s">
        <v>1400</v>
      </c>
      <c r="B300" s="488"/>
      <c r="C300" s="477"/>
      <c r="D300" s="489"/>
      <c r="E300" s="489"/>
      <c r="F300" s="489"/>
      <c r="G300" s="489"/>
      <c r="H300" s="489"/>
      <c r="I300" s="489"/>
      <c r="J300" s="489"/>
      <c r="K300" s="490"/>
      <c r="L300" s="311"/>
      <c r="M300" s="311"/>
      <c r="N300" s="311"/>
      <c r="O300" s="311"/>
      <c r="P300" s="311"/>
      <c r="Q300" s="311"/>
      <c r="R300" s="311"/>
      <c r="S300" s="311"/>
      <c r="T300" s="311"/>
      <c r="U300" s="477"/>
      <c r="V300" s="489"/>
      <c r="W300" s="489"/>
      <c r="X300" s="489"/>
      <c r="Y300" s="489"/>
      <c r="Z300" s="489"/>
      <c r="AA300" s="489"/>
      <c r="AB300" s="489"/>
      <c r="AC300" s="490"/>
      <c r="AD300" s="477"/>
      <c r="AE300" s="489"/>
      <c r="AF300" s="489"/>
      <c r="AG300" s="489"/>
      <c r="AH300" s="489"/>
      <c r="AI300" s="489"/>
      <c r="AJ300" s="489"/>
      <c r="AK300" s="489"/>
      <c r="AL300" s="490"/>
      <c r="AM300" s="477"/>
      <c r="AN300" s="489"/>
      <c r="AO300" s="489"/>
      <c r="AP300" s="489"/>
      <c r="AQ300" s="489"/>
      <c r="AR300" s="489"/>
      <c r="AS300" s="489"/>
      <c r="AT300" s="489"/>
      <c r="AU300" s="490"/>
    </row>
    <row r="301" spans="1:48">
      <c r="A301" s="444" t="s">
        <v>219</v>
      </c>
      <c r="B301" s="488" t="s">
        <v>449</v>
      </c>
      <c r="C301" s="477" cm="1">
        <f t="array" ref="C301">_xlfn.XLOOKUP(A301,'TB upload'!A:A,'TB upload'!C:C-'TB upload'!B:B,0,0)*-1</f>
        <v>143718.57999999999</v>
      </c>
      <c r="D301" s="489"/>
      <c r="E301" s="942" cm="1">
        <f t="array" ref="E301">_xlfn.XLOOKUP(A301,'TB upload'!A:A,'TB upload'!E:E-'TB upload'!D:D,0,0)*-1</f>
        <v>0</v>
      </c>
      <c r="F301" s="489"/>
      <c r="G301" s="477" cm="1">
        <f t="array" ref="G301">_xlfn.XLOOKUP(A301,'TB upload'!A:A,'TB upload'!G:G-'TB upload'!F:F,0,0)*-1</f>
        <v>0</v>
      </c>
      <c r="H301" s="489"/>
      <c r="I301" s="477" cm="1">
        <f t="array" ref="I301">_xlfn.XLOOKUP(A301,'TB upload'!A:A,'TB upload'!I:I-'TB upload'!H:H,0,0)*-1</f>
        <v>0</v>
      </c>
      <c r="J301" s="489"/>
      <c r="K301" s="490">
        <f>SUM(C301:J301)</f>
        <v>143718.57999999999</v>
      </c>
      <c r="L301" s="311">
        <v>116725.78</v>
      </c>
      <c r="M301" s="311"/>
      <c r="N301" s="311">
        <v>0</v>
      </c>
      <c r="O301" s="311"/>
      <c r="P301" s="311">
        <v>0</v>
      </c>
      <c r="Q301" s="311"/>
      <c r="R301" s="311">
        <v>0</v>
      </c>
      <c r="S301" s="311"/>
      <c r="T301" s="311">
        <v>116725.78</v>
      </c>
      <c r="U301" s="649">
        <v>85659.08</v>
      </c>
      <c r="V301" s="489"/>
      <c r="W301" s="489"/>
      <c r="X301" s="489"/>
      <c r="Y301" s="489"/>
      <c r="Z301" s="489"/>
      <c r="AA301" s="489"/>
      <c r="AB301" s="489"/>
      <c r="AC301" s="490">
        <v>85659.08</v>
      </c>
      <c r="AD301" s="477">
        <v>352499.55</v>
      </c>
      <c r="AE301" s="489"/>
      <c r="AF301" s="489">
        <v>0</v>
      </c>
      <c r="AG301" s="489"/>
      <c r="AH301" s="489">
        <v>0</v>
      </c>
      <c r="AI301" s="489"/>
      <c r="AJ301" s="489">
        <v>0</v>
      </c>
      <c r="AK301" s="489"/>
      <c r="AL301" s="490">
        <v>352499.55</v>
      </c>
      <c r="AM301" s="477">
        <v>102706.19</v>
      </c>
      <c r="AN301" s="489"/>
      <c r="AO301" s="489"/>
      <c r="AP301" s="489"/>
      <c r="AQ301" s="489"/>
      <c r="AR301" s="489"/>
      <c r="AS301" s="489"/>
      <c r="AT301" s="489"/>
      <c r="AU301" s="490">
        <v>102706.19</v>
      </c>
      <c r="AV301" s="491"/>
    </row>
    <row r="302" spans="1:48" ht="15" thickBot="1">
      <c r="A302" s="158"/>
      <c r="B302" s="488"/>
      <c r="C302" s="477"/>
      <c r="D302" s="489"/>
      <c r="E302" s="489"/>
      <c r="F302" s="489"/>
      <c r="G302" s="489"/>
      <c r="H302" s="489"/>
      <c r="I302" s="489"/>
      <c r="J302" s="489"/>
      <c r="K302" s="490"/>
      <c r="L302" s="311"/>
      <c r="M302" s="311"/>
      <c r="N302" s="311"/>
      <c r="O302" s="311"/>
      <c r="P302" s="311"/>
      <c r="Q302" s="311"/>
      <c r="R302" s="311"/>
      <c r="S302" s="311"/>
      <c r="T302" s="311"/>
      <c r="U302" s="477"/>
      <c r="V302" s="489"/>
      <c r="W302" s="489"/>
      <c r="X302" s="489"/>
      <c r="Y302" s="489"/>
      <c r="Z302" s="489"/>
      <c r="AA302" s="489"/>
      <c r="AB302" s="489"/>
      <c r="AC302" s="490"/>
      <c r="AD302" s="477"/>
      <c r="AE302" s="489"/>
      <c r="AF302" s="489"/>
      <c r="AG302" s="489"/>
      <c r="AH302" s="489"/>
      <c r="AI302" s="489"/>
      <c r="AJ302" s="489"/>
      <c r="AK302" s="489"/>
      <c r="AL302" s="490"/>
      <c r="AM302" s="477"/>
      <c r="AN302" s="489"/>
      <c r="AO302" s="489"/>
      <c r="AP302" s="489"/>
      <c r="AQ302" s="489"/>
      <c r="AR302" s="489"/>
      <c r="AS302" s="489"/>
      <c r="AT302" s="489"/>
      <c r="AU302" s="490"/>
    </row>
    <row r="303" spans="1:48" ht="15.6" thickTop="1" thickBot="1">
      <c r="A303" s="492"/>
      <c r="B303" s="493" t="s">
        <v>51</v>
      </c>
      <c r="C303" s="911">
        <f t="shared" ref="C303:K303" si="86">SUM(C301:C302)</f>
        <v>143718.57999999999</v>
      </c>
      <c r="D303" s="495">
        <f t="shared" si="86"/>
        <v>0</v>
      </c>
      <c r="E303" s="495">
        <f t="shared" si="86"/>
        <v>0</v>
      </c>
      <c r="F303" s="495">
        <f t="shared" si="86"/>
        <v>0</v>
      </c>
      <c r="G303" s="495">
        <f t="shared" si="86"/>
        <v>0</v>
      </c>
      <c r="H303" s="495">
        <f t="shared" si="86"/>
        <v>0</v>
      </c>
      <c r="I303" s="495">
        <f t="shared" si="86"/>
        <v>0</v>
      </c>
      <c r="J303" s="495">
        <f t="shared" si="86"/>
        <v>0</v>
      </c>
      <c r="K303" s="496">
        <f t="shared" si="86"/>
        <v>143718.57999999999</v>
      </c>
      <c r="L303" s="990">
        <v>116725.78</v>
      </c>
      <c r="M303" s="990">
        <v>0</v>
      </c>
      <c r="N303" s="990">
        <v>0</v>
      </c>
      <c r="O303" s="990">
        <v>0</v>
      </c>
      <c r="P303" s="990">
        <v>0</v>
      </c>
      <c r="Q303" s="990">
        <v>0</v>
      </c>
      <c r="R303" s="990">
        <v>0</v>
      </c>
      <c r="S303" s="990">
        <v>0</v>
      </c>
      <c r="T303" s="990">
        <v>116725.78</v>
      </c>
      <c r="U303" s="911">
        <v>85659.08</v>
      </c>
      <c r="V303" s="495">
        <v>0</v>
      </c>
      <c r="W303" s="495">
        <v>0</v>
      </c>
      <c r="X303" s="495">
        <v>0</v>
      </c>
      <c r="Y303" s="495">
        <v>0</v>
      </c>
      <c r="Z303" s="495">
        <v>0</v>
      </c>
      <c r="AA303" s="495">
        <v>0</v>
      </c>
      <c r="AB303" s="495">
        <v>0</v>
      </c>
      <c r="AC303" s="496">
        <v>85659.08</v>
      </c>
      <c r="AD303" s="494">
        <v>352499.55</v>
      </c>
      <c r="AE303" s="495">
        <v>0</v>
      </c>
      <c r="AF303" s="495">
        <v>0</v>
      </c>
      <c r="AG303" s="495">
        <v>0</v>
      </c>
      <c r="AH303" s="495">
        <v>0</v>
      </c>
      <c r="AI303" s="495">
        <v>0</v>
      </c>
      <c r="AJ303" s="495">
        <v>0</v>
      </c>
      <c r="AK303" s="495">
        <v>0</v>
      </c>
      <c r="AL303" s="496">
        <v>352499.55</v>
      </c>
      <c r="AM303" s="494">
        <v>102706.19</v>
      </c>
      <c r="AN303" s="495">
        <v>0</v>
      </c>
      <c r="AO303" s="495">
        <v>0</v>
      </c>
      <c r="AP303" s="495">
        <v>0</v>
      </c>
      <c r="AQ303" s="495">
        <v>0</v>
      </c>
      <c r="AR303" s="495">
        <v>0</v>
      </c>
      <c r="AS303" s="495">
        <v>0</v>
      </c>
      <c r="AT303" s="495">
        <v>0</v>
      </c>
      <c r="AU303" s="497">
        <v>102706.19</v>
      </c>
      <c r="AV303" s="491">
        <f>AL303-AU303</f>
        <v>249793.36</v>
      </c>
    </row>
    <row r="304" spans="1:48" ht="15" thickTop="1">
      <c r="A304" s="158" t="s">
        <v>1554</v>
      </c>
      <c r="B304" s="488"/>
      <c r="C304" s="477"/>
      <c r="D304" s="489"/>
      <c r="E304" s="489"/>
      <c r="F304" s="489"/>
      <c r="G304" s="489"/>
      <c r="H304" s="489"/>
      <c r="I304" s="489"/>
      <c r="J304" s="489"/>
      <c r="K304" s="490"/>
      <c r="L304" s="311"/>
      <c r="M304" s="311"/>
      <c r="N304" s="311"/>
      <c r="O304" s="311"/>
      <c r="P304" s="311"/>
      <c r="Q304" s="311"/>
      <c r="R304" s="311"/>
      <c r="S304" s="311"/>
      <c r="T304" s="311"/>
      <c r="U304" s="477"/>
      <c r="V304" s="489"/>
      <c r="W304" s="489"/>
      <c r="X304" s="489"/>
      <c r="Y304" s="489"/>
      <c r="Z304" s="489"/>
      <c r="AA304" s="489"/>
      <c r="AB304" s="489"/>
      <c r="AC304" s="490"/>
      <c r="AD304" s="477"/>
      <c r="AE304" s="489"/>
      <c r="AF304" s="489"/>
      <c r="AG304" s="489"/>
      <c r="AH304" s="489"/>
      <c r="AI304" s="489"/>
      <c r="AJ304" s="489"/>
      <c r="AK304" s="489"/>
      <c r="AL304" s="490"/>
      <c r="AM304" s="477"/>
      <c r="AN304" s="489"/>
      <c r="AO304" s="489"/>
      <c r="AP304" s="489"/>
      <c r="AQ304" s="489"/>
      <c r="AR304" s="489"/>
      <c r="AS304" s="489"/>
      <c r="AT304" s="489"/>
      <c r="AU304" s="490"/>
    </row>
    <row r="305" spans="1:50">
      <c r="A305" s="158" t="s">
        <v>985</v>
      </c>
      <c r="B305" s="488" t="s">
        <v>449</v>
      </c>
      <c r="C305" s="477" cm="1">
        <f t="array" ref="C305">_xlfn.XLOOKUP(A305,'TB upload'!A:A,'TB upload'!C:C-'TB upload'!B:B,0,0)*-1</f>
        <v>0</v>
      </c>
      <c r="D305" s="489"/>
      <c r="E305" s="942" cm="1">
        <f t="array" ref="E305">_xlfn.XLOOKUP(A305,'TB upload'!A:A,'TB upload'!E:E-'TB upload'!D:D,0,0)*-1</f>
        <v>0</v>
      </c>
      <c r="F305" s="489"/>
      <c r="G305" s="477" cm="1">
        <f t="array" ref="G305">_xlfn.XLOOKUP(A305,'TB upload'!A:A,'TB upload'!G:G-'TB upload'!F:F,0,0)*-1</f>
        <v>0</v>
      </c>
      <c r="H305" s="489"/>
      <c r="I305" s="477" cm="1">
        <f t="array" ref="I305">_xlfn.XLOOKUP(A305,'TB upload'!A:A,'TB upload'!I:I-'TB upload'!H:H,0,0)*-1</f>
        <v>0</v>
      </c>
      <c r="J305" s="489"/>
      <c r="K305" s="490">
        <f>SUM(C305:J305)</f>
        <v>0</v>
      </c>
      <c r="L305" s="311">
        <v>0</v>
      </c>
      <c r="M305" s="311"/>
      <c r="N305" s="311">
        <v>0</v>
      </c>
      <c r="O305" s="311"/>
      <c r="P305" s="311">
        <v>0</v>
      </c>
      <c r="Q305" s="311"/>
      <c r="R305" s="311">
        <v>0</v>
      </c>
      <c r="S305" s="311"/>
      <c r="T305" s="311">
        <v>0</v>
      </c>
      <c r="U305" s="477">
        <v>0</v>
      </c>
      <c r="V305" s="489"/>
      <c r="W305" s="489"/>
      <c r="X305" s="489"/>
      <c r="Y305" s="489"/>
      <c r="Z305" s="489"/>
      <c r="AA305" s="489"/>
      <c r="AB305" s="489"/>
      <c r="AC305" s="490">
        <v>0</v>
      </c>
      <c r="AD305" s="477">
        <v>0</v>
      </c>
      <c r="AE305" s="489"/>
      <c r="AF305" s="489">
        <v>0</v>
      </c>
      <c r="AG305" s="489"/>
      <c r="AH305" s="489">
        <v>0</v>
      </c>
      <c r="AI305" s="489"/>
      <c r="AJ305" s="489">
        <v>0</v>
      </c>
      <c r="AK305" s="489"/>
      <c r="AL305" s="490">
        <v>0</v>
      </c>
      <c r="AM305" s="477">
        <v>1800</v>
      </c>
      <c r="AN305" s="489"/>
      <c r="AO305" s="489"/>
      <c r="AP305" s="489"/>
      <c r="AQ305" s="489"/>
      <c r="AR305" s="489"/>
      <c r="AS305" s="489"/>
      <c r="AT305" s="489"/>
      <c r="AU305" s="490">
        <v>1800</v>
      </c>
      <c r="AV305" s="491"/>
    </row>
    <row r="306" spans="1:50" ht="15" thickBot="1">
      <c r="A306" s="158"/>
      <c r="B306" s="488"/>
      <c r="C306" s="477"/>
      <c r="D306" s="489"/>
      <c r="E306" s="489"/>
      <c r="F306" s="489"/>
      <c r="G306" s="489"/>
      <c r="H306" s="489"/>
      <c r="I306" s="489"/>
      <c r="J306" s="489"/>
      <c r="K306" s="490"/>
      <c r="L306" s="311"/>
      <c r="M306" s="311"/>
      <c r="N306" s="311"/>
      <c r="O306" s="311"/>
      <c r="P306" s="311"/>
      <c r="Q306" s="311"/>
      <c r="R306" s="311"/>
      <c r="S306" s="311"/>
      <c r="T306" s="311"/>
      <c r="U306" s="477"/>
      <c r="V306" s="489"/>
      <c r="W306" s="489"/>
      <c r="X306" s="489"/>
      <c r="Y306" s="489"/>
      <c r="Z306" s="489"/>
      <c r="AA306" s="489"/>
      <c r="AB306" s="489"/>
      <c r="AC306" s="490"/>
      <c r="AD306" s="477"/>
      <c r="AE306" s="489"/>
      <c r="AF306" s="489"/>
      <c r="AG306" s="489"/>
      <c r="AH306" s="489"/>
      <c r="AI306" s="489"/>
      <c r="AJ306" s="489"/>
      <c r="AK306" s="489"/>
      <c r="AL306" s="490"/>
      <c r="AM306" s="477"/>
      <c r="AN306" s="489"/>
      <c r="AO306" s="489"/>
      <c r="AP306" s="489"/>
      <c r="AQ306" s="489"/>
      <c r="AR306" s="489"/>
      <c r="AS306" s="489"/>
      <c r="AT306" s="489"/>
      <c r="AU306" s="490"/>
    </row>
    <row r="307" spans="1:50" ht="15.6" thickTop="1" thickBot="1">
      <c r="A307" s="492"/>
      <c r="B307" s="493" t="s">
        <v>51</v>
      </c>
      <c r="C307" s="494">
        <f t="shared" ref="C307:K307" si="87">SUM(C305:C306)</f>
        <v>0</v>
      </c>
      <c r="D307" s="495">
        <f t="shared" si="87"/>
        <v>0</v>
      </c>
      <c r="E307" s="495">
        <f t="shared" si="87"/>
        <v>0</v>
      </c>
      <c r="F307" s="495">
        <f t="shared" si="87"/>
        <v>0</v>
      </c>
      <c r="G307" s="495">
        <f t="shared" si="87"/>
        <v>0</v>
      </c>
      <c r="H307" s="495">
        <f t="shared" si="87"/>
        <v>0</v>
      </c>
      <c r="I307" s="495">
        <f t="shared" si="87"/>
        <v>0</v>
      </c>
      <c r="J307" s="495">
        <f t="shared" si="87"/>
        <v>0</v>
      </c>
      <c r="K307" s="959">
        <f t="shared" si="87"/>
        <v>0</v>
      </c>
      <c r="L307" s="994">
        <v>0</v>
      </c>
      <c r="M307" s="994">
        <v>0</v>
      </c>
      <c r="N307" s="994">
        <v>0</v>
      </c>
      <c r="O307" s="994">
        <v>0</v>
      </c>
      <c r="P307" s="994">
        <v>0</v>
      </c>
      <c r="Q307" s="994">
        <v>0</v>
      </c>
      <c r="R307" s="994">
        <v>0</v>
      </c>
      <c r="S307" s="994">
        <v>0</v>
      </c>
      <c r="T307" s="994">
        <v>0</v>
      </c>
      <c r="U307" s="494">
        <v>0</v>
      </c>
      <c r="V307" s="495">
        <v>0</v>
      </c>
      <c r="W307" s="495">
        <v>0</v>
      </c>
      <c r="X307" s="495">
        <v>0</v>
      </c>
      <c r="Y307" s="495">
        <v>0</v>
      </c>
      <c r="Z307" s="495">
        <v>0</v>
      </c>
      <c r="AA307" s="495">
        <v>0</v>
      </c>
      <c r="AB307" s="495">
        <v>0</v>
      </c>
      <c r="AC307" s="497">
        <v>0</v>
      </c>
      <c r="AD307" s="494">
        <v>0</v>
      </c>
      <c r="AE307" s="495">
        <v>0</v>
      </c>
      <c r="AF307" s="495">
        <v>0</v>
      </c>
      <c r="AG307" s="495">
        <v>0</v>
      </c>
      <c r="AH307" s="495">
        <v>0</v>
      </c>
      <c r="AI307" s="495">
        <v>0</v>
      </c>
      <c r="AJ307" s="495">
        <v>0</v>
      </c>
      <c r="AK307" s="495">
        <v>0</v>
      </c>
      <c r="AL307" s="497">
        <v>0</v>
      </c>
      <c r="AM307" s="494">
        <v>1800</v>
      </c>
      <c r="AN307" s="495">
        <v>0</v>
      </c>
      <c r="AO307" s="495">
        <v>0</v>
      </c>
      <c r="AP307" s="495">
        <v>0</v>
      </c>
      <c r="AQ307" s="495">
        <v>0</v>
      </c>
      <c r="AR307" s="495">
        <v>0</v>
      </c>
      <c r="AS307" s="495">
        <v>0</v>
      </c>
      <c r="AT307" s="495">
        <v>0</v>
      </c>
      <c r="AU307" s="497">
        <v>1800</v>
      </c>
      <c r="AV307" s="491">
        <f>AL307-AU307</f>
        <v>-1800</v>
      </c>
    </row>
    <row r="308" spans="1:50" ht="15" thickTop="1">
      <c r="A308" s="498" t="s">
        <v>1395</v>
      </c>
      <c r="B308" s="488"/>
      <c r="C308" s="477"/>
      <c r="D308" s="489"/>
      <c r="E308" s="489"/>
      <c r="F308" s="489"/>
      <c r="G308" s="489"/>
      <c r="H308" s="489"/>
      <c r="I308" s="489"/>
      <c r="J308" s="489"/>
      <c r="K308" s="490"/>
      <c r="L308" s="311"/>
      <c r="M308" s="311"/>
      <c r="N308" s="311"/>
      <c r="O308" s="311"/>
      <c r="P308" s="311"/>
      <c r="Q308" s="311"/>
      <c r="R308" s="311"/>
      <c r="S308" s="311"/>
      <c r="T308" s="311"/>
      <c r="U308" s="477"/>
      <c r="V308" s="489"/>
      <c r="W308" s="489"/>
      <c r="X308" s="489"/>
      <c r="Y308" s="489"/>
      <c r="Z308" s="489"/>
      <c r="AA308" s="489"/>
      <c r="AB308" s="489"/>
      <c r="AC308" s="490"/>
      <c r="AD308" s="477"/>
      <c r="AE308" s="489"/>
      <c r="AF308" s="489"/>
      <c r="AG308" s="489"/>
      <c r="AH308" s="489"/>
      <c r="AI308" s="489"/>
      <c r="AJ308" s="489"/>
      <c r="AK308" s="489"/>
      <c r="AL308" s="490"/>
      <c r="AM308" s="477"/>
      <c r="AN308" s="489"/>
      <c r="AO308" s="489"/>
      <c r="AP308" s="489"/>
      <c r="AQ308" s="489"/>
      <c r="AR308" s="489"/>
      <c r="AS308" s="489"/>
      <c r="AT308" s="489"/>
      <c r="AU308" s="490"/>
    </row>
    <row r="309" spans="1:50">
      <c r="A309" s="158" t="s">
        <v>444</v>
      </c>
      <c r="B309" s="488" t="s">
        <v>449</v>
      </c>
      <c r="C309" s="477" cm="1">
        <f t="array" ref="C309">_xlfn.XLOOKUP(A309,'TB upload'!A:A,'TB upload'!C:C-'TB upload'!B:B,0,0)*-1</f>
        <v>0</v>
      </c>
      <c r="D309" s="489"/>
      <c r="E309" s="942" cm="1">
        <f t="array" ref="E309">_xlfn.XLOOKUP(A309,'TB upload'!A:A,'TB upload'!E:E-'TB upload'!D:D,0,0)*-1</f>
        <v>0</v>
      </c>
      <c r="F309" s="489"/>
      <c r="G309" s="477" cm="1">
        <f t="array" ref="G309">_xlfn.XLOOKUP(A309,'TB upload'!A:A,'TB upload'!G:G-'TB upload'!F:F,0,0)*-1</f>
        <v>0</v>
      </c>
      <c r="H309" s="489"/>
      <c r="I309" s="477" cm="1">
        <f t="array" ref="I309">_xlfn.XLOOKUP(A309,'TB upload'!A:A,'TB upload'!I:I-'TB upload'!H:H,0,0)*-1</f>
        <v>0</v>
      </c>
      <c r="J309" s="489"/>
      <c r="K309" s="490">
        <f t="shared" ref="K309:K315" si="88">SUM(C309:J309)</f>
        <v>0</v>
      </c>
      <c r="L309" s="311">
        <v>0</v>
      </c>
      <c r="M309" s="311"/>
      <c r="N309" s="311">
        <v>0</v>
      </c>
      <c r="O309" s="311"/>
      <c r="P309" s="311">
        <v>0</v>
      </c>
      <c r="Q309" s="311"/>
      <c r="R309" s="311">
        <v>0</v>
      </c>
      <c r="S309" s="311"/>
      <c r="T309" s="311">
        <v>0</v>
      </c>
      <c r="U309" s="477">
        <v>0</v>
      </c>
      <c r="V309" s="489"/>
      <c r="W309" s="489"/>
      <c r="X309" s="489"/>
      <c r="Y309" s="489"/>
      <c r="Z309" s="489"/>
      <c r="AA309" s="489"/>
      <c r="AB309" s="489"/>
      <c r="AC309" s="490">
        <v>0</v>
      </c>
      <c r="AD309" s="477">
        <v>0</v>
      </c>
      <c r="AE309" s="489"/>
      <c r="AF309" s="489">
        <v>0</v>
      </c>
      <c r="AG309" s="489"/>
      <c r="AH309" s="489">
        <v>0</v>
      </c>
      <c r="AI309" s="489"/>
      <c r="AJ309" s="489">
        <v>0</v>
      </c>
      <c r="AK309" s="489"/>
      <c r="AL309" s="490">
        <v>0</v>
      </c>
      <c r="AM309" s="477">
        <v>0</v>
      </c>
      <c r="AN309" s="489"/>
      <c r="AO309" s="489"/>
      <c r="AP309" s="489"/>
      <c r="AQ309" s="489"/>
      <c r="AR309" s="489"/>
      <c r="AS309" s="489"/>
      <c r="AT309" s="489"/>
      <c r="AU309" s="490">
        <v>0</v>
      </c>
      <c r="AV309" s="491">
        <f t="shared" ref="AV309:AV315" si="89">AL309-AU309</f>
        <v>0</v>
      </c>
      <c r="AW309" s="151">
        <v>2360</v>
      </c>
      <c r="AX309" s="200">
        <f t="shared" ref="AX309:AX315" si="90">AU309-AW309</f>
        <v>-2360</v>
      </c>
    </row>
    <row r="310" spans="1:50">
      <c r="A310" s="158" t="s">
        <v>984</v>
      </c>
      <c r="B310" s="488" t="s">
        <v>449</v>
      </c>
      <c r="C310" s="477" cm="1">
        <f t="array" ref="C310">_xlfn.XLOOKUP(A310,'TB upload'!A:A,'TB upload'!C:C-'TB upload'!B:B,0,0)*-1</f>
        <v>27191.86</v>
      </c>
      <c r="D310" s="489"/>
      <c r="E310" s="942" cm="1">
        <f t="array" ref="E310">_xlfn.XLOOKUP(A310,'TB upload'!A:A,'TB upload'!E:E-'TB upload'!D:D,0,0)*-1</f>
        <v>0</v>
      </c>
      <c r="F310" s="489"/>
      <c r="G310" s="477" cm="1">
        <f t="array" ref="G310">_xlfn.XLOOKUP(A310,'TB upload'!A:A,'TB upload'!G:G-'TB upload'!F:F,0,0)*-1</f>
        <v>0</v>
      </c>
      <c r="H310" s="489"/>
      <c r="I310" s="477" cm="1">
        <f t="array" ref="I310">_xlfn.XLOOKUP(A310,'TB upload'!A:A,'TB upload'!I:I-'TB upload'!H:H,0,0)*-1</f>
        <v>0</v>
      </c>
      <c r="J310" s="489"/>
      <c r="K310" s="490">
        <f t="shared" si="88"/>
        <v>27191.86</v>
      </c>
      <c r="L310" s="311">
        <v>27191.86</v>
      </c>
      <c r="M310" s="311"/>
      <c r="N310" s="311">
        <v>0</v>
      </c>
      <c r="O310" s="311"/>
      <c r="P310" s="311">
        <v>0</v>
      </c>
      <c r="Q310" s="311"/>
      <c r="R310" s="311">
        <v>0</v>
      </c>
      <c r="S310" s="311"/>
      <c r="T310" s="311">
        <v>27191.86</v>
      </c>
      <c r="U310" s="649">
        <v>27191.86</v>
      </c>
      <c r="V310" s="489"/>
      <c r="W310" s="489"/>
      <c r="X310" s="489"/>
      <c r="Y310" s="489"/>
      <c r="Z310" s="489"/>
      <c r="AA310" s="489"/>
      <c r="AB310" s="489"/>
      <c r="AC310" s="490">
        <v>27191.86</v>
      </c>
      <c r="AD310" s="477">
        <v>322080.94</v>
      </c>
      <c r="AE310" s="489"/>
      <c r="AF310" s="489">
        <v>0</v>
      </c>
      <c r="AG310" s="489"/>
      <c r="AH310" s="489">
        <v>0</v>
      </c>
      <c r="AI310" s="489"/>
      <c r="AJ310" s="489">
        <v>0</v>
      </c>
      <c r="AK310" s="489"/>
      <c r="AL310" s="490">
        <v>322080.94</v>
      </c>
      <c r="AM310" s="477">
        <v>388157.57</v>
      </c>
      <c r="AN310" s="489"/>
      <c r="AO310" s="489"/>
      <c r="AP310" s="489"/>
      <c r="AQ310" s="489"/>
      <c r="AR310" s="489"/>
      <c r="AS310" s="489"/>
      <c r="AT310" s="489"/>
      <c r="AU310" s="490">
        <v>388157.57</v>
      </c>
      <c r="AV310" s="491">
        <f t="shared" si="89"/>
        <v>-66076.63</v>
      </c>
      <c r="AW310" s="151">
        <v>114871.69</v>
      </c>
      <c r="AX310" s="200">
        <f t="shared" si="90"/>
        <v>273285.88</v>
      </c>
    </row>
    <row r="311" spans="1:50">
      <c r="A311" s="158" t="s">
        <v>1075</v>
      </c>
      <c r="B311" s="488" t="s">
        <v>449</v>
      </c>
      <c r="C311" s="477" cm="1">
        <f t="array" ref="C311">_xlfn.XLOOKUP(A311,'TB upload'!A:A,'TB upload'!C:C-'TB upload'!B:B,0,0)*-1</f>
        <v>0</v>
      </c>
      <c r="D311" s="489"/>
      <c r="E311" s="942" cm="1">
        <f t="array" ref="E311">_xlfn.XLOOKUP(A311,'TB upload'!A:A,'TB upload'!E:E-'TB upload'!D:D,0,0)*-1</f>
        <v>0</v>
      </c>
      <c r="F311" s="489"/>
      <c r="G311" s="477" cm="1">
        <f t="array" ref="G311">_xlfn.XLOOKUP(A311,'TB upload'!A:A,'TB upload'!G:G-'TB upload'!F:F,0,0)*-1</f>
        <v>0</v>
      </c>
      <c r="H311" s="489"/>
      <c r="I311" s="477" cm="1">
        <f t="array" ref="I311">_xlfn.XLOOKUP(A311,'TB upload'!A:A,'TB upload'!I:I-'TB upload'!H:H,0,0)*-1</f>
        <v>0</v>
      </c>
      <c r="J311" s="489"/>
      <c r="K311" s="490">
        <f t="shared" si="88"/>
        <v>0</v>
      </c>
      <c r="L311" s="311">
        <v>0</v>
      </c>
      <c r="M311" s="311"/>
      <c r="N311" s="311">
        <v>0</v>
      </c>
      <c r="O311" s="311"/>
      <c r="P311" s="311">
        <v>0</v>
      </c>
      <c r="Q311" s="311"/>
      <c r="R311" s="311">
        <v>0</v>
      </c>
      <c r="S311" s="311"/>
      <c r="T311" s="311">
        <v>0</v>
      </c>
      <c r="U311" s="477">
        <v>0</v>
      </c>
      <c r="V311" s="489"/>
      <c r="W311" s="489"/>
      <c r="X311" s="489"/>
      <c r="Y311" s="489"/>
      <c r="Z311" s="489"/>
      <c r="AA311" s="489"/>
      <c r="AB311" s="489"/>
      <c r="AC311" s="490">
        <v>0</v>
      </c>
      <c r="AD311" s="477">
        <v>0</v>
      </c>
      <c r="AE311" s="489"/>
      <c r="AF311" s="489">
        <v>0</v>
      </c>
      <c r="AG311" s="489"/>
      <c r="AH311" s="489">
        <v>0</v>
      </c>
      <c r="AI311" s="489"/>
      <c r="AJ311" s="489">
        <v>0</v>
      </c>
      <c r="AK311" s="489"/>
      <c r="AL311" s="490">
        <v>0</v>
      </c>
      <c r="AM311" s="477">
        <v>38113.800000000003</v>
      </c>
      <c r="AN311" s="489"/>
      <c r="AO311" s="489"/>
      <c r="AP311" s="489"/>
      <c r="AQ311" s="489"/>
      <c r="AR311" s="489"/>
      <c r="AS311" s="489"/>
      <c r="AT311" s="489"/>
      <c r="AU311" s="490">
        <v>38113.800000000003</v>
      </c>
      <c r="AV311" s="491">
        <f t="shared" si="89"/>
        <v>-38113.800000000003</v>
      </c>
      <c r="AW311" s="151">
        <v>56528.05</v>
      </c>
      <c r="AX311" s="200">
        <f t="shared" si="90"/>
        <v>-18414.25</v>
      </c>
    </row>
    <row r="312" spans="1:50">
      <c r="A312" s="158" t="s">
        <v>204</v>
      </c>
      <c r="B312" s="488" t="s">
        <v>449</v>
      </c>
      <c r="C312" s="477" cm="1">
        <f t="array" ref="C312">_xlfn.XLOOKUP(A312,'TB upload'!A:A,'TB upload'!C:C-'TB upload'!B:B,0,0)*-1</f>
        <v>10513.76</v>
      </c>
      <c r="D312" s="489"/>
      <c r="E312" s="942" cm="1">
        <f t="array" ref="E312">_xlfn.XLOOKUP(A312,'TB upload'!A:A,'TB upload'!E:E-'TB upload'!D:D,0,0)*-1</f>
        <v>0</v>
      </c>
      <c r="F312" s="489"/>
      <c r="G312" s="477" cm="1">
        <f t="array" ref="G312">_xlfn.XLOOKUP(A312,'TB upload'!A:A,'TB upload'!G:G-'TB upload'!F:F,0,0)*-1</f>
        <v>0</v>
      </c>
      <c r="H312" s="489"/>
      <c r="I312" s="477" cm="1">
        <f t="array" ref="I312">_xlfn.XLOOKUP(A312,'TB upload'!A:A,'TB upload'!I:I-'TB upload'!H:H,0,0)*-1</f>
        <v>0</v>
      </c>
      <c r="J312" s="489"/>
      <c r="K312" s="490">
        <f t="shared" si="88"/>
        <v>10513.76</v>
      </c>
      <c r="L312" s="311">
        <v>10513.76</v>
      </c>
      <c r="M312" s="311"/>
      <c r="N312" s="311">
        <v>0</v>
      </c>
      <c r="O312" s="311"/>
      <c r="P312" s="311">
        <v>0</v>
      </c>
      <c r="Q312" s="311"/>
      <c r="R312" s="311">
        <v>0</v>
      </c>
      <c r="S312" s="311"/>
      <c r="T312" s="311">
        <v>10513.76</v>
      </c>
      <c r="U312" s="649">
        <v>10513.76</v>
      </c>
      <c r="V312" s="489"/>
      <c r="W312" s="489"/>
      <c r="X312" s="489"/>
      <c r="Y312" s="489"/>
      <c r="Z312" s="489"/>
      <c r="AA312" s="489"/>
      <c r="AB312" s="489"/>
      <c r="AC312" s="490">
        <v>10513.76</v>
      </c>
      <c r="AD312" s="477">
        <v>117632.57</v>
      </c>
      <c r="AE312" s="489"/>
      <c r="AF312" s="489">
        <v>0</v>
      </c>
      <c r="AG312" s="489"/>
      <c r="AH312" s="489">
        <v>0</v>
      </c>
      <c r="AI312" s="489"/>
      <c r="AJ312" s="489">
        <v>0</v>
      </c>
      <c r="AK312" s="489"/>
      <c r="AL312" s="490">
        <v>117632.57</v>
      </c>
      <c r="AM312" s="477">
        <v>119841.91</v>
      </c>
      <c r="AN312" s="489"/>
      <c r="AO312" s="489"/>
      <c r="AP312" s="489"/>
      <c r="AQ312" s="489"/>
      <c r="AR312" s="489"/>
      <c r="AS312" s="489"/>
      <c r="AT312" s="489"/>
      <c r="AU312" s="490">
        <v>119841.91</v>
      </c>
      <c r="AV312" s="491">
        <f t="shared" si="89"/>
        <v>-2209.3399999999965</v>
      </c>
      <c r="AW312" s="151">
        <v>186381.49</v>
      </c>
      <c r="AX312" s="200">
        <f t="shared" si="90"/>
        <v>-66539.579999999987</v>
      </c>
    </row>
    <row r="313" spans="1:50">
      <c r="A313" s="444" t="s">
        <v>1390</v>
      </c>
      <c r="B313" s="488" t="s">
        <v>449</v>
      </c>
      <c r="C313" s="477" cm="1">
        <f t="array" ref="C313">_xlfn.XLOOKUP(A313,'TB upload'!A:A,'TB upload'!C:C-'TB upload'!B:B,0,0)*-1</f>
        <v>0</v>
      </c>
      <c r="D313" s="489"/>
      <c r="E313" s="942" cm="1">
        <f t="array" ref="E313">_xlfn.XLOOKUP(A313,'TB upload'!A:A,'TB upload'!E:E-'TB upload'!D:D,0,0)*-1</f>
        <v>0</v>
      </c>
      <c r="F313" s="489"/>
      <c r="G313" s="477" cm="1">
        <f t="array" ref="G313">_xlfn.XLOOKUP(A313,'TB upload'!A:A,'TB upload'!G:G-'TB upload'!F:F,0,0)*-1</f>
        <v>0</v>
      </c>
      <c r="H313" s="489"/>
      <c r="I313" s="477" cm="1">
        <f t="array" ref="I313">_xlfn.XLOOKUP(A313,'TB upload'!A:A,'TB upload'!I:I-'TB upload'!H:H,0,0)*-1</f>
        <v>0</v>
      </c>
      <c r="J313" s="489"/>
      <c r="K313" s="490">
        <f t="shared" si="88"/>
        <v>0</v>
      </c>
      <c r="L313" s="311">
        <v>0</v>
      </c>
      <c r="M313" s="311"/>
      <c r="N313" s="311">
        <v>0</v>
      </c>
      <c r="O313" s="311"/>
      <c r="P313" s="311">
        <v>0</v>
      </c>
      <c r="Q313" s="311"/>
      <c r="R313" s="311">
        <v>0</v>
      </c>
      <c r="S313" s="311"/>
      <c r="T313" s="311">
        <v>0</v>
      </c>
      <c r="U313" s="477">
        <v>0</v>
      </c>
      <c r="V313" s="489"/>
      <c r="W313" s="489">
        <v>1955</v>
      </c>
      <c r="X313" s="489"/>
      <c r="Y313" s="489">
        <v>2276</v>
      </c>
      <c r="Z313" s="489"/>
      <c r="AA313" s="489"/>
      <c r="AB313" s="489"/>
      <c r="AC313" s="490">
        <v>4231</v>
      </c>
      <c r="AD313" s="477">
        <v>57486.92</v>
      </c>
      <c r="AE313" s="489"/>
      <c r="AF313" s="489">
        <v>0</v>
      </c>
      <c r="AG313" s="489"/>
      <c r="AH313" s="489">
        <v>0</v>
      </c>
      <c r="AI313" s="489"/>
      <c r="AJ313" s="489">
        <v>0</v>
      </c>
      <c r="AK313" s="489"/>
      <c r="AL313" s="490">
        <v>57486.92</v>
      </c>
      <c r="AM313" s="477">
        <v>0</v>
      </c>
      <c r="AN313" s="489"/>
      <c r="AO313" s="489"/>
      <c r="AP313" s="489"/>
      <c r="AQ313" s="489"/>
      <c r="AR313" s="489"/>
      <c r="AS313" s="489"/>
      <c r="AT313" s="489"/>
      <c r="AU313" s="490">
        <v>0</v>
      </c>
      <c r="AV313" s="491">
        <f t="shared" si="89"/>
        <v>57486.92</v>
      </c>
      <c r="AW313" s="151">
        <v>186381.49</v>
      </c>
      <c r="AX313" s="200">
        <f t="shared" si="90"/>
        <v>-186381.49</v>
      </c>
    </row>
    <row r="314" spans="1:50">
      <c r="A314" s="158" t="s">
        <v>1197</v>
      </c>
      <c r="B314" s="488" t="s">
        <v>449</v>
      </c>
      <c r="C314" s="477" cm="1">
        <f t="array" ref="C314">_xlfn.XLOOKUP(A314,'TB upload'!A:A,'TB upload'!C:C-'TB upload'!B:B,0,0)*-1</f>
        <v>0</v>
      </c>
      <c r="D314" s="489"/>
      <c r="E314" s="942" cm="1">
        <f t="array" ref="E314">_xlfn.XLOOKUP(A314,'TB upload'!A:A,'TB upload'!E:E-'TB upload'!D:D,0,0)*-1</f>
        <v>0</v>
      </c>
      <c r="F314" s="489"/>
      <c r="G314" s="477" cm="1">
        <f t="array" ref="G314">_xlfn.XLOOKUP(A314,'TB upload'!A:A,'TB upload'!G:G-'TB upload'!F:F,0,0)*-1</f>
        <v>0</v>
      </c>
      <c r="H314" s="489"/>
      <c r="I314" s="477" cm="1">
        <f t="array" ref="I314">_xlfn.XLOOKUP(A314,'TB upload'!A:A,'TB upload'!I:I-'TB upload'!H:H,0,0)*-1</f>
        <v>0</v>
      </c>
      <c r="J314" s="489"/>
      <c r="K314" s="490">
        <f t="shared" si="88"/>
        <v>0</v>
      </c>
      <c r="L314" s="311">
        <v>0</v>
      </c>
      <c r="M314" s="311"/>
      <c r="N314" s="311">
        <v>0</v>
      </c>
      <c r="O314" s="311"/>
      <c r="P314" s="311">
        <v>0</v>
      </c>
      <c r="Q314" s="311"/>
      <c r="R314" s="311">
        <v>0</v>
      </c>
      <c r="S314" s="311"/>
      <c r="T314" s="311">
        <v>0</v>
      </c>
      <c r="U314" s="477">
        <v>0</v>
      </c>
      <c r="V314" s="489"/>
      <c r="W314" s="489"/>
      <c r="X314" s="489"/>
      <c r="Y314" s="489"/>
      <c r="Z314" s="489"/>
      <c r="AA314" s="489"/>
      <c r="AB314" s="489"/>
      <c r="AC314" s="490">
        <v>0</v>
      </c>
      <c r="AD314" s="477">
        <v>0</v>
      </c>
      <c r="AE314" s="489"/>
      <c r="AF314" s="489">
        <v>0</v>
      </c>
      <c r="AG314" s="489"/>
      <c r="AH314" s="489">
        <v>0</v>
      </c>
      <c r="AI314" s="489"/>
      <c r="AJ314" s="489">
        <v>0</v>
      </c>
      <c r="AK314" s="489"/>
      <c r="AL314" s="490">
        <v>0</v>
      </c>
      <c r="AM314" s="477">
        <v>0</v>
      </c>
      <c r="AN314" s="489"/>
      <c r="AO314" s="489"/>
      <c r="AP314" s="489"/>
      <c r="AQ314" s="489">
        <v>86250</v>
      </c>
      <c r="AR314" s="489"/>
      <c r="AS314" s="489"/>
      <c r="AT314" s="489"/>
      <c r="AU314" s="490">
        <v>86250</v>
      </c>
      <c r="AV314" s="491">
        <f t="shared" si="89"/>
        <v>-86250</v>
      </c>
      <c r="AW314" s="151">
        <v>50452</v>
      </c>
      <c r="AX314" s="200">
        <f t="shared" si="90"/>
        <v>35798</v>
      </c>
    </row>
    <row r="315" spans="1:50">
      <c r="B315" s="488" t="s">
        <v>449</v>
      </c>
      <c r="C315" s="477" cm="1">
        <f t="array" ref="C315">_xlfn.XLOOKUP(A315,'TB upload'!A:A,'TB upload'!C:C-'TB upload'!B:B,0,0)*-1</f>
        <v>0</v>
      </c>
      <c r="D315" s="489"/>
      <c r="E315" s="942" cm="1">
        <f t="array" ref="E315">_xlfn.XLOOKUP(A315,'TB upload'!A:A,'TB upload'!E:E-'TB upload'!D:D,0,0)*-1</f>
        <v>0</v>
      </c>
      <c r="F315" s="489"/>
      <c r="G315" s="477" cm="1">
        <f t="array" ref="G315">_xlfn.XLOOKUP(A315,'TB upload'!A:A,'TB upload'!G:G-'TB upload'!F:F,0,0)*-1</f>
        <v>0</v>
      </c>
      <c r="H315" s="489"/>
      <c r="I315" s="477" cm="1">
        <f t="array" ref="I315">_xlfn.XLOOKUP(A315,'TB upload'!A:A,'TB upload'!I:I-'TB upload'!H:H,0,0)*-1</f>
        <v>0</v>
      </c>
      <c r="J315" s="489"/>
      <c r="K315" s="490">
        <f t="shared" si="88"/>
        <v>0</v>
      </c>
      <c r="L315" s="311">
        <v>0</v>
      </c>
      <c r="M315" s="311"/>
      <c r="N315" s="311">
        <v>0</v>
      </c>
      <c r="O315" s="311"/>
      <c r="P315" s="311">
        <v>0</v>
      </c>
      <c r="Q315" s="311"/>
      <c r="R315" s="311">
        <v>0</v>
      </c>
      <c r="S315" s="311"/>
      <c r="T315" s="311">
        <v>0</v>
      </c>
      <c r="U315" s="477">
        <v>0</v>
      </c>
      <c r="V315" s="489"/>
      <c r="W315" s="489"/>
      <c r="X315" s="489"/>
      <c r="Y315" s="489"/>
      <c r="Z315" s="489"/>
      <c r="AA315" s="489"/>
      <c r="AB315" s="489"/>
      <c r="AC315" s="490">
        <v>0</v>
      </c>
      <c r="AD315" s="477">
        <v>0</v>
      </c>
      <c r="AE315" s="489"/>
      <c r="AF315" s="489">
        <v>0</v>
      </c>
      <c r="AG315" s="489"/>
      <c r="AH315" s="489">
        <v>0</v>
      </c>
      <c r="AI315" s="489"/>
      <c r="AJ315" s="489">
        <v>0</v>
      </c>
      <c r="AK315" s="489"/>
      <c r="AL315" s="490">
        <v>0</v>
      </c>
      <c r="AM315" s="477">
        <v>0</v>
      </c>
      <c r="AN315" s="489"/>
      <c r="AO315" s="489"/>
      <c r="AP315" s="489"/>
      <c r="AQ315" s="489"/>
      <c r="AR315" s="489"/>
      <c r="AS315" s="489"/>
      <c r="AT315" s="489"/>
      <c r="AU315" s="490">
        <v>0</v>
      </c>
      <c r="AV315" s="491">
        <f t="shared" si="89"/>
        <v>0</v>
      </c>
      <c r="AW315" s="151">
        <v>186381.49</v>
      </c>
      <c r="AX315" s="200">
        <f t="shared" si="90"/>
        <v>-186381.49</v>
      </c>
    </row>
    <row r="316" spans="1:50" ht="15" thickBot="1">
      <c r="B316" s="488"/>
      <c r="C316" s="477"/>
      <c r="D316" s="489"/>
      <c r="E316" s="489"/>
      <c r="F316" s="489"/>
      <c r="G316" s="489"/>
      <c r="H316" s="489"/>
      <c r="I316" s="489"/>
      <c r="J316" s="489"/>
      <c r="K316" s="490"/>
      <c r="L316" s="311"/>
      <c r="M316" s="311"/>
      <c r="N316" s="311"/>
      <c r="O316" s="311"/>
      <c r="P316" s="311"/>
      <c r="Q316" s="311"/>
      <c r="R316" s="311"/>
      <c r="S316" s="311"/>
      <c r="T316" s="311"/>
      <c r="U316" s="477"/>
      <c r="V316" s="489"/>
      <c r="W316" s="489"/>
      <c r="X316" s="489"/>
      <c r="Y316" s="489"/>
      <c r="Z316" s="489"/>
      <c r="AA316" s="489"/>
      <c r="AB316" s="489"/>
      <c r="AC316" s="490"/>
      <c r="AD316" s="477"/>
      <c r="AE316" s="489"/>
      <c r="AF316" s="489"/>
      <c r="AG316" s="489"/>
      <c r="AH316" s="489"/>
      <c r="AI316" s="489"/>
      <c r="AJ316" s="489"/>
      <c r="AK316" s="489"/>
      <c r="AL316" s="490"/>
      <c r="AM316" s="477"/>
      <c r="AN316" s="489"/>
      <c r="AO316" s="489"/>
      <c r="AP316" s="489"/>
      <c r="AQ316" s="489"/>
      <c r="AR316" s="489"/>
      <c r="AS316" s="489"/>
      <c r="AT316" s="489"/>
      <c r="AU316" s="490"/>
      <c r="AV316" s="491"/>
    </row>
    <row r="317" spans="1:50" ht="15.6" thickTop="1" thickBot="1">
      <c r="A317" s="492"/>
      <c r="B317" s="493" t="s">
        <v>51</v>
      </c>
      <c r="C317" s="911">
        <f t="shared" ref="C317:H317" si="91">SUM(C309:C316)</f>
        <v>37705.620000000003</v>
      </c>
      <c r="D317" s="495">
        <f t="shared" si="91"/>
        <v>0</v>
      </c>
      <c r="E317" s="495">
        <f t="shared" si="91"/>
        <v>0</v>
      </c>
      <c r="F317" s="495">
        <f t="shared" si="91"/>
        <v>0</v>
      </c>
      <c r="G317" s="495">
        <f t="shared" si="91"/>
        <v>0</v>
      </c>
      <c r="H317" s="495">
        <f t="shared" si="91"/>
        <v>0</v>
      </c>
      <c r="I317" s="495">
        <f t="shared" ref="I317:K317" si="92">SUM(I309:I316)</f>
        <v>0</v>
      </c>
      <c r="J317" s="495">
        <f t="shared" si="92"/>
        <v>0</v>
      </c>
      <c r="K317" s="496">
        <f t="shared" si="92"/>
        <v>37705.620000000003</v>
      </c>
      <c r="L317" s="990">
        <v>37705.620000000003</v>
      </c>
      <c r="M317" s="990">
        <v>0</v>
      </c>
      <c r="N317" s="990">
        <v>0</v>
      </c>
      <c r="O317" s="990">
        <v>0</v>
      </c>
      <c r="P317" s="990">
        <v>0</v>
      </c>
      <c r="Q317" s="990">
        <v>0</v>
      </c>
      <c r="R317" s="990">
        <v>0</v>
      </c>
      <c r="S317" s="990">
        <v>0</v>
      </c>
      <c r="T317" s="990">
        <v>37705.620000000003</v>
      </c>
      <c r="U317" s="911">
        <v>37705.620000000003</v>
      </c>
      <c r="V317" s="495">
        <v>0</v>
      </c>
      <c r="W317" s="495">
        <v>1955</v>
      </c>
      <c r="X317" s="495">
        <v>0</v>
      </c>
      <c r="Y317" s="495">
        <v>2276</v>
      </c>
      <c r="Z317" s="495">
        <v>0</v>
      </c>
      <c r="AA317" s="495">
        <v>0</v>
      </c>
      <c r="AB317" s="495">
        <v>0</v>
      </c>
      <c r="AC317" s="496">
        <v>41936.620000000003</v>
      </c>
      <c r="AD317" s="494">
        <v>497200.43</v>
      </c>
      <c r="AE317" s="495">
        <v>0</v>
      </c>
      <c r="AF317" s="495">
        <v>0</v>
      </c>
      <c r="AG317" s="495">
        <v>0</v>
      </c>
      <c r="AH317" s="495">
        <v>0</v>
      </c>
      <c r="AI317" s="495">
        <v>0</v>
      </c>
      <c r="AJ317" s="495">
        <v>0</v>
      </c>
      <c r="AK317" s="495">
        <v>0</v>
      </c>
      <c r="AL317" s="496">
        <v>497200.43</v>
      </c>
      <c r="AM317" s="494">
        <v>546113.28000000003</v>
      </c>
      <c r="AN317" s="495">
        <v>0</v>
      </c>
      <c r="AO317" s="495">
        <v>0</v>
      </c>
      <c r="AP317" s="495">
        <v>0</v>
      </c>
      <c r="AQ317" s="495">
        <v>86250</v>
      </c>
      <c r="AR317" s="495">
        <v>0</v>
      </c>
      <c r="AS317" s="495">
        <v>0</v>
      </c>
      <c r="AT317" s="495">
        <v>0</v>
      </c>
      <c r="AU317" s="497">
        <v>632363.28</v>
      </c>
      <c r="AV317" s="491">
        <f>AL317-AU317</f>
        <v>-135162.85000000003</v>
      </c>
    </row>
    <row r="318" spans="1:50" ht="15" thickTop="1">
      <c r="A318" s="155" t="s">
        <v>254</v>
      </c>
      <c r="B318" s="488"/>
      <c r="C318" s="477"/>
      <c r="D318" s="489"/>
      <c r="E318" s="489"/>
      <c r="F318" s="489"/>
      <c r="G318" s="489"/>
      <c r="H318" s="489"/>
      <c r="I318" s="489"/>
      <c r="J318" s="489"/>
      <c r="K318" s="490"/>
      <c r="L318" s="311"/>
      <c r="M318" s="311"/>
      <c r="N318" s="311"/>
      <c r="O318" s="311"/>
      <c r="P318" s="311"/>
      <c r="Q318" s="311"/>
      <c r="R318" s="311"/>
      <c r="S318" s="311"/>
      <c r="T318" s="311"/>
      <c r="U318" s="477"/>
      <c r="V318" s="489"/>
      <c r="W318" s="489"/>
      <c r="X318" s="489"/>
      <c r="Y318" s="489"/>
      <c r="Z318" s="489"/>
      <c r="AA318" s="489"/>
      <c r="AB318" s="489"/>
      <c r="AC318" s="490"/>
      <c r="AD318" s="477"/>
      <c r="AE318" s="489"/>
      <c r="AF318" s="489"/>
      <c r="AG318" s="489"/>
      <c r="AH318" s="489"/>
      <c r="AI318" s="489"/>
      <c r="AJ318" s="489"/>
      <c r="AK318" s="489"/>
      <c r="AL318" s="490"/>
      <c r="AM318" s="477"/>
      <c r="AN318" s="489"/>
      <c r="AO318" s="489"/>
      <c r="AP318" s="489"/>
      <c r="AQ318" s="489"/>
      <c r="AR318" s="489"/>
      <c r="AS318" s="489"/>
      <c r="AT318" s="489"/>
      <c r="AU318" s="490"/>
    </row>
    <row r="319" spans="1:50">
      <c r="A319" s="158" t="s">
        <v>1380</v>
      </c>
      <c r="B319" s="488" t="s">
        <v>449</v>
      </c>
      <c r="C319" s="477" cm="1">
        <f t="array" ref="C319">_xlfn.XLOOKUP(A319,'TB upload'!A:A,'TB upload'!C:C-'TB upload'!B:B,0,0)*-1</f>
        <v>150750</v>
      </c>
      <c r="D319" s="489"/>
      <c r="E319" s="942" cm="1">
        <f t="array" ref="E319">_xlfn.XLOOKUP(A319,'TB upload'!A:A,'TB upload'!E:E-'TB upload'!D:D,0,0)*-1</f>
        <v>0</v>
      </c>
      <c r="F319" s="489"/>
      <c r="G319" s="477" cm="1">
        <f t="array" ref="G319">_xlfn.XLOOKUP(A319,'TB upload'!A:A,'TB upload'!G:G-'TB upload'!F:F,0,0)*-1</f>
        <v>0</v>
      </c>
      <c r="H319" s="489"/>
      <c r="I319" s="477" cm="1">
        <f t="array" ref="I319">_xlfn.XLOOKUP(A319,'TB upload'!A:A,'TB upload'!I:I-'TB upload'!H:H,0,0)*-1</f>
        <v>0</v>
      </c>
      <c r="J319" s="489"/>
      <c r="K319" s="490">
        <f t="shared" ref="K319:K351" si="93">SUM(C319:J319)</f>
        <v>150750</v>
      </c>
      <c r="L319" s="311">
        <v>150750</v>
      </c>
      <c r="M319" s="311"/>
      <c r="N319" s="311">
        <v>0</v>
      </c>
      <c r="O319" s="311"/>
      <c r="P319" s="311">
        <v>0</v>
      </c>
      <c r="Q319" s="311"/>
      <c r="R319" s="311">
        <v>0</v>
      </c>
      <c r="S319" s="311"/>
      <c r="T319" s="311">
        <v>150750</v>
      </c>
      <c r="U319" s="649">
        <v>150750</v>
      </c>
      <c r="V319" s="489"/>
      <c r="W319" s="489"/>
      <c r="X319" s="489"/>
      <c r="Y319" s="489"/>
      <c r="Z319" s="489"/>
      <c r="AA319" s="489"/>
      <c r="AB319" s="489"/>
      <c r="AC319" s="490">
        <v>150750</v>
      </c>
      <c r="AD319" s="477">
        <v>6056</v>
      </c>
      <c r="AE319" s="489"/>
      <c r="AF319" s="489">
        <v>0</v>
      </c>
      <c r="AG319" s="489"/>
      <c r="AH319" s="489">
        <v>0</v>
      </c>
      <c r="AI319" s="489"/>
      <c r="AJ319" s="489">
        <v>0</v>
      </c>
      <c r="AK319" s="489"/>
      <c r="AL319" s="490">
        <v>6056</v>
      </c>
      <c r="AM319" s="477">
        <v>0</v>
      </c>
      <c r="AN319" s="489"/>
      <c r="AO319" s="489"/>
      <c r="AP319" s="489"/>
      <c r="AQ319" s="489">
        <v>15332</v>
      </c>
      <c r="AR319" s="489"/>
      <c r="AS319" s="489"/>
      <c r="AT319" s="489"/>
      <c r="AU319" s="490">
        <v>15332</v>
      </c>
      <c r="AV319" s="491">
        <f t="shared" ref="AV319:AV352" si="94">AL319-AU319</f>
        <v>-9276</v>
      </c>
      <c r="AW319" s="151">
        <v>123264.95999999999</v>
      </c>
      <c r="AX319" s="200">
        <f>AU319-AW319</f>
        <v>-107932.95999999999</v>
      </c>
    </row>
    <row r="320" spans="1:50">
      <c r="A320" s="158" t="s">
        <v>442</v>
      </c>
      <c r="B320" s="488" t="s">
        <v>449</v>
      </c>
      <c r="C320" s="477" cm="1">
        <f t="array" ref="C320">_xlfn.XLOOKUP(A320,'TB upload'!A:A,'TB upload'!C:C-'TB upload'!B:B,0,0)*-1</f>
        <v>0</v>
      </c>
      <c r="D320" s="489"/>
      <c r="E320" s="942" cm="1">
        <f t="array" ref="E320">_xlfn.XLOOKUP(A320,'TB upload'!A:A,'TB upload'!E:E-'TB upload'!D:D,0,0)*-1</f>
        <v>0</v>
      </c>
      <c r="F320" s="489"/>
      <c r="G320" s="477" cm="1">
        <f t="array" ref="G320">_xlfn.XLOOKUP(A320,'TB upload'!A:A,'TB upload'!G:G-'TB upload'!F:F,0,0)*-1</f>
        <v>0</v>
      </c>
      <c r="H320" s="489"/>
      <c r="I320" s="477" cm="1">
        <f t="array" ref="I320">_xlfn.XLOOKUP(A320,'TB upload'!A:A,'TB upload'!I:I-'TB upload'!H:H,0,0)*-1</f>
        <v>0</v>
      </c>
      <c r="J320" s="489"/>
      <c r="K320" s="490">
        <f t="shared" si="93"/>
        <v>0</v>
      </c>
      <c r="L320" s="311">
        <v>0</v>
      </c>
      <c r="M320" s="311"/>
      <c r="N320" s="311">
        <v>0</v>
      </c>
      <c r="O320" s="311"/>
      <c r="P320" s="311">
        <v>0</v>
      </c>
      <c r="Q320" s="311"/>
      <c r="R320" s="311">
        <v>0</v>
      </c>
      <c r="S320" s="311"/>
      <c r="T320" s="311">
        <v>0</v>
      </c>
      <c r="U320" s="477">
        <v>0</v>
      </c>
      <c r="V320" s="489"/>
      <c r="W320" s="489"/>
      <c r="X320" s="489"/>
      <c r="Y320" s="489"/>
      <c r="Z320" s="489"/>
      <c r="AA320" s="489"/>
      <c r="AB320" s="489"/>
      <c r="AC320" s="490">
        <v>0</v>
      </c>
      <c r="AD320" s="477">
        <v>91631.05</v>
      </c>
      <c r="AE320" s="489"/>
      <c r="AF320" s="489">
        <v>0</v>
      </c>
      <c r="AG320" s="489"/>
      <c r="AH320" s="489">
        <v>0</v>
      </c>
      <c r="AI320" s="489"/>
      <c r="AJ320" s="489">
        <v>0</v>
      </c>
      <c r="AK320" s="489"/>
      <c r="AL320" s="490">
        <v>91631.05</v>
      </c>
      <c r="AM320" s="477">
        <v>94879.48</v>
      </c>
      <c r="AN320" s="489"/>
      <c r="AO320" s="489"/>
      <c r="AP320" s="489"/>
      <c r="AQ320" s="489"/>
      <c r="AR320" s="489"/>
      <c r="AS320" s="489"/>
      <c r="AT320" s="489"/>
      <c r="AU320" s="490">
        <v>94879.48</v>
      </c>
      <c r="AV320" s="491">
        <f t="shared" ref="AV320" si="95">AL320-AU320</f>
        <v>-3248.429999999993</v>
      </c>
      <c r="AW320" s="151">
        <v>123264.95999999999</v>
      </c>
      <c r="AX320" s="200">
        <f>AU320-AW320</f>
        <v>-28385.479999999996</v>
      </c>
    </row>
    <row r="321" spans="1:50">
      <c r="A321" s="158" t="s">
        <v>1385</v>
      </c>
      <c r="B321" s="488" t="s">
        <v>449</v>
      </c>
      <c r="C321" s="477" cm="1">
        <f t="array" ref="C321">_xlfn.XLOOKUP(A321,'TB upload'!A:A,'TB upload'!C:C-'TB upload'!B:B,0,0)*-1</f>
        <v>7924</v>
      </c>
      <c r="D321" s="489"/>
      <c r="E321" s="942" cm="1">
        <f t="array" ref="E321">_xlfn.XLOOKUP(A321,'TB upload'!A:A,'TB upload'!E:E-'TB upload'!D:D,0,0)*-1</f>
        <v>0</v>
      </c>
      <c r="F321" s="489"/>
      <c r="G321" s="477" cm="1">
        <f t="array" ref="G321">_xlfn.XLOOKUP(A321,'TB upload'!A:A,'TB upload'!G:G-'TB upload'!F:F,0,0)*-1</f>
        <v>0</v>
      </c>
      <c r="H321" s="489"/>
      <c r="I321" s="477" cm="1">
        <f t="array" ref="I321">_xlfn.XLOOKUP(A321,'TB upload'!A:A,'TB upload'!I:I-'TB upload'!H:H,0,0)*-1</f>
        <v>0</v>
      </c>
      <c r="J321" s="489"/>
      <c r="K321" s="490">
        <f t="shared" si="93"/>
        <v>7924</v>
      </c>
      <c r="L321" s="311">
        <v>7924</v>
      </c>
      <c r="M321" s="311"/>
      <c r="N321" s="311">
        <v>0</v>
      </c>
      <c r="O321" s="311"/>
      <c r="P321" s="311">
        <v>0</v>
      </c>
      <c r="Q321" s="311"/>
      <c r="R321" s="311">
        <v>0</v>
      </c>
      <c r="S321" s="311"/>
      <c r="T321" s="311">
        <v>7924</v>
      </c>
      <c r="U321" s="649">
        <v>7924</v>
      </c>
      <c r="V321" s="489"/>
      <c r="W321" s="489"/>
      <c r="X321" s="489"/>
      <c r="Y321" s="489"/>
      <c r="Z321" s="489"/>
      <c r="AA321" s="489"/>
      <c r="AB321" s="489"/>
      <c r="AC321" s="490">
        <v>7924</v>
      </c>
      <c r="AD321" s="477">
        <v>23114</v>
      </c>
      <c r="AE321" s="489"/>
      <c r="AF321" s="489">
        <v>0</v>
      </c>
      <c r="AG321" s="489"/>
      <c r="AH321" s="489">
        <v>0</v>
      </c>
      <c r="AI321" s="489"/>
      <c r="AJ321" s="489">
        <v>0</v>
      </c>
      <c r="AK321" s="489">
        <v>5750.72</v>
      </c>
      <c r="AL321" s="490">
        <v>28864.720000000001</v>
      </c>
      <c r="AM321" s="477">
        <v>0</v>
      </c>
      <c r="AN321" s="489"/>
      <c r="AO321" s="489"/>
      <c r="AP321" s="489"/>
      <c r="AQ321" s="489"/>
      <c r="AR321" s="489"/>
      <c r="AS321" s="489"/>
      <c r="AT321" s="489"/>
      <c r="AU321" s="490">
        <v>0</v>
      </c>
      <c r="AV321" s="491">
        <f t="shared" ref="AV321" si="96">AL321-AU321</f>
        <v>28864.720000000001</v>
      </c>
      <c r="AW321" s="151">
        <v>123264.95999999999</v>
      </c>
      <c r="AX321" s="200">
        <f>AU321-AW321</f>
        <v>-123264.95999999999</v>
      </c>
    </row>
    <row r="322" spans="1:50">
      <c r="A322" s="158" t="s">
        <v>181</v>
      </c>
      <c r="B322" s="488" t="s">
        <v>449</v>
      </c>
      <c r="C322" s="477" cm="1">
        <f t="array" ref="C322">_xlfn.XLOOKUP(A322,'TB upload'!A:A,'TB upload'!C:C-'TB upload'!B:B,0,0)*-1</f>
        <v>21720.04</v>
      </c>
      <c r="D322" s="489"/>
      <c r="E322" s="942" cm="1">
        <f t="array" ref="E322">_xlfn.XLOOKUP(A322,'TB upload'!A:A,'TB upload'!E:E-'TB upload'!D:D,0,0)*-1</f>
        <v>0</v>
      </c>
      <c r="F322" s="489"/>
      <c r="G322" s="477" cm="1">
        <f t="array" ref="G322">_xlfn.XLOOKUP(A322,'TB upload'!A:A,'TB upload'!G:G-'TB upload'!F:F,0,0)*-1</f>
        <v>0</v>
      </c>
      <c r="H322" s="489"/>
      <c r="I322" s="477" cm="1">
        <f t="array" ref="I322">_xlfn.XLOOKUP(A322,'TB upload'!A:A,'TB upload'!I:I-'TB upload'!H:H,0,0)*-1</f>
        <v>0</v>
      </c>
      <c r="J322" s="489"/>
      <c r="K322" s="490">
        <f t="shared" si="93"/>
        <v>21720.04</v>
      </c>
      <c r="L322" s="311">
        <v>14835.43</v>
      </c>
      <c r="M322" s="311"/>
      <c r="N322" s="311">
        <v>0</v>
      </c>
      <c r="O322" s="311"/>
      <c r="P322" s="311">
        <v>0</v>
      </c>
      <c r="Q322" s="311"/>
      <c r="R322" s="311">
        <v>0</v>
      </c>
      <c r="S322" s="311"/>
      <c r="T322" s="311">
        <v>14835.43</v>
      </c>
      <c r="U322" s="649">
        <v>5781</v>
      </c>
      <c r="V322" s="489"/>
      <c r="W322" s="489"/>
      <c r="X322" s="489"/>
      <c r="Y322" s="489"/>
      <c r="Z322" s="489"/>
      <c r="AA322" s="489"/>
      <c r="AB322" s="489"/>
      <c r="AC322" s="490">
        <v>5781</v>
      </c>
      <c r="AD322" s="477">
        <v>33996.720000000001</v>
      </c>
      <c r="AE322" s="489"/>
      <c r="AF322" s="489">
        <v>0</v>
      </c>
      <c r="AG322" s="489"/>
      <c r="AH322" s="489">
        <v>0</v>
      </c>
      <c r="AI322" s="489"/>
      <c r="AJ322" s="489">
        <v>0</v>
      </c>
      <c r="AK322" s="489"/>
      <c r="AL322" s="490">
        <v>33996.720000000001</v>
      </c>
      <c r="AM322" s="477">
        <v>20323.82</v>
      </c>
      <c r="AN322" s="489"/>
      <c r="AO322" s="489"/>
      <c r="AP322" s="489"/>
      <c r="AQ322" s="489"/>
      <c r="AR322" s="489"/>
      <c r="AS322" s="489"/>
      <c r="AT322" s="489"/>
      <c r="AU322" s="490">
        <v>20323.82</v>
      </c>
      <c r="AV322" s="491">
        <f t="shared" si="94"/>
        <v>13672.900000000001</v>
      </c>
      <c r="AW322" s="151">
        <v>16464.66</v>
      </c>
      <c r="AX322" s="200">
        <f t="shared" ref="AX322:AX340" si="97">AU322-AW322</f>
        <v>3859.16</v>
      </c>
    </row>
    <row r="323" spans="1:50">
      <c r="A323" s="158" t="s">
        <v>186</v>
      </c>
      <c r="B323" s="488" t="s">
        <v>449</v>
      </c>
      <c r="C323" s="477" cm="1">
        <f t="array" ref="C323">_xlfn.XLOOKUP(A323,'TB upload'!A:A,'TB upload'!C:C-'TB upload'!B:B,0,0)*-1</f>
        <v>891584.46</v>
      </c>
      <c r="D323" s="489"/>
      <c r="E323" s="942" cm="1">
        <f t="array" ref="E323">_xlfn.XLOOKUP(A323,'TB upload'!A:A,'TB upload'!E:E-'TB upload'!D:D,0,0)*-1</f>
        <v>3116.66</v>
      </c>
      <c r="F323" s="489"/>
      <c r="G323" s="477" cm="1">
        <f t="array" ref="G323">_xlfn.XLOOKUP(A323,'TB upload'!A:A,'TB upload'!G:G-'TB upload'!F:F,0,0)*-1</f>
        <v>2498.02</v>
      </c>
      <c r="H323" s="489"/>
      <c r="I323" s="477" cm="1">
        <f t="array" ref="I323">_xlfn.XLOOKUP(A323,'TB upload'!A:A,'TB upload'!I:I-'TB upload'!H:H,0,0)*-1</f>
        <v>0</v>
      </c>
      <c r="J323" s="489"/>
      <c r="K323" s="490">
        <f t="shared" si="93"/>
        <v>897199.14</v>
      </c>
      <c r="L323" s="311">
        <v>890998.49</v>
      </c>
      <c r="M323" s="311"/>
      <c r="N323" s="311">
        <v>3116.66</v>
      </c>
      <c r="O323" s="311"/>
      <c r="P323" s="311">
        <v>2498.02</v>
      </c>
      <c r="Q323" s="311"/>
      <c r="R323" s="311">
        <v>0</v>
      </c>
      <c r="S323" s="311"/>
      <c r="T323" s="311">
        <v>896613.17</v>
      </c>
      <c r="U323" s="649">
        <v>800306.24</v>
      </c>
      <c r="V323" s="489"/>
      <c r="W323" s="489"/>
      <c r="X323" s="489"/>
      <c r="Y323" s="489"/>
      <c r="Z323" s="489"/>
      <c r="AA323" s="489"/>
      <c r="AB323" s="489"/>
      <c r="AC323" s="490">
        <v>800306.24</v>
      </c>
      <c r="AD323" s="477">
        <v>4770520.6500000004</v>
      </c>
      <c r="AE323" s="489"/>
      <c r="AF323" s="489">
        <v>27234.76</v>
      </c>
      <c r="AG323" s="489"/>
      <c r="AH323" s="489">
        <v>11394.88</v>
      </c>
      <c r="AI323" s="489"/>
      <c r="AJ323" s="489">
        <v>0</v>
      </c>
      <c r="AK323" s="489"/>
      <c r="AL323" s="490">
        <v>4809150.29</v>
      </c>
      <c r="AM323" s="477">
        <v>4107789.95</v>
      </c>
      <c r="AN323" s="489"/>
      <c r="AO323" s="489">
        <v>29378</v>
      </c>
      <c r="AP323" s="489"/>
      <c r="AQ323" s="489">
        <v>67119</v>
      </c>
      <c r="AR323" s="489"/>
      <c r="AS323" s="489"/>
      <c r="AT323" s="489"/>
      <c r="AU323" s="490">
        <v>4204286.95</v>
      </c>
      <c r="AV323" s="491">
        <f t="shared" si="94"/>
        <v>604863.33999999985</v>
      </c>
      <c r="AW323" s="151">
        <v>821532.49</v>
      </c>
      <c r="AX323" s="200">
        <f t="shared" si="97"/>
        <v>3382754.46</v>
      </c>
    </row>
    <row r="324" spans="1:50">
      <c r="A324" s="158" t="s">
        <v>187</v>
      </c>
      <c r="B324" s="488" t="s">
        <v>449</v>
      </c>
      <c r="C324" s="477" cm="1">
        <f t="array" ref="C324">_xlfn.XLOOKUP(A324,'TB upload'!A:A,'TB upload'!C:C-'TB upload'!B:B,0,0)*-1</f>
        <v>0</v>
      </c>
      <c r="D324" s="489"/>
      <c r="E324" s="942" cm="1">
        <f t="array" ref="E324">_xlfn.XLOOKUP(A324,'TB upload'!A:A,'TB upload'!E:E-'TB upload'!D:D,0,0)*-1</f>
        <v>0</v>
      </c>
      <c r="F324" s="489"/>
      <c r="G324" s="477" cm="1">
        <f t="array" ref="G324">_xlfn.XLOOKUP(A324,'TB upload'!A:A,'TB upload'!G:G-'TB upload'!F:F,0,0)*-1</f>
        <v>0</v>
      </c>
      <c r="H324" s="489"/>
      <c r="I324" s="477" cm="1">
        <f t="array" ref="I324">_xlfn.XLOOKUP(A324,'TB upload'!A:A,'TB upload'!I:I-'TB upload'!H:H,0,0)*-1</f>
        <v>0</v>
      </c>
      <c r="J324" s="489"/>
      <c r="K324" s="490">
        <f t="shared" si="93"/>
        <v>0</v>
      </c>
      <c r="L324" s="311">
        <v>0</v>
      </c>
      <c r="M324" s="311"/>
      <c r="N324" s="311">
        <v>0</v>
      </c>
      <c r="O324" s="311"/>
      <c r="P324" s="311">
        <v>0</v>
      </c>
      <c r="Q324" s="311"/>
      <c r="R324" s="311">
        <v>0</v>
      </c>
      <c r="S324" s="311"/>
      <c r="T324" s="311">
        <v>0</v>
      </c>
      <c r="U324" s="477">
        <v>0</v>
      </c>
      <c r="V324" s="489"/>
      <c r="W324" s="489"/>
      <c r="X324" s="489"/>
      <c r="Y324" s="489"/>
      <c r="Z324" s="489"/>
      <c r="AA324" s="489"/>
      <c r="AB324" s="489"/>
      <c r="AC324" s="490">
        <v>0</v>
      </c>
      <c r="AD324" s="477">
        <v>141121.35</v>
      </c>
      <c r="AE324" s="489"/>
      <c r="AF324" s="489">
        <v>0</v>
      </c>
      <c r="AG324" s="489"/>
      <c r="AH324" s="489">
        <v>0</v>
      </c>
      <c r="AI324" s="489"/>
      <c r="AJ324" s="489">
        <v>0</v>
      </c>
      <c r="AK324" s="489"/>
      <c r="AL324" s="490">
        <v>141121.35</v>
      </c>
      <c r="AM324" s="477">
        <v>78770.789999999994</v>
      </c>
      <c r="AN324" s="489"/>
      <c r="AO324" s="489"/>
      <c r="AP324" s="489"/>
      <c r="AQ324" s="489"/>
      <c r="AR324" s="489"/>
      <c r="AS324" s="489"/>
      <c r="AT324" s="489"/>
      <c r="AU324" s="490">
        <v>78770.789999999994</v>
      </c>
      <c r="AV324" s="491">
        <f t="shared" si="94"/>
        <v>62350.560000000012</v>
      </c>
      <c r="AW324" s="151">
        <v>32602.83</v>
      </c>
      <c r="AX324" s="200">
        <f t="shared" si="97"/>
        <v>46167.959999999992</v>
      </c>
    </row>
    <row r="325" spans="1:50">
      <c r="A325" s="158" t="s">
        <v>189</v>
      </c>
      <c r="B325" s="488" t="s">
        <v>449</v>
      </c>
      <c r="C325" s="477" cm="1">
        <f t="array" ref="C325">_xlfn.XLOOKUP(A325,'TB upload'!A:A,'TB upload'!C:C-'TB upload'!B:B,0,0)*-1</f>
        <v>114625.97</v>
      </c>
      <c r="D325" s="489"/>
      <c r="E325" s="942" cm="1">
        <f t="array" ref="E325">_xlfn.XLOOKUP(A325,'TB upload'!A:A,'TB upload'!E:E-'TB upload'!D:D,0,0)*-1</f>
        <v>0</v>
      </c>
      <c r="F325" s="489"/>
      <c r="G325" s="477" cm="1">
        <f t="array" ref="G325">_xlfn.XLOOKUP(A325,'TB upload'!A:A,'TB upload'!G:G-'TB upload'!F:F,0,0)*-1</f>
        <v>0</v>
      </c>
      <c r="H325" s="489"/>
      <c r="I325" s="477" cm="1">
        <f t="array" ref="I325">_xlfn.XLOOKUP(A325,'TB upload'!A:A,'TB upload'!I:I-'TB upload'!H:H,0,0)*-1</f>
        <v>0</v>
      </c>
      <c r="J325" s="489"/>
      <c r="K325" s="490">
        <f t="shared" si="93"/>
        <v>114625.97</v>
      </c>
      <c r="L325" s="311">
        <v>92239.83</v>
      </c>
      <c r="M325" s="311">
        <v>16288</v>
      </c>
      <c r="N325" s="311">
        <v>0</v>
      </c>
      <c r="O325" s="311"/>
      <c r="P325" s="311">
        <v>0</v>
      </c>
      <c r="Q325" s="311"/>
      <c r="R325" s="311">
        <v>0</v>
      </c>
      <c r="S325" s="311"/>
      <c r="T325" s="311">
        <v>108527.83</v>
      </c>
      <c r="U325" s="649">
        <v>1750</v>
      </c>
      <c r="V325" s="489"/>
      <c r="W325" s="489"/>
      <c r="X325" s="489"/>
      <c r="Y325" s="489"/>
      <c r="Z325" s="489"/>
      <c r="AA325" s="489"/>
      <c r="AB325" s="489"/>
      <c r="AC325" s="490">
        <v>1750</v>
      </c>
      <c r="AD325" s="477">
        <v>0</v>
      </c>
      <c r="AE325" s="489"/>
      <c r="AF325" s="489">
        <v>0</v>
      </c>
      <c r="AG325" s="489"/>
      <c r="AH325" s="489">
        <v>0</v>
      </c>
      <c r="AI325" s="489"/>
      <c r="AJ325" s="489">
        <v>0</v>
      </c>
      <c r="AK325" s="489"/>
      <c r="AL325" s="490">
        <v>0</v>
      </c>
      <c r="AM325" s="477">
        <v>9650</v>
      </c>
      <c r="AN325" s="489"/>
      <c r="AO325" s="489"/>
      <c r="AP325" s="489"/>
      <c r="AQ325" s="489"/>
      <c r="AR325" s="489"/>
      <c r="AS325" s="489"/>
      <c r="AT325" s="489"/>
      <c r="AU325" s="490">
        <v>9650</v>
      </c>
      <c r="AV325" s="491">
        <f t="shared" si="94"/>
        <v>-9650</v>
      </c>
      <c r="AW325" s="151">
        <v>3000</v>
      </c>
      <c r="AX325" s="200">
        <f t="shared" si="97"/>
        <v>6650</v>
      </c>
    </row>
    <row r="326" spans="1:50">
      <c r="A326" s="158" t="s">
        <v>445</v>
      </c>
      <c r="B326" s="488" t="s">
        <v>449</v>
      </c>
      <c r="C326" s="477" cm="1">
        <f t="array" ref="C326">_xlfn.XLOOKUP(A326,'TB upload'!A:A,'TB upload'!C:C-'TB upload'!B:B,0,0)*-1</f>
        <v>0</v>
      </c>
      <c r="D326" s="489"/>
      <c r="E326" s="942" cm="1">
        <f t="array" ref="E326">_xlfn.XLOOKUP(A326,'TB upload'!A:A,'TB upload'!E:E-'TB upload'!D:D,0,0)*-1</f>
        <v>0</v>
      </c>
      <c r="F326" s="489"/>
      <c r="G326" s="477" cm="1">
        <f t="array" ref="G326">_xlfn.XLOOKUP(A326,'TB upload'!A:A,'TB upload'!G:G-'TB upload'!F:F,0,0)*-1</f>
        <v>0</v>
      </c>
      <c r="H326" s="489"/>
      <c r="I326" s="477" cm="1">
        <f t="array" ref="I326">_xlfn.XLOOKUP(A326,'TB upload'!A:A,'TB upload'!I:I-'TB upload'!H:H,0,0)*-1</f>
        <v>0</v>
      </c>
      <c r="J326" s="489"/>
      <c r="K326" s="490">
        <f t="shared" si="93"/>
        <v>0</v>
      </c>
      <c r="L326" s="311">
        <v>0</v>
      </c>
      <c r="M326" s="311"/>
      <c r="N326" s="311">
        <v>0</v>
      </c>
      <c r="O326" s="311"/>
      <c r="P326" s="311">
        <v>0</v>
      </c>
      <c r="Q326" s="311"/>
      <c r="R326" s="311">
        <v>0</v>
      </c>
      <c r="S326" s="311"/>
      <c r="T326" s="311">
        <v>0</v>
      </c>
      <c r="U326" s="477">
        <v>0</v>
      </c>
      <c r="V326" s="489"/>
      <c r="W326" s="489"/>
      <c r="X326" s="489"/>
      <c r="Y326" s="489"/>
      <c r="Z326" s="489"/>
      <c r="AA326" s="489"/>
      <c r="AB326" s="489"/>
      <c r="AC326" s="490">
        <v>0</v>
      </c>
      <c r="AD326" s="477">
        <v>6800</v>
      </c>
      <c r="AE326" s="489"/>
      <c r="AF326" s="489">
        <v>0</v>
      </c>
      <c r="AG326" s="489"/>
      <c r="AH326" s="489">
        <v>0</v>
      </c>
      <c r="AI326" s="489"/>
      <c r="AJ326" s="489">
        <v>0</v>
      </c>
      <c r="AK326" s="489"/>
      <c r="AL326" s="490">
        <v>6800</v>
      </c>
      <c r="AM326" s="477">
        <v>145774</v>
      </c>
      <c r="AN326" s="489"/>
      <c r="AO326" s="489"/>
      <c r="AP326" s="489"/>
      <c r="AQ326" s="489"/>
      <c r="AR326" s="489"/>
      <c r="AS326" s="489"/>
      <c r="AT326" s="489"/>
      <c r="AU326" s="490">
        <v>145774</v>
      </c>
      <c r="AV326" s="491">
        <f t="shared" si="94"/>
        <v>-138974</v>
      </c>
      <c r="AW326" s="151">
        <v>100100</v>
      </c>
      <c r="AX326" s="200">
        <f t="shared" si="97"/>
        <v>45674</v>
      </c>
    </row>
    <row r="327" spans="1:50">
      <c r="A327" s="158" t="s">
        <v>191</v>
      </c>
      <c r="B327" s="488" t="s">
        <v>449</v>
      </c>
      <c r="C327" s="477" cm="1">
        <f t="array" ref="C327">_xlfn.XLOOKUP(A327,'TB upload'!A:A,'TB upload'!C:C-'TB upload'!B:B,0,0)*-1</f>
        <v>0</v>
      </c>
      <c r="D327" s="489"/>
      <c r="E327" s="942" cm="1">
        <f t="array" ref="E327">_xlfn.XLOOKUP(A327,'TB upload'!A:A,'TB upload'!E:E-'TB upload'!D:D,0,0)*-1</f>
        <v>0</v>
      </c>
      <c r="F327" s="489"/>
      <c r="G327" s="477" cm="1">
        <f t="array" ref="G327">_xlfn.XLOOKUP(A327,'TB upload'!A:A,'TB upload'!G:G-'TB upload'!F:F,0,0)*-1</f>
        <v>0</v>
      </c>
      <c r="H327" s="489"/>
      <c r="I327" s="477" cm="1">
        <f t="array" ref="I327">_xlfn.XLOOKUP(A327,'TB upload'!A:A,'TB upload'!I:I-'TB upload'!H:H,0,0)*-1</f>
        <v>0</v>
      </c>
      <c r="J327" s="489"/>
      <c r="K327" s="490">
        <f t="shared" si="93"/>
        <v>0</v>
      </c>
      <c r="L327" s="311">
        <v>0</v>
      </c>
      <c r="M327" s="311"/>
      <c r="N327" s="311">
        <v>0</v>
      </c>
      <c r="O327" s="311"/>
      <c r="P327" s="311">
        <v>0</v>
      </c>
      <c r="Q327" s="311"/>
      <c r="R327" s="311">
        <v>0</v>
      </c>
      <c r="S327" s="311"/>
      <c r="T327" s="311">
        <v>0</v>
      </c>
      <c r="U327" s="477">
        <v>0</v>
      </c>
      <c r="V327" s="489"/>
      <c r="W327" s="489"/>
      <c r="X327" s="489"/>
      <c r="Y327" s="489"/>
      <c r="Z327" s="489"/>
      <c r="AA327" s="489"/>
      <c r="AB327" s="489"/>
      <c r="AC327" s="490">
        <v>0</v>
      </c>
      <c r="AD327" s="477">
        <v>0</v>
      </c>
      <c r="AE327" s="489"/>
      <c r="AF327" s="489">
        <v>0</v>
      </c>
      <c r="AG327" s="489"/>
      <c r="AH327" s="489">
        <v>0</v>
      </c>
      <c r="AI327" s="489"/>
      <c r="AJ327" s="489">
        <v>0</v>
      </c>
      <c r="AK327" s="489"/>
      <c r="AL327" s="490">
        <v>0</v>
      </c>
      <c r="AM327" s="477">
        <v>1608</v>
      </c>
      <c r="AN327" s="489"/>
      <c r="AO327" s="489"/>
      <c r="AP327" s="489"/>
      <c r="AQ327" s="489"/>
      <c r="AR327" s="489"/>
      <c r="AS327" s="489"/>
      <c r="AT327" s="489"/>
      <c r="AU327" s="490">
        <v>1608</v>
      </c>
      <c r="AV327" s="491">
        <f t="shared" si="94"/>
        <v>-1608</v>
      </c>
      <c r="AW327" s="151">
        <v>11592.17</v>
      </c>
      <c r="AX327" s="200">
        <f t="shared" si="97"/>
        <v>-9984.17</v>
      </c>
    </row>
    <row r="328" spans="1:50">
      <c r="A328" s="158" t="s">
        <v>1070</v>
      </c>
      <c r="B328" s="488" t="s">
        <v>449</v>
      </c>
      <c r="C328" s="477" cm="1">
        <f t="array" ref="C328">_xlfn.XLOOKUP(A328,'TB upload'!A:A,'TB upload'!C:C-'TB upload'!B:B,0,0)*-1</f>
        <v>927</v>
      </c>
      <c r="D328" s="489"/>
      <c r="E328" s="942" cm="1">
        <f t="array" ref="E328">_xlfn.XLOOKUP(A328,'TB upload'!A:A,'TB upload'!E:E-'TB upload'!D:D,0,0)*-1</f>
        <v>0</v>
      </c>
      <c r="F328" s="489"/>
      <c r="G328" s="477" cm="1">
        <f t="array" ref="G328">_xlfn.XLOOKUP(A328,'TB upload'!A:A,'TB upload'!G:G-'TB upload'!F:F,0,0)*-1</f>
        <v>0</v>
      </c>
      <c r="H328" s="489"/>
      <c r="I328" s="477" cm="1">
        <f t="array" ref="I328">_xlfn.XLOOKUP(A328,'TB upload'!A:A,'TB upload'!I:I-'TB upload'!H:H,0,0)*-1</f>
        <v>0</v>
      </c>
      <c r="J328" s="489"/>
      <c r="K328" s="490">
        <f t="shared" si="93"/>
        <v>927</v>
      </c>
      <c r="L328" s="311">
        <v>0</v>
      </c>
      <c r="M328" s="311"/>
      <c r="N328" s="311">
        <v>0</v>
      </c>
      <c r="O328" s="311"/>
      <c r="P328" s="311">
        <v>0</v>
      </c>
      <c r="Q328" s="311"/>
      <c r="R328" s="311">
        <v>0</v>
      </c>
      <c r="S328" s="311"/>
      <c r="T328" s="311">
        <v>0</v>
      </c>
      <c r="U328" s="477">
        <v>0</v>
      </c>
      <c r="V328" s="489"/>
      <c r="W328" s="489"/>
      <c r="X328" s="489"/>
      <c r="Y328" s="489"/>
      <c r="Z328" s="489"/>
      <c r="AA328" s="489"/>
      <c r="AB328" s="489"/>
      <c r="AC328" s="490">
        <v>0</v>
      </c>
      <c r="AD328" s="477">
        <v>2700</v>
      </c>
      <c r="AE328" s="489"/>
      <c r="AF328" s="489">
        <v>0</v>
      </c>
      <c r="AG328" s="489"/>
      <c r="AH328" s="489">
        <v>0</v>
      </c>
      <c r="AI328" s="489"/>
      <c r="AJ328" s="489">
        <v>100</v>
      </c>
      <c r="AK328" s="489"/>
      <c r="AL328" s="490">
        <v>2800</v>
      </c>
      <c r="AM328" s="477">
        <v>1138</v>
      </c>
      <c r="AN328" s="489"/>
      <c r="AO328" s="489"/>
      <c r="AP328" s="489"/>
      <c r="AQ328" s="489">
        <v>214</v>
      </c>
      <c r="AR328" s="489"/>
      <c r="AS328" s="489"/>
      <c r="AT328" s="489"/>
      <c r="AU328" s="490">
        <v>1352</v>
      </c>
      <c r="AV328" s="491">
        <f t="shared" si="94"/>
        <v>1448</v>
      </c>
      <c r="AW328" s="151">
        <v>17700</v>
      </c>
      <c r="AX328" s="200">
        <f t="shared" si="97"/>
        <v>-16348</v>
      </c>
    </row>
    <row r="329" spans="1:50">
      <c r="A329" s="158" t="s">
        <v>1426</v>
      </c>
      <c r="B329" s="488" t="s">
        <v>449</v>
      </c>
      <c r="C329" s="477" cm="1">
        <f t="array" ref="C329">_xlfn.XLOOKUP(A329,'TB upload'!A:A,'TB upload'!C:C-'TB upload'!B:B,0,0)*-1</f>
        <v>0</v>
      </c>
      <c r="D329" s="489"/>
      <c r="E329" s="942" cm="1">
        <f t="array" ref="E329">_xlfn.XLOOKUP(A329,'TB upload'!A:A,'TB upload'!E:E-'TB upload'!D:D,0,0)*-1</f>
        <v>0</v>
      </c>
      <c r="F329" s="489"/>
      <c r="G329" s="477" cm="1">
        <f t="array" ref="G329">_xlfn.XLOOKUP(A329,'TB upload'!A:A,'TB upload'!G:G-'TB upload'!F:F,0,0)*-1</f>
        <v>0</v>
      </c>
      <c r="H329" s="489"/>
      <c r="I329" s="477" cm="1">
        <f t="array" ref="I329">_xlfn.XLOOKUP(A329,'TB upload'!A:A,'TB upload'!I:I-'TB upload'!H:H,0,0)*-1</f>
        <v>0</v>
      </c>
      <c r="J329" s="489"/>
      <c r="K329" s="490">
        <f t="shared" si="93"/>
        <v>0</v>
      </c>
      <c r="L329" s="311">
        <v>0</v>
      </c>
      <c r="M329" s="311"/>
      <c r="N329" s="311">
        <v>0</v>
      </c>
      <c r="O329" s="311"/>
      <c r="P329" s="311">
        <v>0</v>
      </c>
      <c r="Q329" s="311"/>
      <c r="R329" s="311">
        <v>0</v>
      </c>
      <c r="S329" s="311"/>
      <c r="T329" s="311">
        <v>0</v>
      </c>
      <c r="U329" s="477">
        <v>0</v>
      </c>
      <c r="V329" s="489"/>
      <c r="W329" s="489"/>
      <c r="X329" s="489"/>
      <c r="Y329" s="489"/>
      <c r="Z329" s="489"/>
      <c r="AA329" s="489"/>
      <c r="AB329" s="489"/>
      <c r="AC329" s="490">
        <v>0</v>
      </c>
      <c r="AD329" s="477">
        <v>0</v>
      </c>
      <c r="AE329" s="489"/>
      <c r="AF329" s="489">
        <v>0</v>
      </c>
      <c r="AG329" s="489"/>
      <c r="AH329" s="489">
        <v>100</v>
      </c>
      <c r="AI329" s="489"/>
      <c r="AJ329" s="489">
        <v>0</v>
      </c>
      <c r="AK329" s="489"/>
      <c r="AL329" s="490">
        <v>100</v>
      </c>
      <c r="AM329" s="477">
        <v>0</v>
      </c>
      <c r="AN329" s="489"/>
      <c r="AO329" s="489"/>
      <c r="AP329" s="489"/>
      <c r="AQ329" s="489">
        <v>214</v>
      </c>
      <c r="AR329" s="489"/>
      <c r="AS329" s="489"/>
      <c r="AT329" s="489"/>
      <c r="AU329" s="490">
        <v>214</v>
      </c>
      <c r="AV329" s="491">
        <f t="shared" ref="AV329" si="98">AL329-AU329</f>
        <v>-114</v>
      </c>
      <c r="AW329" s="151">
        <v>17700</v>
      </c>
      <c r="AX329" s="200">
        <f t="shared" ref="AX329" si="99">AU329-AW329</f>
        <v>-17486</v>
      </c>
    </row>
    <row r="330" spans="1:50">
      <c r="A330" s="158" t="s">
        <v>199</v>
      </c>
      <c r="B330" s="488" t="s">
        <v>449</v>
      </c>
      <c r="C330" s="477" cm="1">
        <f t="array" ref="C330">_xlfn.XLOOKUP(A330,'TB upload'!A:A,'TB upload'!C:C-'TB upload'!B:B,0,0)*-1</f>
        <v>0</v>
      </c>
      <c r="D330" s="489"/>
      <c r="E330" s="942" cm="1">
        <f t="array" ref="E330">_xlfn.XLOOKUP(A330,'TB upload'!A:A,'TB upload'!E:E-'TB upload'!D:D,0,0)*-1</f>
        <v>0</v>
      </c>
      <c r="F330" s="489"/>
      <c r="G330" s="477" cm="1">
        <f t="array" ref="G330">_xlfn.XLOOKUP(A330,'TB upload'!A:A,'TB upload'!G:G-'TB upload'!F:F,0,0)*-1</f>
        <v>0</v>
      </c>
      <c r="H330" s="489"/>
      <c r="I330" s="477" cm="1">
        <f t="array" ref="I330">_xlfn.XLOOKUP(A330,'TB upload'!A:A,'TB upload'!I:I-'TB upload'!H:H,0,0)*-1</f>
        <v>0</v>
      </c>
      <c r="J330" s="489"/>
      <c r="K330" s="490">
        <f t="shared" si="93"/>
        <v>0</v>
      </c>
      <c r="L330" s="311">
        <v>0</v>
      </c>
      <c r="M330" s="311"/>
      <c r="N330" s="311">
        <v>0</v>
      </c>
      <c r="O330" s="311"/>
      <c r="P330" s="311">
        <v>0</v>
      </c>
      <c r="Q330" s="311"/>
      <c r="R330" s="311">
        <v>0</v>
      </c>
      <c r="S330" s="311"/>
      <c r="T330" s="311">
        <v>0</v>
      </c>
      <c r="U330" s="477">
        <v>0</v>
      </c>
      <c r="V330" s="489"/>
      <c r="W330" s="489"/>
      <c r="X330" s="489"/>
      <c r="Y330" s="489"/>
      <c r="Z330" s="489"/>
      <c r="AA330" s="489"/>
      <c r="AB330" s="489"/>
      <c r="AC330" s="490">
        <v>0</v>
      </c>
      <c r="AD330" s="477">
        <v>0</v>
      </c>
      <c r="AE330" s="489"/>
      <c r="AF330" s="489">
        <v>0</v>
      </c>
      <c r="AG330" s="489"/>
      <c r="AH330" s="489">
        <v>0</v>
      </c>
      <c r="AI330" s="489"/>
      <c r="AJ330" s="489">
        <v>0</v>
      </c>
      <c r="AK330" s="489"/>
      <c r="AL330" s="490">
        <v>0</v>
      </c>
      <c r="AM330" s="477">
        <v>0</v>
      </c>
      <c r="AN330" s="489"/>
      <c r="AO330" s="489"/>
      <c r="AP330" s="489"/>
      <c r="AQ330" s="489"/>
      <c r="AR330" s="489"/>
      <c r="AS330" s="489"/>
      <c r="AT330" s="489"/>
      <c r="AU330" s="490">
        <v>0</v>
      </c>
      <c r="AV330" s="491">
        <f t="shared" si="94"/>
        <v>0</v>
      </c>
      <c r="AW330" s="151">
        <v>7799</v>
      </c>
      <c r="AX330" s="200">
        <f t="shared" si="97"/>
        <v>-7799</v>
      </c>
    </row>
    <row r="331" spans="1:50">
      <c r="A331" s="158" t="s">
        <v>517</v>
      </c>
      <c r="B331" s="488" t="s">
        <v>449</v>
      </c>
      <c r="C331" s="477" cm="1">
        <f t="array" ref="C331">_xlfn.XLOOKUP(A331,'TB upload'!A:A,'TB upload'!C:C-'TB upload'!B:B,0,0)*-1</f>
        <v>17774.189999999999</v>
      </c>
      <c r="D331" s="489"/>
      <c r="E331" s="942" cm="1">
        <f t="array" ref="E331">_xlfn.XLOOKUP(A331,'TB upload'!A:A,'TB upload'!E:E-'TB upload'!D:D,0,0)*-1</f>
        <v>0</v>
      </c>
      <c r="F331" s="489"/>
      <c r="G331" s="477" cm="1">
        <f t="array" ref="G331">_xlfn.XLOOKUP(A331,'TB upload'!A:A,'TB upload'!G:G-'TB upload'!F:F,0,0)*-1</f>
        <v>0</v>
      </c>
      <c r="H331" s="489"/>
      <c r="I331" s="477" cm="1">
        <f t="array" ref="I331">_xlfn.XLOOKUP(A331,'TB upload'!A:A,'TB upload'!I:I-'TB upload'!H:H,0,0)*-1</f>
        <v>0</v>
      </c>
      <c r="J331" s="489"/>
      <c r="K331" s="490">
        <f t="shared" si="93"/>
        <v>17774.189999999999</v>
      </c>
      <c r="L331" s="311">
        <v>2395</v>
      </c>
      <c r="M331" s="311">
        <v>-16734.54</v>
      </c>
      <c r="N331" s="311">
        <v>0</v>
      </c>
      <c r="O331" s="311"/>
      <c r="P331" s="311">
        <v>0</v>
      </c>
      <c r="Q331" s="311"/>
      <c r="R331" s="311">
        <v>0</v>
      </c>
      <c r="S331" s="311"/>
      <c r="T331" s="311">
        <v>-14339.54</v>
      </c>
      <c r="U331" s="649">
        <v>2395</v>
      </c>
      <c r="V331" s="489"/>
      <c r="W331" s="489"/>
      <c r="X331" s="489"/>
      <c r="Y331" s="489"/>
      <c r="Z331" s="489"/>
      <c r="AA331" s="489"/>
      <c r="AB331" s="489"/>
      <c r="AC331" s="490">
        <v>2395</v>
      </c>
      <c r="AD331" s="477">
        <v>37294.480000000003</v>
      </c>
      <c r="AE331" s="489"/>
      <c r="AF331" s="489">
        <v>0</v>
      </c>
      <c r="AG331" s="489"/>
      <c r="AH331" s="489">
        <v>0</v>
      </c>
      <c r="AI331" s="489"/>
      <c r="AJ331" s="489">
        <v>0</v>
      </c>
      <c r="AK331" s="489"/>
      <c r="AL331" s="490">
        <v>37294.480000000003</v>
      </c>
      <c r="AM331" s="477">
        <v>64103.13</v>
      </c>
      <c r="AN331" s="489"/>
      <c r="AO331" s="489"/>
      <c r="AP331" s="489"/>
      <c r="AQ331" s="489"/>
      <c r="AR331" s="489"/>
      <c r="AS331" s="489"/>
      <c r="AT331" s="489"/>
      <c r="AU331" s="490">
        <v>64103.13</v>
      </c>
      <c r="AV331" s="491">
        <f t="shared" si="94"/>
        <v>-26808.649999999994</v>
      </c>
      <c r="AW331" s="151">
        <v>38140</v>
      </c>
      <c r="AX331" s="200">
        <f t="shared" si="97"/>
        <v>25963.129999999997</v>
      </c>
    </row>
    <row r="332" spans="1:50">
      <c r="A332" s="158" t="s">
        <v>202</v>
      </c>
      <c r="B332" s="488" t="s">
        <v>449</v>
      </c>
      <c r="C332" s="477" cm="1">
        <f t="array" ref="C332">_xlfn.XLOOKUP(A332,'TB upload'!A:A,'TB upload'!C:C-'TB upload'!B:B,0,0)*-1</f>
        <v>55454</v>
      </c>
      <c r="D332" s="489"/>
      <c r="E332" s="942" cm="1">
        <f t="array" ref="E332">_xlfn.XLOOKUP(A332,'TB upload'!A:A,'TB upload'!E:E-'TB upload'!D:D,0,0)*-1</f>
        <v>0</v>
      </c>
      <c r="F332" s="489"/>
      <c r="G332" s="477" cm="1">
        <f t="array" ref="G332">_xlfn.XLOOKUP(A332,'TB upload'!A:A,'TB upload'!G:G-'TB upload'!F:F,0,0)*-1</f>
        <v>0</v>
      </c>
      <c r="H332" s="489"/>
      <c r="I332" s="477" cm="1">
        <f t="array" ref="I332">_xlfn.XLOOKUP(A332,'TB upload'!A:A,'TB upload'!I:I-'TB upload'!H:H,0,0)*-1</f>
        <v>0</v>
      </c>
      <c r="J332" s="489"/>
      <c r="K332" s="490">
        <f t="shared" si="93"/>
        <v>55454</v>
      </c>
      <c r="L332" s="311">
        <v>26962</v>
      </c>
      <c r="M332" s="311"/>
      <c r="N332" s="311">
        <v>0</v>
      </c>
      <c r="O332" s="311"/>
      <c r="P332" s="311">
        <v>0</v>
      </c>
      <c r="Q332" s="311"/>
      <c r="R332" s="311">
        <v>0</v>
      </c>
      <c r="S332" s="311"/>
      <c r="T332" s="311">
        <v>26962</v>
      </c>
      <c r="U332" s="649">
        <v>24962</v>
      </c>
      <c r="V332" s="489"/>
      <c r="W332" s="489"/>
      <c r="X332" s="489"/>
      <c r="Y332" s="489"/>
      <c r="Z332" s="489"/>
      <c r="AA332" s="489"/>
      <c r="AB332" s="489"/>
      <c r="AC332" s="490">
        <v>24962</v>
      </c>
      <c r="AD332" s="477">
        <v>319706.65000000002</v>
      </c>
      <c r="AE332" s="489"/>
      <c r="AF332" s="489">
        <v>0</v>
      </c>
      <c r="AG332" s="489"/>
      <c r="AH332" s="489">
        <v>0</v>
      </c>
      <c r="AI332" s="489"/>
      <c r="AJ332" s="489">
        <v>0</v>
      </c>
      <c r="AK332" s="489">
        <v>15254</v>
      </c>
      <c r="AL332" s="490">
        <v>334960.65000000002</v>
      </c>
      <c r="AM332" s="477">
        <v>141454</v>
      </c>
      <c r="AN332" s="489"/>
      <c r="AO332" s="489"/>
      <c r="AP332" s="489"/>
      <c r="AQ332" s="489">
        <v>9000</v>
      </c>
      <c r="AR332" s="489"/>
      <c r="AS332" s="489"/>
      <c r="AT332" s="489"/>
      <c r="AU332" s="490">
        <v>150454</v>
      </c>
      <c r="AV332" s="491">
        <f t="shared" si="94"/>
        <v>184506.65000000002</v>
      </c>
      <c r="AW332" s="151">
        <v>46758</v>
      </c>
      <c r="AX332" s="200">
        <f t="shared" si="97"/>
        <v>103696</v>
      </c>
    </row>
    <row r="333" spans="1:50">
      <c r="A333" s="158" t="s">
        <v>208</v>
      </c>
      <c r="B333" s="488" t="s">
        <v>449</v>
      </c>
      <c r="C333" s="477" cm="1">
        <f t="array" ref="C333">_xlfn.XLOOKUP(A333,'TB upload'!A:A,'TB upload'!C:C-'TB upload'!B:B,0,0)*-1</f>
        <v>2500</v>
      </c>
      <c r="D333" s="489"/>
      <c r="E333" s="942" cm="1">
        <f t="array" ref="E333">_xlfn.XLOOKUP(A333,'TB upload'!A:A,'TB upload'!E:E-'TB upload'!D:D,0,0)*-1</f>
        <v>0</v>
      </c>
      <c r="F333" s="489"/>
      <c r="G333" s="477" cm="1">
        <f t="array" ref="G333">_xlfn.XLOOKUP(A333,'TB upload'!A:A,'TB upload'!G:G-'TB upload'!F:F,0,0)*-1</f>
        <v>0</v>
      </c>
      <c r="H333" s="489"/>
      <c r="I333" s="477" cm="1">
        <f t="array" ref="I333">_xlfn.XLOOKUP(A333,'TB upload'!A:A,'TB upload'!I:I-'TB upload'!H:H,0,0)*-1</f>
        <v>0</v>
      </c>
      <c r="J333" s="489"/>
      <c r="K333" s="490">
        <f t="shared" si="93"/>
        <v>2500</v>
      </c>
      <c r="L333" s="311">
        <v>2500</v>
      </c>
      <c r="M333" s="311"/>
      <c r="N333" s="311">
        <v>0</v>
      </c>
      <c r="O333" s="311"/>
      <c r="P333" s="311">
        <v>0</v>
      </c>
      <c r="Q333" s="311"/>
      <c r="R333" s="311">
        <v>0</v>
      </c>
      <c r="S333" s="311"/>
      <c r="T333" s="311">
        <v>2500</v>
      </c>
      <c r="U333" s="649">
        <v>2500</v>
      </c>
      <c r="V333" s="489"/>
      <c r="W333" s="489"/>
      <c r="X333" s="489"/>
      <c r="Y333" s="489"/>
      <c r="Z333" s="489"/>
      <c r="AA333" s="489"/>
      <c r="AB333" s="489"/>
      <c r="AC333" s="490">
        <v>2500</v>
      </c>
      <c r="AD333" s="477">
        <v>2500</v>
      </c>
      <c r="AE333" s="489"/>
      <c r="AF333" s="489">
        <v>0</v>
      </c>
      <c r="AG333" s="489"/>
      <c r="AH333" s="489">
        <v>0</v>
      </c>
      <c r="AI333" s="489"/>
      <c r="AJ333" s="489">
        <v>0</v>
      </c>
      <c r="AK333" s="489"/>
      <c r="AL333" s="490">
        <v>2500</v>
      </c>
      <c r="AM333" s="477">
        <v>2500</v>
      </c>
      <c r="AN333" s="489"/>
      <c r="AO333" s="489"/>
      <c r="AP333" s="489"/>
      <c r="AQ333" s="489"/>
      <c r="AR333" s="489"/>
      <c r="AS333" s="489"/>
      <c r="AT333" s="489"/>
      <c r="AU333" s="490">
        <v>2500</v>
      </c>
      <c r="AV333" s="491">
        <f t="shared" si="94"/>
        <v>0</v>
      </c>
      <c r="AW333" s="151">
        <v>2500</v>
      </c>
      <c r="AX333" s="200">
        <f t="shared" si="97"/>
        <v>0</v>
      </c>
    </row>
    <row r="334" spans="1:50">
      <c r="A334" s="158" t="s">
        <v>519</v>
      </c>
      <c r="B334" s="488" t="s">
        <v>449</v>
      </c>
      <c r="C334" s="477" cm="1">
        <f t="array" ref="C334">_xlfn.XLOOKUP(A334,'TB upload'!A:A,'TB upload'!C:C-'TB upload'!B:B,0,0)*-1</f>
        <v>15021</v>
      </c>
      <c r="D334" s="489"/>
      <c r="E334" s="942" cm="1">
        <f t="array" ref="E334">_xlfn.XLOOKUP(A334,'TB upload'!A:A,'TB upload'!E:E-'TB upload'!D:D,0,0)*-1</f>
        <v>0</v>
      </c>
      <c r="F334" s="489"/>
      <c r="G334" s="477" cm="1">
        <f t="array" ref="G334">_xlfn.XLOOKUP(A334,'TB upload'!A:A,'TB upload'!G:G-'TB upload'!F:F,0,0)*-1</f>
        <v>0</v>
      </c>
      <c r="H334" s="489"/>
      <c r="I334" s="477" cm="1">
        <f t="array" ref="I334">_xlfn.XLOOKUP(A334,'TB upload'!A:A,'TB upload'!I:I-'TB upload'!H:H,0,0)*-1</f>
        <v>0</v>
      </c>
      <c r="J334" s="489"/>
      <c r="K334" s="490">
        <f t="shared" si="93"/>
        <v>15021</v>
      </c>
      <c r="L334" s="311">
        <v>15021</v>
      </c>
      <c r="M334" s="311"/>
      <c r="N334" s="311">
        <v>0</v>
      </c>
      <c r="O334" s="311"/>
      <c r="P334" s="311">
        <v>0</v>
      </c>
      <c r="Q334" s="311"/>
      <c r="R334" s="311">
        <v>0</v>
      </c>
      <c r="S334" s="311"/>
      <c r="T334" s="311">
        <v>15021</v>
      </c>
      <c r="U334" s="649">
        <v>15021</v>
      </c>
      <c r="V334" s="489"/>
      <c r="W334" s="489"/>
      <c r="X334" s="489"/>
      <c r="Y334" s="489"/>
      <c r="Z334" s="489"/>
      <c r="AA334" s="489"/>
      <c r="AB334" s="489"/>
      <c r="AC334" s="490">
        <v>15021</v>
      </c>
      <c r="AD334" s="477">
        <v>9623</v>
      </c>
      <c r="AE334" s="489"/>
      <c r="AF334" s="489">
        <v>0</v>
      </c>
      <c r="AG334" s="489"/>
      <c r="AH334" s="489">
        <v>0</v>
      </c>
      <c r="AI334" s="489"/>
      <c r="AJ334" s="489">
        <v>0</v>
      </c>
      <c r="AK334" s="489"/>
      <c r="AL334" s="490">
        <v>9623</v>
      </c>
      <c r="AM334" s="477">
        <v>9066.25</v>
      </c>
      <c r="AN334" s="489"/>
      <c r="AO334" s="489"/>
      <c r="AP334" s="489"/>
      <c r="AQ334" s="489"/>
      <c r="AR334" s="489"/>
      <c r="AS334" s="489"/>
      <c r="AT334" s="489"/>
      <c r="AU334" s="490">
        <v>9066.25</v>
      </c>
      <c r="AV334" s="491">
        <f t="shared" si="94"/>
        <v>556.75</v>
      </c>
      <c r="AW334" s="151">
        <v>9250</v>
      </c>
      <c r="AX334" s="200">
        <f t="shared" si="97"/>
        <v>-183.75</v>
      </c>
    </row>
    <row r="335" spans="1:50">
      <c r="A335" s="158" t="s">
        <v>213</v>
      </c>
      <c r="B335" s="488" t="s">
        <v>449</v>
      </c>
      <c r="C335" s="477" cm="1">
        <f t="array" ref="C335">_xlfn.XLOOKUP(A335,'TB upload'!A:A,'TB upload'!C:C-'TB upload'!B:B,0,0)*-1</f>
        <v>2.72</v>
      </c>
      <c r="D335" s="489"/>
      <c r="E335" s="942" cm="1">
        <f t="array" ref="E335">_xlfn.XLOOKUP(A335,'TB upload'!A:A,'TB upload'!E:E-'TB upload'!D:D,0,0)*-1</f>
        <v>0.53</v>
      </c>
      <c r="F335" s="489"/>
      <c r="G335" s="477" cm="1">
        <f t="array" ref="G335">_xlfn.XLOOKUP(A335,'TB upload'!A:A,'TB upload'!G:G-'TB upload'!F:F,0,0)*-1</f>
        <v>0</v>
      </c>
      <c r="H335" s="489"/>
      <c r="I335" s="477" cm="1">
        <f t="array" ref="I335">_xlfn.XLOOKUP(A335,'TB upload'!A:A,'TB upload'!I:I-'TB upload'!H:H,0,0)*-1</f>
        <v>-1.44</v>
      </c>
      <c r="J335" s="489"/>
      <c r="K335" s="490">
        <f t="shared" si="93"/>
        <v>1.81</v>
      </c>
      <c r="L335" s="311">
        <v>4.8099999999999996</v>
      </c>
      <c r="M335" s="311"/>
      <c r="N335" s="311">
        <v>0.53</v>
      </c>
      <c r="O335" s="311"/>
      <c r="P335" s="311">
        <v>0</v>
      </c>
      <c r="Q335" s="311"/>
      <c r="R335" s="311">
        <v>-1.44</v>
      </c>
      <c r="S335" s="311"/>
      <c r="T335" s="311">
        <v>3.9</v>
      </c>
      <c r="U335" s="649">
        <v>3.66</v>
      </c>
      <c r="V335" s="489"/>
      <c r="W335" s="489"/>
      <c r="X335" s="489"/>
      <c r="Y335" s="489"/>
      <c r="Z335" s="489"/>
      <c r="AA335" s="489"/>
      <c r="AB335" s="489"/>
      <c r="AC335" s="490">
        <v>3.66</v>
      </c>
      <c r="AD335" s="477">
        <v>-153.75</v>
      </c>
      <c r="AE335" s="489"/>
      <c r="AF335" s="489">
        <v>2.92</v>
      </c>
      <c r="AG335" s="489"/>
      <c r="AH335" s="489">
        <v>0</v>
      </c>
      <c r="AI335" s="489"/>
      <c r="AJ335" s="489">
        <v>-6.31</v>
      </c>
      <c r="AK335" s="489"/>
      <c r="AL335" s="490">
        <v>-157.14000000000001</v>
      </c>
      <c r="AM335" s="477">
        <v>-3827.46</v>
      </c>
      <c r="AN335" s="489"/>
      <c r="AO335" s="489"/>
      <c r="AP335" s="489"/>
      <c r="AQ335" s="489">
        <v>7</v>
      </c>
      <c r="AR335" s="489"/>
      <c r="AS335" s="489"/>
      <c r="AT335" s="489"/>
      <c r="AU335" s="490">
        <v>-3820.46</v>
      </c>
      <c r="AV335" s="491">
        <f t="shared" si="94"/>
        <v>3663.32</v>
      </c>
      <c r="AW335" s="151">
        <v>-26.240000000000002</v>
      </c>
      <c r="AX335" s="200">
        <f t="shared" si="97"/>
        <v>-3794.2200000000003</v>
      </c>
    </row>
    <row r="336" spans="1:50">
      <c r="A336" s="158" t="s">
        <v>1389</v>
      </c>
      <c r="B336" s="488" t="s">
        <v>449</v>
      </c>
      <c r="C336" s="477" cm="1">
        <f t="array" ref="C336">_xlfn.XLOOKUP(A336,'TB upload'!A:A,'TB upload'!C:C-'TB upload'!B:B,0,0)*-1</f>
        <v>-307.85000000000002</v>
      </c>
      <c r="D336" s="489"/>
      <c r="E336" s="942" cm="1">
        <f t="array" ref="E336">_xlfn.XLOOKUP(A336,'TB upload'!A:A,'TB upload'!E:E-'TB upload'!D:D,0,0)*-1</f>
        <v>-0.15</v>
      </c>
      <c r="F336" s="489"/>
      <c r="G336" s="477" cm="1">
        <f t="array" ref="G336">_xlfn.XLOOKUP(A336,'TB upload'!A:A,'TB upload'!G:G-'TB upload'!F:F,0,0)*-1</f>
        <v>0.96</v>
      </c>
      <c r="H336" s="489"/>
      <c r="I336" s="477" cm="1">
        <f t="array" ref="I336">_xlfn.XLOOKUP(A336,'TB upload'!A:A,'TB upload'!I:I-'TB upload'!H:H,0,0)*-1</f>
        <v>0</v>
      </c>
      <c r="J336" s="489"/>
      <c r="K336" s="490">
        <f t="shared" si="93"/>
        <v>-307.04000000000002</v>
      </c>
      <c r="L336" s="311">
        <v>-120.55</v>
      </c>
      <c r="M336" s="311"/>
      <c r="N336" s="311">
        <v>-0.15</v>
      </c>
      <c r="O336" s="311"/>
      <c r="P336" s="311">
        <v>0.46</v>
      </c>
      <c r="Q336" s="311"/>
      <c r="R336" s="311">
        <v>0</v>
      </c>
      <c r="S336" s="311"/>
      <c r="T336" s="311">
        <v>-120.24000000000001</v>
      </c>
      <c r="U336" s="649">
        <v>-132.43</v>
      </c>
      <c r="V336" s="489"/>
      <c r="W336" s="489"/>
      <c r="X336" s="489"/>
      <c r="Y336" s="489"/>
      <c r="Z336" s="489"/>
      <c r="AA336" s="489"/>
      <c r="AB336" s="489"/>
      <c r="AC336" s="490">
        <v>-132.43</v>
      </c>
      <c r="AD336" s="477">
        <v>-206.05</v>
      </c>
      <c r="AE336" s="489"/>
      <c r="AF336" s="489">
        <v>0.08</v>
      </c>
      <c r="AG336" s="489"/>
      <c r="AH336" s="489">
        <v>-1.9</v>
      </c>
      <c r="AI336" s="489"/>
      <c r="AJ336" s="489">
        <v>0</v>
      </c>
      <c r="AK336" s="489"/>
      <c r="AL336" s="490">
        <v>-207.87</v>
      </c>
      <c r="AM336" s="477">
        <v>0</v>
      </c>
      <c r="AN336" s="489"/>
      <c r="AO336" s="489"/>
      <c r="AP336" s="489"/>
      <c r="AQ336" s="489"/>
      <c r="AR336" s="489"/>
      <c r="AS336" s="489"/>
      <c r="AT336" s="489"/>
      <c r="AU336" s="490">
        <v>0</v>
      </c>
      <c r="AV336" s="491">
        <f t="shared" ref="AV336" si="100">AL336-AU336</f>
        <v>-207.87</v>
      </c>
      <c r="AW336" s="151">
        <v>-26.240000000000002</v>
      </c>
      <c r="AX336" s="200">
        <f t="shared" ref="AX336" si="101">AU336-AW336</f>
        <v>26.240000000000002</v>
      </c>
    </row>
    <row r="337" spans="1:50">
      <c r="A337" s="158" t="s">
        <v>1071</v>
      </c>
      <c r="B337" s="488" t="s">
        <v>449</v>
      </c>
      <c r="C337" s="477" cm="1">
        <f t="array" ref="C337">_xlfn.XLOOKUP(A337,'TB upload'!A:A,'TB upload'!C:C-'TB upload'!B:B,0,0)*-1</f>
        <v>0</v>
      </c>
      <c r="D337" s="489"/>
      <c r="E337" s="942" cm="1">
        <f t="array" ref="E337">_xlfn.XLOOKUP(A337,'TB upload'!A:A,'TB upload'!E:E-'TB upload'!D:D,0,0)*-1</f>
        <v>0</v>
      </c>
      <c r="F337" s="489"/>
      <c r="G337" s="477" cm="1">
        <f t="array" ref="G337">_xlfn.XLOOKUP(A337,'TB upload'!A:A,'TB upload'!G:G-'TB upload'!F:F,0,0)*-1</f>
        <v>0</v>
      </c>
      <c r="H337" s="489"/>
      <c r="I337" s="477" cm="1">
        <f t="array" ref="I337">_xlfn.XLOOKUP(A337,'TB upload'!A:A,'TB upload'!I:I-'TB upload'!H:H,0,0)*-1</f>
        <v>0</v>
      </c>
      <c r="J337" s="489"/>
      <c r="K337" s="490">
        <f t="shared" si="93"/>
        <v>0</v>
      </c>
      <c r="L337" s="311">
        <v>0</v>
      </c>
      <c r="M337" s="311"/>
      <c r="N337" s="311">
        <v>0</v>
      </c>
      <c r="O337" s="311"/>
      <c r="P337" s="311">
        <v>0</v>
      </c>
      <c r="Q337" s="311"/>
      <c r="R337" s="311">
        <v>0</v>
      </c>
      <c r="S337" s="311"/>
      <c r="T337" s="311">
        <v>0</v>
      </c>
      <c r="U337" s="477">
        <v>0</v>
      </c>
      <c r="V337" s="489"/>
      <c r="W337" s="489"/>
      <c r="X337" s="489"/>
      <c r="Y337" s="489">
        <v>27</v>
      </c>
      <c r="Z337" s="489"/>
      <c r="AA337" s="489"/>
      <c r="AB337" s="489"/>
      <c r="AC337" s="490">
        <v>27</v>
      </c>
      <c r="AD337" s="477">
        <v>0</v>
      </c>
      <c r="AE337" s="489"/>
      <c r="AF337" s="489">
        <v>0</v>
      </c>
      <c r="AG337" s="489"/>
      <c r="AH337" s="489">
        <v>0</v>
      </c>
      <c r="AI337" s="489"/>
      <c r="AJ337" s="489">
        <v>0</v>
      </c>
      <c r="AK337" s="489"/>
      <c r="AL337" s="490">
        <v>0</v>
      </c>
      <c r="AM337" s="477">
        <v>5002.92</v>
      </c>
      <c r="AN337" s="489"/>
      <c r="AO337" s="489"/>
      <c r="AP337" s="489"/>
      <c r="AQ337" s="489"/>
      <c r="AR337" s="489"/>
      <c r="AS337" s="489"/>
      <c r="AT337" s="489"/>
      <c r="AU337" s="490">
        <v>5002.92</v>
      </c>
      <c r="AV337" s="491">
        <f t="shared" si="94"/>
        <v>-5002.92</v>
      </c>
      <c r="AW337" s="151">
        <v>49.94</v>
      </c>
      <c r="AX337" s="200">
        <f t="shared" si="97"/>
        <v>4952.9800000000005</v>
      </c>
    </row>
    <row r="338" spans="1:50">
      <c r="A338" s="158" t="s">
        <v>1072</v>
      </c>
      <c r="B338" s="488" t="s">
        <v>449</v>
      </c>
      <c r="C338" s="477" cm="1">
        <f t="array" ref="C338">_xlfn.XLOOKUP(A338,'TB upload'!A:A,'TB upload'!C:C-'TB upload'!B:B,0,0)*-1</f>
        <v>0</v>
      </c>
      <c r="D338" s="489"/>
      <c r="E338" s="942" cm="1">
        <f t="array" ref="E338">_xlfn.XLOOKUP(A338,'TB upload'!A:A,'TB upload'!E:E-'TB upload'!D:D,0,0)*-1</f>
        <v>0</v>
      </c>
      <c r="F338" s="489"/>
      <c r="G338" s="477" cm="1">
        <f t="array" ref="G338">_xlfn.XLOOKUP(A338,'TB upload'!A:A,'TB upload'!G:G-'TB upload'!F:F,0,0)*-1</f>
        <v>0</v>
      </c>
      <c r="H338" s="489"/>
      <c r="I338" s="477" cm="1">
        <f t="array" ref="I338">_xlfn.XLOOKUP(A338,'TB upload'!A:A,'TB upload'!I:I-'TB upload'!H:H,0,0)*-1</f>
        <v>0</v>
      </c>
      <c r="J338" s="489"/>
      <c r="K338" s="490">
        <f t="shared" si="93"/>
        <v>0</v>
      </c>
      <c r="L338" s="311">
        <v>0</v>
      </c>
      <c r="M338" s="311"/>
      <c r="N338" s="311">
        <v>0</v>
      </c>
      <c r="O338" s="311"/>
      <c r="P338" s="311">
        <v>0</v>
      </c>
      <c r="Q338" s="311"/>
      <c r="R338" s="311">
        <v>0</v>
      </c>
      <c r="S338" s="311"/>
      <c r="T338" s="311">
        <v>0</v>
      </c>
      <c r="U338" s="477">
        <v>0</v>
      </c>
      <c r="V338" s="489"/>
      <c r="W338" s="489"/>
      <c r="X338" s="489"/>
      <c r="Y338" s="489"/>
      <c r="Z338" s="489"/>
      <c r="AA338" s="489"/>
      <c r="AB338" s="489"/>
      <c r="AC338" s="490">
        <v>0</v>
      </c>
      <c r="AD338" s="477">
        <v>24618.71</v>
      </c>
      <c r="AE338" s="489"/>
      <c r="AF338" s="489">
        <v>0</v>
      </c>
      <c r="AG338" s="489"/>
      <c r="AH338" s="489">
        <v>0</v>
      </c>
      <c r="AI338" s="489"/>
      <c r="AJ338" s="489">
        <v>0</v>
      </c>
      <c r="AK338" s="489"/>
      <c r="AL338" s="490">
        <v>24618.71</v>
      </c>
      <c r="AM338" s="477">
        <v>51193.72</v>
      </c>
      <c r="AN338" s="489"/>
      <c r="AO338" s="489"/>
      <c r="AP338" s="489"/>
      <c r="AQ338" s="489"/>
      <c r="AR338" s="489"/>
      <c r="AS338" s="489"/>
      <c r="AT338" s="489"/>
      <c r="AU338" s="490">
        <v>51193.72</v>
      </c>
      <c r="AV338" s="491">
        <f t="shared" si="94"/>
        <v>-26575.010000000002</v>
      </c>
      <c r="AW338" s="151">
        <v>2682.58</v>
      </c>
      <c r="AX338" s="200">
        <f t="shared" si="97"/>
        <v>48511.14</v>
      </c>
    </row>
    <row r="339" spans="1:50">
      <c r="A339" s="158" t="s">
        <v>1073</v>
      </c>
      <c r="B339" s="488" t="s">
        <v>449</v>
      </c>
      <c r="C339" s="477" cm="1">
        <f t="array" ref="C339">_xlfn.XLOOKUP(A339,'TB upload'!A:A,'TB upload'!C:C-'TB upload'!B:B,0,0)*-1</f>
        <v>0</v>
      </c>
      <c r="D339" s="489"/>
      <c r="E339" s="942" cm="1">
        <f t="array" ref="E339">_xlfn.XLOOKUP(A339,'TB upload'!A:A,'TB upload'!E:E-'TB upload'!D:D,0,0)*-1</f>
        <v>0</v>
      </c>
      <c r="F339" s="489"/>
      <c r="G339" s="477" cm="1">
        <f t="array" ref="G339">_xlfn.XLOOKUP(A339,'TB upload'!A:A,'TB upload'!G:G-'TB upload'!F:F,0,0)*-1</f>
        <v>0</v>
      </c>
      <c r="H339" s="489"/>
      <c r="I339" s="477" cm="1">
        <f t="array" ref="I339">_xlfn.XLOOKUP(A339,'TB upload'!A:A,'TB upload'!I:I-'TB upload'!H:H,0,0)*-1</f>
        <v>0</v>
      </c>
      <c r="J339" s="489"/>
      <c r="K339" s="490">
        <f t="shared" si="93"/>
        <v>0</v>
      </c>
      <c r="L339" s="311">
        <v>0</v>
      </c>
      <c r="M339" s="311"/>
      <c r="N339" s="311">
        <v>0</v>
      </c>
      <c r="O339" s="311"/>
      <c r="P339" s="311">
        <v>0</v>
      </c>
      <c r="Q339" s="311"/>
      <c r="R339" s="311">
        <v>0</v>
      </c>
      <c r="S339" s="311"/>
      <c r="T339" s="311">
        <v>0</v>
      </c>
      <c r="U339" s="477">
        <v>0</v>
      </c>
      <c r="V339" s="489"/>
      <c r="W339" s="489"/>
      <c r="X339" s="489"/>
      <c r="Y339" s="489"/>
      <c r="Z339" s="489"/>
      <c r="AA339" s="489"/>
      <c r="AB339" s="489"/>
      <c r="AC339" s="490">
        <v>0</v>
      </c>
      <c r="AD339" s="477">
        <v>0</v>
      </c>
      <c r="AE339" s="489"/>
      <c r="AF339" s="489">
        <v>0</v>
      </c>
      <c r="AG339" s="489"/>
      <c r="AH339" s="489">
        <v>0</v>
      </c>
      <c r="AI339" s="489"/>
      <c r="AJ339" s="489">
        <v>0</v>
      </c>
      <c r="AK339" s="489"/>
      <c r="AL339" s="490">
        <v>0</v>
      </c>
      <c r="AM339" s="477">
        <v>0</v>
      </c>
      <c r="AN339" s="489"/>
      <c r="AO339" s="489"/>
      <c r="AP339" s="489"/>
      <c r="AQ339" s="489"/>
      <c r="AR339" s="489"/>
      <c r="AS339" s="489"/>
      <c r="AT339" s="489"/>
      <c r="AU339" s="490">
        <v>0</v>
      </c>
      <c r="AV339" s="491">
        <f t="shared" si="94"/>
        <v>0</v>
      </c>
      <c r="AW339" s="151">
        <v>37000</v>
      </c>
      <c r="AX339" s="200">
        <f t="shared" si="97"/>
        <v>-37000</v>
      </c>
    </row>
    <row r="340" spans="1:50">
      <c r="A340" s="158" t="s">
        <v>1074</v>
      </c>
      <c r="B340" s="488" t="s">
        <v>449</v>
      </c>
      <c r="C340" s="477" cm="1">
        <f t="array" ref="C340">_xlfn.XLOOKUP(A340,'TB upload'!A:A,'TB upload'!C:C-'TB upload'!B:B,0,0)*-1</f>
        <v>0</v>
      </c>
      <c r="D340" s="489"/>
      <c r="E340" s="942" cm="1">
        <f t="array" ref="E340">_xlfn.XLOOKUP(A340,'TB upload'!A:A,'TB upload'!E:E-'TB upload'!D:D,0,0)*-1</f>
        <v>0</v>
      </c>
      <c r="F340" s="489"/>
      <c r="G340" s="477" cm="1">
        <f t="array" ref="G340">_xlfn.XLOOKUP(A340,'TB upload'!A:A,'TB upload'!G:G-'TB upload'!F:F,0,0)*-1</f>
        <v>0</v>
      </c>
      <c r="H340" s="489"/>
      <c r="I340" s="477" cm="1">
        <f t="array" ref="I340">_xlfn.XLOOKUP(A340,'TB upload'!A:A,'TB upload'!I:I-'TB upload'!H:H,0,0)*-1</f>
        <v>0</v>
      </c>
      <c r="J340" s="489"/>
      <c r="K340" s="490">
        <f t="shared" si="93"/>
        <v>0</v>
      </c>
      <c r="L340" s="311">
        <v>0</v>
      </c>
      <c r="M340" s="311"/>
      <c r="N340" s="311">
        <v>0</v>
      </c>
      <c r="O340" s="311"/>
      <c r="P340" s="311">
        <v>0</v>
      </c>
      <c r="Q340" s="311"/>
      <c r="R340" s="311">
        <v>0</v>
      </c>
      <c r="S340" s="311"/>
      <c r="T340" s="311">
        <v>0</v>
      </c>
      <c r="U340" s="477">
        <v>0</v>
      </c>
      <c r="V340" s="489"/>
      <c r="W340" s="489"/>
      <c r="X340" s="489"/>
      <c r="Y340" s="489"/>
      <c r="Z340" s="489"/>
      <c r="AA340" s="489"/>
      <c r="AB340" s="489"/>
      <c r="AC340" s="490">
        <v>0</v>
      </c>
      <c r="AD340" s="477">
        <v>0</v>
      </c>
      <c r="AE340" s="489"/>
      <c r="AF340" s="489">
        <v>0</v>
      </c>
      <c r="AG340" s="489"/>
      <c r="AH340" s="489">
        <v>0</v>
      </c>
      <c r="AI340" s="489"/>
      <c r="AJ340" s="489">
        <v>0</v>
      </c>
      <c r="AK340" s="489"/>
      <c r="AL340" s="490">
        <v>0</v>
      </c>
      <c r="AM340" s="477">
        <v>0</v>
      </c>
      <c r="AN340" s="489"/>
      <c r="AO340" s="489"/>
      <c r="AP340" s="489"/>
      <c r="AQ340" s="489"/>
      <c r="AR340" s="489"/>
      <c r="AS340" s="489"/>
      <c r="AT340" s="489"/>
      <c r="AU340" s="490">
        <v>0</v>
      </c>
      <c r="AV340" s="491">
        <f t="shared" si="94"/>
        <v>0</v>
      </c>
      <c r="AW340" s="151">
        <v>2388</v>
      </c>
      <c r="AX340" s="200">
        <f t="shared" si="97"/>
        <v>-2388</v>
      </c>
    </row>
    <row r="341" spans="1:50">
      <c r="A341" s="158" t="s">
        <v>1159</v>
      </c>
      <c r="B341" s="488" t="s">
        <v>449</v>
      </c>
      <c r="C341" s="477" cm="1">
        <f t="array" ref="C341">_xlfn.XLOOKUP(A341,'TB upload'!A:A,'TB upload'!C:C-'TB upload'!B:B,0,0)*-1</f>
        <v>16433</v>
      </c>
      <c r="D341" s="489"/>
      <c r="E341" s="942" cm="1">
        <f t="array" ref="E341">_xlfn.XLOOKUP(A341,'TB upload'!A:A,'TB upload'!E:E-'TB upload'!D:D,0,0)*-1</f>
        <v>0</v>
      </c>
      <c r="F341" s="489"/>
      <c r="G341" s="477" cm="1">
        <f t="array" ref="G341">_xlfn.XLOOKUP(A341,'TB upload'!A:A,'TB upload'!G:G-'TB upload'!F:F,0,0)*-1</f>
        <v>0</v>
      </c>
      <c r="H341" s="489"/>
      <c r="I341" s="477" cm="1">
        <f t="array" ref="I341">_xlfn.XLOOKUP(A341,'TB upload'!A:A,'TB upload'!I:I-'TB upload'!H:H,0,0)*-1</f>
        <v>0</v>
      </c>
      <c r="J341" s="489"/>
      <c r="K341" s="490">
        <f t="shared" si="93"/>
        <v>16433</v>
      </c>
      <c r="L341" s="311">
        <v>16433</v>
      </c>
      <c r="M341" s="311"/>
      <c r="N341" s="311">
        <v>0</v>
      </c>
      <c r="O341" s="311"/>
      <c r="P341" s="311">
        <v>0</v>
      </c>
      <c r="Q341" s="311"/>
      <c r="R341" s="311">
        <v>0</v>
      </c>
      <c r="S341" s="311"/>
      <c r="T341" s="311">
        <v>16433</v>
      </c>
      <c r="U341" s="477">
        <v>0</v>
      </c>
      <c r="V341" s="489"/>
      <c r="W341" s="489"/>
      <c r="X341" s="489"/>
      <c r="Y341" s="489"/>
      <c r="Z341" s="489"/>
      <c r="AA341" s="489"/>
      <c r="AB341" s="489"/>
      <c r="AC341" s="490">
        <v>0</v>
      </c>
      <c r="AD341" s="477">
        <v>100000</v>
      </c>
      <c r="AE341" s="489"/>
      <c r="AF341" s="489">
        <v>0</v>
      </c>
      <c r="AG341" s="489"/>
      <c r="AH341" s="489">
        <v>0</v>
      </c>
      <c r="AI341" s="489"/>
      <c r="AJ341" s="489">
        <v>0</v>
      </c>
      <c r="AK341" s="489"/>
      <c r="AL341" s="490">
        <v>100000</v>
      </c>
      <c r="AM341" s="477">
        <v>60000</v>
      </c>
      <c r="AN341" s="489"/>
      <c r="AO341" s="489"/>
      <c r="AP341" s="489"/>
      <c r="AQ341" s="489"/>
      <c r="AR341" s="489"/>
      <c r="AS341" s="489"/>
      <c r="AT341" s="489"/>
      <c r="AU341" s="490">
        <v>60000</v>
      </c>
      <c r="AV341" s="491">
        <f t="shared" si="94"/>
        <v>40000</v>
      </c>
      <c r="AW341" s="151">
        <v>50452</v>
      </c>
      <c r="AX341" s="200">
        <f>AU341-AW341</f>
        <v>9548</v>
      </c>
    </row>
    <row r="342" spans="1:50">
      <c r="A342" s="158" t="s">
        <v>216</v>
      </c>
      <c r="B342" s="488" t="s">
        <v>449</v>
      </c>
      <c r="C342" s="477" cm="1">
        <f t="array" ref="C342">_xlfn.XLOOKUP(A342,'TB upload'!A:A,'TB upload'!C:C-'TB upload'!B:B,0,0)*-1</f>
        <v>6930.5</v>
      </c>
      <c r="D342" s="489"/>
      <c r="E342" s="942" cm="1">
        <f t="array" ref="E342">_xlfn.XLOOKUP(A342,'TB upload'!A:A,'TB upload'!E:E-'TB upload'!D:D,0,0)*-1</f>
        <v>1800</v>
      </c>
      <c r="F342" s="489"/>
      <c r="G342" s="477" cm="1">
        <f t="array" ref="G342">_xlfn.XLOOKUP(A342,'TB upload'!A:A,'TB upload'!G:G-'TB upload'!F:F,0,0)*-1</f>
        <v>27.54</v>
      </c>
      <c r="H342" s="489">
        <v>1815</v>
      </c>
      <c r="I342" s="477" cm="1">
        <f t="array" ref="I342">_xlfn.XLOOKUP(A342,'TB upload'!A:A,'TB upload'!I:I-'TB upload'!H:H,0,0)*-1</f>
        <v>6000</v>
      </c>
      <c r="J342" s="489">
        <v>13964.36</v>
      </c>
      <c r="K342" s="490">
        <f t="shared" si="93"/>
        <v>30537.4</v>
      </c>
      <c r="L342" s="311">
        <v>6924.6</v>
      </c>
      <c r="M342" s="311"/>
      <c r="N342" s="311">
        <v>1800</v>
      </c>
      <c r="O342" s="311"/>
      <c r="P342" s="311">
        <v>27.54</v>
      </c>
      <c r="Q342" s="311"/>
      <c r="R342" s="311">
        <v>6000</v>
      </c>
      <c r="S342" s="311"/>
      <c r="T342" s="311">
        <v>14752.140000000001</v>
      </c>
      <c r="U342" s="649">
        <v>6924.6</v>
      </c>
      <c r="V342" s="489"/>
      <c r="W342" s="489">
        <v>1800</v>
      </c>
      <c r="X342" s="489"/>
      <c r="Y342" s="489"/>
      <c r="Z342" s="489"/>
      <c r="AA342" s="489">
        <v>6000</v>
      </c>
      <c r="AB342" s="489"/>
      <c r="AC342" s="490">
        <v>14724.6</v>
      </c>
      <c r="AD342" s="477">
        <v>2100</v>
      </c>
      <c r="AE342" s="489"/>
      <c r="AF342" s="489">
        <v>0</v>
      </c>
      <c r="AG342" s="489"/>
      <c r="AH342" s="489">
        <v>0</v>
      </c>
      <c r="AI342" s="489"/>
      <c r="AJ342" s="489">
        <v>0</v>
      </c>
      <c r="AK342" s="489"/>
      <c r="AL342" s="490">
        <v>2100</v>
      </c>
      <c r="AM342" s="477">
        <v>24928</v>
      </c>
      <c r="AN342" s="489"/>
      <c r="AO342" s="489"/>
      <c r="AP342" s="489"/>
      <c r="AQ342" s="489">
        <v>44124</v>
      </c>
      <c r="AR342" s="489"/>
      <c r="AS342" s="489"/>
      <c r="AT342" s="489"/>
      <c r="AU342" s="490">
        <v>69052</v>
      </c>
      <c r="AV342" s="491">
        <f t="shared" si="94"/>
        <v>-66952</v>
      </c>
      <c r="AW342" s="151">
        <v>50452</v>
      </c>
      <c r="AX342" s="200">
        <f>AU342-AW342</f>
        <v>18600</v>
      </c>
    </row>
    <row r="343" spans="1:50">
      <c r="A343" s="158" t="s">
        <v>1181</v>
      </c>
      <c r="B343" s="488" t="s">
        <v>449</v>
      </c>
      <c r="C343" s="477" cm="1">
        <f t="array" ref="C343">_xlfn.XLOOKUP(A343,'TB upload'!A:A,'TB upload'!C:C-'TB upload'!B:B,0,0)*-1</f>
        <v>0</v>
      </c>
      <c r="D343" s="489"/>
      <c r="E343" s="942" cm="1">
        <f t="array" ref="E343">_xlfn.XLOOKUP(A343,'TB upload'!A:A,'TB upload'!E:E-'TB upload'!D:D,0,0)*-1</f>
        <v>0</v>
      </c>
      <c r="F343" s="489"/>
      <c r="G343" s="477" cm="1">
        <f t="array" ref="G343">_xlfn.XLOOKUP(A343,'TB upload'!A:A,'TB upload'!G:G-'TB upload'!F:F,0,0)*-1</f>
        <v>0</v>
      </c>
      <c r="H343" s="489"/>
      <c r="I343" s="477" cm="1">
        <f t="array" ref="I343">_xlfn.XLOOKUP(A343,'TB upload'!A:A,'TB upload'!I:I-'TB upload'!H:H,0,0)*-1</f>
        <v>0</v>
      </c>
      <c r="J343" s="489"/>
      <c r="K343" s="490">
        <f t="shared" si="93"/>
        <v>0</v>
      </c>
      <c r="L343" s="311">
        <v>0</v>
      </c>
      <c r="M343" s="311"/>
      <c r="N343" s="311">
        <v>0</v>
      </c>
      <c r="O343" s="311"/>
      <c r="P343" s="311">
        <v>0</v>
      </c>
      <c r="Q343" s="311"/>
      <c r="R343" s="311">
        <v>0</v>
      </c>
      <c r="S343" s="311"/>
      <c r="T343" s="311">
        <v>0</v>
      </c>
      <c r="U343" s="477">
        <v>0</v>
      </c>
      <c r="V343" s="489"/>
      <c r="W343" s="489"/>
      <c r="X343" s="489"/>
      <c r="Y343" s="489"/>
      <c r="Z343" s="489"/>
      <c r="AA343" s="489"/>
      <c r="AB343" s="489"/>
      <c r="AC343" s="490">
        <v>0</v>
      </c>
      <c r="AD343" s="477">
        <v>0</v>
      </c>
      <c r="AE343" s="489"/>
      <c r="AF343" s="489">
        <v>0</v>
      </c>
      <c r="AG343" s="489"/>
      <c r="AH343" s="489">
        <v>0</v>
      </c>
      <c r="AI343" s="489"/>
      <c r="AJ343" s="489">
        <v>0</v>
      </c>
      <c r="AK343" s="489"/>
      <c r="AL343" s="490">
        <v>0</v>
      </c>
      <c r="AM343" s="477">
        <v>1200</v>
      </c>
      <c r="AN343" s="489"/>
      <c r="AO343" s="489"/>
      <c r="AP343" s="489"/>
      <c r="AQ343" s="489"/>
      <c r="AR343" s="489"/>
      <c r="AS343" s="489"/>
      <c r="AT343" s="489"/>
      <c r="AU343" s="490">
        <v>1200</v>
      </c>
      <c r="AV343" s="491">
        <f t="shared" si="94"/>
        <v>-1200</v>
      </c>
      <c r="AW343" s="151">
        <v>50452</v>
      </c>
      <c r="AX343" s="200">
        <f>AU343-AW343</f>
        <v>-49252</v>
      </c>
    </row>
    <row r="344" spans="1:50">
      <c r="A344" s="158" t="s">
        <v>1195</v>
      </c>
      <c r="B344" s="488" t="s">
        <v>449</v>
      </c>
      <c r="C344" s="477" cm="1">
        <f t="array" ref="C344">_xlfn.XLOOKUP(A344,'TB upload'!A:A,'TB upload'!C:C-'TB upload'!B:B,0,0)*-1</f>
        <v>0</v>
      </c>
      <c r="D344" s="489"/>
      <c r="E344" s="942" cm="1">
        <f t="array" ref="E344">_xlfn.XLOOKUP(A344,'TB upload'!A:A,'TB upload'!E:E-'TB upload'!D:D,0,0)*-1</f>
        <v>0</v>
      </c>
      <c r="F344" s="489"/>
      <c r="G344" s="477" cm="1">
        <f t="array" ref="G344">_xlfn.XLOOKUP(A344,'TB upload'!A:A,'TB upload'!G:G-'TB upload'!F:F,0,0)*-1</f>
        <v>0</v>
      </c>
      <c r="H344" s="489"/>
      <c r="I344" s="477" cm="1">
        <f t="array" ref="I344">_xlfn.XLOOKUP(A344,'TB upload'!A:A,'TB upload'!I:I-'TB upload'!H:H,0,0)*-1</f>
        <v>0</v>
      </c>
      <c r="J344" s="489"/>
      <c r="K344" s="490">
        <f t="shared" si="93"/>
        <v>0</v>
      </c>
      <c r="L344" s="311">
        <v>0</v>
      </c>
      <c r="M344" s="311"/>
      <c r="N344" s="311">
        <v>0</v>
      </c>
      <c r="O344" s="311"/>
      <c r="P344" s="311">
        <v>0</v>
      </c>
      <c r="Q344" s="311"/>
      <c r="R344" s="311">
        <v>0</v>
      </c>
      <c r="S344" s="311"/>
      <c r="T344" s="311">
        <v>0</v>
      </c>
      <c r="U344" s="477">
        <v>0</v>
      </c>
      <c r="V344" s="489"/>
      <c r="W344" s="489"/>
      <c r="X344" s="489"/>
      <c r="Y344" s="489"/>
      <c r="Z344" s="489"/>
      <c r="AA344" s="489"/>
      <c r="AB344" s="489"/>
      <c r="AC344" s="490">
        <v>0</v>
      </c>
      <c r="AD344" s="477">
        <v>0</v>
      </c>
      <c r="AE344" s="489"/>
      <c r="AF344" s="489">
        <v>0</v>
      </c>
      <c r="AG344" s="489"/>
      <c r="AH344" s="489">
        <v>0</v>
      </c>
      <c r="AI344" s="489"/>
      <c r="AJ344" s="489">
        <v>0</v>
      </c>
      <c r="AK344" s="489"/>
      <c r="AL344" s="490">
        <v>0</v>
      </c>
      <c r="AM344" s="477">
        <v>0</v>
      </c>
      <c r="AN344" s="489"/>
      <c r="AO344" s="489"/>
      <c r="AP344" s="489"/>
      <c r="AQ344" s="489">
        <v>500</v>
      </c>
      <c r="AR344" s="489"/>
      <c r="AS344" s="489"/>
      <c r="AT344" s="489"/>
      <c r="AU344" s="490">
        <v>500</v>
      </c>
      <c r="AV344" s="491">
        <f t="shared" si="94"/>
        <v>-500</v>
      </c>
      <c r="AW344" s="151">
        <v>50452</v>
      </c>
      <c r="AX344" s="200">
        <f>AU344-AW344</f>
        <v>-49952</v>
      </c>
    </row>
    <row r="345" spans="1:50">
      <c r="A345" s="158" t="s">
        <v>1393</v>
      </c>
      <c r="B345" s="488" t="s">
        <v>449</v>
      </c>
      <c r="C345" s="477" cm="1">
        <f t="array" ref="C345">_xlfn.XLOOKUP(A345,'TB upload'!A:A,'TB upload'!C:C-'TB upload'!B:B,0,0)*-1</f>
        <v>0</v>
      </c>
      <c r="D345" s="489"/>
      <c r="E345" s="942" cm="1">
        <f t="array" ref="E345">_xlfn.XLOOKUP(A345,'TB upload'!A:A,'TB upload'!E:E-'TB upload'!D:D,0,0)*-1</f>
        <v>0</v>
      </c>
      <c r="F345" s="489"/>
      <c r="G345" s="477" cm="1">
        <f t="array" ref="G345">_xlfn.XLOOKUP(A345,'TB upload'!A:A,'TB upload'!G:G-'TB upload'!F:F,0,0)*-1</f>
        <v>0</v>
      </c>
      <c r="H345" s="489"/>
      <c r="I345" s="477" cm="1">
        <f t="array" ref="I345">_xlfn.XLOOKUP(A345,'TB upload'!A:A,'TB upload'!I:I-'TB upload'!H:H,0,0)*-1</f>
        <v>0</v>
      </c>
      <c r="J345" s="489"/>
      <c r="K345" s="490">
        <f t="shared" si="93"/>
        <v>0</v>
      </c>
      <c r="L345" s="311">
        <v>0</v>
      </c>
      <c r="M345" s="311"/>
      <c r="N345" s="311">
        <v>0</v>
      </c>
      <c r="O345" s="311"/>
      <c r="P345" s="311">
        <v>0</v>
      </c>
      <c r="Q345" s="311"/>
      <c r="R345" s="311">
        <v>0</v>
      </c>
      <c r="S345" s="311"/>
      <c r="T345" s="311">
        <v>0</v>
      </c>
      <c r="U345" s="477">
        <v>0</v>
      </c>
      <c r="V345" s="489"/>
      <c r="W345" s="489"/>
      <c r="X345" s="489"/>
      <c r="Y345" s="489"/>
      <c r="Z345" s="489"/>
      <c r="AA345" s="489"/>
      <c r="AB345" s="489"/>
      <c r="AC345" s="490">
        <v>0</v>
      </c>
      <c r="AD345" s="477">
        <v>58600</v>
      </c>
      <c r="AE345" s="489"/>
      <c r="AF345" s="489">
        <v>0</v>
      </c>
      <c r="AG345" s="489"/>
      <c r="AH345" s="489">
        <v>0</v>
      </c>
      <c r="AI345" s="489"/>
      <c r="AJ345" s="489">
        <v>0</v>
      </c>
      <c r="AK345" s="489"/>
      <c r="AL345" s="490">
        <v>58600</v>
      </c>
      <c r="AM345" s="477">
        <v>0</v>
      </c>
      <c r="AN345" s="489"/>
      <c r="AO345" s="489"/>
      <c r="AP345" s="489"/>
      <c r="AQ345" s="489"/>
      <c r="AR345" s="489"/>
      <c r="AS345" s="489"/>
      <c r="AT345" s="489"/>
      <c r="AU345" s="490">
        <v>0</v>
      </c>
      <c r="AV345" s="491"/>
      <c r="AX345" s="200"/>
    </row>
    <row r="346" spans="1:50">
      <c r="A346" s="158" t="s">
        <v>1388</v>
      </c>
      <c r="B346" s="488" t="s">
        <v>449</v>
      </c>
      <c r="C346" s="477" cm="1">
        <f t="array" ref="C346">_xlfn.XLOOKUP(A346,'TB upload'!A:A,'TB upload'!C:C-'TB upload'!B:B,0,0)*-1</f>
        <v>0</v>
      </c>
      <c r="D346" s="489"/>
      <c r="E346" s="942" cm="1">
        <f t="array" ref="E346">_xlfn.XLOOKUP(A346,'TB upload'!A:A,'TB upload'!E:E-'TB upload'!D:D,0,0)*-1</f>
        <v>0</v>
      </c>
      <c r="F346" s="489"/>
      <c r="G346" s="477" cm="1">
        <f t="array" ref="G346">_xlfn.XLOOKUP(A346,'TB upload'!A:A,'TB upload'!G:G-'TB upload'!F:F,0,0)*-1</f>
        <v>0</v>
      </c>
      <c r="H346" s="489"/>
      <c r="I346" s="477" cm="1">
        <f t="array" ref="I346">_xlfn.XLOOKUP(A346,'TB upload'!A:A,'TB upload'!I:I-'TB upload'!H:H,0,0)*-1</f>
        <v>0</v>
      </c>
      <c r="J346" s="489"/>
      <c r="K346" s="490">
        <f t="shared" ref="K346:K347" si="102">SUM(C346:J346)</f>
        <v>0</v>
      </c>
      <c r="L346" s="311">
        <v>0</v>
      </c>
      <c r="M346" s="311"/>
      <c r="N346" s="311">
        <v>0</v>
      </c>
      <c r="O346" s="311"/>
      <c r="P346" s="311">
        <v>0</v>
      </c>
      <c r="Q346" s="311"/>
      <c r="R346" s="311">
        <v>0</v>
      </c>
      <c r="S346" s="311"/>
      <c r="T346" s="311">
        <v>0</v>
      </c>
      <c r="U346" s="477">
        <v>0</v>
      </c>
      <c r="V346" s="489"/>
      <c r="W346" s="489"/>
      <c r="X346" s="489"/>
      <c r="Y346" s="489"/>
      <c r="Z346" s="489"/>
      <c r="AA346" s="489"/>
      <c r="AB346" s="489"/>
      <c r="AC346" s="490">
        <v>0</v>
      </c>
      <c r="AD346" s="477">
        <v>175000</v>
      </c>
      <c r="AE346" s="489"/>
      <c r="AF346" s="489">
        <v>0</v>
      </c>
      <c r="AG346" s="489"/>
      <c r="AH346" s="489">
        <v>0</v>
      </c>
      <c r="AI346" s="489"/>
      <c r="AJ346" s="489">
        <v>0</v>
      </c>
      <c r="AK346" s="489"/>
      <c r="AL346" s="490">
        <v>175000</v>
      </c>
      <c r="AM346" s="477">
        <v>0</v>
      </c>
      <c r="AN346" s="489"/>
      <c r="AO346" s="489"/>
      <c r="AP346" s="489"/>
      <c r="AQ346" s="489"/>
      <c r="AR346" s="489"/>
      <c r="AS346" s="489"/>
      <c r="AT346" s="489"/>
      <c r="AU346" s="490">
        <v>0</v>
      </c>
      <c r="AV346" s="491">
        <f>AL346-AU346</f>
        <v>175000</v>
      </c>
      <c r="AW346" s="151">
        <v>50452</v>
      </c>
      <c r="AX346" s="200">
        <f t="shared" ref="AX346:AX347" si="103">AU346-AW346</f>
        <v>-50452</v>
      </c>
    </row>
    <row r="347" spans="1:50">
      <c r="A347" s="158" t="s">
        <v>1517</v>
      </c>
      <c r="B347" s="488" t="s">
        <v>449</v>
      </c>
      <c r="C347" s="477" cm="1">
        <f t="array" ref="C347">_xlfn.XLOOKUP(A347,'TB upload'!A:A,'TB upload'!C:C-'TB upload'!B:B,0,0)*-1</f>
        <v>253934.67</v>
      </c>
      <c r="D347" s="489"/>
      <c r="E347" s="942" cm="1">
        <f t="array" ref="E347">_xlfn.XLOOKUP(A347,'TB upload'!A:A,'TB upload'!E:E-'TB upload'!D:D,0,0)*-1</f>
        <v>0</v>
      </c>
      <c r="F347" s="489"/>
      <c r="G347" s="477" cm="1">
        <f t="array" ref="G347">_xlfn.XLOOKUP(A347,'TB upload'!A:A,'TB upload'!G:G-'TB upload'!F:F,0,0)*-1</f>
        <v>0</v>
      </c>
      <c r="H347" s="489"/>
      <c r="I347" s="477" cm="1">
        <f t="array" ref="I347">_xlfn.XLOOKUP(A347,'TB upload'!A:A,'TB upload'!I:I-'TB upload'!H:H,0,0)*-1</f>
        <v>0</v>
      </c>
      <c r="J347" s="489"/>
      <c r="K347" s="490">
        <f t="shared" si="102"/>
        <v>253934.67</v>
      </c>
      <c r="L347" s="311">
        <v>253934.67</v>
      </c>
      <c r="M347" s="311"/>
      <c r="N347" s="311">
        <v>0</v>
      </c>
      <c r="O347" s="311"/>
      <c r="P347" s="311">
        <v>0</v>
      </c>
      <c r="Q347" s="311"/>
      <c r="R347" s="311">
        <v>0</v>
      </c>
      <c r="S347" s="311"/>
      <c r="T347" s="311">
        <v>253934.67</v>
      </c>
      <c r="U347" s="477">
        <v>4846.2299999999996</v>
      </c>
      <c r="V347" s="489"/>
      <c r="W347" s="489"/>
      <c r="X347" s="489"/>
      <c r="Y347" s="489"/>
      <c r="Z347" s="489"/>
      <c r="AA347" s="489"/>
      <c r="AB347" s="489"/>
      <c r="AC347" s="490">
        <v>4846.2299999999996</v>
      </c>
      <c r="AD347" s="477">
        <v>0</v>
      </c>
      <c r="AE347" s="489"/>
      <c r="AF347" s="489">
        <v>0</v>
      </c>
      <c r="AG347" s="489"/>
      <c r="AH347" s="489">
        <v>0</v>
      </c>
      <c r="AI347" s="489"/>
      <c r="AJ347" s="489">
        <v>0</v>
      </c>
      <c r="AK347" s="489"/>
      <c r="AL347" s="490">
        <v>0</v>
      </c>
      <c r="AM347" s="477">
        <v>0</v>
      </c>
      <c r="AN347" s="489"/>
      <c r="AO347" s="489"/>
      <c r="AP347" s="489"/>
      <c r="AQ347" s="489"/>
      <c r="AR347" s="489"/>
      <c r="AS347" s="489"/>
      <c r="AT347" s="489"/>
      <c r="AU347" s="490">
        <v>0</v>
      </c>
      <c r="AV347" s="491">
        <f>AL347-AU347</f>
        <v>0</v>
      </c>
      <c r="AW347" s="151">
        <v>50452</v>
      </c>
      <c r="AX347" s="200">
        <f t="shared" si="103"/>
        <v>-50452</v>
      </c>
    </row>
    <row r="348" spans="1:50">
      <c r="A348" s="158" t="s">
        <v>1544</v>
      </c>
      <c r="B348" s="488" t="s">
        <v>449</v>
      </c>
      <c r="C348" s="477" cm="1">
        <f t="array" ref="C348">_xlfn.XLOOKUP(A348,'TB upload'!A:A,'TB upload'!C:C-'TB upload'!B:B,0,0)*-1</f>
        <v>109480.47</v>
      </c>
      <c r="D348" s="489"/>
      <c r="E348" s="942" cm="1">
        <f t="array" ref="E348">_xlfn.XLOOKUP(A348,'TB upload'!A:A,'TB upload'!E:E-'TB upload'!D:D,0,0)*-1</f>
        <v>0</v>
      </c>
      <c r="F348" s="489"/>
      <c r="G348" s="477" cm="1">
        <f t="array" ref="G348">_xlfn.XLOOKUP(A348,'TB upload'!A:A,'TB upload'!G:G-'TB upload'!F:F,0,0)*-1</f>
        <v>0</v>
      </c>
      <c r="H348" s="489"/>
      <c r="I348" s="477" cm="1">
        <f t="array" ref="I348">_xlfn.XLOOKUP(A348,'TB upload'!A:A,'TB upload'!I:I-'TB upload'!H:H,0,0)*-1</f>
        <v>0</v>
      </c>
      <c r="J348" s="489"/>
      <c r="K348" s="490">
        <f t="shared" si="93"/>
        <v>109480.47</v>
      </c>
      <c r="L348" s="311">
        <v>109480.47</v>
      </c>
      <c r="M348" s="311"/>
      <c r="N348" s="311">
        <v>0</v>
      </c>
      <c r="O348" s="311"/>
      <c r="P348" s="311">
        <v>0</v>
      </c>
      <c r="Q348" s="311"/>
      <c r="R348" s="311">
        <v>0</v>
      </c>
      <c r="S348" s="311"/>
      <c r="T348" s="311">
        <v>109480.47</v>
      </c>
      <c r="U348" s="477">
        <v>0</v>
      </c>
      <c r="V348" s="489"/>
      <c r="W348" s="489"/>
      <c r="X348" s="489"/>
      <c r="Y348" s="489"/>
      <c r="Z348" s="489"/>
      <c r="AA348" s="489"/>
      <c r="AB348" s="489"/>
      <c r="AC348" s="490">
        <v>0</v>
      </c>
      <c r="AD348" s="477">
        <v>0</v>
      </c>
      <c r="AE348" s="489"/>
      <c r="AF348" s="489">
        <v>0</v>
      </c>
      <c r="AG348" s="489"/>
      <c r="AH348" s="489">
        <v>0</v>
      </c>
      <c r="AI348" s="489"/>
      <c r="AJ348" s="489">
        <v>0</v>
      </c>
      <c r="AK348" s="489"/>
      <c r="AL348" s="490">
        <v>0</v>
      </c>
      <c r="AM348" s="477">
        <v>0</v>
      </c>
      <c r="AN348" s="489"/>
      <c r="AO348" s="489"/>
      <c r="AP348" s="489"/>
      <c r="AQ348" s="489"/>
      <c r="AR348" s="489"/>
      <c r="AS348" s="489"/>
      <c r="AT348" s="489"/>
      <c r="AU348" s="490">
        <v>0</v>
      </c>
      <c r="AV348" s="491">
        <f>AL348-AU348</f>
        <v>0</v>
      </c>
      <c r="AW348" s="151">
        <v>50452</v>
      </c>
      <c r="AX348" s="200">
        <f t="shared" ref="AX348" si="104">AU348-AW348</f>
        <v>-50452</v>
      </c>
    </row>
    <row r="349" spans="1:50">
      <c r="A349" s="158" t="s">
        <v>1589</v>
      </c>
      <c r="B349" s="488" t="s">
        <v>449</v>
      </c>
      <c r="C349" s="477" cm="1">
        <f t="array" ref="C349">_xlfn.XLOOKUP(A349,'TB upload'!A:A,'TB upload'!C:C-'TB upload'!B:B,0,0)*-1</f>
        <v>7682</v>
      </c>
      <c r="D349" s="489"/>
      <c r="E349" s="942"/>
      <c r="F349" s="489"/>
      <c r="G349" s="1029"/>
      <c r="H349" s="489"/>
      <c r="I349" s="1029"/>
      <c r="J349" s="489"/>
      <c r="K349" s="490">
        <f t="shared" si="93"/>
        <v>7682</v>
      </c>
      <c r="L349" s="311"/>
      <c r="M349" s="311"/>
      <c r="N349" s="311"/>
      <c r="O349" s="311"/>
      <c r="P349" s="311"/>
      <c r="Q349" s="311"/>
      <c r="R349" s="311"/>
      <c r="S349" s="311"/>
      <c r="T349" s="311"/>
      <c r="U349" s="477"/>
      <c r="V349" s="489"/>
      <c r="W349" s="489"/>
      <c r="X349" s="489"/>
      <c r="Y349" s="489"/>
      <c r="Z349" s="489"/>
      <c r="AA349" s="489"/>
      <c r="AB349" s="489"/>
      <c r="AC349" s="490"/>
      <c r="AD349" s="477"/>
      <c r="AE349" s="489"/>
      <c r="AF349" s="489"/>
      <c r="AG349" s="489"/>
      <c r="AH349" s="489"/>
      <c r="AI349" s="489"/>
      <c r="AJ349" s="489"/>
      <c r="AK349" s="489"/>
      <c r="AL349" s="490"/>
      <c r="AM349" s="477"/>
      <c r="AN349" s="489"/>
      <c r="AO349" s="489"/>
      <c r="AP349" s="489"/>
      <c r="AQ349" s="489"/>
      <c r="AR349" s="489"/>
      <c r="AS349" s="489"/>
      <c r="AT349" s="489"/>
      <c r="AU349" s="490"/>
      <c r="AV349" s="491"/>
      <c r="AX349" s="200"/>
    </row>
    <row r="350" spans="1:50">
      <c r="A350" s="158" t="s">
        <v>1590</v>
      </c>
      <c r="B350" s="488" t="s">
        <v>449</v>
      </c>
      <c r="C350" s="477" cm="1">
        <f t="array" ref="C350">_xlfn.XLOOKUP(A350,'TB upload'!A:A,'TB upload'!C:C-'TB upload'!B:B,0,0)*-1</f>
        <v>198158</v>
      </c>
      <c r="D350" s="489"/>
      <c r="E350" s="942"/>
      <c r="F350" s="489"/>
      <c r="G350" s="1029"/>
      <c r="H350" s="489"/>
      <c r="I350" s="1029"/>
      <c r="J350" s="489"/>
      <c r="K350" s="490">
        <f t="shared" si="93"/>
        <v>198158</v>
      </c>
      <c r="L350" s="311"/>
      <c r="M350" s="311"/>
      <c r="N350" s="311"/>
      <c r="O350" s="311"/>
      <c r="P350" s="311"/>
      <c r="Q350" s="311"/>
      <c r="R350" s="311"/>
      <c r="S350" s="311"/>
      <c r="T350" s="311"/>
      <c r="U350" s="477"/>
      <c r="V350" s="489"/>
      <c r="W350" s="489"/>
      <c r="X350" s="489"/>
      <c r="Y350" s="489"/>
      <c r="Z350" s="489"/>
      <c r="AA350" s="489"/>
      <c r="AB350" s="489"/>
      <c r="AC350" s="490"/>
      <c r="AD350" s="477"/>
      <c r="AE350" s="489"/>
      <c r="AF350" s="489"/>
      <c r="AG350" s="489"/>
      <c r="AH350" s="489"/>
      <c r="AI350" s="489"/>
      <c r="AJ350" s="489"/>
      <c r="AK350" s="489"/>
      <c r="AL350" s="490"/>
      <c r="AM350" s="477"/>
      <c r="AN350" s="489"/>
      <c r="AO350" s="489"/>
      <c r="AP350" s="489"/>
      <c r="AQ350" s="489"/>
      <c r="AR350" s="489"/>
      <c r="AS350" s="489"/>
      <c r="AT350" s="489"/>
      <c r="AU350" s="490"/>
      <c r="AV350" s="491"/>
      <c r="AX350" s="200"/>
    </row>
    <row r="351" spans="1:50">
      <c r="A351" s="158" t="s">
        <v>1625</v>
      </c>
      <c r="B351" s="488" t="s">
        <v>449</v>
      </c>
      <c r="C351" s="477" cm="1">
        <f t="array" ref="C351">_xlfn.XLOOKUP(A351,'TB upload'!A:A,'TB upload'!C:C-'TB upload'!B:B,0,0)*-1+25000</f>
        <v>25000</v>
      </c>
      <c r="D351" s="489"/>
      <c r="E351" s="942"/>
      <c r="F351" s="489"/>
      <c r="G351" s="1029"/>
      <c r="H351" s="489"/>
      <c r="I351" s="1029"/>
      <c r="J351" s="489"/>
      <c r="K351" s="490">
        <f t="shared" si="93"/>
        <v>25000</v>
      </c>
      <c r="L351" s="311"/>
      <c r="M351" s="311"/>
      <c r="N351" s="311"/>
      <c r="O351" s="311"/>
      <c r="P351" s="311"/>
      <c r="Q351" s="311"/>
      <c r="R351" s="311"/>
      <c r="S351" s="311"/>
      <c r="T351" s="311"/>
      <c r="U351" s="477"/>
      <c r="V351" s="489"/>
      <c r="W351" s="489"/>
      <c r="X351" s="489"/>
      <c r="Y351" s="489"/>
      <c r="Z351" s="489"/>
      <c r="AA351" s="489"/>
      <c r="AB351" s="489"/>
      <c r="AC351" s="490"/>
      <c r="AD351" s="477"/>
      <c r="AE351" s="489"/>
      <c r="AF351" s="489"/>
      <c r="AG351" s="489"/>
      <c r="AH351" s="489"/>
      <c r="AI351" s="489"/>
      <c r="AJ351" s="489"/>
      <c r="AK351" s="489"/>
      <c r="AL351" s="490"/>
      <c r="AM351" s="477"/>
      <c r="AN351" s="489"/>
      <c r="AO351" s="489"/>
      <c r="AP351" s="489"/>
      <c r="AQ351" s="489"/>
      <c r="AR351" s="489"/>
      <c r="AS351" s="489"/>
      <c r="AT351" s="489"/>
      <c r="AU351" s="490"/>
      <c r="AV351" s="491"/>
      <c r="AX351" s="200"/>
    </row>
    <row r="352" spans="1:50" ht="15" thickBot="1">
      <c r="A352" s="158" t="s">
        <v>1666</v>
      </c>
      <c r="B352" s="488"/>
      <c r="C352" s="649" cm="1">
        <f t="array" ref="C352">_xlfn.XLOOKUP(A352,'TB upload'!A:A,'TB upload'!C:C-'TB upload'!B:B,0,0)*-1</f>
        <v>0</v>
      </c>
      <c r="D352" s="489">
        <v>623518</v>
      </c>
      <c r="E352" s="489"/>
      <c r="F352" s="489"/>
      <c r="G352" s="489"/>
      <c r="H352" s="489"/>
      <c r="I352" s="489"/>
      <c r="J352" s="489"/>
      <c r="K352" s="490">
        <f t="shared" ref="K352" si="105">SUM(C352:H352)</f>
        <v>623518</v>
      </c>
      <c r="L352" s="311"/>
      <c r="M352" s="311"/>
      <c r="N352" s="311"/>
      <c r="O352" s="311"/>
      <c r="P352" s="311"/>
      <c r="Q352" s="311"/>
      <c r="R352" s="311"/>
      <c r="S352" s="311"/>
      <c r="T352" s="311">
        <v>0</v>
      </c>
      <c r="U352" s="649">
        <v>4846</v>
      </c>
      <c r="V352" s="489"/>
      <c r="W352" s="489"/>
      <c r="X352" s="489"/>
      <c r="Y352" s="489"/>
      <c r="Z352" s="489"/>
      <c r="AA352" s="489"/>
      <c r="AB352" s="489"/>
      <c r="AC352" s="490">
        <v>4846</v>
      </c>
      <c r="AD352" s="477">
        <v>-11112</v>
      </c>
      <c r="AE352" s="489">
        <v>86</v>
      </c>
      <c r="AF352" s="489"/>
      <c r="AG352" s="489">
        <v>-145</v>
      </c>
      <c r="AH352" s="489"/>
      <c r="AI352" s="489"/>
      <c r="AJ352" s="489"/>
      <c r="AK352" s="489"/>
      <c r="AL352" s="490">
        <v>-11171</v>
      </c>
      <c r="AM352" s="477">
        <v>-645</v>
      </c>
      <c r="AN352" s="489">
        <v>-86</v>
      </c>
      <c r="AO352" s="489"/>
      <c r="AP352" s="489"/>
      <c r="AQ352" s="489"/>
      <c r="AR352" s="489"/>
      <c r="AS352" s="489"/>
      <c r="AT352" s="489"/>
      <c r="AU352" s="490">
        <v>-731</v>
      </c>
      <c r="AV352" s="491">
        <f t="shared" si="94"/>
        <v>-10440</v>
      </c>
      <c r="AW352" s="151" t="s">
        <v>1178</v>
      </c>
    </row>
    <row r="353" spans="1:48" ht="15.6" thickTop="1" thickBot="1">
      <c r="A353" s="492"/>
      <c r="B353" s="493" t="s">
        <v>51</v>
      </c>
      <c r="C353" s="494">
        <f t="shared" ref="C353:K353" si="106">SUM(C319:C352)</f>
        <v>1895594.1699999997</v>
      </c>
      <c r="D353" s="495">
        <f t="shared" si="106"/>
        <v>623518</v>
      </c>
      <c r="E353" s="495">
        <f t="shared" si="106"/>
        <v>4917.04</v>
      </c>
      <c r="F353" s="495">
        <f t="shared" si="106"/>
        <v>0</v>
      </c>
      <c r="G353" s="495">
        <f t="shared" si="106"/>
        <v>2526.52</v>
      </c>
      <c r="H353" s="495">
        <f t="shared" si="106"/>
        <v>1815</v>
      </c>
      <c r="I353" s="495">
        <f t="shared" si="106"/>
        <v>5998.56</v>
      </c>
      <c r="J353" s="495">
        <f t="shared" si="106"/>
        <v>13964.36</v>
      </c>
      <c r="K353" s="958">
        <f t="shared" si="106"/>
        <v>2548333.6499999994</v>
      </c>
      <c r="L353" s="995">
        <v>1590282.75</v>
      </c>
      <c r="M353" s="995">
        <v>-446.54000000000087</v>
      </c>
      <c r="N353" s="995">
        <v>4917.04</v>
      </c>
      <c r="O353" s="995">
        <v>0</v>
      </c>
      <c r="P353" s="995">
        <v>2526.02</v>
      </c>
      <c r="Q353" s="995">
        <v>0</v>
      </c>
      <c r="R353" s="995">
        <v>5998.56</v>
      </c>
      <c r="S353" s="995">
        <v>0</v>
      </c>
      <c r="T353" s="995">
        <v>1603277.8299999998</v>
      </c>
      <c r="U353" s="494">
        <v>1027877.2999999999</v>
      </c>
      <c r="V353" s="495">
        <v>0</v>
      </c>
      <c r="W353" s="495">
        <v>1800</v>
      </c>
      <c r="X353" s="495">
        <v>0</v>
      </c>
      <c r="Y353" s="495">
        <v>27</v>
      </c>
      <c r="Z353" s="495">
        <v>0</v>
      </c>
      <c r="AA353" s="495">
        <v>6000</v>
      </c>
      <c r="AB353" s="495">
        <v>0</v>
      </c>
      <c r="AC353" s="496">
        <v>1035704.2999999999</v>
      </c>
      <c r="AD353" s="494">
        <v>5793910.8100000005</v>
      </c>
      <c r="AE353" s="495">
        <v>86</v>
      </c>
      <c r="AF353" s="495">
        <v>27237.759999999998</v>
      </c>
      <c r="AG353" s="495">
        <v>-145</v>
      </c>
      <c r="AH353" s="495">
        <v>11492.98</v>
      </c>
      <c r="AI353" s="495">
        <v>0</v>
      </c>
      <c r="AJ353" s="495">
        <v>93.69</v>
      </c>
      <c r="AK353" s="495">
        <v>21004.720000000001</v>
      </c>
      <c r="AL353" s="496">
        <v>5853680.9600000009</v>
      </c>
      <c r="AM353" s="494">
        <v>4815554.5999999996</v>
      </c>
      <c r="AN353" s="495">
        <v>-86</v>
      </c>
      <c r="AO353" s="495">
        <v>29378</v>
      </c>
      <c r="AP353" s="495">
        <v>0</v>
      </c>
      <c r="AQ353" s="495">
        <v>136510</v>
      </c>
      <c r="AR353" s="495">
        <v>0</v>
      </c>
      <c r="AS353" s="495">
        <v>0</v>
      </c>
      <c r="AT353" s="495">
        <v>0</v>
      </c>
      <c r="AU353" s="497">
        <v>4980711.5999999996</v>
      </c>
      <c r="AV353" s="491">
        <f>AL353-AU353</f>
        <v>872969.36000000127</v>
      </c>
    </row>
    <row r="354" spans="1:48" ht="15" thickTop="1">
      <c r="B354" s="499"/>
      <c r="C354" s="477"/>
      <c r="D354" s="489"/>
      <c r="E354" s="489"/>
      <c r="F354" s="489"/>
      <c r="G354" s="489"/>
      <c r="H354" s="489"/>
      <c r="I354" s="489"/>
      <c r="J354" s="489"/>
      <c r="K354" s="490"/>
      <c r="L354" s="311"/>
      <c r="M354" s="311"/>
      <c r="N354" s="311"/>
      <c r="O354" s="311"/>
      <c r="P354" s="311"/>
      <c r="Q354" s="311"/>
      <c r="R354" s="311"/>
      <c r="S354" s="311"/>
      <c r="T354" s="311"/>
      <c r="U354" s="477"/>
      <c r="V354" s="489"/>
      <c r="W354" s="489"/>
      <c r="X354" s="489"/>
      <c r="Y354" s="489"/>
      <c r="Z354" s="489"/>
      <c r="AA354" s="489"/>
      <c r="AB354" s="489"/>
      <c r="AC354" s="490"/>
      <c r="AD354" s="477"/>
      <c r="AE354" s="489"/>
      <c r="AF354" s="489"/>
      <c r="AG354" s="489"/>
      <c r="AH354" s="489"/>
      <c r="AI354" s="489"/>
      <c r="AJ354" s="489"/>
      <c r="AK354" s="489"/>
      <c r="AL354" s="490"/>
      <c r="AM354" s="477"/>
      <c r="AN354" s="489"/>
      <c r="AO354" s="489"/>
      <c r="AP354" s="489"/>
      <c r="AQ354" s="489"/>
      <c r="AR354" s="489"/>
      <c r="AS354" s="489"/>
      <c r="AT354" s="489"/>
      <c r="AU354" s="490"/>
      <c r="AV354" s="491"/>
    </row>
    <row r="355" spans="1:48">
      <c r="A355" s="155" t="s">
        <v>1210</v>
      </c>
      <c r="B355" s="488"/>
      <c r="C355" s="477"/>
      <c r="D355" s="489"/>
      <c r="E355" s="489"/>
      <c r="F355" s="489"/>
      <c r="G355" s="489"/>
      <c r="H355" s="489"/>
      <c r="I355" s="489"/>
      <c r="J355" s="489"/>
      <c r="K355" s="490"/>
      <c r="L355" s="311"/>
      <c r="M355" s="311"/>
      <c r="N355" s="311"/>
      <c r="O355" s="311"/>
      <c r="P355" s="311"/>
      <c r="Q355" s="311"/>
      <c r="R355" s="311"/>
      <c r="S355" s="311"/>
      <c r="T355" s="311"/>
      <c r="U355" s="477"/>
      <c r="V355" s="489"/>
      <c r="W355" s="489"/>
      <c r="X355" s="489"/>
      <c r="Y355" s="489"/>
      <c r="Z355" s="489"/>
      <c r="AA355" s="489"/>
      <c r="AB355" s="489"/>
      <c r="AC355" s="490"/>
      <c r="AD355" s="477"/>
      <c r="AE355" s="489"/>
      <c r="AF355" s="489"/>
      <c r="AG355" s="489"/>
      <c r="AH355" s="489"/>
      <c r="AI355" s="489"/>
      <c r="AJ355" s="489"/>
      <c r="AK355" s="489"/>
      <c r="AL355" s="490"/>
      <c r="AM355" s="477"/>
      <c r="AN355" s="489"/>
      <c r="AO355" s="489"/>
      <c r="AP355" s="489"/>
      <c r="AQ355" s="489"/>
      <c r="AR355" s="489"/>
      <c r="AS355" s="489"/>
      <c r="AT355" s="489"/>
      <c r="AU355" s="490"/>
    </row>
    <row r="356" spans="1:48">
      <c r="A356" s="158" t="s">
        <v>57</v>
      </c>
      <c r="B356" s="488" t="s">
        <v>449</v>
      </c>
      <c r="C356" s="477" cm="1">
        <f t="array" ref="C356">_xlfn.XLOOKUP(A356,'TB upload'!A:A,'TB upload'!C:C-'TB upload'!B:B,0,0)*-1-2753</f>
        <v>2367791</v>
      </c>
      <c r="D356" s="489"/>
      <c r="E356" s="942" cm="1">
        <f t="array" ref="E356">_xlfn.XLOOKUP(A356,'TB upload'!A:A,'TB upload'!E:E-'TB upload'!D:D,0,0)*-1</f>
        <v>0</v>
      </c>
      <c r="F356" s="489"/>
      <c r="G356" s="477" cm="1">
        <f t="array" ref="G356">_xlfn.XLOOKUP(A356,'TB upload'!A:A,'TB upload'!G:G-'TB upload'!F:F,0,0)*-1</f>
        <v>0</v>
      </c>
      <c r="H356" s="489"/>
      <c r="I356" s="477" cm="1">
        <f t="array" ref="I356">(_xlfn.XLOOKUP(A356,'TB upload'!A:A,'TB upload'!I:I-'TB upload'!H:H,0,0)*-1)</f>
        <v>2753</v>
      </c>
      <c r="J356" s="489"/>
      <c r="K356" s="490">
        <f>SUM(C356:J356)</f>
        <v>2370544</v>
      </c>
      <c r="L356" s="311">
        <v>47061</v>
      </c>
      <c r="M356" s="311"/>
      <c r="N356" s="311">
        <v>0</v>
      </c>
      <c r="O356" s="311"/>
      <c r="P356" s="311">
        <v>0</v>
      </c>
      <c r="Q356" s="311"/>
      <c r="R356" s="311">
        <v>2753</v>
      </c>
      <c r="S356" s="311"/>
      <c r="T356" s="311">
        <v>49814</v>
      </c>
      <c r="U356" s="649">
        <v>23892</v>
      </c>
      <c r="V356" s="489">
        <v>1554693.5</v>
      </c>
      <c r="W356" s="489"/>
      <c r="X356" s="489"/>
      <c r="Y356" s="489"/>
      <c r="Z356" s="489"/>
      <c r="AA356" s="489">
        <v>2753</v>
      </c>
      <c r="AB356" s="489">
        <v>-26645</v>
      </c>
      <c r="AC356" s="490">
        <v>1554693.5</v>
      </c>
      <c r="AD356" s="477">
        <v>0</v>
      </c>
      <c r="AE356" s="489"/>
      <c r="AF356" s="489">
        <v>0</v>
      </c>
      <c r="AG356" s="489"/>
      <c r="AH356" s="489">
        <v>0</v>
      </c>
      <c r="AI356" s="489"/>
      <c r="AJ356" s="489">
        <v>0</v>
      </c>
      <c r="AK356" s="489"/>
      <c r="AL356" s="490">
        <v>0</v>
      </c>
      <c r="AM356" s="477">
        <v>2809589</v>
      </c>
      <c r="AN356" s="489"/>
      <c r="AO356" s="489"/>
      <c r="AP356" s="489"/>
      <c r="AQ356" s="489"/>
      <c r="AR356" s="489"/>
      <c r="AS356" s="489"/>
      <c r="AT356" s="489"/>
      <c r="AU356" s="490">
        <v>2809589</v>
      </c>
      <c r="AV356" s="491"/>
    </row>
    <row r="357" spans="1:48" ht="15" thickBot="1">
      <c r="A357" s="158"/>
      <c r="B357" s="488"/>
      <c r="C357" s="477"/>
      <c r="D357" s="489"/>
      <c r="E357" s="489"/>
      <c r="F357" s="489"/>
      <c r="G357" s="489"/>
      <c r="H357" s="489"/>
      <c r="I357" s="489"/>
      <c r="J357" s="489"/>
      <c r="K357" s="490"/>
      <c r="L357" s="311"/>
      <c r="M357" s="311"/>
      <c r="N357" s="311"/>
      <c r="O357" s="311"/>
      <c r="P357" s="311"/>
      <c r="Q357" s="311"/>
      <c r="R357" s="311"/>
      <c r="S357" s="311"/>
      <c r="T357" s="311"/>
      <c r="U357" s="477"/>
      <c r="V357" s="489"/>
      <c r="W357" s="489"/>
      <c r="X357" s="489"/>
      <c r="Y357" s="489"/>
      <c r="Z357" s="489"/>
      <c r="AA357" s="489"/>
      <c r="AB357" s="489"/>
      <c r="AC357" s="490"/>
      <c r="AD357" s="477"/>
      <c r="AE357" s="489"/>
      <c r="AF357" s="489"/>
      <c r="AG357" s="489"/>
      <c r="AH357" s="489"/>
      <c r="AI357" s="489"/>
      <c r="AJ357" s="489"/>
      <c r="AK357" s="489"/>
      <c r="AL357" s="490"/>
      <c r="AM357" s="477"/>
      <c r="AN357" s="489"/>
      <c r="AO357" s="489"/>
      <c r="AP357" s="489"/>
      <c r="AQ357" s="489"/>
      <c r="AR357" s="489"/>
      <c r="AS357" s="489"/>
      <c r="AT357" s="489"/>
      <c r="AU357" s="490"/>
    </row>
    <row r="358" spans="1:48" ht="15.6" thickTop="1" thickBot="1">
      <c r="A358" s="492"/>
      <c r="B358" s="493" t="s">
        <v>51</v>
      </c>
      <c r="C358" s="494">
        <f t="shared" ref="C358:K358" si="107">SUM(C356:C357)</f>
        <v>2367791</v>
      </c>
      <c r="D358" s="495">
        <f t="shared" si="107"/>
        <v>0</v>
      </c>
      <c r="E358" s="495">
        <f t="shared" si="107"/>
        <v>0</v>
      </c>
      <c r="F358" s="495">
        <f t="shared" si="107"/>
        <v>0</v>
      </c>
      <c r="G358" s="495">
        <f t="shared" si="107"/>
        <v>0</v>
      </c>
      <c r="H358" s="495">
        <f t="shared" si="107"/>
        <v>0</v>
      </c>
      <c r="I358" s="495">
        <f t="shared" si="107"/>
        <v>2753</v>
      </c>
      <c r="J358" s="495">
        <f t="shared" si="107"/>
        <v>0</v>
      </c>
      <c r="K358" s="497">
        <f t="shared" si="107"/>
        <v>2370544</v>
      </c>
      <c r="L358" s="991">
        <v>47061</v>
      </c>
      <c r="M358" s="991">
        <v>0</v>
      </c>
      <c r="N358" s="991">
        <v>0</v>
      </c>
      <c r="O358" s="991">
        <v>0</v>
      </c>
      <c r="P358" s="991">
        <v>0</v>
      </c>
      <c r="Q358" s="991">
        <v>0</v>
      </c>
      <c r="R358" s="991">
        <v>2753</v>
      </c>
      <c r="S358" s="991">
        <v>0</v>
      </c>
      <c r="T358" s="991">
        <v>49814</v>
      </c>
      <c r="U358" s="494">
        <v>23892</v>
      </c>
      <c r="V358" s="495">
        <v>1554693.5</v>
      </c>
      <c r="W358" s="495">
        <v>0</v>
      </c>
      <c r="X358" s="495">
        <v>0</v>
      </c>
      <c r="Y358" s="495">
        <v>0</v>
      </c>
      <c r="Z358" s="495">
        <v>0</v>
      </c>
      <c r="AA358" s="495">
        <v>2753</v>
      </c>
      <c r="AB358" s="495">
        <v>-26645</v>
      </c>
      <c r="AC358" s="497">
        <v>1554693.5</v>
      </c>
      <c r="AD358" s="494">
        <v>0</v>
      </c>
      <c r="AE358" s="495">
        <v>0</v>
      </c>
      <c r="AF358" s="495">
        <v>0</v>
      </c>
      <c r="AG358" s="495">
        <v>0</v>
      </c>
      <c r="AH358" s="495">
        <v>0</v>
      </c>
      <c r="AI358" s="495">
        <v>0</v>
      </c>
      <c r="AJ358" s="495">
        <v>0</v>
      </c>
      <c r="AK358" s="495">
        <v>0</v>
      </c>
      <c r="AL358" s="497">
        <v>0</v>
      </c>
      <c r="AM358" s="494">
        <v>2809589</v>
      </c>
      <c r="AN358" s="495">
        <v>0</v>
      </c>
      <c r="AO358" s="495">
        <v>0</v>
      </c>
      <c r="AP358" s="495">
        <v>0</v>
      </c>
      <c r="AQ358" s="495">
        <v>0</v>
      </c>
      <c r="AR358" s="495">
        <v>0</v>
      </c>
      <c r="AS358" s="495">
        <v>0</v>
      </c>
      <c r="AT358" s="495">
        <v>0</v>
      </c>
      <c r="AU358" s="497">
        <v>2809589</v>
      </c>
      <c r="AV358" s="491">
        <f>AL358-AU358</f>
        <v>-2809589</v>
      </c>
    </row>
    <row r="359" spans="1:48" ht="15" thickTop="1">
      <c r="B359" s="499"/>
      <c r="C359" s="477"/>
      <c r="D359" s="489"/>
      <c r="E359" s="489"/>
      <c r="F359" s="489"/>
      <c r="G359" s="489"/>
      <c r="H359" s="489"/>
      <c r="I359" s="489"/>
      <c r="J359" s="489"/>
      <c r="K359" s="490"/>
      <c r="L359" s="311"/>
      <c r="M359" s="311"/>
      <c r="N359" s="311"/>
      <c r="O359" s="311"/>
      <c r="P359" s="311"/>
      <c r="Q359" s="311"/>
      <c r="R359" s="311"/>
      <c r="S359" s="311"/>
      <c r="T359" s="311"/>
      <c r="U359" s="477"/>
      <c r="V359" s="489"/>
      <c r="W359" s="489"/>
      <c r="X359" s="489"/>
      <c r="Y359" s="489"/>
      <c r="Z359" s="489"/>
      <c r="AA359" s="489"/>
      <c r="AB359" s="489"/>
      <c r="AC359" s="490"/>
      <c r="AD359" s="477"/>
      <c r="AE359" s="489"/>
      <c r="AF359" s="489"/>
      <c r="AG359" s="489"/>
      <c r="AH359" s="489"/>
      <c r="AI359" s="489"/>
      <c r="AJ359" s="489"/>
      <c r="AK359" s="489"/>
      <c r="AL359" s="490"/>
      <c r="AM359" s="477"/>
      <c r="AN359" s="489"/>
      <c r="AO359" s="489"/>
      <c r="AP359" s="489"/>
      <c r="AQ359" s="489"/>
      <c r="AR359" s="489"/>
      <c r="AS359" s="489"/>
      <c r="AT359" s="489"/>
      <c r="AU359" s="490"/>
      <c r="AV359" s="491"/>
    </row>
    <row r="360" spans="1:48">
      <c r="A360" s="158" t="s">
        <v>458</v>
      </c>
      <c r="B360" s="488"/>
      <c r="C360" s="477"/>
      <c r="D360" s="489"/>
      <c r="E360" s="489"/>
      <c r="F360" s="489"/>
      <c r="G360" s="489"/>
      <c r="H360" s="489"/>
      <c r="I360" s="489"/>
      <c r="J360" s="489"/>
      <c r="K360" s="490"/>
      <c r="L360" s="311"/>
      <c r="M360" s="311"/>
      <c r="N360" s="311"/>
      <c r="O360" s="311"/>
      <c r="P360" s="311"/>
      <c r="Q360" s="311"/>
      <c r="R360" s="311"/>
      <c r="S360" s="311"/>
      <c r="T360" s="311"/>
      <c r="U360" s="477"/>
      <c r="V360" s="489"/>
      <c r="W360" s="489"/>
      <c r="X360" s="489"/>
      <c r="Y360" s="489"/>
      <c r="Z360" s="489"/>
      <c r="AA360" s="489"/>
      <c r="AB360" s="489"/>
      <c r="AC360" s="490"/>
      <c r="AD360" s="477"/>
      <c r="AE360" s="489"/>
      <c r="AF360" s="489"/>
      <c r="AG360" s="489"/>
      <c r="AH360" s="489"/>
      <c r="AI360" s="489"/>
      <c r="AJ360" s="489"/>
      <c r="AK360" s="489"/>
      <c r="AL360" s="490"/>
      <c r="AM360" s="477"/>
      <c r="AN360" s="489"/>
      <c r="AO360" s="489"/>
      <c r="AP360" s="489"/>
      <c r="AQ360" s="489"/>
      <c r="AR360" s="489"/>
      <c r="AS360" s="489"/>
      <c r="AT360" s="489"/>
      <c r="AU360" s="490"/>
    </row>
    <row r="361" spans="1:48">
      <c r="A361" s="158" t="s">
        <v>1182</v>
      </c>
      <c r="B361" s="488" t="s">
        <v>449</v>
      </c>
      <c r="C361" s="477" cm="1">
        <f t="array" ref="C361">_xlfn.XLOOKUP(A361,'TB upload'!A:A,'TB upload'!C:C-'TB upload'!B:B,0,0)*-1</f>
        <v>0</v>
      </c>
      <c r="D361" s="489"/>
      <c r="E361" s="942" cm="1">
        <f t="array" ref="E361">_xlfn.XLOOKUP(A361,'TB upload'!A:A,'TB upload'!E:E-'TB upload'!D:D,0,0)*-1</f>
        <v>0</v>
      </c>
      <c r="F361" s="489"/>
      <c r="G361" s="477" cm="1">
        <f t="array" ref="G361">_xlfn.XLOOKUP(A361,'TB upload'!A:A,'TB upload'!G:G-'TB upload'!F:F,0,0)*-1</f>
        <v>0</v>
      </c>
      <c r="H361" s="489"/>
      <c r="I361" s="477" cm="1">
        <f t="array" ref="I361">_xlfn.XLOOKUP(A361,'TB upload'!A:A,'TB upload'!I:I-'TB upload'!H:H,0,0)*-1</f>
        <v>0</v>
      </c>
      <c r="J361" s="489"/>
      <c r="K361" s="490">
        <f>SUM(C361:J361)</f>
        <v>0</v>
      </c>
      <c r="L361" s="311">
        <v>0</v>
      </c>
      <c r="M361" s="311"/>
      <c r="N361" s="311">
        <v>0</v>
      </c>
      <c r="O361" s="311"/>
      <c r="P361" s="311">
        <v>0</v>
      </c>
      <c r="Q361" s="311"/>
      <c r="R361" s="311">
        <v>0</v>
      </c>
      <c r="S361" s="311"/>
      <c r="T361" s="311">
        <v>0</v>
      </c>
      <c r="U361" s="477">
        <v>0</v>
      </c>
      <c r="V361" s="489"/>
      <c r="W361" s="489"/>
      <c r="X361" s="489"/>
      <c r="Y361" s="489"/>
      <c r="Z361" s="489"/>
      <c r="AA361" s="489"/>
      <c r="AB361" s="489"/>
      <c r="AC361" s="490">
        <v>0</v>
      </c>
      <c r="AD361" s="477">
        <v>0</v>
      </c>
      <c r="AE361" s="489">
        <v>42449</v>
      </c>
      <c r="AF361" s="489">
        <v>0</v>
      </c>
      <c r="AG361" s="489"/>
      <c r="AH361" s="489">
        <v>0</v>
      </c>
      <c r="AI361" s="489"/>
      <c r="AJ361" s="489">
        <v>0</v>
      </c>
      <c r="AK361" s="489"/>
      <c r="AL361" s="490">
        <v>42449</v>
      </c>
      <c r="AM361" s="477">
        <v>-1661</v>
      </c>
      <c r="AN361" s="489"/>
      <c r="AO361" s="489"/>
      <c r="AP361" s="489"/>
      <c r="AQ361" s="489"/>
      <c r="AR361" s="489"/>
      <c r="AS361" s="489"/>
      <c r="AT361" s="489"/>
      <c r="AU361" s="490">
        <v>-1661</v>
      </c>
      <c r="AV361" s="491"/>
    </row>
    <row r="362" spans="1:48" ht="15" thickBot="1">
      <c r="A362" s="158"/>
      <c r="B362" s="488"/>
      <c r="C362" s="477"/>
      <c r="D362" s="489"/>
      <c r="E362" s="489"/>
      <c r="F362" s="489"/>
      <c r="G362" s="489"/>
      <c r="H362" s="489"/>
      <c r="I362" s="489"/>
      <c r="J362" s="489"/>
      <c r="K362" s="490"/>
      <c r="L362" s="311"/>
      <c r="M362" s="311"/>
      <c r="N362" s="311"/>
      <c r="O362" s="311"/>
      <c r="P362" s="311"/>
      <c r="Q362" s="311"/>
      <c r="R362" s="311"/>
      <c r="S362" s="311"/>
      <c r="T362" s="311"/>
      <c r="U362" s="477"/>
      <c r="V362" s="489"/>
      <c r="W362" s="489"/>
      <c r="X362" s="489"/>
      <c r="Y362" s="489"/>
      <c r="Z362" s="489"/>
      <c r="AA362" s="489"/>
      <c r="AB362" s="489"/>
      <c r="AC362" s="490"/>
      <c r="AD362" s="477"/>
      <c r="AE362" s="489"/>
      <c r="AF362" s="489"/>
      <c r="AG362" s="489"/>
      <c r="AH362" s="489"/>
      <c r="AI362" s="489"/>
      <c r="AJ362" s="489"/>
      <c r="AK362" s="489"/>
      <c r="AL362" s="490"/>
      <c r="AM362" s="477"/>
      <c r="AN362" s="489"/>
      <c r="AO362" s="489"/>
      <c r="AP362" s="489"/>
      <c r="AQ362" s="489"/>
      <c r="AR362" s="489"/>
      <c r="AS362" s="489"/>
      <c r="AT362" s="489"/>
      <c r="AU362" s="490"/>
    </row>
    <row r="363" spans="1:48" ht="15.6" thickTop="1" thickBot="1">
      <c r="A363" s="492"/>
      <c r="B363" s="493" t="s">
        <v>51</v>
      </c>
      <c r="C363" s="494">
        <f t="shared" ref="C363:K363" si="108">SUM(C361:C362)</f>
        <v>0</v>
      </c>
      <c r="D363" s="495">
        <f t="shared" si="108"/>
        <v>0</v>
      </c>
      <c r="E363" s="495">
        <f t="shared" si="108"/>
        <v>0</v>
      </c>
      <c r="F363" s="495">
        <f t="shared" si="108"/>
        <v>0</v>
      </c>
      <c r="G363" s="495">
        <f t="shared" si="108"/>
        <v>0</v>
      </c>
      <c r="H363" s="495">
        <f t="shared" si="108"/>
        <v>0</v>
      </c>
      <c r="I363" s="495">
        <f t="shared" si="108"/>
        <v>0</v>
      </c>
      <c r="J363" s="495">
        <f t="shared" si="108"/>
        <v>0</v>
      </c>
      <c r="K363" s="497">
        <f t="shared" si="108"/>
        <v>0</v>
      </c>
      <c r="L363" s="991">
        <v>0</v>
      </c>
      <c r="M363" s="991">
        <v>0</v>
      </c>
      <c r="N363" s="991">
        <v>0</v>
      </c>
      <c r="O363" s="991">
        <v>0</v>
      </c>
      <c r="P363" s="991">
        <v>0</v>
      </c>
      <c r="Q363" s="991">
        <v>0</v>
      </c>
      <c r="R363" s="991">
        <v>0</v>
      </c>
      <c r="S363" s="991">
        <v>0</v>
      </c>
      <c r="T363" s="991">
        <v>0</v>
      </c>
      <c r="U363" s="494">
        <v>0</v>
      </c>
      <c r="V363" s="495">
        <v>0</v>
      </c>
      <c r="W363" s="495">
        <v>0</v>
      </c>
      <c r="X363" s="495">
        <v>0</v>
      </c>
      <c r="Y363" s="495">
        <v>0</v>
      </c>
      <c r="Z363" s="495">
        <v>0</v>
      </c>
      <c r="AA363" s="495">
        <v>0</v>
      </c>
      <c r="AB363" s="495">
        <v>0</v>
      </c>
      <c r="AC363" s="497">
        <v>0</v>
      </c>
      <c r="AD363" s="494">
        <v>0</v>
      </c>
      <c r="AE363" s="495">
        <v>42449</v>
      </c>
      <c r="AF363" s="495">
        <v>0</v>
      </c>
      <c r="AG363" s="495">
        <v>0</v>
      </c>
      <c r="AH363" s="495">
        <v>0</v>
      </c>
      <c r="AI363" s="495">
        <v>0</v>
      </c>
      <c r="AJ363" s="495">
        <v>0</v>
      </c>
      <c r="AK363" s="495">
        <v>0</v>
      </c>
      <c r="AL363" s="497">
        <v>42449</v>
      </c>
      <c r="AM363" s="494">
        <v>-1661</v>
      </c>
      <c r="AN363" s="495">
        <v>0</v>
      </c>
      <c r="AO363" s="495">
        <v>0</v>
      </c>
      <c r="AP363" s="495">
        <v>0</v>
      </c>
      <c r="AQ363" s="495">
        <v>0</v>
      </c>
      <c r="AR363" s="495">
        <v>0</v>
      </c>
      <c r="AS363" s="495">
        <v>0</v>
      </c>
      <c r="AT363" s="495">
        <v>0</v>
      </c>
      <c r="AU363" s="497">
        <v>-1661</v>
      </c>
      <c r="AV363" s="491">
        <f>AL363-AU363</f>
        <v>44110</v>
      </c>
    </row>
    <row r="364" spans="1:48" ht="15" thickTop="1">
      <c r="B364" s="499"/>
      <c r="C364" s="477"/>
      <c r="D364" s="489"/>
      <c r="E364" s="489"/>
      <c r="F364" s="489"/>
      <c r="G364" s="489"/>
      <c r="H364" s="489"/>
      <c r="I364" s="489"/>
      <c r="J364" s="489"/>
      <c r="K364" s="490"/>
      <c r="L364" s="311"/>
      <c r="M364" s="311"/>
      <c r="N364" s="311"/>
      <c r="O364" s="311"/>
      <c r="P364" s="311"/>
      <c r="Q364" s="311"/>
      <c r="R364" s="311"/>
      <c r="S364" s="311"/>
      <c r="T364" s="311"/>
      <c r="U364" s="477"/>
      <c r="V364" s="489"/>
      <c r="W364" s="489"/>
      <c r="X364" s="489"/>
      <c r="Y364" s="489"/>
      <c r="Z364" s="489"/>
      <c r="AA364" s="489"/>
      <c r="AB364" s="489"/>
      <c r="AC364" s="490"/>
      <c r="AD364" s="477"/>
      <c r="AE364" s="489"/>
      <c r="AF364" s="489"/>
      <c r="AG364" s="489"/>
      <c r="AH364" s="489"/>
      <c r="AI364" s="489"/>
      <c r="AJ364" s="489"/>
      <c r="AK364" s="489"/>
      <c r="AL364" s="490"/>
      <c r="AM364" s="477"/>
      <c r="AN364" s="489"/>
      <c r="AO364" s="489"/>
      <c r="AP364" s="489"/>
      <c r="AQ364" s="489"/>
      <c r="AR364" s="489"/>
      <c r="AS364" s="489"/>
      <c r="AT364" s="489"/>
      <c r="AU364" s="490"/>
      <c r="AV364" s="491"/>
    </row>
    <row r="365" spans="1:48">
      <c r="B365" s="499"/>
      <c r="C365" s="477"/>
      <c r="D365" s="489"/>
      <c r="E365" s="489"/>
      <c r="F365" s="489"/>
      <c r="G365" s="489"/>
      <c r="H365" s="489"/>
      <c r="I365" s="489"/>
      <c r="J365" s="489"/>
      <c r="K365" s="490"/>
      <c r="L365" s="311"/>
      <c r="M365" s="311"/>
      <c r="N365" s="311"/>
      <c r="O365" s="311"/>
      <c r="P365" s="311"/>
      <c r="Q365" s="311"/>
      <c r="R365" s="311"/>
      <c r="S365" s="311"/>
      <c r="T365" s="311"/>
      <c r="U365" s="477"/>
      <c r="V365" s="489"/>
      <c r="W365" s="489"/>
      <c r="X365" s="489"/>
      <c r="Y365" s="489"/>
      <c r="Z365" s="489"/>
      <c r="AA365" s="489"/>
      <c r="AB365" s="489"/>
      <c r="AC365" s="490"/>
      <c r="AD365" s="477"/>
      <c r="AE365" s="489"/>
      <c r="AF365" s="489"/>
      <c r="AG365" s="489"/>
      <c r="AH365" s="489"/>
      <c r="AI365" s="489"/>
      <c r="AJ365" s="489"/>
      <c r="AK365" s="489"/>
      <c r="AL365" s="490"/>
      <c r="AM365" s="477"/>
      <c r="AN365" s="489"/>
      <c r="AO365" s="489"/>
      <c r="AP365" s="489"/>
      <c r="AQ365" s="489"/>
      <c r="AR365" s="489"/>
      <c r="AS365" s="489"/>
      <c r="AT365" s="489"/>
      <c r="AU365" s="490"/>
      <c r="AV365" s="491"/>
    </row>
    <row r="366" spans="1:48">
      <c r="B366" s="499"/>
      <c r="C366" s="477"/>
      <c r="D366" s="489"/>
      <c r="E366" s="489"/>
      <c r="F366" s="489"/>
      <c r="G366" s="489"/>
      <c r="H366" s="489"/>
      <c r="I366" s="489"/>
      <c r="J366" s="489"/>
      <c r="K366" s="490"/>
      <c r="L366" s="311"/>
      <c r="M366" s="311"/>
      <c r="N366" s="311"/>
      <c r="O366" s="311"/>
      <c r="P366" s="311"/>
      <c r="Q366" s="311"/>
      <c r="R366" s="311"/>
      <c r="S366" s="311"/>
      <c r="T366" s="311"/>
      <c r="U366" s="477"/>
      <c r="V366" s="489"/>
      <c r="W366" s="489"/>
      <c r="X366" s="489"/>
      <c r="Y366" s="489"/>
      <c r="Z366" s="489"/>
      <c r="AA366" s="489"/>
      <c r="AB366" s="489"/>
      <c r="AC366" s="490"/>
      <c r="AD366" s="477"/>
      <c r="AE366" s="489"/>
      <c r="AF366" s="489"/>
      <c r="AG366" s="489"/>
      <c r="AH366" s="489"/>
      <c r="AI366" s="489"/>
      <c r="AJ366" s="489"/>
      <c r="AK366" s="489"/>
      <c r="AL366" s="490"/>
      <c r="AM366" s="477"/>
      <c r="AN366" s="489"/>
      <c r="AO366" s="489"/>
      <c r="AP366" s="489"/>
      <c r="AQ366" s="489"/>
      <c r="AR366" s="489"/>
      <c r="AS366" s="489"/>
      <c r="AT366" s="489"/>
      <c r="AU366" s="490"/>
      <c r="AV366" s="491"/>
    </row>
    <row r="367" spans="1:48">
      <c r="B367" s="499"/>
      <c r="C367" s="477"/>
      <c r="D367" s="489"/>
      <c r="E367" s="489"/>
      <c r="F367" s="489"/>
      <c r="G367" s="489"/>
      <c r="H367" s="489"/>
      <c r="I367" s="489"/>
      <c r="J367" s="489"/>
      <c r="K367" s="490"/>
      <c r="L367" s="311"/>
      <c r="M367" s="311"/>
      <c r="N367" s="311"/>
      <c r="O367" s="311"/>
      <c r="P367" s="311"/>
      <c r="Q367" s="311"/>
      <c r="R367" s="311"/>
      <c r="S367" s="311"/>
      <c r="T367" s="311"/>
      <c r="U367" s="477"/>
      <c r="V367" s="489"/>
      <c r="W367" s="489"/>
      <c r="X367" s="489"/>
      <c r="Y367" s="489"/>
      <c r="Z367" s="489"/>
      <c r="AA367" s="489"/>
      <c r="AB367" s="489"/>
      <c r="AC367" s="490"/>
      <c r="AD367" s="477"/>
      <c r="AE367" s="489"/>
      <c r="AF367" s="489"/>
      <c r="AG367" s="489"/>
      <c r="AH367" s="489"/>
      <c r="AI367" s="489"/>
      <c r="AJ367" s="489"/>
      <c r="AK367" s="489"/>
      <c r="AL367" s="490"/>
      <c r="AM367" s="477"/>
      <c r="AN367" s="489"/>
      <c r="AO367" s="489"/>
      <c r="AP367" s="489"/>
      <c r="AQ367" s="489"/>
      <c r="AR367" s="489"/>
      <c r="AS367" s="489"/>
      <c r="AT367" s="489"/>
      <c r="AU367" s="490"/>
      <c r="AV367" s="491"/>
    </row>
    <row r="368" spans="1:48">
      <c r="B368" s="499"/>
      <c r="C368" s="477"/>
      <c r="D368" s="489"/>
      <c r="E368" s="489"/>
      <c r="F368" s="489"/>
      <c r="G368" s="489"/>
      <c r="H368" s="489"/>
      <c r="I368" s="489"/>
      <c r="J368" s="489"/>
      <c r="K368" s="490"/>
      <c r="L368" s="311"/>
      <c r="M368" s="311"/>
      <c r="N368" s="311"/>
      <c r="O368" s="311"/>
      <c r="P368" s="311"/>
      <c r="Q368" s="311"/>
      <c r="R368" s="311"/>
      <c r="S368" s="311"/>
      <c r="T368" s="311"/>
      <c r="U368" s="477"/>
      <c r="V368" s="489"/>
      <c r="W368" s="489"/>
      <c r="X368" s="489"/>
      <c r="Y368" s="489"/>
      <c r="Z368" s="489"/>
      <c r="AA368" s="489"/>
      <c r="AB368" s="489"/>
      <c r="AC368" s="490"/>
      <c r="AD368" s="477"/>
      <c r="AE368" s="489"/>
      <c r="AF368" s="489"/>
      <c r="AG368" s="489"/>
      <c r="AH368" s="489"/>
      <c r="AI368" s="489"/>
      <c r="AJ368" s="489"/>
      <c r="AK368" s="489"/>
      <c r="AL368" s="490"/>
      <c r="AM368" s="477"/>
      <c r="AN368" s="489"/>
      <c r="AO368" s="489"/>
      <c r="AP368" s="489"/>
      <c r="AQ368" s="489"/>
      <c r="AR368" s="489"/>
      <c r="AS368" s="489"/>
      <c r="AT368" s="489"/>
      <c r="AU368" s="490"/>
      <c r="AV368" s="491"/>
    </row>
    <row r="369" spans="1:48">
      <c r="B369" s="499"/>
      <c r="C369" s="477"/>
      <c r="D369" s="489"/>
      <c r="E369" s="489"/>
      <c r="F369" s="489"/>
      <c r="G369" s="489"/>
      <c r="H369" s="489"/>
      <c r="I369" s="489"/>
      <c r="J369" s="489"/>
      <c r="K369" s="490"/>
      <c r="L369" s="311"/>
      <c r="M369" s="311"/>
      <c r="N369" s="311"/>
      <c r="O369" s="311"/>
      <c r="P369" s="311"/>
      <c r="Q369" s="311"/>
      <c r="R369" s="311"/>
      <c r="S369" s="311"/>
      <c r="T369" s="311"/>
      <c r="U369" s="477"/>
      <c r="V369" s="489"/>
      <c r="W369" s="489"/>
      <c r="X369" s="489"/>
      <c r="Y369" s="489"/>
      <c r="Z369" s="489"/>
      <c r="AA369" s="489"/>
      <c r="AB369" s="489"/>
      <c r="AC369" s="490"/>
      <c r="AD369" s="477"/>
      <c r="AE369" s="489"/>
      <c r="AF369" s="489"/>
      <c r="AG369" s="489"/>
      <c r="AH369" s="489"/>
      <c r="AI369" s="489"/>
      <c r="AJ369" s="489"/>
      <c r="AK369" s="489"/>
      <c r="AL369" s="490"/>
      <c r="AM369" s="477"/>
      <c r="AN369" s="489"/>
      <c r="AO369" s="489"/>
      <c r="AP369" s="489"/>
      <c r="AQ369" s="489"/>
      <c r="AR369" s="489"/>
      <c r="AS369" s="489"/>
      <c r="AT369" s="489"/>
      <c r="AU369" s="490"/>
      <c r="AV369" s="491"/>
    </row>
    <row r="370" spans="1:48">
      <c r="B370" s="499"/>
      <c r="C370" s="477"/>
      <c r="D370" s="489"/>
      <c r="E370" s="489"/>
      <c r="F370" s="489"/>
      <c r="G370" s="489"/>
      <c r="H370" s="489"/>
      <c r="I370" s="489"/>
      <c r="J370" s="489"/>
      <c r="K370" s="490"/>
      <c r="L370" s="311"/>
      <c r="M370" s="311"/>
      <c r="N370" s="311"/>
      <c r="O370" s="311"/>
      <c r="P370" s="311"/>
      <c r="Q370" s="311"/>
      <c r="R370" s="311"/>
      <c r="S370" s="311"/>
      <c r="T370" s="311"/>
      <c r="U370" s="477"/>
      <c r="V370" s="489"/>
      <c r="W370" s="489"/>
      <c r="X370" s="489"/>
      <c r="Y370" s="489"/>
      <c r="Z370" s="489"/>
      <c r="AA370" s="489"/>
      <c r="AB370" s="489"/>
      <c r="AC370" s="490"/>
      <c r="AD370" s="477"/>
      <c r="AE370" s="489"/>
      <c r="AF370" s="489"/>
      <c r="AG370" s="489"/>
      <c r="AH370" s="489"/>
      <c r="AI370" s="489"/>
      <c r="AJ370" s="489"/>
      <c r="AK370" s="489"/>
      <c r="AL370" s="490"/>
      <c r="AM370" s="477"/>
      <c r="AN370" s="489"/>
      <c r="AO370" s="489"/>
      <c r="AP370" s="489"/>
      <c r="AQ370" s="489"/>
      <c r="AR370" s="489"/>
      <c r="AS370" s="489"/>
      <c r="AT370" s="489"/>
      <c r="AU370" s="490"/>
      <c r="AV370" s="491"/>
    </row>
    <row r="371" spans="1:48">
      <c r="B371" s="499"/>
      <c r="C371" s="477"/>
      <c r="D371" s="489"/>
      <c r="E371" s="489"/>
      <c r="F371" s="489"/>
      <c r="G371" s="489"/>
      <c r="H371" s="489"/>
      <c r="I371" s="489"/>
      <c r="J371" s="489"/>
      <c r="K371" s="490"/>
      <c r="L371" s="311"/>
      <c r="M371" s="311"/>
      <c r="N371" s="311"/>
      <c r="O371" s="311"/>
      <c r="P371" s="311"/>
      <c r="Q371" s="311"/>
      <c r="R371" s="311"/>
      <c r="S371" s="311"/>
      <c r="T371" s="311"/>
      <c r="U371" s="477"/>
      <c r="V371" s="489"/>
      <c r="W371" s="489"/>
      <c r="X371" s="489"/>
      <c r="Y371" s="489"/>
      <c r="Z371" s="489"/>
      <c r="AA371" s="489"/>
      <c r="AB371" s="489"/>
      <c r="AC371" s="490"/>
      <c r="AD371" s="477"/>
      <c r="AE371" s="489"/>
      <c r="AF371" s="489"/>
      <c r="AG371" s="489"/>
      <c r="AH371" s="489"/>
      <c r="AI371" s="489"/>
      <c r="AJ371" s="489"/>
      <c r="AK371" s="489"/>
      <c r="AL371" s="490"/>
      <c r="AM371" s="477"/>
      <c r="AN371" s="489"/>
      <c r="AO371" s="489"/>
      <c r="AP371" s="489"/>
      <c r="AQ371" s="489"/>
      <c r="AR371" s="489"/>
      <c r="AS371" s="489"/>
      <c r="AT371" s="489"/>
      <c r="AU371" s="490"/>
      <c r="AV371" s="491"/>
    </row>
    <row r="372" spans="1:48">
      <c r="B372" s="499"/>
      <c r="C372" s="477"/>
      <c r="D372" s="489"/>
      <c r="E372" s="489"/>
      <c r="F372" s="489"/>
      <c r="G372" s="489"/>
      <c r="H372" s="489"/>
      <c r="I372" s="489"/>
      <c r="J372" s="489"/>
      <c r="K372" s="490"/>
      <c r="L372" s="311"/>
      <c r="M372" s="311"/>
      <c r="N372" s="311"/>
      <c r="O372" s="311"/>
      <c r="P372" s="311"/>
      <c r="Q372" s="311"/>
      <c r="R372" s="311"/>
      <c r="S372" s="311"/>
      <c r="T372" s="311"/>
      <c r="U372" s="477"/>
      <c r="V372" s="489"/>
      <c r="W372" s="489"/>
      <c r="X372" s="489"/>
      <c r="Y372" s="489"/>
      <c r="Z372" s="489"/>
      <c r="AA372" s="489"/>
      <c r="AB372" s="489"/>
      <c r="AC372" s="490"/>
      <c r="AD372" s="477"/>
      <c r="AE372" s="489"/>
      <c r="AF372" s="489"/>
      <c r="AG372" s="489"/>
      <c r="AH372" s="489"/>
      <c r="AI372" s="489"/>
      <c r="AJ372" s="489"/>
      <c r="AK372" s="489"/>
      <c r="AL372" s="490"/>
      <c r="AM372" s="477"/>
      <c r="AN372" s="489"/>
      <c r="AO372" s="489"/>
      <c r="AP372" s="489"/>
      <c r="AQ372" s="489"/>
      <c r="AR372" s="489"/>
      <c r="AS372" s="489"/>
      <c r="AT372" s="489"/>
      <c r="AU372" s="490"/>
      <c r="AV372" s="491"/>
    </row>
    <row r="373" spans="1:48">
      <c r="B373" s="499"/>
      <c r="C373" s="477"/>
      <c r="D373" s="489"/>
      <c r="E373" s="489"/>
      <c r="F373" s="489"/>
      <c r="G373" s="489"/>
      <c r="H373" s="489"/>
      <c r="I373" s="489"/>
      <c r="J373" s="489"/>
      <c r="K373" s="490"/>
      <c r="L373" s="311"/>
      <c r="M373" s="311"/>
      <c r="N373" s="311"/>
      <c r="O373" s="311"/>
      <c r="P373" s="311"/>
      <c r="Q373" s="311"/>
      <c r="R373" s="311"/>
      <c r="S373" s="311"/>
      <c r="T373" s="311"/>
      <c r="U373" s="477"/>
      <c r="V373" s="489"/>
      <c r="W373" s="489"/>
      <c r="X373" s="489"/>
      <c r="Y373" s="489"/>
      <c r="Z373" s="489"/>
      <c r="AA373" s="489"/>
      <c r="AB373" s="489"/>
      <c r="AC373" s="490"/>
      <c r="AD373" s="477"/>
      <c r="AE373" s="489"/>
      <c r="AF373" s="489"/>
      <c r="AG373" s="489"/>
      <c r="AH373" s="489"/>
      <c r="AI373" s="489"/>
      <c r="AJ373" s="489"/>
      <c r="AK373" s="489"/>
      <c r="AL373" s="490"/>
      <c r="AM373" s="477"/>
      <c r="AN373" s="489"/>
      <c r="AO373" s="489"/>
      <c r="AP373" s="489"/>
      <c r="AQ373" s="489"/>
      <c r="AR373" s="489"/>
      <c r="AS373" s="489"/>
      <c r="AT373" s="489"/>
      <c r="AU373" s="490"/>
      <c r="AV373" s="491"/>
    </row>
    <row r="374" spans="1:48">
      <c r="B374" s="499"/>
      <c r="C374" s="477"/>
      <c r="D374" s="489"/>
      <c r="E374" s="489"/>
      <c r="F374" s="489"/>
      <c r="G374" s="489"/>
      <c r="H374" s="489"/>
      <c r="I374" s="489"/>
      <c r="J374" s="489"/>
      <c r="K374" s="490"/>
      <c r="L374" s="311"/>
      <c r="M374" s="311"/>
      <c r="N374" s="311"/>
      <c r="O374" s="311"/>
      <c r="P374" s="311"/>
      <c r="Q374" s="311"/>
      <c r="R374" s="311"/>
      <c r="S374" s="311"/>
      <c r="T374" s="311"/>
      <c r="U374" s="477"/>
      <c r="V374" s="489"/>
      <c r="W374" s="489"/>
      <c r="X374" s="489"/>
      <c r="Y374" s="489"/>
      <c r="Z374" s="489"/>
      <c r="AA374" s="489"/>
      <c r="AB374" s="489"/>
      <c r="AC374" s="490"/>
      <c r="AD374" s="477"/>
      <c r="AE374" s="489"/>
      <c r="AF374" s="489"/>
      <c r="AG374" s="489"/>
      <c r="AH374" s="489"/>
      <c r="AI374" s="489"/>
      <c r="AJ374" s="489"/>
      <c r="AK374" s="489"/>
      <c r="AL374" s="490"/>
      <c r="AM374" s="477"/>
      <c r="AN374" s="489"/>
      <c r="AO374" s="489"/>
      <c r="AP374" s="489"/>
      <c r="AQ374" s="489"/>
      <c r="AR374" s="489"/>
      <c r="AS374" s="489"/>
      <c r="AT374" s="489"/>
      <c r="AU374" s="490"/>
      <c r="AV374" s="491"/>
    </row>
    <row r="375" spans="1:48">
      <c r="A375" s="641"/>
      <c r="B375" s="499"/>
      <c r="C375" s="477"/>
      <c r="D375" s="489"/>
      <c r="E375" s="489"/>
      <c r="F375" s="489"/>
      <c r="G375" s="489"/>
      <c r="H375" s="489"/>
      <c r="I375" s="489"/>
      <c r="J375" s="489"/>
      <c r="K375" s="490"/>
      <c r="L375" s="311"/>
      <c r="M375" s="311"/>
      <c r="N375" s="311"/>
      <c r="O375" s="311"/>
      <c r="P375" s="311"/>
      <c r="Q375" s="311"/>
      <c r="R375" s="311"/>
      <c r="S375" s="311"/>
      <c r="T375" s="311"/>
      <c r="U375" s="477"/>
      <c r="V375" s="489"/>
      <c r="W375" s="489"/>
      <c r="X375" s="489"/>
      <c r="Y375" s="489"/>
      <c r="Z375" s="489"/>
      <c r="AA375" s="489"/>
      <c r="AB375" s="489"/>
      <c r="AC375" s="490"/>
      <c r="AD375" s="477"/>
      <c r="AE375" s="489"/>
      <c r="AF375" s="489"/>
      <c r="AG375" s="489"/>
      <c r="AH375" s="489"/>
      <c r="AI375" s="489"/>
      <c r="AJ375" s="489"/>
      <c r="AK375" s="489"/>
      <c r="AL375" s="490"/>
      <c r="AM375" s="477"/>
      <c r="AN375" s="489"/>
      <c r="AO375" s="489"/>
      <c r="AP375" s="489"/>
      <c r="AQ375" s="489"/>
      <c r="AR375" s="489"/>
      <c r="AS375" s="489"/>
      <c r="AT375" s="489"/>
      <c r="AU375" s="490"/>
      <c r="AV375" s="491"/>
    </row>
    <row r="376" spans="1:48">
      <c r="A376" s="641"/>
      <c r="B376" s="499"/>
      <c r="C376" s="477"/>
      <c r="D376" s="489"/>
      <c r="E376" s="489"/>
      <c r="F376" s="489"/>
      <c r="G376" s="489"/>
      <c r="H376" s="489"/>
      <c r="I376" s="489"/>
      <c r="J376" s="489"/>
      <c r="K376" s="490"/>
      <c r="L376" s="311"/>
      <c r="M376" s="311"/>
      <c r="N376" s="311"/>
      <c r="O376" s="311"/>
      <c r="P376" s="311"/>
      <c r="Q376" s="311"/>
      <c r="R376" s="311"/>
      <c r="S376" s="311"/>
      <c r="T376" s="311"/>
      <c r="U376" s="477"/>
      <c r="V376" s="489"/>
      <c r="W376" s="489"/>
      <c r="X376" s="489"/>
      <c r="Y376" s="489"/>
      <c r="Z376" s="489"/>
      <c r="AA376" s="489"/>
      <c r="AB376" s="489"/>
      <c r="AC376" s="490"/>
      <c r="AD376" s="477"/>
      <c r="AE376" s="489"/>
      <c r="AF376" s="489"/>
      <c r="AG376" s="489"/>
      <c r="AH376" s="489"/>
      <c r="AI376" s="489"/>
      <c r="AJ376" s="489"/>
      <c r="AK376" s="489"/>
      <c r="AL376" s="490"/>
      <c r="AM376" s="477"/>
      <c r="AN376" s="489"/>
      <c r="AO376" s="489"/>
      <c r="AP376" s="489"/>
      <c r="AQ376" s="489"/>
      <c r="AR376" s="489"/>
      <c r="AS376" s="489"/>
      <c r="AT376" s="489"/>
      <c r="AU376" s="490"/>
      <c r="AV376" s="491"/>
    </row>
    <row r="377" spans="1:48">
      <c r="B377" s="499"/>
      <c r="C377" s="477"/>
      <c r="D377" s="489"/>
      <c r="E377" s="489"/>
      <c r="F377" s="489"/>
      <c r="G377" s="489"/>
      <c r="H377" s="489"/>
      <c r="I377" s="489"/>
      <c r="J377" s="489"/>
      <c r="K377" s="490"/>
      <c r="L377" s="311"/>
      <c r="M377" s="311"/>
      <c r="N377" s="311"/>
      <c r="O377" s="311"/>
      <c r="P377" s="311"/>
      <c r="Q377" s="311"/>
      <c r="R377" s="311"/>
      <c r="S377" s="311"/>
      <c r="T377" s="311"/>
      <c r="U377" s="477"/>
      <c r="V377" s="489"/>
      <c r="W377" s="489"/>
      <c r="X377" s="489"/>
      <c r="Y377" s="489"/>
      <c r="Z377" s="489"/>
      <c r="AA377" s="489"/>
      <c r="AB377" s="489"/>
      <c r="AC377" s="490"/>
      <c r="AD377" s="477"/>
      <c r="AE377" s="489"/>
      <c r="AF377" s="489"/>
      <c r="AG377" s="489"/>
      <c r="AH377" s="489"/>
      <c r="AI377" s="489"/>
      <c r="AJ377" s="489"/>
      <c r="AK377" s="489"/>
      <c r="AL377" s="490"/>
      <c r="AM377" s="477"/>
      <c r="AN377" s="489"/>
      <c r="AO377" s="489"/>
      <c r="AP377" s="489"/>
      <c r="AQ377" s="489"/>
      <c r="AR377" s="489"/>
      <c r="AS377" s="489"/>
      <c r="AT377" s="489"/>
      <c r="AU377" s="490"/>
      <c r="AV377" s="491"/>
    </row>
    <row r="378" spans="1:48">
      <c r="B378" s="499"/>
      <c r="C378" s="477"/>
      <c r="D378" s="489"/>
      <c r="E378" s="489"/>
      <c r="F378" s="489"/>
      <c r="G378" s="489"/>
      <c r="H378" s="489"/>
      <c r="I378" s="489"/>
      <c r="J378" s="489"/>
      <c r="K378" s="490"/>
      <c r="L378" s="311"/>
      <c r="M378" s="311"/>
      <c r="N378" s="311"/>
      <c r="O378" s="311"/>
      <c r="P378" s="311"/>
      <c r="Q378" s="311"/>
      <c r="R378" s="311"/>
      <c r="S378" s="311"/>
      <c r="T378" s="311"/>
      <c r="U378" s="477"/>
      <c r="V378" s="489"/>
      <c r="W378" s="489"/>
      <c r="X378" s="489"/>
      <c r="Y378" s="489"/>
      <c r="Z378" s="489"/>
      <c r="AA378" s="489"/>
      <c r="AB378" s="489"/>
      <c r="AC378" s="490"/>
      <c r="AD378" s="477"/>
      <c r="AE378" s="489"/>
      <c r="AF378" s="489"/>
      <c r="AG378" s="489"/>
      <c r="AH378" s="489"/>
      <c r="AI378" s="489"/>
      <c r="AJ378" s="489"/>
      <c r="AK378" s="489"/>
      <c r="AL378" s="490"/>
      <c r="AM378" s="477"/>
      <c r="AN378" s="489"/>
      <c r="AO378" s="489"/>
      <c r="AP378" s="489"/>
      <c r="AQ378" s="489"/>
      <c r="AR378" s="489"/>
      <c r="AS378" s="489"/>
      <c r="AT378" s="489"/>
      <c r="AU378" s="490"/>
      <c r="AV378" s="491"/>
    </row>
    <row r="379" spans="1:48">
      <c r="B379" s="499"/>
      <c r="C379" s="477"/>
      <c r="D379" s="489"/>
      <c r="E379" s="489"/>
      <c r="F379" s="489"/>
      <c r="G379" s="489"/>
      <c r="H379" s="489"/>
      <c r="I379" s="489"/>
      <c r="J379" s="489"/>
      <c r="K379" s="490"/>
      <c r="L379" s="311"/>
      <c r="M379" s="311"/>
      <c r="N379" s="311"/>
      <c r="O379" s="311"/>
      <c r="P379" s="311"/>
      <c r="Q379" s="311"/>
      <c r="R379" s="311"/>
      <c r="S379" s="311"/>
      <c r="T379" s="311"/>
      <c r="U379" s="477"/>
      <c r="V379" s="489"/>
      <c r="W379" s="489"/>
      <c r="X379" s="489"/>
      <c r="Y379" s="489"/>
      <c r="Z379" s="489"/>
      <c r="AA379" s="489"/>
      <c r="AB379" s="489"/>
      <c r="AC379" s="490"/>
      <c r="AD379" s="477"/>
      <c r="AE379" s="489"/>
      <c r="AF379" s="489"/>
      <c r="AG379" s="489"/>
      <c r="AH379" s="489"/>
      <c r="AI379" s="489"/>
      <c r="AJ379" s="489"/>
      <c r="AK379" s="489"/>
      <c r="AL379" s="490"/>
      <c r="AM379" s="477"/>
      <c r="AN379" s="489"/>
      <c r="AO379" s="489"/>
      <c r="AP379" s="489"/>
      <c r="AQ379" s="489"/>
      <c r="AR379" s="489"/>
      <c r="AS379" s="489"/>
      <c r="AT379" s="489"/>
      <c r="AU379" s="490"/>
      <c r="AV379" s="491"/>
    </row>
    <row r="380" spans="1:48">
      <c r="A380" s="158"/>
      <c r="B380" s="488"/>
      <c r="C380" s="477"/>
      <c r="D380" s="489"/>
      <c r="E380" s="489"/>
      <c r="F380" s="489"/>
      <c r="G380" s="489"/>
      <c r="H380" s="489"/>
      <c r="I380" s="489"/>
      <c r="J380" s="489"/>
      <c r="K380" s="490"/>
      <c r="L380" s="311"/>
      <c r="M380" s="311"/>
      <c r="N380" s="311"/>
      <c r="O380" s="311"/>
      <c r="P380" s="311"/>
      <c r="Q380" s="311"/>
      <c r="R380" s="311"/>
      <c r="S380" s="311"/>
      <c r="T380" s="311"/>
      <c r="U380" s="477"/>
      <c r="V380" s="489"/>
      <c r="W380" s="489"/>
      <c r="X380" s="489"/>
      <c r="Y380" s="489"/>
      <c r="Z380" s="489"/>
      <c r="AA380" s="489"/>
      <c r="AB380" s="489"/>
      <c r="AC380" s="490"/>
      <c r="AD380" s="477"/>
      <c r="AE380" s="489"/>
      <c r="AF380" s="489"/>
      <c r="AG380" s="489"/>
      <c r="AH380" s="489"/>
      <c r="AI380" s="489"/>
      <c r="AJ380" s="489"/>
      <c r="AK380" s="489"/>
      <c r="AL380" s="490"/>
      <c r="AM380" s="477"/>
      <c r="AN380" s="489"/>
      <c r="AO380" s="489"/>
      <c r="AP380" s="489"/>
      <c r="AQ380" s="489"/>
      <c r="AR380" s="489"/>
      <c r="AS380" s="489"/>
      <c r="AT380" s="489"/>
      <c r="AU380" s="490"/>
    </row>
    <row r="381" spans="1:48" ht="23.25" customHeight="1"/>
    <row r="382" spans="1:48" s="153" customFormat="1" ht="12.75" customHeight="1">
      <c r="A382" s="502" t="s">
        <v>1207</v>
      </c>
      <c r="C382" s="202">
        <f>+C10+C20+C26+C36+C41+C59+C67+C72+C62</f>
        <v>66458306.25</v>
      </c>
      <c r="D382" s="202">
        <f t="shared" ref="D382:K382" si="109">+D10+D20+D26+D36+D41+D59+D67+D72+D62</f>
        <v>1021445</v>
      </c>
      <c r="E382" s="202">
        <f t="shared" si="109"/>
        <v>160698.12</v>
      </c>
      <c r="F382" s="202">
        <f t="shared" si="109"/>
        <v>0</v>
      </c>
      <c r="G382" s="202">
        <f t="shared" si="109"/>
        <v>83419.77</v>
      </c>
      <c r="H382" s="202">
        <f t="shared" si="109"/>
        <v>0</v>
      </c>
      <c r="I382" s="202">
        <f t="shared" si="109"/>
        <v>592101.49</v>
      </c>
      <c r="J382" s="202">
        <f t="shared" si="109"/>
        <v>0</v>
      </c>
      <c r="K382" s="202">
        <f t="shared" si="109"/>
        <v>68315970.629999995</v>
      </c>
      <c r="L382" s="311">
        <v>27573958.77</v>
      </c>
      <c r="M382" s="311">
        <v>-113287</v>
      </c>
      <c r="N382" s="311">
        <v>160698.12</v>
      </c>
      <c r="O382" s="311">
        <v>0</v>
      </c>
      <c r="P382" s="311">
        <v>73867.220000000016</v>
      </c>
      <c r="Q382" s="311">
        <v>0</v>
      </c>
      <c r="R382" s="311">
        <v>607377.49</v>
      </c>
      <c r="S382" s="311">
        <v>0</v>
      </c>
      <c r="T382" s="311">
        <v>28302614.599999998</v>
      </c>
      <c r="U382" s="202">
        <v>19233979.099999998</v>
      </c>
      <c r="V382" s="202">
        <v>33352</v>
      </c>
      <c r="W382" s="202">
        <v>64233</v>
      </c>
      <c r="X382" s="202">
        <v>0</v>
      </c>
      <c r="Y382" s="202">
        <v>75304</v>
      </c>
      <c r="Z382" s="202">
        <v>0</v>
      </c>
      <c r="AA382" s="202">
        <v>393070</v>
      </c>
      <c r="AB382" s="202">
        <v>0</v>
      </c>
      <c r="AC382" s="490">
        <v>19799938.099999998</v>
      </c>
      <c r="AD382" s="202">
        <v>66566759.589999996</v>
      </c>
      <c r="AE382" s="202">
        <v>37166</v>
      </c>
      <c r="AF382" s="202">
        <v>160933.93000000002</v>
      </c>
      <c r="AG382" s="202">
        <v>-125415.76</v>
      </c>
      <c r="AH382" s="202">
        <v>91394.09</v>
      </c>
      <c r="AI382" s="202">
        <v>-95909.75</v>
      </c>
      <c r="AJ382" s="202">
        <v>406946.2</v>
      </c>
      <c r="AK382" s="202">
        <v>49836.650000000009</v>
      </c>
      <c r="AL382" s="490">
        <v>67091710.950000003</v>
      </c>
      <c r="AM382" s="202">
        <v>62276388.740000002</v>
      </c>
      <c r="AN382" s="202">
        <v>40000</v>
      </c>
      <c r="AO382" s="202">
        <v>316788</v>
      </c>
      <c r="AP382" s="202">
        <v>-196417</v>
      </c>
      <c r="AQ382" s="202">
        <v>3810060</v>
      </c>
      <c r="AR382" s="202">
        <v>-9378</v>
      </c>
      <c r="AS382" s="202">
        <v>0</v>
      </c>
      <c r="AT382" s="202">
        <v>0</v>
      </c>
      <c r="AU382" s="490">
        <v>66237441.740000002</v>
      </c>
      <c r="AV382" s="491"/>
    </row>
    <row r="383" spans="1:48" s="153" customFormat="1">
      <c r="A383" s="502" t="s">
        <v>1208</v>
      </c>
      <c r="C383" s="202">
        <f t="shared" ref="C383:J383" si="110">+C97+C106+C124+C133+C138+C143+C147+C153+C160+C164++C169+C180+C186+C191+C195+C199+C204+C210+C216+C221+C225+C233+C237+C245+C252+C256+C260+C264+C269+C279+C283+C290+C294+C299+C303+C307+C353+0+C358+C363+C317+C274</f>
        <v>45975734.489999995</v>
      </c>
      <c r="D383" s="202">
        <f t="shared" si="110"/>
        <v>1830456.5245901637</v>
      </c>
      <c r="E383" s="202">
        <f t="shared" si="110"/>
        <v>453569.19</v>
      </c>
      <c r="F383" s="202">
        <f t="shared" si="110"/>
        <v>0</v>
      </c>
      <c r="G383" s="202">
        <f t="shared" si="110"/>
        <v>140534.75999999998</v>
      </c>
      <c r="H383" s="202">
        <f t="shared" si="110"/>
        <v>1815</v>
      </c>
      <c r="I383" s="202">
        <f t="shared" si="110"/>
        <v>914094.42999999993</v>
      </c>
      <c r="J383" s="202">
        <f t="shared" si="110"/>
        <v>13964.36</v>
      </c>
      <c r="K383" s="490">
        <f t="shared" ref="K383" si="111">SUBTOTAL(9,C383:J383)</f>
        <v>49330168.754590154</v>
      </c>
      <c r="L383" s="311">
        <v>33751473.75</v>
      </c>
      <c r="M383" s="311">
        <v>-446.54000000000087</v>
      </c>
      <c r="N383" s="311">
        <v>453569.19</v>
      </c>
      <c r="O383" s="311">
        <v>0</v>
      </c>
      <c r="P383" s="311">
        <v>111240.26</v>
      </c>
      <c r="Q383" s="311">
        <v>0</v>
      </c>
      <c r="R383" s="311">
        <v>914094.42999999993</v>
      </c>
      <c r="S383" s="311">
        <v>0</v>
      </c>
      <c r="T383" s="311">
        <v>35229931.089999996</v>
      </c>
      <c r="U383" s="202">
        <v>26610456.590000004</v>
      </c>
      <c r="V383" s="202">
        <v>1554693.5</v>
      </c>
      <c r="W383" s="202">
        <v>355941</v>
      </c>
      <c r="X383" s="202">
        <v>0</v>
      </c>
      <c r="Y383" s="202">
        <v>111017</v>
      </c>
      <c r="Z383" s="202">
        <v>0</v>
      </c>
      <c r="AA383" s="202">
        <v>651315</v>
      </c>
      <c r="AB383" s="202">
        <v>-26645</v>
      </c>
      <c r="AC383" s="490">
        <v>29256778.090000004</v>
      </c>
      <c r="AD383" s="202">
        <v>132320083.88</v>
      </c>
      <c r="AE383" s="202">
        <v>668910.33333333349</v>
      </c>
      <c r="AF383" s="202">
        <v>609309.6</v>
      </c>
      <c r="AG383" s="202">
        <v>-499752.76</v>
      </c>
      <c r="AH383" s="202">
        <v>-492509.76</v>
      </c>
      <c r="AI383" s="202">
        <v>-110322.08333333333</v>
      </c>
      <c r="AJ383" s="202">
        <v>650600.92000000004</v>
      </c>
      <c r="AK383" s="202">
        <v>-264875.69000000006</v>
      </c>
      <c r="AL383" s="490">
        <v>132881444.43999998</v>
      </c>
      <c r="AM383" s="202">
        <v>122195271.07958904</v>
      </c>
      <c r="AN383" s="202">
        <v>612327</v>
      </c>
      <c r="AO383" s="202">
        <v>332627</v>
      </c>
      <c r="AP383" s="202">
        <v>-201412</v>
      </c>
      <c r="AQ383" s="202">
        <v>4881707</v>
      </c>
      <c r="AR383" s="202">
        <v>-9378</v>
      </c>
      <c r="AS383" s="202">
        <v>0</v>
      </c>
      <c r="AT383" s="202">
        <v>0</v>
      </c>
      <c r="AU383" s="490">
        <v>127811142.07958904</v>
      </c>
      <c r="AV383" s="491"/>
    </row>
    <row r="384" spans="1:48" s="153" customFormat="1">
      <c r="A384" s="502" t="s">
        <v>1209</v>
      </c>
      <c r="C384" s="202">
        <f>+C382-C383</f>
        <v>20482571.760000005</v>
      </c>
      <c r="D384" s="202">
        <f t="shared" ref="D384:J384" si="112">+D382-D383</f>
        <v>-809011.52459016372</v>
      </c>
      <c r="E384" s="202">
        <f t="shared" si="112"/>
        <v>-292871.07</v>
      </c>
      <c r="F384" s="202">
        <f t="shared" si="112"/>
        <v>0</v>
      </c>
      <c r="G384" s="202">
        <f t="shared" si="112"/>
        <v>-57114.989999999976</v>
      </c>
      <c r="H384" s="202">
        <f t="shared" si="112"/>
        <v>-1815</v>
      </c>
      <c r="I384" s="202">
        <f t="shared" si="112"/>
        <v>-321992.93999999994</v>
      </c>
      <c r="J384" s="202">
        <f t="shared" si="112"/>
        <v>-13964.36</v>
      </c>
      <c r="K384" s="490">
        <f>K382-K383</f>
        <v>18985801.875409842</v>
      </c>
      <c r="L384" s="311">
        <v>-6177514.9800000004</v>
      </c>
      <c r="M384" s="311">
        <v>-112840.45999999999</v>
      </c>
      <c r="N384" s="311">
        <v>-292871.07</v>
      </c>
      <c r="O384" s="311">
        <v>0</v>
      </c>
      <c r="P384" s="311">
        <v>-37373.039999999979</v>
      </c>
      <c r="Q384" s="311">
        <v>0</v>
      </c>
      <c r="R384" s="311">
        <v>-306716.93999999994</v>
      </c>
      <c r="S384" s="311">
        <v>0</v>
      </c>
      <c r="T384" s="311">
        <v>-6927316.4899999984</v>
      </c>
      <c r="U384" s="202">
        <v>-7376477.4900000058</v>
      </c>
      <c r="V384" s="202">
        <v>-1521341.5</v>
      </c>
      <c r="W384" s="202">
        <v>-291708</v>
      </c>
      <c r="X384" s="202">
        <v>0</v>
      </c>
      <c r="Y384" s="202">
        <v>-35713</v>
      </c>
      <c r="Z384" s="202">
        <v>0</v>
      </c>
      <c r="AA384" s="202">
        <v>-258245</v>
      </c>
      <c r="AB384" s="202">
        <v>26645</v>
      </c>
      <c r="AC384" s="490">
        <v>-9456839.9900000058</v>
      </c>
      <c r="AD384" s="202">
        <v>-65753324.289999999</v>
      </c>
      <c r="AE384" s="202">
        <v>-631744.33333333349</v>
      </c>
      <c r="AF384" s="202">
        <v>-448375.66999999993</v>
      </c>
      <c r="AG384" s="202">
        <v>374337</v>
      </c>
      <c r="AH384" s="202">
        <v>583903.85</v>
      </c>
      <c r="AI384" s="202">
        <v>14412.333333333328</v>
      </c>
      <c r="AJ384" s="202">
        <v>-243654.72000000003</v>
      </c>
      <c r="AK384" s="202">
        <v>314712.34000000008</v>
      </c>
      <c r="AL384" s="490">
        <v>-65789733.48999998</v>
      </c>
      <c r="AM384" s="202">
        <v>-59918882.339589037</v>
      </c>
      <c r="AN384" s="202">
        <v>-572327</v>
      </c>
      <c r="AO384" s="202">
        <v>-15839</v>
      </c>
      <c r="AP384" s="202">
        <v>4995</v>
      </c>
      <c r="AQ384" s="202">
        <v>-1071647</v>
      </c>
      <c r="AR384" s="202">
        <v>0</v>
      </c>
      <c r="AS384" s="202">
        <v>0</v>
      </c>
      <c r="AT384" s="202">
        <v>0</v>
      </c>
      <c r="AU384" s="490">
        <v>-61573700.339589037</v>
      </c>
      <c r="AV384" s="491"/>
    </row>
    <row r="385" spans="1:48" s="153" customFormat="1">
      <c r="A385" s="502" t="s">
        <v>1551</v>
      </c>
      <c r="C385" s="202">
        <f>20524865+13305-25000+2750</f>
        <v>20515920</v>
      </c>
      <c r="D385" s="202">
        <f>D384</f>
        <v>-809011.52459016372</v>
      </c>
      <c r="E385" s="202">
        <v>-292871</v>
      </c>
      <c r="F385" s="202">
        <f>F384</f>
        <v>0</v>
      </c>
      <c r="G385" s="202">
        <v>-57115</v>
      </c>
      <c r="H385" s="202">
        <f>H384</f>
        <v>-1815</v>
      </c>
      <c r="I385" s="202">
        <f>-321993</f>
        <v>-321993</v>
      </c>
      <c r="J385" s="202">
        <f>J384</f>
        <v>-13964.36</v>
      </c>
      <c r="K385" s="490">
        <f t="shared" ref="K385" si="113">SUBTOTAL(9,C385:J385)</f>
        <v>19019150.115409836</v>
      </c>
      <c r="L385" s="311">
        <v>-6177514</v>
      </c>
      <c r="M385" s="311">
        <v>-112840.45999999999</v>
      </c>
      <c r="N385" s="311">
        <v>-292871</v>
      </c>
      <c r="O385" s="311">
        <v>0</v>
      </c>
      <c r="P385" s="311">
        <v>-37372</v>
      </c>
      <c r="Q385" s="311">
        <v>0</v>
      </c>
      <c r="R385" s="311">
        <v>-306716</v>
      </c>
      <c r="S385" s="311">
        <v>0</v>
      </c>
      <c r="T385" s="311">
        <v>-6927313.46</v>
      </c>
      <c r="U385" s="202">
        <v>-7371540</v>
      </c>
      <c r="V385" s="202"/>
      <c r="W385" s="202">
        <v>-291708</v>
      </c>
      <c r="X385" s="202">
        <v>0</v>
      </c>
      <c r="Y385" s="202">
        <v>-35713</v>
      </c>
      <c r="Z385" s="202">
        <v>0</v>
      </c>
      <c r="AA385" s="202">
        <v>-258245</v>
      </c>
      <c r="AB385" s="202">
        <v>26645</v>
      </c>
      <c r="AC385" s="490">
        <v>-7930561</v>
      </c>
      <c r="AD385" s="202">
        <v>-69908947</v>
      </c>
      <c r="AE385" s="202">
        <v>-631744.33333333349</v>
      </c>
      <c r="AF385" s="202">
        <v>-448376</v>
      </c>
      <c r="AG385" s="202">
        <v>374337</v>
      </c>
      <c r="AH385" s="202">
        <v>583903</v>
      </c>
      <c r="AI385" s="202">
        <v>14412.333333333328</v>
      </c>
      <c r="AJ385" s="202">
        <v>-243654</v>
      </c>
      <c r="AK385" s="202">
        <v>314712.34000000008</v>
      </c>
      <c r="AL385" s="490">
        <v>-69945356.659999996</v>
      </c>
      <c r="AM385" s="202">
        <v>-59907919.829999991</v>
      </c>
      <c r="AN385" s="202">
        <v>2414927.4904109589</v>
      </c>
      <c r="AO385" s="202">
        <v>-15839</v>
      </c>
      <c r="AP385" s="202">
        <v>4995</v>
      </c>
      <c r="AQ385" s="202">
        <v>-1071433</v>
      </c>
      <c r="AR385" s="202">
        <v>0</v>
      </c>
      <c r="AS385" s="202"/>
      <c r="AT385" s="202"/>
      <c r="AU385" s="490">
        <v>-58575269.33958903</v>
      </c>
      <c r="AV385" s="491"/>
    </row>
    <row r="386" spans="1:48" s="153" customFormat="1">
      <c r="A386" s="502"/>
      <c r="C386" s="202">
        <f t="shared" ref="C386:J386" si="114">+C384-C385</f>
        <v>-33348.239999994636</v>
      </c>
      <c r="D386" s="202">
        <f t="shared" si="114"/>
        <v>0</v>
      </c>
      <c r="E386" s="202">
        <f t="shared" si="114"/>
        <v>-7.0000000006984919E-2</v>
      </c>
      <c r="F386" s="202">
        <f t="shared" si="114"/>
        <v>0</v>
      </c>
      <c r="G386" s="202">
        <f t="shared" si="114"/>
        <v>1.0000000023865141E-2</v>
      </c>
      <c r="H386" s="202">
        <f t="shared" si="114"/>
        <v>0</v>
      </c>
      <c r="I386" s="202">
        <f t="shared" si="114"/>
        <v>6.0000000055879354E-2</v>
      </c>
      <c r="J386" s="202">
        <f t="shared" si="114"/>
        <v>0</v>
      </c>
      <c r="K386" s="490">
        <f>K384-K385</f>
        <v>-33348.239999994636</v>
      </c>
      <c r="L386" s="311">
        <v>-0.98000000044703484</v>
      </c>
      <c r="M386" s="311">
        <v>0</v>
      </c>
      <c r="N386" s="311">
        <v>-7.0000000006984919E-2</v>
      </c>
      <c r="O386" s="311">
        <v>0</v>
      </c>
      <c r="P386" s="311">
        <v>-1.0399999999790452</v>
      </c>
      <c r="Q386" s="311">
        <v>0</v>
      </c>
      <c r="R386" s="311">
        <v>-0.93999999994412065</v>
      </c>
      <c r="S386" s="311">
        <v>0</v>
      </c>
      <c r="T386" s="311">
        <v>-3.0299999983981252</v>
      </c>
      <c r="U386" s="202">
        <v>-4937.4900000058115</v>
      </c>
      <c r="V386" s="202">
        <v>-1521341.5</v>
      </c>
      <c r="W386" s="202">
        <v>0</v>
      </c>
      <c r="X386" s="202">
        <v>0</v>
      </c>
      <c r="Y386" s="202">
        <v>0</v>
      </c>
      <c r="Z386" s="202">
        <v>0</v>
      </c>
      <c r="AA386" s="202">
        <v>0</v>
      </c>
      <c r="AB386" s="202">
        <v>0</v>
      </c>
      <c r="AC386" s="490">
        <v>-1526278.9900000058</v>
      </c>
      <c r="AD386" s="202">
        <v>4155622.7100000009</v>
      </c>
      <c r="AE386" s="202">
        <v>0</v>
      </c>
      <c r="AF386" s="202">
        <v>0.33000000007450581</v>
      </c>
      <c r="AG386" s="202">
        <v>0</v>
      </c>
      <c r="AH386" s="202">
        <v>0.84999999997671694</v>
      </c>
      <c r="AI386" s="202">
        <v>0</v>
      </c>
      <c r="AJ386" s="202">
        <v>-0.72000000003026798</v>
      </c>
      <c r="AK386" s="202">
        <v>0</v>
      </c>
      <c r="AL386" s="490">
        <v>4155623.1700000167</v>
      </c>
      <c r="AM386" s="202">
        <v>-10962.50958904624</v>
      </c>
      <c r="AN386" s="202">
        <v>-2987254.4904109589</v>
      </c>
      <c r="AO386" s="202">
        <v>0</v>
      </c>
      <c r="AP386" s="202">
        <v>0</v>
      </c>
      <c r="AQ386" s="202">
        <v>-214</v>
      </c>
      <c r="AR386" s="202">
        <v>0</v>
      </c>
      <c r="AS386" s="202">
        <v>0</v>
      </c>
      <c r="AT386" s="202">
        <v>0</v>
      </c>
      <c r="AU386" s="490">
        <v>-2998431.0000000051</v>
      </c>
      <c r="AV386" s="491">
        <f>AD384+AK384</f>
        <v>-65438611.949999996</v>
      </c>
    </row>
    <row r="387" spans="1:48" s="153" customFormat="1">
      <c r="A387" s="502"/>
      <c r="C387" s="202"/>
      <c r="D387" s="202"/>
      <c r="E387" s="202"/>
      <c r="F387" s="202"/>
      <c r="G387" s="202"/>
      <c r="H387" s="202"/>
      <c r="I387" s="202"/>
      <c r="J387" s="202"/>
      <c r="K387" s="202"/>
      <c r="L387" s="202"/>
      <c r="M387" s="202"/>
      <c r="N387" s="202"/>
      <c r="O387" s="202"/>
      <c r="P387" s="202"/>
      <c r="Q387" s="202"/>
      <c r="R387" s="202"/>
      <c r="S387" s="202"/>
      <c r="T387" s="202"/>
      <c r="U387" s="202"/>
      <c r="V387" s="202"/>
      <c r="W387" s="202"/>
      <c r="X387" s="202"/>
      <c r="Y387" s="202"/>
      <c r="Z387" s="202"/>
      <c r="AA387" s="202"/>
      <c r="AB387" s="202"/>
      <c r="AC387" s="202"/>
      <c r="AD387" s="202"/>
      <c r="AE387" s="202"/>
      <c r="AF387" s="202"/>
      <c r="AG387" s="202"/>
      <c r="AH387" s="202"/>
      <c r="AI387" s="202"/>
      <c r="AJ387" s="202"/>
      <c r="AK387" s="202"/>
      <c r="AL387" s="202"/>
      <c r="AM387" s="202"/>
      <c r="AN387" s="202"/>
      <c r="AO387" s="202"/>
      <c r="AP387" s="202"/>
      <c r="AQ387" s="202"/>
      <c r="AR387" s="202"/>
      <c r="AS387" s="202"/>
      <c r="AT387" s="202"/>
      <c r="AU387" s="202"/>
      <c r="AV387" s="153">
        <v>65915417</v>
      </c>
    </row>
    <row r="388" spans="1:48" s="153" customFormat="1">
      <c r="A388" s="502"/>
      <c r="C388" s="202"/>
      <c r="D388" s="202"/>
      <c r="E388" s="202"/>
      <c r="F388" s="202"/>
      <c r="G388" s="202"/>
      <c r="H388" s="202"/>
      <c r="I388" s="202"/>
      <c r="J388" s="202"/>
      <c r="K388" s="202" t="e">
        <f>#REF!</f>
        <v>#REF!</v>
      </c>
      <c r="L388" s="202"/>
      <c r="M388" s="202"/>
      <c r="N388" s="202"/>
      <c r="O388" s="202"/>
      <c r="P388" s="202"/>
      <c r="Q388" s="202"/>
      <c r="R388" s="202"/>
      <c r="S388" s="202"/>
      <c r="T388" s="202">
        <v>-6814475.6000000006</v>
      </c>
      <c r="U388" s="202"/>
      <c r="V388" s="202"/>
      <c r="W388" s="202"/>
      <c r="X388" s="202"/>
      <c r="Y388" s="202"/>
      <c r="Z388" s="202"/>
      <c r="AA388" s="202"/>
      <c r="AB388" s="202"/>
      <c r="AC388" s="202"/>
      <c r="AD388" s="202"/>
      <c r="AE388" s="202"/>
      <c r="AF388" s="202"/>
      <c r="AG388" s="202"/>
      <c r="AH388" s="202"/>
      <c r="AI388" s="202"/>
      <c r="AJ388" s="202"/>
      <c r="AK388" s="202"/>
      <c r="AL388" s="202"/>
      <c r="AM388" s="202"/>
      <c r="AN388" s="202"/>
      <c r="AO388" s="202"/>
      <c r="AP388" s="202"/>
      <c r="AQ388" s="202"/>
      <c r="AR388" s="202"/>
      <c r="AS388" s="202"/>
      <c r="AT388" s="202"/>
      <c r="AU388" s="202"/>
      <c r="AV388" s="153">
        <f>SUM(AV386:AV387)</f>
        <v>476805.05000000447</v>
      </c>
    </row>
    <row r="389" spans="1:48">
      <c r="C389" s="202">
        <f>13800442+13776599</f>
        <v>27577041</v>
      </c>
      <c r="L389" s="202">
        <v>27577041</v>
      </c>
      <c r="U389" s="202">
        <v>7371540</v>
      </c>
    </row>
    <row r="390" spans="1:48">
      <c r="C390" s="916">
        <f>C382-C389</f>
        <v>38881265.25</v>
      </c>
      <c r="L390" s="202">
        <v>-3082.230000000447</v>
      </c>
      <c r="U390" s="916">
        <v>4937.4900000058115</v>
      </c>
    </row>
    <row r="393" spans="1:48">
      <c r="A393" s="444" t="s">
        <v>1709</v>
      </c>
      <c r="C393" s="202">
        <f>+C385+D385</f>
        <v>19706908.475409836</v>
      </c>
    </row>
    <row r="394" spans="1:48">
      <c r="A394" s="444" t="s">
        <v>1710</v>
      </c>
      <c r="C394" s="202">
        <v>19693607</v>
      </c>
      <c r="E394" s="202">
        <f>20430619-D352-J406+J404</f>
        <v>19693607</v>
      </c>
    </row>
    <row r="395" spans="1:48">
      <c r="C395" s="1109">
        <f>C393-C394</f>
        <v>13301.475409835577</v>
      </c>
    </row>
    <row r="396" spans="1:48">
      <c r="C396" s="1108"/>
    </row>
    <row r="401" spans="1:11">
      <c r="A401" s="444" t="s">
        <v>1711</v>
      </c>
      <c r="C401" s="202">
        <f>+C394+E385+G385+I385+J385+PL!D26+H385</f>
        <v>11589719.640000001</v>
      </c>
    </row>
    <row r="402" spans="1:11">
      <c r="A402" s="444" t="s">
        <v>1712</v>
      </c>
      <c r="C402" s="202">
        <f>'Profit reco'!C7</f>
        <v>11603021.115409836</v>
      </c>
    </row>
    <row r="403" spans="1:11">
      <c r="C403" s="202">
        <f>C401-C402</f>
        <v>-13301.475409835577</v>
      </c>
      <c r="I403" t="s">
        <v>1713</v>
      </c>
      <c r="J403"/>
      <c r="K403"/>
    </row>
    <row r="404" spans="1:11">
      <c r="C404" s="202">
        <f>C403+C396</f>
        <v>-13301.475409835577</v>
      </c>
      <c r="I404" t="s">
        <v>1714</v>
      </c>
      <c r="J404" s="1028">
        <v>1021445</v>
      </c>
      <c r="K404" t="s">
        <v>1715</v>
      </c>
    </row>
    <row r="405" spans="1:11">
      <c r="I405" t="s">
        <v>1716</v>
      </c>
      <c r="J405" s="1028">
        <v>113494</v>
      </c>
      <c r="K405" t="s">
        <v>1717</v>
      </c>
    </row>
    <row r="406" spans="1:11">
      <c r="I406" t="s">
        <v>1718</v>
      </c>
      <c r="J406" s="1028">
        <v>1134939</v>
      </c>
      <c r="K406" t="s">
        <v>1719</v>
      </c>
    </row>
  </sheetData>
  <autoFilter ref="A5:AZ380"/>
  <mergeCells count="4">
    <mergeCell ref="AD4:AL4"/>
    <mergeCell ref="AM4:AU4"/>
    <mergeCell ref="U4:AC4"/>
    <mergeCell ref="C4:K4"/>
  </mergeCells>
  <conditionalFormatting sqref="A1:A1048576">
    <cfRule type="duplicateValues" dxfId="7" priority="3"/>
    <cfRule type="duplicateValues" dxfId="6" priority="4"/>
  </conditionalFormatting>
  <conditionalFormatting sqref="F1">
    <cfRule type="duplicateValues" dxfId="5" priority="1"/>
  </conditionalFormatting>
  <conditionalFormatting sqref="F2">
    <cfRule type="duplicateValues" dxfId="4" priority="2"/>
  </conditionalFormatting>
  <hyperlinks>
    <hyperlink ref="A87" r:id="rId1"/>
    <hyperlink ref="A90" r:id="rId2" display="Purchase@0%"/>
    <hyperlink ref="A95" r:id="rId3" display="Purchase@0%"/>
    <hyperlink ref="A91" r:id="rId4" display="Purchase@0%"/>
    <hyperlink ref="A93" r:id="rId5" display="Purchase@0%"/>
    <hyperlink ref="A92" r:id="rId6" display="Purchase@0%"/>
  </hyperlinks>
  <pageMargins left="0.7" right="0.7" top="0.75" bottom="0.75" header="0.3" footer="0.3"/>
  <pageSetup paperSize="9" orientation="portrait" r:id="rId7"/>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24"/>
  <sheetViews>
    <sheetView workbookViewId="0">
      <pane xSplit="2" ySplit="5" topLeftCell="C78" activePane="bottomRight" state="frozen"/>
      <selection activeCell="B25" sqref="B25"/>
      <selection pane="topRight" activeCell="B25" sqref="B25"/>
      <selection pane="bottomLeft" activeCell="B25" sqref="B25"/>
      <selection pane="bottomRight" activeCell="C88" sqref="C88"/>
    </sheetView>
  </sheetViews>
  <sheetFormatPr defaultColWidth="9.21875" defaultRowHeight="14.4"/>
  <cols>
    <col min="1" max="1" width="43.5546875" style="444" customWidth="1"/>
    <col min="2" max="2" width="10.77734375" style="151" customWidth="1"/>
    <col min="3" max="3" width="16.77734375" style="202" bestFit="1" customWidth="1"/>
    <col min="4" max="4" width="13.109375" style="202" bestFit="1" customWidth="1"/>
    <col min="5" max="5" width="16.6640625" style="202" customWidth="1"/>
    <col min="6" max="6" width="13.44140625" style="202" bestFit="1" customWidth="1"/>
    <col min="7" max="7" width="14" style="202" bestFit="1" customWidth="1"/>
    <col min="8" max="8" width="11.77734375" style="202" bestFit="1" customWidth="1"/>
    <col min="9" max="9" width="13" style="202" bestFit="1" customWidth="1"/>
    <col min="10" max="10" width="12.77734375" style="202" bestFit="1" customWidth="1"/>
    <col min="11" max="11" width="16" style="202" bestFit="1" customWidth="1"/>
    <col min="12" max="12" width="16.77734375" style="202" bestFit="1" customWidth="1"/>
    <col min="13" max="13" width="11.21875" style="202" bestFit="1" customWidth="1"/>
    <col min="14" max="14" width="16.6640625" style="202" customWidth="1"/>
    <col min="15" max="15" width="13.44140625" style="202" bestFit="1" customWidth="1"/>
    <col min="16" max="16" width="14" style="202" bestFit="1" customWidth="1"/>
    <col min="17" max="17" width="11.77734375" style="202" bestFit="1" customWidth="1"/>
    <col min="18" max="18" width="13" style="202" bestFit="1" customWidth="1"/>
    <col min="19" max="19" width="12.77734375" style="202" bestFit="1" customWidth="1"/>
    <col min="20" max="20" width="16" style="202" bestFit="1" customWidth="1"/>
    <col min="21" max="21" width="16.77734375" style="202" bestFit="1" customWidth="1"/>
    <col min="22" max="22" width="11.21875" style="202" bestFit="1" customWidth="1"/>
    <col min="23" max="23" width="13" style="202" bestFit="1" customWidth="1"/>
    <col min="24" max="24" width="13.44140625" style="202" bestFit="1" customWidth="1"/>
    <col min="25" max="25" width="14" style="202" bestFit="1" customWidth="1"/>
    <col min="26" max="26" width="11.77734375" style="202" bestFit="1" customWidth="1"/>
    <col min="27" max="27" width="13" style="202" bestFit="1" customWidth="1"/>
    <col min="28" max="28" width="12.77734375" style="202" bestFit="1" customWidth="1"/>
    <col min="29" max="29" width="16" style="202" bestFit="1" customWidth="1"/>
    <col min="30" max="30" width="16.77734375" style="202" bestFit="1" customWidth="1"/>
    <col min="31" max="31" width="12.21875" style="202" bestFit="1" customWidth="1"/>
    <col min="32" max="32" width="13" style="202" bestFit="1" customWidth="1"/>
    <col min="33" max="33" width="12.21875" style="202" bestFit="1" customWidth="1"/>
    <col min="34" max="34" width="10.5546875" style="202" bestFit="1" customWidth="1"/>
    <col min="35" max="35" width="8.5546875" style="202" customWidth="1"/>
    <col min="36" max="36" width="13" style="202" bestFit="1" customWidth="1"/>
    <col min="37" max="37" width="11.44140625" style="202" bestFit="1" customWidth="1"/>
    <col min="38" max="38" width="16" style="202" bestFit="1" customWidth="1"/>
    <col min="39" max="39" width="16" style="202" customWidth="1"/>
    <col min="40" max="40" width="13.21875" style="202" customWidth="1"/>
    <col min="41" max="42" width="12.44140625" style="202" customWidth="1"/>
    <col min="43" max="43" width="14.21875" style="202" customWidth="1"/>
    <col min="44" max="44" width="7.21875" style="202" customWidth="1"/>
    <col min="45" max="45" width="14.21875" style="202" customWidth="1"/>
    <col min="46" max="46" width="7.21875" style="202" customWidth="1"/>
    <col min="47" max="47" width="16" style="202" customWidth="1"/>
    <col min="48" max="48" width="14.21875" style="151" bestFit="1" customWidth="1"/>
    <col min="49" max="50" width="9.77734375" style="151" bestFit="1" customWidth="1"/>
    <col min="51" max="16384" width="9.21875" style="151"/>
  </cols>
  <sheetData>
    <row r="1" spans="1:48" s="5" customFormat="1">
      <c r="A1" s="5" t="str">
        <f>BS!A1</f>
        <v>1908 E-Ventures Private Limited</v>
      </c>
      <c r="B1" s="162">
        <f>SUM(B2:B3)</f>
        <v>244828988</v>
      </c>
      <c r="C1" s="474">
        <v>11667312</v>
      </c>
      <c r="D1" s="474">
        <f>C11+C13</f>
        <v>13585769.180000007</v>
      </c>
      <c r="E1" s="474">
        <f>C1-D1</f>
        <v>-1918457.1800000072</v>
      </c>
      <c r="F1" s="474">
        <f>C9+C13</f>
        <v>-230570906.03999999</v>
      </c>
      <c r="G1" s="474" t="e">
        <f>F1+#REF!</f>
        <v>#REF!</v>
      </c>
      <c r="H1" s="474">
        <f>C14</f>
        <v>13066442.760000005</v>
      </c>
      <c r="I1" s="474" t="e">
        <f>G1+H1</f>
        <v>#REF!</v>
      </c>
      <c r="J1" s="474">
        <v>187817692</v>
      </c>
      <c r="K1" s="475">
        <f>J2+J13-2960</f>
        <v>187814732</v>
      </c>
      <c r="L1" s="474">
        <v>11667312</v>
      </c>
      <c r="M1" s="474">
        <f>L11+L13</f>
        <v>13886871.016666651</v>
      </c>
      <c r="N1" s="474">
        <f>L1-M1</f>
        <v>-2219559.0166666508</v>
      </c>
      <c r="O1" s="474">
        <f>L9+L13</f>
        <v>-230250551.98333335</v>
      </c>
      <c r="P1" s="474" t="e">
        <f>O1+#REF!</f>
        <v>#REF!</v>
      </c>
      <c r="Q1" s="474">
        <f>L14</f>
        <v>-13593643</v>
      </c>
      <c r="R1" s="474" t="e">
        <f>P1+Q1</f>
        <v>#REF!</v>
      </c>
      <c r="S1" s="474">
        <v>187817692</v>
      </c>
      <c r="T1" s="475">
        <f>S2+S13-2960</f>
        <v>377674.16999997338</v>
      </c>
      <c r="U1" s="474">
        <v>11667312</v>
      </c>
      <c r="V1" s="474">
        <v>13886871.016666651</v>
      </c>
      <c r="W1" s="474">
        <v>-2219559.0166666508</v>
      </c>
      <c r="X1" s="474">
        <v>-230250551.98333335</v>
      </c>
      <c r="Y1" s="474">
        <v>14578436.016666651</v>
      </c>
      <c r="Z1" s="474">
        <v>-14787669</v>
      </c>
      <c r="AA1" s="474">
        <v>-209232.98333334923</v>
      </c>
      <c r="AB1" s="474">
        <v>187817692</v>
      </c>
      <c r="AC1" s="475">
        <v>374714.16999997338</v>
      </c>
      <c r="AD1" s="474">
        <v>59945140</v>
      </c>
      <c r="AE1" s="474">
        <v>-70218795</v>
      </c>
      <c r="AF1" s="474">
        <v>-70225978.993333325</v>
      </c>
      <c r="AG1" s="474">
        <v>7183.99333332479</v>
      </c>
      <c r="AH1" s="474"/>
      <c r="AI1" s="474"/>
      <c r="AJ1" s="474"/>
      <c r="AK1" s="474"/>
      <c r="AL1" s="475">
        <v>0</v>
      </c>
      <c r="AM1" s="474"/>
      <c r="AO1" s="474"/>
      <c r="AP1" s="474"/>
      <c r="AQ1" s="474"/>
      <c r="AR1" s="474"/>
      <c r="AS1" s="474"/>
      <c r="AT1" s="474"/>
      <c r="AU1" s="474">
        <v>0</v>
      </c>
    </row>
    <row r="2" spans="1:48" s="5" customFormat="1">
      <c r="A2" s="162" t="s">
        <v>1431</v>
      </c>
      <c r="B2" s="162">
        <v>202676507</v>
      </c>
      <c r="C2" s="651">
        <f>C3/2</f>
        <v>-8645.1099999919534</v>
      </c>
      <c r="D2" s="474">
        <f>C3+D3</f>
        <v>-128032.74459014763</v>
      </c>
      <c r="E2" s="474">
        <f>IFERROR(VLOOKUP(#REF!,#REF!,8,0),0)+IFERROR(VLOOKUP(#REF!,#REF!,9,0),0)</f>
        <v>0</v>
      </c>
      <c r="F2" s="474"/>
      <c r="G2" s="474">
        <f>IFERROR(VLOOKUP(#REF!,#REF!,4,0),0)+IFERROR(VLOOKUP(#REF!,#REF!,5,0),0)</f>
        <v>0</v>
      </c>
      <c r="H2" s="474"/>
      <c r="I2" s="489">
        <f>IFERROR(VLOOKUP(#REF!,#REF!,13,0),0)+IFERROR(VLOOKUP(#REF!,#REF!,12,0),0)</f>
        <v>0</v>
      </c>
      <c r="J2" s="474">
        <f>C13+J1</f>
        <v>187817692</v>
      </c>
      <c r="K2" s="475" t="s">
        <v>1411</v>
      </c>
      <c r="L2" s="651">
        <f>L3/2</f>
        <v>-140239.92166667432</v>
      </c>
      <c r="M2" s="474"/>
      <c r="N2" s="474">
        <f>IFERROR(VLOOKUP(#REF!,#REF!,8,0),0)+IFERROR(VLOOKUP(#REF!,#REF!,9,0),0)</f>
        <v>0</v>
      </c>
      <c r="O2" s="474"/>
      <c r="P2" s="474">
        <f>IFERROR(VLOOKUP(#REF!,#REF!,4,0),0)+IFERROR(VLOOKUP(#REF!,#REF!,5,0),0)</f>
        <v>0</v>
      </c>
      <c r="Q2" s="474"/>
      <c r="R2" s="489">
        <f>IFERROR(VLOOKUP(#REF!,#REF!,13,0),0)+IFERROR(VLOOKUP(#REF!,#REF!,12,0),0)</f>
        <v>0</v>
      </c>
      <c r="S2" s="474">
        <f>L13+S1</f>
        <v>-322827.50333335996</v>
      </c>
      <c r="T2" s="475" t="s">
        <v>1411</v>
      </c>
      <c r="U2" s="651">
        <v>-140239.64166668057</v>
      </c>
      <c r="V2" s="474"/>
      <c r="W2" s="474">
        <v>0</v>
      </c>
      <c r="X2" s="474"/>
      <c r="Y2" s="474">
        <v>0</v>
      </c>
      <c r="Z2" s="474"/>
      <c r="AA2" s="489">
        <v>0</v>
      </c>
      <c r="AB2" s="474">
        <v>-322827.50333335996</v>
      </c>
      <c r="AC2" s="475" t="s">
        <v>1411</v>
      </c>
      <c r="AD2" s="474">
        <v>-49018174</v>
      </c>
      <c r="AE2" s="474"/>
      <c r="AF2" s="474">
        <v>0</v>
      </c>
      <c r="AG2" s="474"/>
      <c r="AH2" s="474">
        <v>0</v>
      </c>
      <c r="AI2" s="474"/>
      <c r="AJ2" s="489">
        <v>0</v>
      </c>
      <c r="AK2" s="474"/>
      <c r="AL2" s="475" t="s">
        <v>1411</v>
      </c>
      <c r="AM2" s="477">
        <v>0</v>
      </c>
      <c r="AO2" s="474"/>
      <c r="AP2" s="474"/>
      <c r="AQ2" s="474"/>
      <c r="AR2" s="474"/>
      <c r="AS2" s="474"/>
      <c r="AT2" s="474"/>
      <c r="AU2" s="474"/>
    </row>
    <row r="3" spans="1:48" s="1" customFormat="1" ht="15" thickBot="1">
      <c r="A3" s="478"/>
      <c r="B3" s="1">
        <v>42152481</v>
      </c>
      <c r="C3" s="23">
        <f>C210</f>
        <v>-17290.219999983907</v>
      </c>
      <c r="D3" s="23">
        <f t="shared" ref="D3:K3" si="0">D210</f>
        <v>-110742.52459016372</v>
      </c>
      <c r="E3" s="23">
        <f t="shared" si="0"/>
        <v>7.0000000006984919E-2</v>
      </c>
      <c r="F3" s="23">
        <f t="shared" si="0"/>
        <v>0</v>
      </c>
      <c r="G3" s="23">
        <f t="shared" si="0"/>
        <v>-1.0000000002037268E-2</v>
      </c>
      <c r="H3" s="23">
        <f t="shared" si="0"/>
        <v>0</v>
      </c>
      <c r="I3" s="23">
        <f t="shared" si="0"/>
        <v>-5.9999999939464033E-2</v>
      </c>
      <c r="J3" s="23">
        <f t="shared" si="0"/>
        <v>113494</v>
      </c>
      <c r="K3" s="23">
        <f t="shared" si="0"/>
        <v>-14538.74459014833</v>
      </c>
      <c r="L3" s="23">
        <f>L210</f>
        <v>-280479.84333334863</v>
      </c>
      <c r="M3" s="23">
        <f t="shared" ref="M3:T3" si="1">M210</f>
        <v>0</v>
      </c>
      <c r="N3" s="23">
        <f t="shared" si="1"/>
        <v>0.44999999995343387</v>
      </c>
      <c r="O3" s="23">
        <f t="shared" si="1"/>
        <v>0</v>
      </c>
      <c r="P3" s="23">
        <f t="shared" si="1"/>
        <v>4.9999999988358468E-2</v>
      </c>
      <c r="Q3" s="23">
        <f t="shared" si="1"/>
        <v>-0.9900000000197906</v>
      </c>
      <c r="R3" s="23">
        <f t="shared" si="1"/>
        <v>1.3900000000139698</v>
      </c>
      <c r="S3" s="23">
        <f t="shared" si="1"/>
        <v>703461.67333333334</v>
      </c>
      <c r="T3" s="23">
        <f t="shared" si="1"/>
        <v>422982.72999998927</v>
      </c>
      <c r="U3" s="23">
        <v>-280479.28333336115</v>
      </c>
      <c r="V3" s="23">
        <v>-1588045.04</v>
      </c>
      <c r="W3" s="23">
        <v>1.3399999999674037</v>
      </c>
      <c r="X3" s="23">
        <v>0</v>
      </c>
      <c r="Y3" s="23">
        <v>1</v>
      </c>
      <c r="Z3" s="23">
        <v>0</v>
      </c>
      <c r="AA3" s="23">
        <v>1</v>
      </c>
      <c r="AB3" s="23">
        <v>700501.67333333334</v>
      </c>
      <c r="AC3" s="23">
        <v>-1168019.3100000173</v>
      </c>
      <c r="AD3" s="23">
        <v>11667312</v>
      </c>
      <c r="AE3" s="23">
        <v>11386934.01666666</v>
      </c>
      <c r="AF3" s="23">
        <v>280377.98333333991</v>
      </c>
      <c r="AG3" s="23"/>
      <c r="AH3" s="23"/>
      <c r="AI3" s="23"/>
      <c r="AJ3" s="23"/>
      <c r="AK3" s="23"/>
      <c r="AL3" s="23"/>
      <c r="AM3" s="23"/>
      <c r="AO3" s="23"/>
      <c r="AP3" s="23"/>
      <c r="AQ3" s="23"/>
      <c r="AR3" s="23"/>
      <c r="AS3" s="23"/>
      <c r="AT3" s="23"/>
      <c r="AU3" s="23"/>
    </row>
    <row r="4" spans="1:48" s="1" customFormat="1" ht="16.5" customHeight="1" thickTop="1" thickBot="1">
      <c r="A4" s="503" t="s">
        <v>0</v>
      </c>
      <c r="B4" s="480"/>
      <c r="C4" s="1360" t="s">
        <v>1568</v>
      </c>
      <c r="D4" s="1361"/>
      <c r="E4" s="1361"/>
      <c r="F4" s="1361"/>
      <c r="G4" s="1361"/>
      <c r="H4" s="1361"/>
      <c r="I4" s="1361"/>
      <c r="J4" s="1361"/>
      <c r="K4" s="1362"/>
      <c r="L4" s="1360" t="s">
        <v>1536</v>
      </c>
      <c r="M4" s="1361"/>
      <c r="N4" s="1361"/>
      <c r="O4" s="1361"/>
      <c r="P4" s="1361"/>
      <c r="Q4" s="1361"/>
      <c r="R4" s="1361"/>
      <c r="S4" s="1361"/>
      <c r="T4" s="1362"/>
      <c r="U4" s="1360" t="s">
        <v>1505</v>
      </c>
      <c r="V4" s="1361"/>
      <c r="W4" s="1361"/>
      <c r="X4" s="1361"/>
      <c r="Y4" s="1361"/>
      <c r="Z4" s="1361"/>
      <c r="AA4" s="1361"/>
      <c r="AB4" s="1361"/>
      <c r="AC4" s="1362"/>
      <c r="AD4" s="1360" t="s">
        <v>1354</v>
      </c>
      <c r="AE4" s="1361"/>
      <c r="AF4" s="1361"/>
      <c r="AG4" s="1361"/>
      <c r="AH4" s="1361"/>
      <c r="AI4" s="1361"/>
      <c r="AJ4" s="1361"/>
      <c r="AK4" s="1361"/>
      <c r="AL4" s="1362"/>
      <c r="AM4" s="1363" t="s">
        <v>1118</v>
      </c>
      <c r="AN4" s="1361"/>
      <c r="AO4" s="1361"/>
      <c r="AP4" s="1361"/>
      <c r="AQ4" s="1361"/>
      <c r="AR4" s="1361"/>
      <c r="AS4" s="1361"/>
      <c r="AT4" s="1361"/>
      <c r="AU4" s="1364"/>
    </row>
    <row r="5" spans="1:48" s="1" customFormat="1" ht="15.6" thickTop="1" thickBot="1">
      <c r="A5" s="504" t="s">
        <v>0</v>
      </c>
      <c r="B5" s="483" t="s">
        <v>1125</v>
      </c>
      <c r="C5" s="484" t="s">
        <v>95</v>
      </c>
      <c r="D5" s="484" t="s">
        <v>1124</v>
      </c>
      <c r="E5" s="484" t="s">
        <v>1082</v>
      </c>
      <c r="F5" s="484" t="s">
        <v>1124</v>
      </c>
      <c r="G5" s="484" t="s">
        <v>1081</v>
      </c>
      <c r="H5" s="484" t="s">
        <v>1124</v>
      </c>
      <c r="I5" s="484" t="s">
        <v>1429</v>
      </c>
      <c r="J5" s="484" t="s">
        <v>1124</v>
      </c>
      <c r="K5" s="485" t="s">
        <v>51</v>
      </c>
      <c r="L5" s="484" t="s">
        <v>95</v>
      </c>
      <c r="M5" s="484" t="s">
        <v>1124</v>
      </c>
      <c r="N5" s="484" t="s">
        <v>1082</v>
      </c>
      <c r="O5" s="484" t="s">
        <v>1124</v>
      </c>
      <c r="P5" s="484" t="s">
        <v>1081</v>
      </c>
      <c r="Q5" s="484" t="s">
        <v>1124</v>
      </c>
      <c r="R5" s="484" t="s">
        <v>1429</v>
      </c>
      <c r="S5" s="484" t="s">
        <v>1124</v>
      </c>
      <c r="T5" s="485" t="s">
        <v>51</v>
      </c>
      <c r="U5" s="484" t="s">
        <v>95</v>
      </c>
      <c r="V5" s="484" t="s">
        <v>1124</v>
      </c>
      <c r="W5" s="484" t="s">
        <v>1082</v>
      </c>
      <c r="X5" s="484" t="s">
        <v>1124</v>
      </c>
      <c r="Y5" s="484" t="s">
        <v>1081</v>
      </c>
      <c r="Z5" s="484" t="s">
        <v>1124</v>
      </c>
      <c r="AA5" s="484" t="s">
        <v>1429</v>
      </c>
      <c r="AB5" s="484" t="s">
        <v>1124</v>
      </c>
      <c r="AC5" s="485" t="s">
        <v>51</v>
      </c>
      <c r="AD5" s="484" t="s">
        <v>95</v>
      </c>
      <c r="AE5" s="484" t="s">
        <v>1124</v>
      </c>
      <c r="AF5" s="484" t="s">
        <v>1082</v>
      </c>
      <c r="AG5" s="484" t="s">
        <v>1124</v>
      </c>
      <c r="AH5" s="484" t="s">
        <v>1081</v>
      </c>
      <c r="AI5" s="484" t="s">
        <v>1124</v>
      </c>
      <c r="AJ5" s="484" t="s">
        <v>1429</v>
      </c>
      <c r="AK5" s="484" t="s">
        <v>1124</v>
      </c>
      <c r="AL5" s="485" t="s">
        <v>51</v>
      </c>
      <c r="AM5" s="484" t="s">
        <v>95</v>
      </c>
      <c r="AN5" s="484" t="s">
        <v>1124</v>
      </c>
      <c r="AO5" s="484" t="s">
        <v>1082</v>
      </c>
      <c r="AP5" s="484" t="s">
        <v>1124</v>
      </c>
      <c r="AQ5" s="484" t="s">
        <v>1081</v>
      </c>
      <c r="AR5" s="484" t="s">
        <v>1124</v>
      </c>
      <c r="AS5" s="484" t="s">
        <v>1429</v>
      </c>
      <c r="AT5" s="484" t="s">
        <v>1124</v>
      </c>
      <c r="AU5" s="486" t="s">
        <v>51</v>
      </c>
    </row>
    <row r="6" spans="1:48" ht="15" thickTop="1">
      <c r="A6" s="487" t="s">
        <v>1126</v>
      </c>
      <c r="B6" s="488"/>
      <c r="C6" s="477"/>
      <c r="D6" s="489"/>
      <c r="E6" s="489"/>
      <c r="F6" s="489"/>
      <c r="G6" s="489"/>
      <c r="H6" s="489"/>
      <c r="I6" s="489"/>
      <c r="J6" s="489"/>
      <c r="K6" s="490"/>
      <c r="L6" s="477"/>
      <c r="M6" s="489"/>
      <c r="N6" s="489"/>
      <c r="O6" s="489"/>
      <c r="P6" s="489"/>
      <c r="Q6" s="489"/>
      <c r="R6" s="489"/>
      <c r="S6" s="489"/>
      <c r="T6" s="490"/>
      <c r="U6" s="477"/>
      <c r="V6" s="489"/>
      <c r="W6" s="489"/>
      <c r="X6" s="489"/>
      <c r="Y6" s="489"/>
      <c r="Z6" s="489"/>
      <c r="AA6" s="489"/>
      <c r="AB6" s="489"/>
      <c r="AC6" s="490"/>
      <c r="AD6" s="477"/>
      <c r="AE6" s="489"/>
      <c r="AF6" s="489"/>
      <c r="AG6" s="489"/>
      <c r="AH6" s="489"/>
      <c r="AI6" s="489"/>
      <c r="AJ6" s="489"/>
      <c r="AK6" s="489"/>
      <c r="AL6" s="490"/>
      <c r="AM6" s="477"/>
      <c r="AN6" s="489"/>
      <c r="AO6" s="489"/>
      <c r="AP6" s="489"/>
      <c r="AQ6" s="489"/>
      <c r="AR6" s="489"/>
      <c r="AS6" s="489"/>
      <c r="AT6" s="489"/>
      <c r="AU6" s="490"/>
    </row>
    <row r="7" spans="1:48">
      <c r="A7" s="444" t="s">
        <v>102</v>
      </c>
      <c r="B7" s="488" t="s">
        <v>449</v>
      </c>
      <c r="C7" s="909">
        <f>AC7</f>
        <v>60196390</v>
      </c>
      <c r="D7" s="489"/>
      <c r="E7" s="474"/>
      <c r="F7" s="489"/>
      <c r="G7" s="474"/>
      <c r="H7" s="489"/>
      <c r="I7" s="489"/>
      <c r="J7" s="489"/>
      <c r="K7" s="490">
        <f t="shared" ref="K7:K10" si="2">SUM(C7:J7)</f>
        <v>60196390</v>
      </c>
      <c r="L7" s="909">
        <v>60196390</v>
      </c>
      <c r="M7" s="489"/>
      <c r="N7" s="474"/>
      <c r="O7" s="489"/>
      <c r="P7" s="474"/>
      <c r="Q7" s="489"/>
      <c r="R7" s="489"/>
      <c r="S7" s="489"/>
      <c r="T7" s="490">
        <v>60196390</v>
      </c>
      <c r="U7" s="909">
        <v>60196390</v>
      </c>
      <c r="V7" s="489"/>
      <c r="W7" s="474"/>
      <c r="X7" s="489"/>
      <c r="Y7" s="474"/>
      <c r="Z7" s="489"/>
      <c r="AA7" s="489"/>
      <c r="AB7" s="489"/>
      <c r="AC7" s="490">
        <v>60196390</v>
      </c>
      <c r="AD7" s="477">
        <v>59945140</v>
      </c>
      <c r="AE7" s="489"/>
      <c r="AF7" s="474">
        <v>0</v>
      </c>
      <c r="AG7" s="489"/>
      <c r="AH7" s="474">
        <v>0</v>
      </c>
      <c r="AI7" s="489"/>
      <c r="AJ7" s="489">
        <v>0</v>
      </c>
      <c r="AK7" s="489"/>
      <c r="AL7" s="490">
        <v>59945140</v>
      </c>
      <c r="AM7" s="477">
        <v>59442630</v>
      </c>
      <c r="AN7" s="489"/>
      <c r="AO7" s="489"/>
      <c r="AP7" s="489"/>
      <c r="AQ7" s="489"/>
      <c r="AR7" s="489"/>
      <c r="AS7" s="489"/>
      <c r="AT7" s="489"/>
      <c r="AU7" s="490">
        <v>59442630</v>
      </c>
    </row>
    <row r="8" spans="1:48">
      <c r="A8" s="444" t="s">
        <v>544</v>
      </c>
      <c r="B8" s="488" t="s">
        <v>449</v>
      </c>
      <c r="C8" s="909">
        <v>179459892.22</v>
      </c>
      <c r="D8" s="489"/>
      <c r="E8" s="474"/>
      <c r="F8" s="489"/>
      <c r="G8" s="474"/>
      <c r="H8" s="489"/>
      <c r="I8" s="489"/>
      <c r="J8" s="474"/>
      <c r="K8" s="490">
        <f t="shared" si="2"/>
        <v>179459892.22</v>
      </c>
      <c r="L8" s="909">
        <v>179440640</v>
      </c>
      <c r="M8" s="489"/>
      <c r="N8" s="474"/>
      <c r="O8" s="489"/>
      <c r="P8" s="474"/>
      <c r="Q8" s="489"/>
      <c r="R8" s="489"/>
      <c r="S8" s="489"/>
      <c r="T8" s="490">
        <v>179440640</v>
      </c>
      <c r="U8" s="909">
        <v>179440640</v>
      </c>
      <c r="V8" s="489"/>
      <c r="W8" s="474"/>
      <c r="X8" s="489"/>
      <c r="Y8" s="474"/>
      <c r="Z8" s="489"/>
      <c r="AA8" s="489"/>
      <c r="AB8" s="489"/>
      <c r="AC8" s="490">
        <v>179440640</v>
      </c>
      <c r="AD8" s="477">
        <v>177191953</v>
      </c>
      <c r="AE8" s="489"/>
      <c r="AF8" s="474">
        <v>0</v>
      </c>
      <c r="AG8" s="489"/>
      <c r="AH8" s="474">
        <v>0</v>
      </c>
      <c r="AI8" s="489"/>
      <c r="AJ8" s="489">
        <v>0</v>
      </c>
      <c r="AK8" s="489"/>
      <c r="AL8" s="490">
        <v>177191953</v>
      </c>
      <c r="AM8" s="477">
        <v>172694488</v>
      </c>
      <c r="AN8" s="489"/>
      <c r="AO8" s="489"/>
      <c r="AP8" s="489"/>
      <c r="AQ8" s="489"/>
      <c r="AR8" s="489"/>
      <c r="AS8" s="489"/>
      <c r="AT8" s="489"/>
      <c r="AU8" s="490">
        <v>172694488</v>
      </c>
    </row>
    <row r="9" spans="1:48">
      <c r="A9" s="444" t="s">
        <v>361</v>
      </c>
      <c r="B9" s="488" t="s">
        <v>449</v>
      </c>
      <c r="C9" s="913">
        <f>-42152481.48-188418424.56</f>
        <v>-230570906.03999999</v>
      </c>
      <c r="D9" s="489"/>
      <c r="E9" s="474"/>
      <c r="F9" s="489"/>
      <c r="G9" s="474"/>
      <c r="H9" s="489"/>
      <c r="I9" s="489"/>
      <c r="J9" s="489"/>
      <c r="K9" s="490">
        <f t="shared" si="2"/>
        <v>-230570906.03999999</v>
      </c>
      <c r="L9" s="913">
        <v>-42110032.479999997</v>
      </c>
      <c r="M9" s="489"/>
      <c r="N9" s="474"/>
      <c r="O9" s="489"/>
      <c r="P9" s="474"/>
      <c r="Q9" s="489"/>
      <c r="R9" s="489"/>
      <c r="S9" s="489"/>
      <c r="T9" s="490">
        <v>-42110032.479999997</v>
      </c>
      <c r="U9" s="913">
        <v>-42110032.479999997</v>
      </c>
      <c r="V9" s="489"/>
      <c r="W9" s="474"/>
      <c r="X9" s="489"/>
      <c r="Y9" s="474"/>
      <c r="Z9" s="489"/>
      <c r="AA9" s="489"/>
      <c r="AB9" s="489"/>
      <c r="AC9" s="490">
        <v>-42110032.479999997</v>
      </c>
      <c r="AD9" s="477">
        <v>-42110032.479999997</v>
      </c>
      <c r="AE9" s="489"/>
      <c r="AF9" s="474">
        <v>0</v>
      </c>
      <c r="AG9" s="489"/>
      <c r="AH9" s="474">
        <v>0</v>
      </c>
      <c r="AI9" s="489"/>
      <c r="AJ9" s="489">
        <v>0</v>
      </c>
      <c r="AK9" s="489"/>
      <c r="AL9" s="490">
        <v>-42110032.479999997</v>
      </c>
      <c r="AM9" s="477">
        <v>-42108371.479999997</v>
      </c>
      <c r="AN9" s="489"/>
      <c r="AO9" s="489"/>
      <c r="AP9" s="489"/>
      <c r="AQ9" s="489"/>
      <c r="AR9" s="489"/>
      <c r="AS9" s="489"/>
      <c r="AT9" s="489"/>
      <c r="AU9" s="490">
        <v>-42108371.479999997</v>
      </c>
    </row>
    <row r="10" spans="1:48" ht="15" thickBot="1">
      <c r="A10" s="444" t="s">
        <v>1055</v>
      </c>
      <c r="B10" s="488" t="s">
        <v>449</v>
      </c>
      <c r="C10" s="909">
        <f>AC10</f>
        <v>4500393</v>
      </c>
      <c r="D10" s="489"/>
      <c r="E10" s="474"/>
      <c r="F10" s="489"/>
      <c r="G10" s="474"/>
      <c r="H10" s="489"/>
      <c r="I10" s="489"/>
      <c r="J10" s="489">
        <f>(AK15+AI15+AG15)*0</f>
        <v>0</v>
      </c>
      <c r="K10" s="490">
        <f t="shared" si="2"/>
        <v>4500393</v>
      </c>
      <c r="L10" s="909">
        <v>4500393</v>
      </c>
      <c r="M10" s="489"/>
      <c r="N10" s="474"/>
      <c r="O10" s="489"/>
      <c r="P10" s="474"/>
      <c r="Q10" s="489"/>
      <c r="R10" s="489"/>
      <c r="S10" s="489"/>
      <c r="T10" s="490">
        <v>4500393</v>
      </c>
      <c r="U10" s="909">
        <v>4500393</v>
      </c>
      <c r="V10" s="489"/>
      <c r="W10" s="474"/>
      <c r="X10" s="489"/>
      <c r="Y10" s="474"/>
      <c r="Z10" s="489"/>
      <c r="AA10" s="489"/>
      <c r="AB10" s="489"/>
      <c r="AC10" s="490">
        <v>4500393</v>
      </c>
      <c r="AD10" s="477">
        <v>4500393</v>
      </c>
      <c r="AE10" s="489"/>
      <c r="AF10" s="474">
        <v>0</v>
      </c>
      <c r="AG10" s="489"/>
      <c r="AH10" s="474">
        <v>0</v>
      </c>
      <c r="AI10" s="489"/>
      <c r="AJ10" s="489">
        <v>0</v>
      </c>
      <c r="AK10" s="489"/>
      <c r="AL10" s="490">
        <v>4500393</v>
      </c>
      <c r="AM10" s="477">
        <v>4500393</v>
      </c>
      <c r="AN10" s="489"/>
      <c r="AO10" s="489"/>
      <c r="AP10" s="489"/>
      <c r="AQ10" s="489"/>
      <c r="AR10" s="489"/>
      <c r="AS10" s="489"/>
      <c r="AT10" s="489"/>
      <c r="AU10" s="490">
        <v>4500393</v>
      </c>
    </row>
    <row r="11" spans="1:48" ht="15.6" thickTop="1" thickBot="1">
      <c r="A11" s="1030">
        <f>13585769.18-C11</f>
        <v>0</v>
      </c>
      <c r="B11" s="493" t="s">
        <v>1521</v>
      </c>
      <c r="C11" s="654">
        <f t="shared" ref="C11:K11" si="3">SUM(C7:C10)</f>
        <v>13585769.180000007</v>
      </c>
      <c r="D11" s="495">
        <f t="shared" si="3"/>
        <v>0</v>
      </c>
      <c r="E11" s="495">
        <f t="shared" si="3"/>
        <v>0</v>
      </c>
      <c r="F11" s="495">
        <f t="shared" si="3"/>
        <v>0</v>
      </c>
      <c r="G11" s="495">
        <f t="shared" si="3"/>
        <v>0</v>
      </c>
      <c r="H11" s="495">
        <f t="shared" si="3"/>
        <v>0</v>
      </c>
      <c r="I11" s="495">
        <f t="shared" si="3"/>
        <v>0</v>
      </c>
      <c r="J11" s="495">
        <f t="shared" si="3"/>
        <v>0</v>
      </c>
      <c r="K11" s="497">
        <f t="shared" si="3"/>
        <v>13585769.180000007</v>
      </c>
      <c r="L11" s="654">
        <v>202027390.52000001</v>
      </c>
      <c r="M11" s="495">
        <v>0</v>
      </c>
      <c r="N11" s="495">
        <v>0</v>
      </c>
      <c r="O11" s="495">
        <v>0</v>
      </c>
      <c r="P11" s="495">
        <v>0</v>
      </c>
      <c r="Q11" s="495">
        <v>0</v>
      </c>
      <c r="R11" s="495">
        <v>0</v>
      </c>
      <c r="S11" s="495">
        <v>0</v>
      </c>
      <c r="T11" s="497">
        <v>202027390.52000001</v>
      </c>
      <c r="U11" s="654">
        <v>202027390.52000001</v>
      </c>
      <c r="V11" s="495">
        <v>0</v>
      </c>
      <c r="W11" s="495">
        <v>0</v>
      </c>
      <c r="X11" s="495">
        <v>0</v>
      </c>
      <c r="Y11" s="495">
        <v>0</v>
      </c>
      <c r="Z11" s="495">
        <v>0</v>
      </c>
      <c r="AA11" s="495">
        <v>0</v>
      </c>
      <c r="AB11" s="495">
        <v>0</v>
      </c>
      <c r="AC11" s="497">
        <v>202027390.52000001</v>
      </c>
      <c r="AD11" s="494">
        <v>199527453.52000001</v>
      </c>
      <c r="AE11" s="495">
        <v>0</v>
      </c>
      <c r="AF11" s="495">
        <v>0</v>
      </c>
      <c r="AG11" s="495">
        <v>0</v>
      </c>
      <c r="AH11" s="495">
        <v>0</v>
      </c>
      <c r="AI11" s="495">
        <v>0</v>
      </c>
      <c r="AJ11" s="495">
        <v>0</v>
      </c>
      <c r="AK11" s="495">
        <v>0</v>
      </c>
      <c r="AL11" s="497">
        <v>199527453.52000001</v>
      </c>
      <c r="AM11" s="494">
        <v>194529139.52000001</v>
      </c>
      <c r="AN11" s="495">
        <v>0</v>
      </c>
      <c r="AO11" s="495">
        <v>0</v>
      </c>
      <c r="AP11" s="495">
        <v>0</v>
      </c>
      <c r="AQ11" s="495">
        <v>0</v>
      </c>
      <c r="AR11" s="495">
        <v>0</v>
      </c>
      <c r="AS11" s="495">
        <v>0</v>
      </c>
      <c r="AT11" s="495">
        <v>0</v>
      </c>
      <c r="AU11" s="497">
        <v>194529139.52000001</v>
      </c>
    </row>
    <row r="12" spans="1:48" ht="15" thickTop="1">
      <c r="B12" s="499"/>
      <c r="C12" s="477"/>
      <c r="D12" s="489"/>
      <c r="E12" s="489"/>
      <c r="F12" s="489"/>
      <c r="G12" s="632">
        <v>244957.42</v>
      </c>
      <c r="H12" s="489"/>
      <c r="I12" s="489"/>
      <c r="J12" s="489"/>
      <c r="K12" s="490"/>
      <c r="L12" s="477"/>
      <c r="M12" s="489"/>
      <c r="N12" s="489"/>
      <c r="O12" s="489"/>
      <c r="P12" s="632">
        <v>244957.42</v>
      </c>
      <c r="Q12" s="489"/>
      <c r="R12" s="489"/>
      <c r="S12" s="489"/>
      <c r="T12" s="490"/>
      <c r="U12" s="477"/>
      <c r="V12" s="489"/>
      <c r="W12" s="489"/>
      <c r="X12" s="489"/>
      <c r="Y12" s="489"/>
      <c r="Z12" s="489"/>
      <c r="AA12" s="489"/>
      <c r="AB12" s="489"/>
      <c r="AC12" s="490"/>
      <c r="AD12" s="477"/>
      <c r="AE12" s="489"/>
      <c r="AF12" s="489"/>
      <c r="AG12" s="489"/>
      <c r="AH12" s="489"/>
      <c r="AI12" s="489"/>
      <c r="AJ12" s="489"/>
      <c r="AK12" s="489"/>
      <c r="AL12" s="490"/>
      <c r="AM12" s="477"/>
      <c r="AN12" s="489"/>
      <c r="AO12" s="489"/>
      <c r="AP12" s="489"/>
      <c r="AQ12" s="489"/>
      <c r="AR12" s="489"/>
      <c r="AS12" s="489"/>
      <c r="AT12" s="489"/>
      <c r="AU12" s="490"/>
    </row>
    <row r="13" spans="1:48">
      <c r="A13" s="444" t="s">
        <v>1077</v>
      </c>
      <c r="B13" s="499" t="s">
        <v>450</v>
      </c>
      <c r="C13" s="474">
        <f>U13*0</f>
        <v>0</v>
      </c>
      <c r="D13" s="474"/>
      <c r="E13" s="474"/>
      <c r="F13" s="474"/>
      <c r="G13" s="474"/>
      <c r="H13" s="474"/>
      <c r="I13" s="474"/>
      <c r="J13" s="474"/>
      <c r="K13" s="490">
        <f t="shared" ref="K13:K14" si="4">SUM(C13:J13)</f>
        <v>0</v>
      </c>
      <c r="L13" s="474">
        <v>-188140519.50333336</v>
      </c>
      <c r="M13" s="474"/>
      <c r="N13" s="474">
        <v>-587616.66</v>
      </c>
      <c r="O13" s="474"/>
      <c r="P13" s="474">
        <v>244956.43</v>
      </c>
      <c r="Q13" s="474">
        <v>-0.9900000000197906</v>
      </c>
      <c r="R13" s="474">
        <v>-243654</v>
      </c>
      <c r="S13" s="474">
        <v>703461.67333333334</v>
      </c>
      <c r="T13" s="490">
        <v>-188023373.05000001</v>
      </c>
      <c r="U13" s="474">
        <v>-188140519.50333336</v>
      </c>
      <c r="V13" s="474"/>
      <c r="W13" s="474">
        <v>-587616.66</v>
      </c>
      <c r="X13" s="474"/>
      <c r="Y13" s="474">
        <v>244958</v>
      </c>
      <c r="Z13" s="474"/>
      <c r="AA13" s="474">
        <v>-243654</v>
      </c>
      <c r="AB13" s="474">
        <v>700501.67333333334</v>
      </c>
      <c r="AC13" s="490">
        <v>-188026330.49000001</v>
      </c>
      <c r="AD13" s="477">
        <v>-117599828.17</v>
      </c>
      <c r="AE13" s="489"/>
      <c r="AF13" s="474">
        <v>-139240.66</v>
      </c>
      <c r="AG13" s="489"/>
      <c r="AH13" s="474">
        <v>-335984.57</v>
      </c>
      <c r="AI13" s="489"/>
      <c r="AJ13" s="489">
        <v>0</v>
      </c>
      <c r="AK13" s="489"/>
      <c r="AL13" s="490">
        <v>-118075053.39999999</v>
      </c>
      <c r="AM13" s="477">
        <v>-58940388.890000001</v>
      </c>
      <c r="AN13" s="489"/>
      <c r="AO13" s="489">
        <v>-128397</v>
      </c>
      <c r="AP13" s="489">
        <v>0</v>
      </c>
      <c r="AQ13" s="489">
        <v>735447</v>
      </c>
      <c r="AR13" s="489">
        <v>0</v>
      </c>
      <c r="AS13" s="489"/>
      <c r="AT13" s="489"/>
      <c r="AU13" s="490">
        <v>-58333338.890000001</v>
      </c>
    </row>
    <row r="14" spans="1:48" ht="15" thickBot="1">
      <c r="A14" s="444" t="s">
        <v>1212</v>
      </c>
      <c r="B14" s="499" t="s">
        <v>453</v>
      </c>
      <c r="C14" s="477">
        <f>+'PL Grouping'!C384+PL!D26</f>
        <v>13066442.760000005</v>
      </c>
      <c r="D14" s="477">
        <f>+'PL Grouping'!D385</f>
        <v>-809011.52459016372</v>
      </c>
      <c r="E14" s="489">
        <f>+'PL Grouping'!E385</f>
        <v>-292871</v>
      </c>
      <c r="F14" s="489">
        <f>+'PL Grouping'!F385</f>
        <v>0</v>
      </c>
      <c r="G14" s="489">
        <f>+'PL Grouping'!G385</f>
        <v>-57115</v>
      </c>
      <c r="H14" s="489">
        <f>+'PL Grouping'!H385</f>
        <v>-1815</v>
      </c>
      <c r="I14" s="489">
        <f>+'PL Grouping'!I385</f>
        <v>-321993</v>
      </c>
      <c r="J14" s="489">
        <f>+'PL Grouping'!J385</f>
        <v>-13964.36</v>
      </c>
      <c r="K14" s="490">
        <f t="shared" si="4"/>
        <v>11569672.875409842</v>
      </c>
      <c r="L14" s="477">
        <v>-13593643</v>
      </c>
      <c r="M14" s="477">
        <v>-112840.45999999999</v>
      </c>
      <c r="N14" s="489">
        <v>-292871</v>
      </c>
      <c r="O14" s="489">
        <v>0</v>
      </c>
      <c r="P14" s="489">
        <v>-37372</v>
      </c>
      <c r="Q14" s="489">
        <v>0</v>
      </c>
      <c r="R14" s="489">
        <v>-306716</v>
      </c>
      <c r="S14" s="489"/>
      <c r="T14" s="490">
        <v>-14343442.460000001</v>
      </c>
      <c r="U14" s="477">
        <v>-14787669</v>
      </c>
      <c r="V14" s="489"/>
      <c r="W14" s="489">
        <v>-291708</v>
      </c>
      <c r="X14" s="489">
        <v>0</v>
      </c>
      <c r="Y14" s="489">
        <v>-35713</v>
      </c>
      <c r="Z14" s="489">
        <v>0</v>
      </c>
      <c r="AA14" s="489">
        <v>-258245</v>
      </c>
      <c r="AB14" s="489"/>
      <c r="AC14" s="490">
        <v>-15373335</v>
      </c>
      <c r="AD14" s="477">
        <v>-69908947</v>
      </c>
      <c r="AE14" s="489">
        <v>-631744.33333333349</v>
      </c>
      <c r="AF14" s="489">
        <v>-448376</v>
      </c>
      <c r="AG14" s="489">
        <v>374337</v>
      </c>
      <c r="AH14" s="489">
        <v>583903</v>
      </c>
      <c r="AI14" s="489">
        <v>14412.333333333328</v>
      </c>
      <c r="AJ14" s="489">
        <v>-243654</v>
      </c>
      <c r="AK14" s="489">
        <v>314712.34000000008</v>
      </c>
      <c r="AL14" s="490">
        <v>-69945356.659999996</v>
      </c>
      <c r="AM14" s="477">
        <v>-59547293</v>
      </c>
      <c r="AN14" s="489">
        <v>-76307</v>
      </c>
      <c r="AO14" s="489">
        <v>-15839</v>
      </c>
      <c r="AP14" s="489">
        <v>0</v>
      </c>
      <c r="AQ14" s="489">
        <v>-1071431</v>
      </c>
      <c r="AR14" s="489">
        <v>0</v>
      </c>
      <c r="AS14" s="489"/>
      <c r="AT14" s="489"/>
      <c r="AU14" s="490">
        <v>-60710870</v>
      </c>
    </row>
    <row r="15" spans="1:48" ht="15.6" thickTop="1" thickBot="1">
      <c r="A15" s="492" t="s">
        <v>1209</v>
      </c>
      <c r="B15" s="493" t="s">
        <v>1521</v>
      </c>
      <c r="C15" s="654">
        <f>SUM(C13:C14)</f>
        <v>13066442.760000005</v>
      </c>
      <c r="D15" s="495">
        <f t="shared" ref="D15:K15" si="5">SUM(D13:D14)</f>
        <v>-809011.52459016372</v>
      </c>
      <c r="E15" s="495">
        <f t="shared" si="5"/>
        <v>-292871</v>
      </c>
      <c r="F15" s="495">
        <f t="shared" si="5"/>
        <v>0</v>
      </c>
      <c r="G15" s="495">
        <f t="shared" si="5"/>
        <v>-57115</v>
      </c>
      <c r="H15" s="495">
        <f t="shared" si="5"/>
        <v>-1815</v>
      </c>
      <c r="I15" s="495">
        <f t="shared" si="5"/>
        <v>-321993</v>
      </c>
      <c r="J15" s="495">
        <f t="shared" si="5"/>
        <v>-13964.36</v>
      </c>
      <c r="K15" s="497">
        <f t="shared" si="5"/>
        <v>11569672.875409842</v>
      </c>
      <c r="L15" s="654">
        <v>-201734162.50333336</v>
      </c>
      <c r="M15" s="495">
        <v>-112840.45999999999</v>
      </c>
      <c r="N15" s="495">
        <v>-880487.66</v>
      </c>
      <c r="O15" s="495">
        <v>0</v>
      </c>
      <c r="P15" s="495">
        <v>207584.43</v>
      </c>
      <c r="Q15" s="495">
        <v>-0.9900000000197906</v>
      </c>
      <c r="R15" s="495">
        <v>-550370</v>
      </c>
      <c r="S15" s="495">
        <v>703461.67333333334</v>
      </c>
      <c r="T15" s="497">
        <v>-202366815.51000002</v>
      </c>
      <c r="U15" s="654">
        <v>-202928188.50333336</v>
      </c>
      <c r="V15" s="495">
        <v>0</v>
      </c>
      <c r="W15" s="495">
        <v>-879324.66</v>
      </c>
      <c r="X15" s="495">
        <v>0</v>
      </c>
      <c r="Y15" s="495">
        <v>209245</v>
      </c>
      <c r="Z15" s="495">
        <v>0</v>
      </c>
      <c r="AA15" s="495">
        <v>-501899</v>
      </c>
      <c r="AB15" s="495">
        <v>700501.67333333334</v>
      </c>
      <c r="AC15" s="497">
        <v>-203399665.49000001</v>
      </c>
      <c r="AD15" s="494">
        <v>-187508775.17000002</v>
      </c>
      <c r="AE15" s="495">
        <v>-631744.33333333349</v>
      </c>
      <c r="AF15" s="495">
        <v>-587616.66</v>
      </c>
      <c r="AG15" s="495">
        <v>374337</v>
      </c>
      <c r="AH15" s="495">
        <v>247918.43</v>
      </c>
      <c r="AI15" s="495">
        <v>14412.333333333328</v>
      </c>
      <c r="AJ15" s="495">
        <v>-243654</v>
      </c>
      <c r="AK15" s="495">
        <v>314712.34000000008</v>
      </c>
      <c r="AL15" s="497">
        <v>-188020410.06</v>
      </c>
      <c r="AM15" s="494">
        <v>-118487681.89</v>
      </c>
      <c r="AN15" s="495">
        <v>-76307</v>
      </c>
      <c r="AO15" s="495">
        <v>-144236</v>
      </c>
      <c r="AP15" s="495">
        <v>0</v>
      </c>
      <c r="AQ15" s="495">
        <v>-335984</v>
      </c>
      <c r="AR15" s="495">
        <v>0</v>
      </c>
      <c r="AS15" s="495">
        <v>0</v>
      </c>
      <c r="AT15" s="495">
        <v>0</v>
      </c>
      <c r="AU15" s="497">
        <v>-119044208.89</v>
      </c>
      <c r="AV15" s="505"/>
    </row>
    <row r="16" spans="1:48" ht="15" thickTop="1">
      <c r="B16" s="499"/>
      <c r="C16" s="477"/>
      <c r="D16" s="489"/>
      <c r="E16" s="489"/>
      <c r="F16" s="489"/>
      <c r="G16" s="489"/>
      <c r="H16" s="489"/>
      <c r="I16" s="489"/>
      <c r="J16" s="489"/>
      <c r="K16" s="490"/>
      <c r="L16" s="477"/>
      <c r="M16" s="489"/>
      <c r="N16" s="489"/>
      <c r="O16" s="489"/>
      <c r="P16" s="489"/>
      <c r="Q16" s="489"/>
      <c r="R16" s="489"/>
      <c r="S16" s="489"/>
      <c r="T16" s="490"/>
      <c r="U16" s="477"/>
      <c r="V16" s="489"/>
      <c r="W16" s="489"/>
      <c r="X16" s="489"/>
      <c r="Y16" s="489"/>
      <c r="Z16" s="489"/>
      <c r="AA16" s="489"/>
      <c r="AB16" s="489"/>
      <c r="AC16" s="490"/>
      <c r="AD16" s="477"/>
      <c r="AE16" s="489"/>
      <c r="AF16" s="489"/>
      <c r="AG16" s="489"/>
      <c r="AH16" s="489"/>
      <c r="AI16" s="489"/>
      <c r="AJ16" s="489"/>
      <c r="AK16" s="489">
        <v>11507043.460000008</v>
      </c>
      <c r="AL16" s="490">
        <v>195233825</v>
      </c>
      <c r="AM16" s="477"/>
      <c r="AN16" s="489"/>
      <c r="AO16" s="489"/>
      <c r="AP16" s="489"/>
      <c r="AQ16" s="489"/>
      <c r="AR16" s="489"/>
      <c r="AS16" s="489"/>
      <c r="AT16" s="489"/>
      <c r="AU16" s="490"/>
    </row>
    <row r="17" spans="1:48">
      <c r="A17" s="498" t="s">
        <v>20</v>
      </c>
      <c r="B17" s="488"/>
      <c r="C17" s="477"/>
      <c r="D17" s="489"/>
      <c r="E17" s="489"/>
      <c r="F17" s="489"/>
      <c r="G17" s="489"/>
      <c r="H17" s="489"/>
      <c r="I17" s="489"/>
      <c r="J17" s="489"/>
      <c r="K17" s="490"/>
      <c r="L17" s="477"/>
      <c r="M17" s="489"/>
      <c r="N17" s="489"/>
      <c r="O17" s="489"/>
      <c r="P17" s="489"/>
      <c r="Q17" s="489"/>
      <c r="R17" s="489"/>
      <c r="S17" s="489"/>
      <c r="T17" s="490"/>
      <c r="U17" s="477"/>
      <c r="V17" s="489"/>
      <c r="W17" s="489"/>
      <c r="X17" s="489"/>
      <c r="Y17" s="489"/>
      <c r="Z17" s="489"/>
      <c r="AA17" s="489"/>
      <c r="AB17" s="489"/>
      <c r="AC17" s="490"/>
      <c r="AD17" s="477"/>
      <c r="AE17" s="489"/>
      <c r="AF17" s="489"/>
      <c r="AG17" s="489"/>
      <c r="AH17" s="489"/>
      <c r="AI17" s="489"/>
      <c r="AJ17" s="489"/>
      <c r="AK17" s="489"/>
      <c r="AL17" s="490">
        <v>7213414.9399999976</v>
      </c>
      <c r="AM17" s="477"/>
      <c r="AN17" s="489"/>
      <c r="AO17" s="489"/>
      <c r="AP17" s="489"/>
      <c r="AQ17" s="489"/>
      <c r="AR17" s="489"/>
      <c r="AS17" s="489"/>
      <c r="AT17" s="489"/>
      <c r="AU17" s="490"/>
      <c r="AV17" s="505"/>
    </row>
    <row r="18" spans="1:48">
      <c r="A18" s="444" t="s">
        <v>21</v>
      </c>
      <c r="B18" s="488"/>
      <c r="C18" s="477"/>
      <c r="D18" s="489"/>
      <c r="E18" s="489"/>
      <c r="F18" s="489"/>
      <c r="G18" s="489"/>
      <c r="H18" s="489"/>
      <c r="I18" s="489"/>
      <c r="J18" s="489"/>
      <c r="K18" s="490"/>
      <c r="L18" s="477"/>
      <c r="M18" s="489"/>
      <c r="N18" s="489"/>
      <c r="O18" s="489"/>
      <c r="P18" s="489"/>
      <c r="Q18" s="489"/>
      <c r="R18" s="489"/>
      <c r="S18" s="489"/>
      <c r="T18" s="490"/>
      <c r="U18" s="477"/>
      <c r="V18" s="489"/>
      <c r="W18" s="489"/>
      <c r="X18" s="489"/>
      <c r="Y18" s="489"/>
      <c r="Z18" s="489"/>
      <c r="AA18" s="489"/>
      <c r="AB18" s="489"/>
      <c r="AC18" s="490"/>
      <c r="AD18" s="477"/>
      <c r="AE18" s="489"/>
      <c r="AF18" s="489"/>
      <c r="AG18" s="489"/>
      <c r="AH18" s="489"/>
      <c r="AI18" s="489"/>
      <c r="AJ18" s="489"/>
      <c r="AK18" s="489"/>
      <c r="AL18" s="490"/>
      <c r="AM18" s="477"/>
      <c r="AN18" s="489"/>
      <c r="AO18" s="489"/>
      <c r="AP18" s="489"/>
      <c r="AQ18" s="489"/>
      <c r="AR18" s="489"/>
      <c r="AS18" s="489"/>
      <c r="AT18" s="489"/>
      <c r="AU18" s="490"/>
    </row>
    <row r="19" spans="1:48">
      <c r="A19" s="444" t="s">
        <v>1128</v>
      </c>
      <c r="B19" s="488" t="s">
        <v>450</v>
      </c>
      <c r="C19" s="477"/>
      <c r="D19" s="489"/>
      <c r="E19" s="489"/>
      <c r="F19" s="489"/>
      <c r="G19" s="489"/>
      <c r="H19" s="489"/>
      <c r="I19" s="489"/>
      <c r="J19" s="489"/>
      <c r="K19" s="490">
        <f t="shared" ref="K19:K20" si="6">SUM(C19:J19)</f>
        <v>0</v>
      </c>
      <c r="L19" s="477"/>
      <c r="M19" s="489"/>
      <c r="N19" s="489"/>
      <c r="O19" s="489"/>
      <c r="P19" s="489"/>
      <c r="Q19" s="489"/>
      <c r="R19" s="489"/>
      <c r="S19" s="489"/>
      <c r="T19" s="490">
        <v>0</v>
      </c>
      <c r="U19" s="477"/>
      <c r="V19" s="489"/>
      <c r="W19" s="489"/>
      <c r="X19" s="489"/>
      <c r="Y19" s="489"/>
      <c r="Z19" s="489"/>
      <c r="AA19" s="489"/>
      <c r="AB19" s="489"/>
      <c r="AC19" s="490">
        <v>0</v>
      </c>
      <c r="AD19" s="477"/>
      <c r="AE19" s="489">
        <v>-326037.69359735784</v>
      </c>
      <c r="AF19" s="489"/>
      <c r="AG19" s="489"/>
      <c r="AH19" s="489"/>
      <c r="AI19" s="489"/>
      <c r="AJ19" s="489"/>
      <c r="AK19" s="489"/>
      <c r="AL19" s="490">
        <v>-326037.69359735784</v>
      </c>
      <c r="AM19" s="477">
        <v>11004</v>
      </c>
      <c r="AN19" s="489"/>
      <c r="AO19" s="489"/>
      <c r="AP19" s="489"/>
      <c r="AQ19" s="489"/>
      <c r="AR19" s="489"/>
      <c r="AS19" s="489"/>
      <c r="AT19" s="489"/>
      <c r="AU19" s="490">
        <v>11004</v>
      </c>
    </row>
    <row r="20" spans="1:48" ht="15" thickBot="1">
      <c r="A20" s="444" t="s">
        <v>1362</v>
      </c>
      <c r="B20" s="488" t="s">
        <v>449</v>
      </c>
      <c r="C20" s="650" cm="1">
        <f t="array" ref="C20">_xlfn.XLOOKUP(A20,'TB upload'!A:A,'TB upload'!C:C-'TB upload'!B:B,0,)</f>
        <v>0</v>
      </c>
      <c r="D20" s="489">
        <f>-C20</f>
        <v>0</v>
      </c>
      <c r="E20" s="474" cm="1">
        <f t="array" ref="E20">_xlfn.XLOOKUP($A20,'TB upload'!$A:$A,'TB upload'!E:E-'TB upload'!D:D,0,)</f>
        <v>0</v>
      </c>
      <c r="F20" s="489"/>
      <c r="G20" s="474" cm="1">
        <f t="array" ref="G20">_xlfn.XLOOKUP($A20,'TB upload'!$A:$A,'TB upload'!G:G-'TB upload'!F:F,0,)</f>
        <v>0</v>
      </c>
      <c r="H20" s="489"/>
      <c r="I20" s="474" cm="1">
        <f t="array" ref="I20">_xlfn.XLOOKUP($A20,'TB upload'!$A:$A,'TB upload'!I:I-'TB upload'!H:H,0,)</f>
        <v>0</v>
      </c>
      <c r="J20" s="489"/>
      <c r="K20" s="490">
        <f t="shared" si="6"/>
        <v>0</v>
      </c>
      <c r="L20" s="650">
        <v>601532</v>
      </c>
      <c r="M20" s="489">
        <v>-601532</v>
      </c>
      <c r="N20" s="474">
        <v>0</v>
      </c>
      <c r="O20" s="489"/>
      <c r="P20" s="474">
        <v>0</v>
      </c>
      <c r="Q20" s="489"/>
      <c r="R20" s="474">
        <v>0</v>
      </c>
      <c r="S20" s="489"/>
      <c r="T20" s="490">
        <v>0</v>
      </c>
      <c r="U20" s="650">
        <v>601532</v>
      </c>
      <c r="V20" s="489">
        <v>-601532</v>
      </c>
      <c r="W20" s="474">
        <v>0</v>
      </c>
      <c r="X20" s="489"/>
      <c r="Y20" s="474">
        <v>0</v>
      </c>
      <c r="Z20" s="489"/>
      <c r="AA20" s="489">
        <v>0</v>
      </c>
      <c r="AB20" s="489"/>
      <c r="AC20" s="490">
        <v>0</v>
      </c>
      <c r="AD20" s="477">
        <v>876273</v>
      </c>
      <c r="AE20" s="489">
        <v>-274741</v>
      </c>
      <c r="AF20" s="474">
        <v>0</v>
      </c>
      <c r="AG20" s="489"/>
      <c r="AH20" s="474">
        <v>0</v>
      </c>
      <c r="AI20" s="489"/>
      <c r="AJ20" s="489">
        <v>0</v>
      </c>
      <c r="AK20" s="489"/>
      <c r="AL20" s="490">
        <v>601532</v>
      </c>
      <c r="AM20" s="477">
        <v>0</v>
      </c>
      <c r="AN20" s="489"/>
      <c r="AO20" s="489"/>
      <c r="AP20" s="489"/>
      <c r="AQ20" s="489"/>
      <c r="AR20" s="489"/>
      <c r="AS20" s="489"/>
      <c r="AT20" s="489"/>
      <c r="AU20" s="490">
        <v>0</v>
      </c>
    </row>
    <row r="21" spans="1:48" ht="15.6" thickTop="1" thickBot="1">
      <c r="A21" s="492"/>
      <c r="B21" s="493" t="s">
        <v>1521</v>
      </c>
      <c r="C21" s="654">
        <f>SUM(C19:C20)</f>
        <v>0</v>
      </c>
      <c r="D21" s="495">
        <f t="shared" ref="D21:K21" si="7">SUM(D19:D20)</f>
        <v>0</v>
      </c>
      <c r="E21" s="495">
        <f t="shared" si="7"/>
        <v>0</v>
      </c>
      <c r="F21" s="495">
        <f t="shared" si="7"/>
        <v>0</v>
      </c>
      <c r="G21" s="495">
        <f t="shared" si="7"/>
        <v>0</v>
      </c>
      <c r="H21" s="495">
        <f t="shared" si="7"/>
        <v>0</v>
      </c>
      <c r="I21" s="495">
        <f t="shared" si="7"/>
        <v>0</v>
      </c>
      <c r="J21" s="495">
        <f t="shared" si="7"/>
        <v>0</v>
      </c>
      <c r="K21" s="496">
        <f t="shared" si="7"/>
        <v>0</v>
      </c>
      <c r="L21" s="654">
        <v>601532</v>
      </c>
      <c r="M21" s="495">
        <v>-601532</v>
      </c>
      <c r="N21" s="495">
        <v>0</v>
      </c>
      <c r="O21" s="495">
        <v>0</v>
      </c>
      <c r="P21" s="495">
        <v>0</v>
      </c>
      <c r="Q21" s="495">
        <v>0</v>
      </c>
      <c r="R21" s="495">
        <v>0</v>
      </c>
      <c r="S21" s="495">
        <v>0</v>
      </c>
      <c r="T21" s="496">
        <v>0</v>
      </c>
      <c r="U21" s="654">
        <v>601532</v>
      </c>
      <c r="V21" s="495">
        <v>-601532</v>
      </c>
      <c r="W21" s="495">
        <v>0</v>
      </c>
      <c r="X21" s="495">
        <v>0</v>
      </c>
      <c r="Y21" s="495">
        <v>0</v>
      </c>
      <c r="Z21" s="495">
        <v>0</v>
      </c>
      <c r="AA21" s="495">
        <v>0</v>
      </c>
      <c r="AB21" s="495">
        <v>0</v>
      </c>
      <c r="AC21" s="496">
        <v>0</v>
      </c>
      <c r="AD21" s="494">
        <v>876273</v>
      </c>
      <c r="AE21" s="495">
        <v>-600778.69359735784</v>
      </c>
      <c r="AF21" s="495">
        <v>0</v>
      </c>
      <c r="AG21" s="495">
        <v>0</v>
      </c>
      <c r="AH21" s="495">
        <v>0</v>
      </c>
      <c r="AI21" s="495">
        <v>0</v>
      </c>
      <c r="AJ21" s="495">
        <v>0</v>
      </c>
      <c r="AK21" s="495">
        <v>0</v>
      </c>
      <c r="AL21" s="496">
        <v>275494.30640264216</v>
      </c>
      <c r="AM21" s="494">
        <v>11004</v>
      </c>
      <c r="AN21" s="495">
        <v>0</v>
      </c>
      <c r="AO21" s="495">
        <v>0</v>
      </c>
      <c r="AP21" s="495">
        <v>0</v>
      </c>
      <c r="AQ21" s="495">
        <v>0</v>
      </c>
      <c r="AR21" s="495">
        <v>0</v>
      </c>
      <c r="AS21" s="495">
        <v>0</v>
      </c>
      <c r="AT21" s="495">
        <v>0</v>
      </c>
      <c r="AU21" s="497">
        <v>11004</v>
      </c>
    </row>
    <row r="22" spans="1:48" ht="15" thickTop="1">
      <c r="B22" s="488"/>
      <c r="C22" s="477"/>
      <c r="D22" s="489"/>
      <c r="E22" s="489"/>
      <c r="F22" s="489"/>
      <c r="G22" s="489"/>
      <c r="H22" s="489"/>
      <c r="I22" s="489"/>
      <c r="J22" s="489"/>
      <c r="K22" s="490"/>
      <c r="L22" s="477"/>
      <c r="M22" s="489"/>
      <c r="N22" s="489"/>
      <c r="O22" s="489"/>
      <c r="P22" s="489"/>
      <c r="Q22" s="489"/>
      <c r="R22" s="489"/>
      <c r="S22" s="489"/>
      <c r="T22" s="490"/>
      <c r="U22" s="477"/>
      <c r="V22" s="489"/>
      <c r="W22" s="489"/>
      <c r="X22" s="489"/>
      <c r="Y22" s="489"/>
      <c r="Z22" s="489"/>
      <c r="AA22" s="489"/>
      <c r="AB22" s="489"/>
      <c r="AC22" s="490"/>
      <c r="AD22" s="477"/>
      <c r="AE22" s="489"/>
      <c r="AF22" s="489"/>
      <c r="AG22" s="489"/>
      <c r="AH22" s="489"/>
      <c r="AI22" s="489"/>
      <c r="AJ22" s="489"/>
      <c r="AK22" s="489"/>
      <c r="AL22" s="490"/>
      <c r="AM22" s="477"/>
      <c r="AN22" s="489"/>
      <c r="AO22" s="489"/>
      <c r="AP22" s="489"/>
      <c r="AQ22" s="489"/>
      <c r="AR22" s="489"/>
      <c r="AS22" s="489"/>
      <c r="AT22" s="489"/>
      <c r="AU22" s="490"/>
    </row>
    <row r="23" spans="1:48">
      <c r="A23" s="444" t="s">
        <v>22</v>
      </c>
      <c r="B23" s="488"/>
      <c r="C23" s="477"/>
      <c r="D23" s="489"/>
      <c r="E23" s="489"/>
      <c r="F23" s="489"/>
      <c r="G23" s="489"/>
      <c r="H23" s="489"/>
      <c r="I23" s="489"/>
      <c r="J23" s="489"/>
      <c r="K23" s="490"/>
      <c r="L23" s="477"/>
      <c r="M23" s="489"/>
      <c r="N23" s="489"/>
      <c r="O23" s="489"/>
      <c r="P23" s="489"/>
      <c r="Q23" s="489"/>
      <c r="R23" s="489"/>
      <c r="S23" s="489"/>
      <c r="T23" s="490"/>
      <c r="U23" s="477"/>
      <c r="V23" s="489"/>
      <c r="W23" s="489"/>
      <c r="X23" s="489"/>
      <c r="Y23" s="489"/>
      <c r="Z23" s="489"/>
      <c r="AA23" s="489"/>
      <c r="AB23" s="489"/>
      <c r="AC23" s="490"/>
      <c r="AD23" s="477"/>
      <c r="AE23" s="489"/>
      <c r="AF23" s="489"/>
      <c r="AG23" s="489"/>
      <c r="AH23" s="489"/>
      <c r="AI23" s="489"/>
      <c r="AJ23" s="489"/>
      <c r="AK23" s="489"/>
      <c r="AL23" s="490"/>
      <c r="AM23" s="477"/>
      <c r="AN23" s="489"/>
      <c r="AO23" s="489"/>
      <c r="AP23" s="489"/>
      <c r="AQ23" s="489"/>
      <c r="AR23" s="489"/>
      <c r="AS23" s="489"/>
      <c r="AT23" s="489"/>
      <c r="AU23" s="490"/>
    </row>
    <row r="24" spans="1:48">
      <c r="A24" s="444" t="s">
        <v>1130</v>
      </c>
      <c r="B24" s="488"/>
      <c r="C24" s="477"/>
      <c r="D24" s="489"/>
      <c r="E24" s="489"/>
      <c r="F24" s="489"/>
      <c r="G24" s="489"/>
      <c r="H24" s="489"/>
      <c r="I24" s="489"/>
      <c r="J24" s="489"/>
      <c r="K24" s="490"/>
      <c r="L24" s="477"/>
      <c r="M24" s="489"/>
      <c r="N24" s="489"/>
      <c r="O24" s="489"/>
      <c r="P24" s="489"/>
      <c r="Q24" s="489"/>
      <c r="R24" s="489"/>
      <c r="S24" s="489"/>
      <c r="T24" s="490"/>
      <c r="U24" s="477"/>
      <c r="V24" s="489"/>
      <c r="W24" s="489"/>
      <c r="X24" s="489"/>
      <c r="Y24" s="489"/>
      <c r="Z24" s="489"/>
      <c r="AA24" s="489"/>
      <c r="AB24" s="489"/>
      <c r="AC24" s="490"/>
      <c r="AD24" s="477"/>
      <c r="AE24" s="489"/>
      <c r="AF24" s="489"/>
      <c r="AG24" s="489"/>
      <c r="AH24" s="489"/>
      <c r="AI24" s="489"/>
      <c r="AJ24" s="489"/>
      <c r="AK24" s="489"/>
      <c r="AL24" s="490"/>
      <c r="AM24" s="477"/>
      <c r="AN24" s="489"/>
      <c r="AO24" s="489"/>
      <c r="AP24" s="489"/>
      <c r="AQ24" s="489"/>
      <c r="AR24" s="489"/>
      <c r="AS24" s="489"/>
      <c r="AT24" s="489"/>
      <c r="AU24" s="490"/>
    </row>
    <row r="25" spans="1:48">
      <c r="A25" s="444" t="s">
        <v>1508</v>
      </c>
      <c r="B25" s="488" t="s">
        <v>449</v>
      </c>
      <c r="C25" s="650" cm="1">
        <f t="array" ref="C25">_xlfn.XLOOKUP(A25,'TB upload'!A:A,'TB upload'!C:C-'TB upload'!B:B,0,)</f>
        <v>0</v>
      </c>
      <c r="D25" s="489">
        <f>'PL Grouping'!D58*-1</f>
        <v>0</v>
      </c>
      <c r="E25" s="474" cm="1">
        <f t="array" ref="E25">_xlfn.XLOOKUP($A25,'TB upload'!$A:$A,'TB upload'!E:E-'TB upload'!D:D,0,)</f>
        <v>0</v>
      </c>
      <c r="F25" s="489"/>
      <c r="G25" s="474" cm="1">
        <f t="array" ref="G25">_xlfn.XLOOKUP($A25,'TB upload'!$A:$A,'TB upload'!G:G-'TB upload'!F:F,0,)</f>
        <v>0</v>
      </c>
      <c r="H25" s="489"/>
      <c r="I25" s="474" cm="1">
        <f t="array" ref="I25">_xlfn.XLOOKUP($A25,'TB upload'!$A:$A,'TB upload'!I:I-'TB upload'!H:H,0,)</f>
        <v>0</v>
      </c>
      <c r="J25" s="489"/>
      <c r="K25" s="490">
        <f t="shared" ref="K25" si="8">SUM(C25:J25)</f>
        <v>0</v>
      </c>
      <c r="L25" s="650">
        <v>36000000</v>
      </c>
      <c r="M25" s="489"/>
      <c r="N25" s="474">
        <v>0</v>
      </c>
      <c r="O25" s="489"/>
      <c r="P25" s="474">
        <v>0</v>
      </c>
      <c r="Q25" s="489"/>
      <c r="R25" s="474">
        <v>0</v>
      </c>
      <c r="S25" s="489"/>
      <c r="T25" s="490">
        <v>36000000</v>
      </c>
      <c r="U25" s="650">
        <v>25500000</v>
      </c>
      <c r="V25" s="489"/>
      <c r="W25" s="474">
        <v>0</v>
      </c>
      <c r="X25" s="489"/>
      <c r="Y25" s="474">
        <v>0</v>
      </c>
      <c r="Z25" s="489"/>
      <c r="AA25" s="489">
        <v>0</v>
      </c>
      <c r="AB25" s="489"/>
      <c r="AC25" s="490">
        <v>25500000</v>
      </c>
      <c r="AD25" s="477">
        <v>0</v>
      </c>
      <c r="AE25" s="489"/>
      <c r="AF25" s="474">
        <v>0</v>
      </c>
      <c r="AG25" s="489"/>
      <c r="AH25" s="474">
        <v>0</v>
      </c>
      <c r="AI25" s="489"/>
      <c r="AJ25" s="489">
        <v>0</v>
      </c>
      <c r="AK25" s="489"/>
      <c r="AL25" s="490">
        <v>0</v>
      </c>
      <c r="AM25" s="477">
        <v>0</v>
      </c>
      <c r="AN25" s="489"/>
      <c r="AO25" s="489"/>
      <c r="AP25" s="489"/>
      <c r="AQ25" s="489"/>
      <c r="AR25" s="489"/>
      <c r="AS25" s="489"/>
      <c r="AT25" s="489"/>
      <c r="AU25" s="490">
        <v>0</v>
      </c>
    </row>
    <row r="26" spans="1:48" ht="15" thickBot="1">
      <c r="B26" s="488"/>
      <c r="C26" s="477"/>
      <c r="D26" s="489"/>
      <c r="E26" s="489"/>
      <c r="F26" s="489"/>
      <c r="G26" s="489"/>
      <c r="H26" s="489"/>
      <c r="I26" s="489"/>
      <c r="J26" s="489"/>
      <c r="K26" s="490"/>
      <c r="L26" s="477"/>
      <c r="M26" s="489"/>
      <c r="N26" s="489"/>
      <c r="O26" s="489"/>
      <c r="P26" s="489"/>
      <c r="Q26" s="489"/>
      <c r="R26" s="489"/>
      <c r="S26" s="489"/>
      <c r="T26" s="490"/>
      <c r="U26" s="477"/>
      <c r="V26" s="489"/>
      <c r="W26" s="489"/>
      <c r="X26" s="489"/>
      <c r="Y26" s="489"/>
      <c r="Z26" s="489"/>
      <c r="AA26" s="489"/>
      <c r="AB26" s="489"/>
      <c r="AC26" s="490"/>
      <c r="AD26" s="477"/>
      <c r="AE26" s="489"/>
      <c r="AF26" s="489"/>
      <c r="AG26" s="489"/>
      <c r="AH26" s="489"/>
      <c r="AI26" s="489"/>
      <c r="AJ26" s="489"/>
      <c r="AK26" s="489"/>
      <c r="AL26" s="490"/>
      <c r="AM26" s="477"/>
      <c r="AN26" s="489"/>
      <c r="AO26" s="489"/>
      <c r="AP26" s="489"/>
      <c r="AQ26" s="489"/>
      <c r="AR26" s="489"/>
      <c r="AS26" s="489"/>
      <c r="AT26" s="489"/>
      <c r="AU26" s="490"/>
    </row>
    <row r="27" spans="1:48" ht="15.6" thickTop="1" thickBot="1">
      <c r="A27" s="492"/>
      <c r="B27" s="493" t="s">
        <v>1521</v>
      </c>
      <c r="C27" s="654">
        <f>SUM(C25:C26)</f>
        <v>0</v>
      </c>
      <c r="D27" s="495">
        <f t="shared" ref="D27:K27" si="9">SUM(D25:D26)</f>
        <v>0</v>
      </c>
      <c r="E27" s="495">
        <f t="shared" si="9"/>
        <v>0</v>
      </c>
      <c r="F27" s="495">
        <f t="shared" si="9"/>
        <v>0</v>
      </c>
      <c r="G27" s="495">
        <f t="shared" si="9"/>
        <v>0</v>
      </c>
      <c r="H27" s="495">
        <f t="shared" si="9"/>
        <v>0</v>
      </c>
      <c r="I27" s="495">
        <f t="shared" si="9"/>
        <v>0</v>
      </c>
      <c r="J27" s="495">
        <f t="shared" si="9"/>
        <v>0</v>
      </c>
      <c r="K27" s="497">
        <f t="shared" si="9"/>
        <v>0</v>
      </c>
      <c r="L27" s="654">
        <v>36000000</v>
      </c>
      <c r="M27" s="495">
        <v>0</v>
      </c>
      <c r="N27" s="495">
        <v>0</v>
      </c>
      <c r="O27" s="495">
        <v>0</v>
      </c>
      <c r="P27" s="495">
        <v>0</v>
      </c>
      <c r="Q27" s="495">
        <v>0</v>
      </c>
      <c r="R27" s="495">
        <v>0</v>
      </c>
      <c r="S27" s="495">
        <v>0</v>
      </c>
      <c r="T27" s="497">
        <v>36000000</v>
      </c>
      <c r="U27" s="654">
        <v>25500000</v>
      </c>
      <c r="V27" s="495">
        <v>0</v>
      </c>
      <c r="W27" s="495">
        <v>0</v>
      </c>
      <c r="X27" s="495">
        <v>0</v>
      </c>
      <c r="Y27" s="495">
        <v>0</v>
      </c>
      <c r="Z27" s="495">
        <v>0</v>
      </c>
      <c r="AA27" s="495">
        <v>0</v>
      </c>
      <c r="AB27" s="495">
        <v>0</v>
      </c>
      <c r="AC27" s="497">
        <v>25500000</v>
      </c>
      <c r="AD27" s="494">
        <v>0</v>
      </c>
      <c r="AE27" s="495">
        <v>0</v>
      </c>
      <c r="AF27" s="495">
        <v>0</v>
      </c>
      <c r="AG27" s="495">
        <v>0</v>
      </c>
      <c r="AH27" s="495">
        <v>0</v>
      </c>
      <c r="AI27" s="495">
        <v>0</v>
      </c>
      <c r="AJ27" s="495">
        <v>0</v>
      </c>
      <c r="AK27" s="495">
        <v>0</v>
      </c>
      <c r="AL27" s="497">
        <v>0</v>
      </c>
      <c r="AM27" s="494">
        <v>0</v>
      </c>
      <c r="AN27" s="495">
        <v>0</v>
      </c>
      <c r="AO27" s="495">
        <v>0</v>
      </c>
      <c r="AP27" s="495">
        <v>0</v>
      </c>
      <c r="AQ27" s="495">
        <v>0</v>
      </c>
      <c r="AR27" s="495">
        <v>0</v>
      </c>
      <c r="AS27" s="495">
        <v>0</v>
      </c>
      <c r="AT27" s="495">
        <v>0</v>
      </c>
      <c r="AU27" s="497">
        <v>0</v>
      </c>
    </row>
    <row r="28" spans="1:48" ht="15" thickTop="1">
      <c r="B28" s="488"/>
      <c r="C28" s="477"/>
      <c r="D28" s="489"/>
      <c r="E28" s="489"/>
      <c r="F28" s="489"/>
      <c r="G28" s="489"/>
      <c r="H28" s="489"/>
      <c r="I28" s="489"/>
      <c r="J28" s="489"/>
      <c r="K28" s="490"/>
      <c r="L28" s="477"/>
      <c r="M28" s="489"/>
      <c r="N28" s="489"/>
      <c r="O28" s="489"/>
      <c r="P28" s="489"/>
      <c r="Q28" s="489"/>
      <c r="R28" s="489"/>
      <c r="S28" s="489"/>
      <c r="T28" s="490"/>
      <c r="U28" s="477"/>
      <c r="V28" s="489"/>
      <c r="W28" s="489"/>
      <c r="X28" s="489"/>
      <c r="Y28" s="489"/>
      <c r="Z28" s="489"/>
      <c r="AA28" s="489"/>
      <c r="AB28" s="489"/>
      <c r="AC28" s="490"/>
      <c r="AD28" s="477"/>
      <c r="AE28" s="489"/>
      <c r="AF28" s="489"/>
      <c r="AG28" s="489"/>
      <c r="AH28" s="489"/>
      <c r="AI28" s="489"/>
      <c r="AJ28" s="489"/>
      <c r="AK28" s="489"/>
      <c r="AL28" s="490"/>
      <c r="AM28" s="477"/>
      <c r="AN28" s="489"/>
      <c r="AO28" s="489"/>
      <c r="AP28" s="489"/>
      <c r="AQ28" s="489"/>
      <c r="AR28" s="489"/>
      <c r="AS28" s="489"/>
      <c r="AT28" s="489"/>
      <c r="AU28" s="490"/>
    </row>
    <row r="29" spans="1:48">
      <c r="A29" s="444" t="s">
        <v>1011</v>
      </c>
      <c r="B29" s="488"/>
      <c r="C29" s="477"/>
      <c r="D29" s="489"/>
      <c r="E29" s="489"/>
      <c r="F29" s="489"/>
      <c r="G29" s="489"/>
      <c r="H29" s="489"/>
      <c r="I29" s="489"/>
      <c r="J29" s="489"/>
      <c r="K29" s="490"/>
      <c r="L29" s="477"/>
      <c r="M29" s="489"/>
      <c r="N29" s="489"/>
      <c r="O29" s="489"/>
      <c r="P29" s="489"/>
      <c r="Q29" s="489"/>
      <c r="R29" s="489"/>
      <c r="S29" s="489"/>
      <c r="T29" s="490"/>
      <c r="U29" s="477"/>
      <c r="V29" s="489"/>
      <c r="W29" s="489"/>
      <c r="X29" s="489"/>
      <c r="Y29" s="489"/>
      <c r="Z29" s="489"/>
      <c r="AA29" s="489"/>
      <c r="AB29" s="489"/>
      <c r="AC29" s="490"/>
      <c r="AD29" s="477"/>
      <c r="AE29" s="489"/>
      <c r="AF29" s="489"/>
      <c r="AG29" s="489"/>
      <c r="AH29" s="489"/>
      <c r="AI29" s="489"/>
      <c r="AJ29" s="489"/>
      <c r="AK29" s="489"/>
      <c r="AL29" s="490"/>
      <c r="AM29" s="477"/>
      <c r="AN29" s="489"/>
      <c r="AO29" s="489"/>
      <c r="AP29" s="489"/>
      <c r="AQ29" s="489"/>
      <c r="AR29" s="489"/>
      <c r="AS29" s="489"/>
      <c r="AT29" s="489"/>
      <c r="AU29" s="490"/>
    </row>
    <row r="30" spans="1:48">
      <c r="A30" s="444" t="s">
        <v>978</v>
      </c>
      <c r="B30" s="488" t="s">
        <v>449</v>
      </c>
      <c r="C30" s="650" cm="1">
        <f t="array" ref="C30">_xlfn.XLOOKUP(A30,'TB upload'!A:A,'TB upload'!C:C-'TB upload'!B:B,0,)</f>
        <v>0</v>
      </c>
      <c r="D30" s="489"/>
      <c r="E30" s="474" cm="1">
        <f t="array" ref="E30">_xlfn.XLOOKUP($A30,'TB upload'!$A:$A,'TB upload'!E:E-'TB upload'!D:D,0,)</f>
        <v>0</v>
      </c>
      <c r="F30" s="489"/>
      <c r="G30" s="474" cm="1">
        <f t="array" ref="G30">_xlfn.XLOOKUP($A30,'TB upload'!$A:$A,'TB upload'!G:G-'TB upload'!F:F,0,)</f>
        <v>0</v>
      </c>
      <c r="H30" s="489"/>
      <c r="I30" s="474" cm="1">
        <f t="array" ref="I30">_xlfn.XLOOKUP($A30,'TB upload'!$A:$A,'TB upload'!I:I-'TB upload'!H:H,0,)</f>
        <v>0</v>
      </c>
      <c r="J30" s="489"/>
      <c r="K30" s="490">
        <f t="shared" ref="K30" si="10">SUM(C30:J30)</f>
        <v>0</v>
      </c>
      <c r="L30" s="650">
        <v>0</v>
      </c>
      <c r="M30" s="489"/>
      <c r="N30" s="474">
        <v>0</v>
      </c>
      <c r="O30" s="489"/>
      <c r="P30" s="474">
        <v>0</v>
      </c>
      <c r="Q30" s="489"/>
      <c r="R30" s="474">
        <v>0</v>
      </c>
      <c r="S30" s="489"/>
      <c r="T30" s="490">
        <v>0</v>
      </c>
      <c r="U30" s="477">
        <v>0</v>
      </c>
      <c r="V30" s="489"/>
      <c r="W30" s="474">
        <v>0</v>
      </c>
      <c r="X30" s="489"/>
      <c r="Y30" s="474">
        <v>0</v>
      </c>
      <c r="Z30" s="489"/>
      <c r="AA30" s="489">
        <v>0</v>
      </c>
      <c r="AB30" s="489"/>
      <c r="AC30" s="490">
        <v>0</v>
      </c>
      <c r="AD30" s="477">
        <v>0</v>
      </c>
      <c r="AE30" s="489"/>
      <c r="AF30" s="474">
        <v>0</v>
      </c>
      <c r="AG30" s="489"/>
      <c r="AH30" s="474">
        <v>0</v>
      </c>
      <c r="AI30" s="489"/>
      <c r="AJ30" s="489">
        <v>0</v>
      </c>
      <c r="AK30" s="489"/>
      <c r="AL30" s="490">
        <v>0</v>
      </c>
      <c r="AM30" s="477">
        <v>0</v>
      </c>
      <c r="AN30" s="489"/>
      <c r="AO30" s="489"/>
      <c r="AP30" s="489"/>
      <c r="AQ30" s="489"/>
      <c r="AR30" s="489"/>
      <c r="AS30" s="489"/>
      <c r="AT30" s="489"/>
      <c r="AU30" s="490">
        <v>0</v>
      </c>
    </row>
    <row r="31" spans="1:48" ht="15" thickBot="1">
      <c r="B31" s="488"/>
      <c r="C31" s="477"/>
      <c r="D31" s="489"/>
      <c r="E31" s="489"/>
      <c r="F31" s="489"/>
      <c r="G31" s="489"/>
      <c r="H31" s="489"/>
      <c r="I31" s="489"/>
      <c r="J31" s="489"/>
      <c r="K31" s="490"/>
      <c r="L31" s="477"/>
      <c r="M31" s="489"/>
      <c r="N31" s="489"/>
      <c r="O31" s="489"/>
      <c r="P31" s="489"/>
      <c r="Q31" s="489"/>
      <c r="R31" s="489"/>
      <c r="S31" s="489"/>
      <c r="T31" s="490"/>
      <c r="U31" s="477"/>
      <c r="V31" s="489"/>
      <c r="W31" s="489"/>
      <c r="X31" s="489"/>
      <c r="Y31" s="489"/>
      <c r="Z31" s="489"/>
      <c r="AA31" s="489"/>
      <c r="AB31" s="489"/>
      <c r="AC31" s="490"/>
      <c r="AD31" s="477"/>
      <c r="AE31" s="489"/>
      <c r="AF31" s="489"/>
      <c r="AG31" s="489"/>
      <c r="AH31" s="489"/>
      <c r="AI31" s="489"/>
      <c r="AJ31" s="489"/>
      <c r="AK31" s="489"/>
      <c r="AL31" s="490"/>
      <c r="AM31" s="477"/>
      <c r="AN31" s="489"/>
      <c r="AO31" s="489"/>
      <c r="AP31" s="489"/>
      <c r="AQ31" s="489"/>
      <c r="AR31" s="489"/>
      <c r="AS31" s="489"/>
      <c r="AT31" s="489"/>
      <c r="AU31" s="490"/>
    </row>
    <row r="32" spans="1:48" ht="15.6" thickTop="1" thickBot="1">
      <c r="A32" s="492"/>
      <c r="B32" s="493" t="s">
        <v>1521</v>
      </c>
      <c r="C32" s="654">
        <f>SUM(C30:C31)</f>
        <v>0</v>
      </c>
      <c r="D32" s="495">
        <f t="shared" ref="D32:K32" si="11">SUM(D30:D31)</f>
        <v>0</v>
      </c>
      <c r="E32" s="495">
        <f t="shared" si="11"/>
        <v>0</v>
      </c>
      <c r="F32" s="495">
        <f t="shared" si="11"/>
        <v>0</v>
      </c>
      <c r="G32" s="495">
        <f t="shared" si="11"/>
        <v>0</v>
      </c>
      <c r="H32" s="495">
        <f t="shared" si="11"/>
        <v>0</v>
      </c>
      <c r="I32" s="495">
        <f t="shared" si="11"/>
        <v>0</v>
      </c>
      <c r="J32" s="495">
        <f t="shared" si="11"/>
        <v>0</v>
      </c>
      <c r="K32" s="497">
        <f t="shared" si="11"/>
        <v>0</v>
      </c>
      <c r="L32" s="654">
        <v>0</v>
      </c>
      <c r="M32" s="495">
        <v>0</v>
      </c>
      <c r="N32" s="495">
        <v>0</v>
      </c>
      <c r="O32" s="495">
        <v>0</v>
      </c>
      <c r="P32" s="495">
        <v>0</v>
      </c>
      <c r="Q32" s="495">
        <v>0</v>
      </c>
      <c r="R32" s="495">
        <v>0</v>
      </c>
      <c r="S32" s="495">
        <v>0</v>
      </c>
      <c r="T32" s="497">
        <v>0</v>
      </c>
      <c r="U32" s="654">
        <v>0</v>
      </c>
      <c r="V32" s="495">
        <v>0</v>
      </c>
      <c r="W32" s="495">
        <v>0</v>
      </c>
      <c r="X32" s="495">
        <v>0</v>
      </c>
      <c r="Y32" s="495">
        <v>0</v>
      </c>
      <c r="Z32" s="495">
        <v>0</v>
      </c>
      <c r="AA32" s="495">
        <v>0</v>
      </c>
      <c r="AB32" s="495">
        <v>0</v>
      </c>
      <c r="AC32" s="497">
        <v>0</v>
      </c>
      <c r="AD32" s="494">
        <v>0</v>
      </c>
      <c r="AE32" s="495">
        <v>0</v>
      </c>
      <c r="AF32" s="495">
        <v>0</v>
      </c>
      <c r="AG32" s="495">
        <v>0</v>
      </c>
      <c r="AH32" s="495">
        <v>0</v>
      </c>
      <c r="AI32" s="495">
        <v>0</v>
      </c>
      <c r="AJ32" s="495">
        <v>0</v>
      </c>
      <c r="AK32" s="495">
        <v>0</v>
      </c>
      <c r="AL32" s="497">
        <v>0</v>
      </c>
      <c r="AM32" s="494">
        <v>0</v>
      </c>
      <c r="AN32" s="495">
        <v>0</v>
      </c>
      <c r="AO32" s="495">
        <v>0</v>
      </c>
      <c r="AP32" s="495">
        <v>0</v>
      </c>
      <c r="AQ32" s="495">
        <v>0</v>
      </c>
      <c r="AR32" s="495">
        <v>0</v>
      </c>
      <c r="AS32" s="495">
        <v>0</v>
      </c>
      <c r="AT32" s="495">
        <v>0</v>
      </c>
      <c r="AU32" s="497">
        <v>0</v>
      </c>
    </row>
    <row r="33" spans="1:47" ht="15" thickTop="1">
      <c r="B33" s="488"/>
      <c r="C33" s="477"/>
      <c r="D33" s="489"/>
      <c r="E33" s="489"/>
      <c r="F33" s="489"/>
      <c r="G33" s="489"/>
      <c r="H33" s="489"/>
      <c r="I33" s="489"/>
      <c r="J33" s="489"/>
      <c r="K33" s="490"/>
      <c r="L33" s="477"/>
      <c r="M33" s="489"/>
      <c r="N33" s="489"/>
      <c r="O33" s="489"/>
      <c r="P33" s="489"/>
      <c r="Q33" s="489"/>
      <c r="R33" s="489"/>
      <c r="S33" s="489"/>
      <c r="T33" s="490"/>
      <c r="U33" s="477"/>
      <c r="V33" s="489"/>
      <c r="W33" s="489"/>
      <c r="X33" s="489"/>
      <c r="Y33" s="489"/>
      <c r="Z33" s="489"/>
      <c r="AA33" s="489"/>
      <c r="AB33" s="489"/>
      <c r="AC33" s="490"/>
      <c r="AD33" s="477"/>
      <c r="AE33" s="489"/>
      <c r="AF33" s="489"/>
      <c r="AG33" s="489"/>
      <c r="AH33" s="489"/>
      <c r="AI33" s="489"/>
      <c r="AJ33" s="489"/>
      <c r="AK33" s="489"/>
      <c r="AL33" s="490"/>
      <c r="AM33" s="477"/>
      <c r="AN33" s="489"/>
      <c r="AO33" s="489"/>
      <c r="AP33" s="489"/>
      <c r="AQ33" s="489"/>
      <c r="AR33" s="489"/>
      <c r="AS33" s="489"/>
      <c r="AT33" s="489"/>
      <c r="AU33" s="490"/>
    </row>
    <row r="34" spans="1:47">
      <c r="A34" s="498" t="s">
        <v>355</v>
      </c>
      <c r="B34" s="488"/>
      <c r="C34" s="477"/>
      <c r="D34" s="489"/>
      <c r="E34" s="489"/>
      <c r="F34" s="489"/>
      <c r="G34" s="489"/>
      <c r="H34" s="489"/>
      <c r="I34" s="489"/>
      <c r="J34" s="489"/>
      <c r="K34" s="490"/>
      <c r="L34" s="477"/>
      <c r="M34" s="489"/>
      <c r="N34" s="489"/>
      <c r="O34" s="489"/>
      <c r="P34" s="489"/>
      <c r="Q34" s="489"/>
      <c r="R34" s="489"/>
      <c r="S34" s="489"/>
      <c r="T34" s="490"/>
      <c r="U34" s="477"/>
      <c r="V34" s="489"/>
      <c r="W34" s="489"/>
      <c r="X34" s="489"/>
      <c r="Y34" s="489"/>
      <c r="Z34" s="489"/>
      <c r="AA34" s="489"/>
      <c r="AB34" s="489"/>
      <c r="AC34" s="490"/>
      <c r="AD34" s="477"/>
      <c r="AE34" s="489"/>
      <c r="AF34" s="489"/>
      <c r="AG34" s="489"/>
      <c r="AH34" s="489"/>
      <c r="AI34" s="489"/>
      <c r="AJ34" s="489"/>
      <c r="AK34" s="489"/>
      <c r="AL34" s="490"/>
      <c r="AM34" s="477"/>
      <c r="AN34" s="489"/>
      <c r="AO34" s="489"/>
      <c r="AP34" s="489"/>
      <c r="AQ34" s="489"/>
      <c r="AR34" s="489"/>
      <c r="AS34" s="489"/>
      <c r="AT34" s="489"/>
      <c r="AU34" s="490"/>
    </row>
    <row r="35" spans="1:47">
      <c r="A35" s="444" t="s">
        <v>227</v>
      </c>
      <c r="B35" s="488"/>
      <c r="C35" s="477"/>
      <c r="D35" s="489"/>
      <c r="E35" s="489"/>
      <c r="F35" s="489"/>
      <c r="G35" s="489"/>
      <c r="H35" s="489"/>
      <c r="I35" s="489"/>
      <c r="J35" s="489"/>
      <c r="K35" s="490"/>
      <c r="L35" s="477"/>
      <c r="M35" s="489"/>
      <c r="N35" s="489"/>
      <c r="O35" s="489"/>
      <c r="P35" s="489"/>
      <c r="Q35" s="489"/>
      <c r="R35" s="489"/>
      <c r="S35" s="489"/>
      <c r="T35" s="490"/>
      <c r="U35" s="477"/>
      <c r="V35" s="489"/>
      <c r="W35" s="489"/>
      <c r="X35" s="489"/>
      <c r="Y35" s="489"/>
      <c r="Z35" s="489"/>
      <c r="AA35" s="489"/>
      <c r="AB35" s="489"/>
      <c r="AC35" s="490"/>
      <c r="AD35" s="477"/>
      <c r="AE35" s="489"/>
      <c r="AF35" s="489"/>
      <c r="AG35" s="489"/>
      <c r="AH35" s="489"/>
      <c r="AI35" s="489"/>
      <c r="AJ35" s="489"/>
      <c r="AK35" s="489"/>
      <c r="AL35" s="490"/>
      <c r="AM35" s="477"/>
      <c r="AN35" s="489"/>
      <c r="AO35" s="489"/>
      <c r="AP35" s="489"/>
      <c r="AQ35" s="489"/>
      <c r="AR35" s="489"/>
      <c r="AS35" s="489"/>
      <c r="AT35" s="489"/>
      <c r="AU35" s="490"/>
    </row>
    <row r="36" spans="1:47">
      <c r="A36" s="444" t="s">
        <v>123</v>
      </c>
      <c r="B36" s="488" t="s">
        <v>449</v>
      </c>
      <c r="C36" s="650" cm="1">
        <f t="array" ref="C36">_xlfn.XLOOKUP(A36,'TB upload'!A:A,'TB upload'!C:C-'TB upload'!B:B,0,)</f>
        <v>0</v>
      </c>
      <c r="D36" s="489"/>
      <c r="E36" s="474" cm="1">
        <f t="array" ref="E36">_xlfn.XLOOKUP($A36,'TB upload'!$A:$A,'TB upload'!E:E-'TB upload'!D:D,0,)</f>
        <v>0</v>
      </c>
      <c r="F36" s="489"/>
      <c r="G36" s="474" cm="1">
        <f t="array" ref="G36">_xlfn.XLOOKUP($A36,'TB upload'!$A:$A,'TB upload'!G:G-'TB upload'!F:F,0,)</f>
        <v>0</v>
      </c>
      <c r="H36" s="489"/>
      <c r="I36" s="474" cm="1">
        <f t="array" ref="I36">_xlfn.XLOOKUP($A36,'TB upload'!$A:$A,'TB upload'!I:I-'TB upload'!H:H,0,)</f>
        <v>0</v>
      </c>
      <c r="J36" s="489"/>
      <c r="K36" s="490">
        <f t="shared" ref="K36" si="12">SUM(C36:J36)</f>
        <v>0</v>
      </c>
      <c r="L36" s="650">
        <v>455694</v>
      </c>
      <c r="M36" s="489"/>
      <c r="N36" s="474">
        <v>0</v>
      </c>
      <c r="O36" s="489"/>
      <c r="P36" s="474">
        <v>0</v>
      </c>
      <c r="Q36" s="489"/>
      <c r="R36" s="474">
        <v>0</v>
      </c>
      <c r="S36" s="489"/>
      <c r="T36" s="490">
        <v>455694</v>
      </c>
      <c r="U36" s="650">
        <v>455694</v>
      </c>
      <c r="V36" s="489"/>
      <c r="W36" s="474"/>
      <c r="X36" s="489"/>
      <c r="Y36" s="474"/>
      <c r="Z36" s="489"/>
      <c r="AA36" s="489"/>
      <c r="AB36" s="489"/>
      <c r="AC36" s="490">
        <v>455694</v>
      </c>
      <c r="AD36" s="477">
        <v>477450</v>
      </c>
      <c r="AE36" s="489">
        <v>252859</v>
      </c>
      <c r="AF36" s="474">
        <v>0</v>
      </c>
      <c r="AG36" s="489"/>
      <c r="AH36" s="474">
        <v>0</v>
      </c>
      <c r="AI36" s="489"/>
      <c r="AJ36" s="489">
        <v>0</v>
      </c>
      <c r="AK36" s="489"/>
      <c r="AL36" s="490">
        <v>730309</v>
      </c>
      <c r="AM36" s="477">
        <v>477450</v>
      </c>
      <c r="AN36" s="489">
        <v>-9203</v>
      </c>
      <c r="AO36" s="489"/>
      <c r="AP36" s="489"/>
      <c r="AQ36" s="489"/>
      <c r="AR36" s="489"/>
      <c r="AS36" s="489"/>
      <c r="AT36" s="489"/>
      <c r="AU36" s="490">
        <v>468247</v>
      </c>
    </row>
    <row r="37" spans="1:47" ht="15" thickBot="1">
      <c r="A37" s="444" t="s">
        <v>1442</v>
      </c>
      <c r="B37" s="488"/>
      <c r="C37" s="477"/>
      <c r="D37" s="489"/>
      <c r="E37" s="489"/>
      <c r="F37" s="489"/>
      <c r="G37" s="489"/>
      <c r="H37" s="489"/>
      <c r="I37" s="489"/>
      <c r="J37" s="489"/>
      <c r="K37" s="490">
        <f>SUM(C37:J37)</f>
        <v>0</v>
      </c>
      <c r="L37" s="477"/>
      <c r="M37" s="489"/>
      <c r="N37" s="489"/>
      <c r="O37" s="489"/>
      <c r="P37" s="489"/>
      <c r="Q37" s="489"/>
      <c r="R37" s="489"/>
      <c r="S37" s="489"/>
      <c r="T37" s="490">
        <v>0</v>
      </c>
      <c r="U37" s="477"/>
      <c r="V37" s="489"/>
      <c r="W37" s="489"/>
      <c r="X37" s="489"/>
      <c r="Y37" s="489"/>
      <c r="Z37" s="489"/>
      <c r="AA37" s="489"/>
      <c r="AB37" s="489"/>
      <c r="AC37" s="490">
        <v>0</v>
      </c>
      <c r="AD37" s="477"/>
      <c r="AE37" s="489">
        <v>-20802</v>
      </c>
      <c r="AF37" s="489"/>
      <c r="AG37" s="489"/>
      <c r="AH37" s="489"/>
      <c r="AI37" s="489"/>
      <c r="AJ37" s="489"/>
      <c r="AK37" s="489"/>
      <c r="AL37" s="490">
        <v>-20802</v>
      </c>
      <c r="AM37" s="477"/>
      <c r="AN37" s="489"/>
      <c r="AO37" s="489"/>
      <c r="AP37" s="489"/>
      <c r="AQ37" s="489"/>
      <c r="AR37" s="489"/>
      <c r="AS37" s="489"/>
      <c r="AT37" s="489"/>
      <c r="AU37" s="490"/>
    </row>
    <row r="38" spans="1:47" ht="15.6" thickTop="1" thickBot="1">
      <c r="A38" s="492"/>
      <c r="B38" s="493" t="s">
        <v>1521</v>
      </c>
      <c r="C38" s="654">
        <f>SUM(C36:C37)</f>
        <v>0</v>
      </c>
      <c r="D38" s="495">
        <f t="shared" ref="D38:K38" si="13">SUM(D36:D37)</f>
        <v>0</v>
      </c>
      <c r="E38" s="495">
        <f t="shared" si="13"/>
        <v>0</v>
      </c>
      <c r="F38" s="495">
        <f t="shared" si="13"/>
        <v>0</v>
      </c>
      <c r="G38" s="495">
        <f t="shared" si="13"/>
        <v>0</v>
      </c>
      <c r="H38" s="495">
        <f t="shared" si="13"/>
        <v>0</v>
      </c>
      <c r="I38" s="495">
        <f t="shared" si="13"/>
        <v>0</v>
      </c>
      <c r="J38" s="495">
        <f t="shared" si="13"/>
        <v>0</v>
      </c>
      <c r="K38" s="496">
        <f t="shared" si="13"/>
        <v>0</v>
      </c>
      <c r="L38" s="654">
        <v>455694</v>
      </c>
      <c r="M38" s="495">
        <v>0</v>
      </c>
      <c r="N38" s="495">
        <v>0</v>
      </c>
      <c r="O38" s="495">
        <v>0</v>
      </c>
      <c r="P38" s="495">
        <v>0</v>
      </c>
      <c r="Q38" s="495">
        <v>0</v>
      </c>
      <c r="R38" s="495">
        <v>0</v>
      </c>
      <c r="S38" s="495">
        <v>0</v>
      </c>
      <c r="T38" s="496">
        <v>455694</v>
      </c>
      <c r="U38" s="654">
        <v>455694</v>
      </c>
      <c r="V38" s="495">
        <v>0</v>
      </c>
      <c r="W38" s="495">
        <v>0</v>
      </c>
      <c r="X38" s="495">
        <v>0</v>
      </c>
      <c r="Y38" s="495">
        <v>0</v>
      </c>
      <c r="Z38" s="495">
        <v>0</v>
      </c>
      <c r="AA38" s="495">
        <v>0</v>
      </c>
      <c r="AB38" s="495">
        <v>0</v>
      </c>
      <c r="AC38" s="496">
        <v>455694</v>
      </c>
      <c r="AD38" s="494">
        <v>477450</v>
      </c>
      <c r="AE38" s="495">
        <v>232057</v>
      </c>
      <c r="AF38" s="495">
        <v>0</v>
      </c>
      <c r="AG38" s="495">
        <v>0</v>
      </c>
      <c r="AH38" s="495">
        <v>0</v>
      </c>
      <c r="AI38" s="495">
        <v>0</v>
      </c>
      <c r="AJ38" s="495">
        <v>0</v>
      </c>
      <c r="AK38" s="495">
        <v>0</v>
      </c>
      <c r="AL38" s="496">
        <v>709507</v>
      </c>
      <c r="AM38" s="494">
        <v>477450</v>
      </c>
      <c r="AN38" s="495">
        <v>-9203</v>
      </c>
      <c r="AO38" s="495">
        <v>0</v>
      </c>
      <c r="AP38" s="495">
        <v>0</v>
      </c>
      <c r="AQ38" s="495">
        <v>0</v>
      </c>
      <c r="AR38" s="495">
        <v>0</v>
      </c>
      <c r="AS38" s="495">
        <v>0</v>
      </c>
      <c r="AT38" s="495">
        <v>0</v>
      </c>
      <c r="AU38" s="497">
        <v>468247</v>
      </c>
    </row>
    <row r="39" spans="1:47" ht="15" thickTop="1">
      <c r="A39" s="444" t="s">
        <v>228</v>
      </c>
      <c r="B39" s="488"/>
      <c r="C39" s="477"/>
      <c r="D39" s="489"/>
      <c r="E39" s="489"/>
      <c r="F39" s="489"/>
      <c r="G39" s="489"/>
      <c r="H39" s="489"/>
      <c r="I39" s="489"/>
      <c r="J39" s="489"/>
      <c r="K39" s="490"/>
      <c r="L39" s="477"/>
      <c r="M39" s="489"/>
      <c r="N39" s="489"/>
      <c r="O39" s="489"/>
      <c r="P39" s="489"/>
      <c r="Q39" s="489"/>
      <c r="R39" s="489"/>
      <c r="S39" s="489"/>
      <c r="T39" s="490"/>
      <c r="U39" s="477"/>
      <c r="V39" s="489"/>
      <c r="W39" s="489"/>
      <c r="X39" s="489"/>
      <c r="Y39" s="489"/>
      <c r="Z39" s="489"/>
      <c r="AA39" s="489"/>
      <c r="AB39" s="489"/>
      <c r="AC39" s="490"/>
      <c r="AD39" s="477"/>
      <c r="AE39" s="489"/>
      <c r="AF39" s="489"/>
      <c r="AG39" s="489"/>
      <c r="AH39" s="489"/>
      <c r="AI39" s="489"/>
      <c r="AJ39" s="489"/>
      <c r="AK39" s="489"/>
      <c r="AL39" s="490"/>
      <c r="AM39" s="477"/>
      <c r="AN39" s="489"/>
      <c r="AO39" s="489"/>
      <c r="AP39" s="489"/>
      <c r="AQ39" s="489"/>
      <c r="AR39" s="489"/>
      <c r="AS39" s="489"/>
      <c r="AT39" s="489"/>
      <c r="AU39" s="490"/>
    </row>
    <row r="40" spans="1:47">
      <c r="A40" s="444" t="s">
        <v>125</v>
      </c>
      <c r="B40" s="488" t="s">
        <v>449</v>
      </c>
      <c r="C40" s="650" cm="1">
        <f t="array" ref="C40">_xlfn.XLOOKUP(A40,'TB upload'!A:A,'TB upload'!C:C-'TB upload'!B:B,0,)</f>
        <v>0</v>
      </c>
      <c r="D40" s="489"/>
      <c r="E40" s="474" cm="1">
        <f t="array" ref="E40">_xlfn.XLOOKUP($A40,'TB upload'!$A:$A,'TB upload'!E:E-'TB upload'!D:D,0,)</f>
        <v>0</v>
      </c>
      <c r="F40" s="489"/>
      <c r="G40" s="474" cm="1">
        <f t="array" ref="G40">_xlfn.XLOOKUP($A40,'TB upload'!$A:$A,'TB upload'!G:G-'TB upload'!F:F,0,)</f>
        <v>0</v>
      </c>
      <c r="H40" s="489"/>
      <c r="I40" s="474" cm="1">
        <f t="array" ref="I40">_xlfn.XLOOKUP($A40,'TB upload'!$A:$A,'TB upload'!I:I-'TB upload'!H:H,0,)</f>
        <v>0</v>
      </c>
      <c r="J40" s="489"/>
      <c r="K40" s="490">
        <f t="shared" ref="K40" si="14">SUM(C40:J40)</f>
        <v>0</v>
      </c>
      <c r="L40" s="650">
        <v>991337</v>
      </c>
      <c r="M40" s="489"/>
      <c r="N40" s="474">
        <v>0</v>
      </c>
      <c r="O40" s="489"/>
      <c r="P40" s="474">
        <v>0</v>
      </c>
      <c r="Q40" s="489"/>
      <c r="R40" s="474">
        <v>0</v>
      </c>
      <c r="S40" s="489"/>
      <c r="T40" s="490">
        <v>991337</v>
      </c>
      <c r="U40" s="650">
        <v>991337</v>
      </c>
      <c r="V40" s="489"/>
      <c r="W40" s="474"/>
      <c r="X40" s="489"/>
      <c r="Y40" s="474"/>
      <c r="Z40" s="489"/>
      <c r="AA40" s="489"/>
      <c r="AB40" s="489"/>
      <c r="AC40" s="490">
        <v>991337</v>
      </c>
      <c r="AD40" s="477">
        <v>1312847</v>
      </c>
      <c r="AE40" s="489">
        <v>349231</v>
      </c>
      <c r="AF40" s="474">
        <v>0</v>
      </c>
      <c r="AG40" s="489"/>
      <c r="AH40" s="474">
        <v>0</v>
      </c>
      <c r="AI40" s="489"/>
      <c r="AJ40" s="489">
        <v>0</v>
      </c>
      <c r="AK40" s="489"/>
      <c r="AL40" s="490">
        <v>1662078</v>
      </c>
      <c r="AM40" s="477">
        <v>1444736</v>
      </c>
      <c r="AN40" s="489">
        <v>-124009</v>
      </c>
      <c r="AO40" s="489"/>
      <c r="AP40" s="489">
        <v>-131889</v>
      </c>
      <c r="AQ40" s="489"/>
      <c r="AR40" s="489"/>
      <c r="AS40" s="489"/>
      <c r="AT40" s="489"/>
      <c r="AU40" s="490">
        <v>1188838</v>
      </c>
    </row>
    <row r="41" spans="1:47" ht="15" thickBot="1">
      <c r="A41" s="444" t="s">
        <v>1445</v>
      </c>
      <c r="B41" s="488"/>
      <c r="C41" s="477"/>
      <c r="D41" s="489"/>
      <c r="E41" s="489"/>
      <c r="F41" s="489"/>
      <c r="G41" s="489"/>
      <c r="H41" s="489"/>
      <c r="I41" s="489"/>
      <c r="J41" s="489"/>
      <c r="K41" s="490">
        <f>SUM(C41:J41)</f>
        <v>0</v>
      </c>
      <c r="L41" s="477"/>
      <c r="M41" s="489"/>
      <c r="N41" s="489"/>
      <c r="O41" s="489"/>
      <c r="P41" s="489"/>
      <c r="Q41" s="489"/>
      <c r="R41" s="489"/>
      <c r="S41" s="489"/>
      <c r="T41" s="490">
        <v>0</v>
      </c>
      <c r="U41" s="477"/>
      <c r="V41" s="489"/>
      <c r="W41" s="489"/>
      <c r="X41" s="489"/>
      <c r="Y41" s="489"/>
      <c r="Z41" s="489"/>
      <c r="AA41" s="489"/>
      <c r="AB41" s="489"/>
      <c r="AC41" s="490">
        <v>0</v>
      </c>
      <c r="AD41" s="477"/>
      <c r="AE41" s="489">
        <v>-158061</v>
      </c>
      <c r="AF41" s="489"/>
      <c r="AG41" s="489"/>
      <c r="AH41" s="489"/>
      <c r="AI41" s="489"/>
      <c r="AJ41" s="489"/>
      <c r="AK41" s="489"/>
      <c r="AL41" s="490">
        <v>-158061</v>
      </c>
      <c r="AM41" s="477"/>
      <c r="AN41" s="489"/>
      <c r="AO41" s="489"/>
      <c r="AP41" s="489"/>
      <c r="AQ41" s="489"/>
      <c r="AR41" s="489"/>
      <c r="AS41" s="489"/>
      <c r="AT41" s="489"/>
      <c r="AU41" s="490"/>
    </row>
    <row r="42" spans="1:47" ht="15.6" thickTop="1" thickBot="1">
      <c r="A42" s="506"/>
      <c r="B42" s="493" t="s">
        <v>1521</v>
      </c>
      <c r="C42" s="654">
        <f>SUM(C40:C41)</f>
        <v>0</v>
      </c>
      <c r="D42" s="495">
        <f t="shared" ref="D42:K42" si="15">SUM(D40:D41)</f>
        <v>0</v>
      </c>
      <c r="E42" s="495">
        <f t="shared" si="15"/>
        <v>0</v>
      </c>
      <c r="F42" s="495">
        <f t="shared" si="15"/>
        <v>0</v>
      </c>
      <c r="G42" s="495">
        <f t="shared" si="15"/>
        <v>0</v>
      </c>
      <c r="H42" s="495">
        <f t="shared" si="15"/>
        <v>0</v>
      </c>
      <c r="I42" s="495">
        <f t="shared" si="15"/>
        <v>0</v>
      </c>
      <c r="J42" s="495">
        <f t="shared" si="15"/>
        <v>0</v>
      </c>
      <c r="K42" s="496">
        <f t="shared" si="15"/>
        <v>0</v>
      </c>
      <c r="L42" s="654">
        <v>991337</v>
      </c>
      <c r="M42" s="495">
        <v>0</v>
      </c>
      <c r="N42" s="495">
        <v>0</v>
      </c>
      <c r="O42" s="495">
        <v>0</v>
      </c>
      <c r="P42" s="495">
        <v>0</v>
      </c>
      <c r="Q42" s="495">
        <v>0</v>
      </c>
      <c r="R42" s="495">
        <v>0</v>
      </c>
      <c r="S42" s="495">
        <v>0</v>
      </c>
      <c r="T42" s="496">
        <v>991337</v>
      </c>
      <c r="U42" s="654">
        <v>991337</v>
      </c>
      <c r="V42" s="495">
        <v>0</v>
      </c>
      <c r="W42" s="495">
        <v>0</v>
      </c>
      <c r="X42" s="495">
        <v>0</v>
      </c>
      <c r="Y42" s="495">
        <v>0</v>
      </c>
      <c r="Z42" s="495">
        <v>0</v>
      </c>
      <c r="AA42" s="495">
        <v>0</v>
      </c>
      <c r="AB42" s="495">
        <v>0</v>
      </c>
      <c r="AC42" s="496">
        <v>991337</v>
      </c>
      <c r="AD42" s="494">
        <v>1312847</v>
      </c>
      <c r="AE42" s="495">
        <v>191170</v>
      </c>
      <c r="AF42" s="495">
        <v>0</v>
      </c>
      <c r="AG42" s="495">
        <v>0</v>
      </c>
      <c r="AH42" s="495">
        <v>0</v>
      </c>
      <c r="AI42" s="495">
        <v>0</v>
      </c>
      <c r="AJ42" s="495">
        <v>0</v>
      </c>
      <c r="AK42" s="495">
        <v>0</v>
      </c>
      <c r="AL42" s="496">
        <v>1504017</v>
      </c>
      <c r="AM42" s="494">
        <v>1444736</v>
      </c>
      <c r="AN42" s="495">
        <v>-124009</v>
      </c>
      <c r="AO42" s="495">
        <v>0</v>
      </c>
      <c r="AP42" s="495">
        <v>-131889</v>
      </c>
      <c r="AQ42" s="495">
        <v>0</v>
      </c>
      <c r="AR42" s="495">
        <v>0</v>
      </c>
      <c r="AS42" s="495">
        <v>0</v>
      </c>
      <c r="AT42" s="495">
        <v>0</v>
      </c>
      <c r="AU42" s="497">
        <v>1188838</v>
      </c>
    </row>
    <row r="43" spans="1:47" ht="15" thickTop="1">
      <c r="B43" s="488"/>
      <c r="C43" s="477"/>
      <c r="D43" s="489"/>
      <c r="E43" s="489"/>
      <c r="F43" s="489"/>
      <c r="G43" s="489"/>
      <c r="H43" s="489"/>
      <c r="I43" s="489"/>
      <c r="J43" s="489"/>
      <c r="K43" s="490"/>
      <c r="L43" s="477"/>
      <c r="M43" s="489"/>
      <c r="N43" s="489"/>
      <c r="O43" s="489"/>
      <c r="P43" s="489"/>
      <c r="Q43" s="489"/>
      <c r="R43" s="489"/>
      <c r="S43" s="489"/>
      <c r="T43" s="490"/>
      <c r="U43" s="477"/>
      <c r="V43" s="489"/>
      <c r="W43" s="489"/>
      <c r="X43" s="489"/>
      <c r="Y43" s="489"/>
      <c r="Z43" s="489"/>
      <c r="AA43" s="489"/>
      <c r="AB43" s="489"/>
      <c r="AC43" s="490"/>
      <c r="AD43" s="477"/>
      <c r="AE43" s="489"/>
      <c r="AF43" s="489"/>
      <c r="AG43" s="489"/>
      <c r="AH43" s="489"/>
      <c r="AI43" s="489"/>
      <c r="AJ43" s="489"/>
      <c r="AK43" s="489"/>
      <c r="AL43" s="490"/>
      <c r="AM43" s="477"/>
      <c r="AN43" s="489"/>
      <c r="AO43" s="489"/>
      <c r="AP43" s="489"/>
      <c r="AQ43" s="489"/>
      <c r="AR43" s="489"/>
      <c r="AS43" s="489"/>
      <c r="AT43" s="489"/>
      <c r="AU43" s="490"/>
    </row>
    <row r="44" spans="1:47">
      <c r="A44" s="498" t="s">
        <v>21</v>
      </c>
      <c r="B44" s="488"/>
      <c r="C44" s="477"/>
      <c r="D44" s="489"/>
      <c r="E44" s="489"/>
      <c r="F44" s="489"/>
      <c r="G44" s="489"/>
      <c r="H44" s="489"/>
      <c r="I44" s="489"/>
      <c r="J44" s="489"/>
      <c r="K44" s="490"/>
      <c r="L44" s="477"/>
      <c r="M44" s="489"/>
      <c r="N44" s="489"/>
      <c r="O44" s="489"/>
      <c r="P44" s="489"/>
      <c r="Q44" s="489"/>
      <c r="R44" s="489"/>
      <c r="S44" s="489"/>
      <c r="T44" s="490"/>
      <c r="U44" s="477"/>
      <c r="V44" s="489"/>
      <c r="W44" s="489"/>
      <c r="X44" s="489"/>
      <c r="Y44" s="489"/>
      <c r="Z44" s="489"/>
      <c r="AA44" s="489"/>
      <c r="AB44" s="489"/>
      <c r="AC44" s="490"/>
      <c r="AD44" s="477"/>
      <c r="AE44" s="489"/>
      <c r="AF44" s="489"/>
      <c r="AG44" s="489"/>
      <c r="AH44" s="489"/>
      <c r="AI44" s="489"/>
      <c r="AJ44" s="489"/>
      <c r="AK44" s="489"/>
      <c r="AL44" s="490"/>
      <c r="AM44" s="477"/>
      <c r="AN44" s="489"/>
      <c r="AO44" s="489"/>
      <c r="AP44" s="489"/>
      <c r="AQ44" s="489"/>
      <c r="AR44" s="489"/>
      <c r="AS44" s="489"/>
      <c r="AT44" s="489"/>
      <c r="AU44" s="490"/>
    </row>
    <row r="45" spans="1:47">
      <c r="A45" s="498" t="s">
        <v>24</v>
      </c>
      <c r="B45" s="488"/>
      <c r="C45" s="477"/>
      <c r="D45" s="489"/>
      <c r="E45" s="489"/>
      <c r="F45" s="489"/>
      <c r="G45" s="489"/>
      <c r="H45" s="489"/>
      <c r="I45" s="489"/>
      <c r="J45" s="489"/>
      <c r="K45" s="490"/>
      <c r="L45" s="477"/>
      <c r="M45" s="489"/>
      <c r="N45" s="489"/>
      <c r="O45" s="489"/>
      <c r="P45" s="489"/>
      <c r="Q45" s="489"/>
      <c r="R45" s="489"/>
      <c r="S45" s="489"/>
      <c r="T45" s="490"/>
      <c r="U45" s="477"/>
      <c r="V45" s="489"/>
      <c r="W45" s="489"/>
      <c r="X45" s="489"/>
      <c r="Y45" s="489"/>
      <c r="Z45" s="489"/>
      <c r="AA45" s="489"/>
      <c r="AB45" s="489"/>
      <c r="AC45" s="490"/>
      <c r="AD45" s="477"/>
      <c r="AE45" s="489"/>
      <c r="AF45" s="489"/>
      <c r="AG45" s="489"/>
      <c r="AH45" s="489"/>
      <c r="AI45" s="489"/>
      <c r="AJ45" s="489"/>
      <c r="AK45" s="489"/>
      <c r="AL45" s="490"/>
      <c r="AM45" s="477"/>
      <c r="AN45" s="489"/>
      <c r="AO45" s="489"/>
      <c r="AP45" s="489"/>
      <c r="AQ45" s="489"/>
      <c r="AR45" s="489"/>
      <c r="AS45" s="489"/>
      <c r="AT45" s="489"/>
      <c r="AU45" s="490"/>
    </row>
    <row r="46" spans="1:47">
      <c r="A46" s="444" t="s">
        <v>1010</v>
      </c>
      <c r="B46" s="488"/>
      <c r="C46" s="477"/>
      <c r="D46" s="489"/>
      <c r="E46" s="489"/>
      <c r="F46" s="489"/>
      <c r="G46" s="489"/>
      <c r="H46" s="489"/>
      <c r="I46" s="489"/>
      <c r="J46" s="489"/>
      <c r="K46" s="490"/>
      <c r="L46" s="477"/>
      <c r="M46" s="489"/>
      <c r="N46" s="489"/>
      <c r="O46" s="489"/>
      <c r="P46" s="489"/>
      <c r="Q46" s="489"/>
      <c r="R46" s="489"/>
      <c r="S46" s="489"/>
      <c r="T46" s="490"/>
      <c r="U46" s="477"/>
      <c r="V46" s="489"/>
      <c r="W46" s="489"/>
      <c r="X46" s="489"/>
      <c r="Y46" s="489"/>
      <c r="Z46" s="489"/>
      <c r="AA46" s="489"/>
      <c r="AB46" s="489"/>
      <c r="AC46" s="490"/>
      <c r="AD46" s="477"/>
      <c r="AE46" s="489"/>
      <c r="AF46" s="489"/>
      <c r="AG46" s="489"/>
      <c r="AH46" s="489"/>
      <c r="AI46" s="489"/>
      <c r="AJ46" s="489"/>
      <c r="AK46" s="489"/>
      <c r="AL46" s="490"/>
      <c r="AM46" s="477"/>
      <c r="AN46" s="489"/>
      <c r="AO46" s="489"/>
      <c r="AP46" s="489"/>
      <c r="AQ46" s="489"/>
      <c r="AR46" s="489"/>
      <c r="AS46" s="489"/>
      <c r="AT46" s="489"/>
      <c r="AU46" s="490"/>
    </row>
    <row r="47" spans="1:47">
      <c r="A47" s="444" t="s">
        <v>1360</v>
      </c>
      <c r="B47" s="488" t="s">
        <v>449</v>
      </c>
      <c r="C47" s="650" cm="1">
        <f t="array" ref="C47">_xlfn.XLOOKUP(A47,'TB upload'!A:A,'TB upload'!C:C-'TB upload'!B:B,0,)</f>
        <v>0</v>
      </c>
      <c r="D47" s="489"/>
      <c r="E47" s="474" cm="1">
        <f t="array" ref="E47">_xlfn.XLOOKUP($A47,'TB upload'!$A:$A,'TB upload'!E:E-'TB upload'!D:D,0,)</f>
        <v>0</v>
      </c>
      <c r="F47" s="489"/>
      <c r="G47" s="474" cm="1">
        <f t="array" ref="G47">_xlfn.XLOOKUP($A47,'TB upload'!$A:$A,'TB upload'!G:G-'TB upload'!F:F,0,)</f>
        <v>0</v>
      </c>
      <c r="H47" s="489"/>
      <c r="I47" s="474" cm="1">
        <f t="array" ref="I47">_xlfn.XLOOKUP($A47,'TB upload'!$A:$A,'TB upload'!I:I-'TB upload'!H:H,0,)</f>
        <v>0</v>
      </c>
      <c r="J47" s="489"/>
      <c r="K47" s="490">
        <f t="shared" ref="K47:K48" si="16">SUM(C47:J47)</f>
        <v>0</v>
      </c>
      <c r="L47" s="650">
        <v>0</v>
      </c>
      <c r="M47" s="489"/>
      <c r="N47" s="474">
        <v>0</v>
      </c>
      <c r="O47" s="489"/>
      <c r="P47" s="474">
        <v>0</v>
      </c>
      <c r="Q47" s="489"/>
      <c r="R47" s="474">
        <v>0</v>
      </c>
      <c r="S47" s="489"/>
      <c r="T47" s="490">
        <v>0</v>
      </c>
      <c r="U47" s="650">
        <v>-62952</v>
      </c>
      <c r="V47" s="489"/>
      <c r="W47" s="474">
        <v>0</v>
      </c>
      <c r="X47" s="489"/>
      <c r="Y47" s="474">
        <v>0</v>
      </c>
      <c r="Z47" s="489"/>
      <c r="AA47" s="489">
        <v>0</v>
      </c>
      <c r="AB47" s="489"/>
      <c r="AC47" s="490">
        <v>-62952</v>
      </c>
      <c r="AD47" s="477">
        <v>8952052.5</v>
      </c>
      <c r="AE47" s="489"/>
      <c r="AF47" s="474">
        <v>0</v>
      </c>
      <c r="AG47" s="489"/>
      <c r="AH47" s="474">
        <v>0</v>
      </c>
      <c r="AI47" s="489"/>
      <c r="AJ47" s="489">
        <v>0</v>
      </c>
      <c r="AK47" s="489"/>
      <c r="AL47" s="490">
        <v>8952052.5</v>
      </c>
      <c r="AM47" s="477">
        <v>0</v>
      </c>
      <c r="AN47" s="489"/>
      <c r="AO47" s="489"/>
      <c r="AP47" s="489"/>
      <c r="AQ47" s="489"/>
      <c r="AR47" s="489"/>
      <c r="AS47" s="489"/>
      <c r="AT47" s="489"/>
      <c r="AU47" s="490">
        <v>0</v>
      </c>
    </row>
    <row r="48" spans="1:47">
      <c r="A48" s="158" t="s">
        <v>1149</v>
      </c>
      <c r="B48" s="488" t="s">
        <v>449</v>
      </c>
      <c r="C48" s="650" cm="1">
        <f t="array" ref="C48">_xlfn.XLOOKUP(A48,'TB upload'!A:A,'TB upload'!C:C-'TB upload'!B:B,0,)*0</f>
        <v>0</v>
      </c>
      <c r="D48" s="489"/>
      <c r="E48" s="474" cm="1">
        <f t="array" ref="E48">_xlfn.XLOOKUP($A48,'TB upload'!$A:$A,'TB upload'!E:E-'TB upload'!D:D,0,)</f>
        <v>0</v>
      </c>
      <c r="F48" s="489"/>
      <c r="G48" s="474" cm="1">
        <f t="array" ref="G48">_xlfn.XLOOKUP($A48,'TB upload'!$A:$A,'TB upload'!G:G-'TB upload'!F:F,0,)</f>
        <v>0</v>
      </c>
      <c r="H48" s="489"/>
      <c r="I48" s="474" cm="1">
        <f t="array" ref="I48">_xlfn.XLOOKUP($A48,'TB upload'!$A:$A,'TB upload'!I:I-'TB upload'!H:H,0,)</f>
        <v>0</v>
      </c>
      <c r="J48" s="489"/>
      <c r="K48" s="490">
        <f t="shared" si="16"/>
        <v>0</v>
      </c>
      <c r="L48" s="650">
        <v>0</v>
      </c>
      <c r="M48" s="489"/>
      <c r="N48" s="474">
        <v>0</v>
      </c>
      <c r="O48" s="489"/>
      <c r="P48" s="474">
        <v>0</v>
      </c>
      <c r="Q48" s="489"/>
      <c r="R48" s="474">
        <v>0</v>
      </c>
      <c r="S48" s="489"/>
      <c r="T48" s="490">
        <v>0</v>
      </c>
      <c r="U48" s="477">
        <v>0</v>
      </c>
      <c r="V48" s="489"/>
      <c r="W48" s="474">
        <v>0</v>
      </c>
      <c r="X48" s="489"/>
      <c r="Y48" s="474">
        <v>0</v>
      </c>
      <c r="Z48" s="489"/>
      <c r="AA48" s="489">
        <v>0</v>
      </c>
      <c r="AB48" s="489"/>
      <c r="AC48" s="490">
        <v>0</v>
      </c>
      <c r="AD48" s="477">
        <v>652062.75</v>
      </c>
      <c r="AE48" s="489"/>
      <c r="AF48" s="474">
        <v>0</v>
      </c>
      <c r="AG48" s="489"/>
      <c r="AH48" s="474">
        <v>0</v>
      </c>
      <c r="AI48" s="489"/>
      <c r="AJ48" s="489">
        <v>0</v>
      </c>
      <c r="AK48" s="489"/>
      <c r="AL48" s="490">
        <v>652062.75</v>
      </c>
      <c r="AM48" s="477">
        <v>0</v>
      </c>
      <c r="AN48" s="489"/>
      <c r="AO48" s="489"/>
      <c r="AP48" s="489"/>
      <c r="AQ48" s="489"/>
      <c r="AR48" s="489"/>
      <c r="AS48" s="489"/>
      <c r="AT48" s="489"/>
      <c r="AU48" s="490">
        <v>0</v>
      </c>
    </row>
    <row r="49" spans="1:47" ht="15" thickBot="1">
      <c r="B49" s="488"/>
      <c r="C49" s="477"/>
      <c r="D49" s="489"/>
      <c r="E49" s="489"/>
      <c r="F49" s="489"/>
      <c r="G49" s="489"/>
      <c r="H49" s="489"/>
      <c r="I49" s="489"/>
      <c r="J49" s="489"/>
      <c r="K49" s="490"/>
      <c r="L49" s="477"/>
      <c r="M49" s="489"/>
      <c r="N49" s="489"/>
      <c r="O49" s="489"/>
      <c r="P49" s="489"/>
      <c r="Q49" s="489"/>
      <c r="R49" s="489"/>
      <c r="S49" s="489"/>
      <c r="T49" s="490"/>
      <c r="U49" s="477"/>
      <c r="V49" s="489"/>
      <c r="W49" s="489"/>
      <c r="X49" s="489"/>
      <c r="Y49" s="489"/>
      <c r="Z49" s="489"/>
      <c r="AA49" s="489"/>
      <c r="AB49" s="489"/>
      <c r="AC49" s="490"/>
      <c r="AD49" s="477"/>
      <c r="AE49" s="489"/>
      <c r="AF49" s="489"/>
      <c r="AG49" s="489"/>
      <c r="AH49" s="489"/>
      <c r="AI49" s="489"/>
      <c r="AJ49" s="489"/>
      <c r="AK49" s="489"/>
      <c r="AL49" s="490"/>
      <c r="AM49" s="477"/>
      <c r="AN49" s="489"/>
      <c r="AO49" s="489"/>
      <c r="AP49" s="489"/>
      <c r="AQ49" s="489"/>
      <c r="AR49" s="489"/>
      <c r="AS49" s="489"/>
      <c r="AT49" s="489"/>
      <c r="AU49" s="490"/>
    </row>
    <row r="50" spans="1:47" ht="15.6" thickTop="1" thickBot="1">
      <c r="A50" s="492"/>
      <c r="B50" s="493" t="s">
        <v>1521</v>
      </c>
      <c r="C50" s="654">
        <f>SUM(C47:C49)</f>
        <v>0</v>
      </c>
      <c r="D50" s="495">
        <f t="shared" ref="D50:K50" si="17">SUM(D47:D49)</f>
        <v>0</v>
      </c>
      <c r="E50" s="495">
        <f t="shared" si="17"/>
        <v>0</v>
      </c>
      <c r="F50" s="495">
        <f t="shared" si="17"/>
        <v>0</v>
      </c>
      <c r="G50" s="495">
        <f t="shared" si="17"/>
        <v>0</v>
      </c>
      <c r="H50" s="495">
        <f t="shared" si="17"/>
        <v>0</v>
      </c>
      <c r="I50" s="495">
        <f t="shared" si="17"/>
        <v>0</v>
      </c>
      <c r="J50" s="495">
        <f t="shared" si="17"/>
        <v>0</v>
      </c>
      <c r="K50" s="496">
        <f t="shared" si="17"/>
        <v>0</v>
      </c>
      <c r="L50" s="654">
        <v>0</v>
      </c>
      <c r="M50" s="495">
        <v>0</v>
      </c>
      <c r="N50" s="495">
        <v>0</v>
      </c>
      <c r="O50" s="495">
        <v>0</v>
      </c>
      <c r="P50" s="495">
        <v>0</v>
      </c>
      <c r="Q50" s="495">
        <v>0</v>
      </c>
      <c r="R50" s="495">
        <v>0</v>
      </c>
      <c r="S50" s="495">
        <v>0</v>
      </c>
      <c r="T50" s="496">
        <v>0</v>
      </c>
      <c r="U50" s="654">
        <v>-62952</v>
      </c>
      <c r="V50" s="495">
        <v>0</v>
      </c>
      <c r="W50" s="495">
        <v>0</v>
      </c>
      <c r="X50" s="495">
        <v>0</v>
      </c>
      <c r="Y50" s="495">
        <v>0</v>
      </c>
      <c r="Z50" s="495">
        <v>0</v>
      </c>
      <c r="AA50" s="495">
        <v>0</v>
      </c>
      <c r="AB50" s="495">
        <v>0</v>
      </c>
      <c r="AC50" s="496">
        <v>-62952</v>
      </c>
      <c r="AD50" s="494">
        <v>9604115.25</v>
      </c>
      <c r="AE50" s="495">
        <v>0</v>
      </c>
      <c r="AF50" s="495">
        <v>0</v>
      </c>
      <c r="AG50" s="495">
        <v>0</v>
      </c>
      <c r="AH50" s="495">
        <v>0</v>
      </c>
      <c r="AI50" s="495">
        <v>0</v>
      </c>
      <c r="AJ50" s="495">
        <v>0</v>
      </c>
      <c r="AK50" s="495">
        <v>0</v>
      </c>
      <c r="AL50" s="496">
        <v>9604115.25</v>
      </c>
      <c r="AM50" s="494">
        <v>0</v>
      </c>
      <c r="AN50" s="495">
        <v>0</v>
      </c>
      <c r="AO50" s="495">
        <v>0</v>
      </c>
      <c r="AP50" s="495">
        <v>0</v>
      </c>
      <c r="AQ50" s="495">
        <v>0</v>
      </c>
      <c r="AR50" s="495">
        <v>0</v>
      </c>
      <c r="AS50" s="495">
        <v>0</v>
      </c>
      <c r="AT50" s="495">
        <v>0</v>
      </c>
      <c r="AU50" s="497">
        <v>0</v>
      </c>
    </row>
    <row r="51" spans="1:47" ht="15" thickTop="1">
      <c r="A51" s="498" t="s">
        <v>24</v>
      </c>
      <c r="B51" s="488"/>
      <c r="C51" s="477"/>
      <c r="D51" s="489"/>
      <c r="E51" s="489"/>
      <c r="F51" s="489"/>
      <c r="G51" s="489"/>
      <c r="H51" s="489"/>
      <c r="I51" s="489"/>
      <c r="J51" s="489"/>
      <c r="K51" s="490"/>
      <c r="L51" s="477"/>
      <c r="M51" s="489"/>
      <c r="N51" s="489"/>
      <c r="O51" s="489"/>
      <c r="P51" s="489"/>
      <c r="Q51" s="489"/>
      <c r="R51" s="489"/>
      <c r="S51" s="489"/>
      <c r="T51" s="490"/>
      <c r="U51" s="477"/>
      <c r="V51" s="489"/>
      <c r="W51" s="489"/>
      <c r="X51" s="489"/>
      <c r="Y51" s="489"/>
      <c r="Z51" s="489"/>
      <c r="AA51" s="489"/>
      <c r="AB51" s="489"/>
      <c r="AC51" s="490"/>
      <c r="AD51" s="477"/>
      <c r="AE51" s="489"/>
      <c r="AF51" s="489"/>
      <c r="AG51" s="489"/>
      <c r="AH51" s="489"/>
      <c r="AI51" s="489"/>
      <c r="AJ51" s="489"/>
      <c r="AK51" s="489"/>
      <c r="AL51" s="490"/>
      <c r="AM51" s="477"/>
      <c r="AN51" s="489"/>
      <c r="AO51" s="489"/>
      <c r="AP51" s="489"/>
      <c r="AQ51" s="489"/>
      <c r="AR51" s="489"/>
      <c r="AS51" s="489"/>
      <c r="AT51" s="489"/>
      <c r="AU51" s="490"/>
    </row>
    <row r="52" spans="1:47">
      <c r="A52" s="444" t="s">
        <v>1193</v>
      </c>
      <c r="B52" s="488"/>
      <c r="C52" s="477"/>
      <c r="D52" s="489"/>
      <c r="E52" s="489"/>
      <c r="F52" s="489"/>
      <c r="G52" s="489"/>
      <c r="H52" s="489"/>
      <c r="I52" s="489"/>
      <c r="J52" s="489"/>
      <c r="K52" s="490"/>
      <c r="L52" s="477"/>
      <c r="M52" s="489"/>
      <c r="N52" s="489"/>
      <c r="O52" s="489"/>
      <c r="P52" s="489"/>
      <c r="Q52" s="489"/>
      <c r="R52" s="489"/>
      <c r="S52" s="489"/>
      <c r="T52" s="490"/>
      <c r="U52" s="477"/>
      <c r="V52" s="489"/>
      <c r="W52" s="489"/>
      <c r="X52" s="489"/>
      <c r="Y52" s="489"/>
      <c r="Z52" s="489"/>
      <c r="AA52" s="489"/>
      <c r="AB52" s="489"/>
      <c r="AC52" s="490"/>
      <c r="AD52" s="477"/>
      <c r="AE52" s="489"/>
      <c r="AF52" s="489"/>
      <c r="AG52" s="489"/>
      <c r="AH52" s="489"/>
      <c r="AI52" s="489"/>
      <c r="AJ52" s="489"/>
      <c r="AK52" s="489"/>
      <c r="AL52" s="490"/>
      <c r="AM52" s="477"/>
      <c r="AN52" s="489"/>
      <c r="AO52" s="489"/>
      <c r="AP52" s="489"/>
      <c r="AQ52" s="489"/>
      <c r="AR52" s="489"/>
      <c r="AS52" s="489"/>
      <c r="AT52" s="489"/>
      <c r="AU52" s="490"/>
    </row>
    <row r="53" spans="1:47">
      <c r="A53" s="444" t="s">
        <v>1361</v>
      </c>
      <c r="B53" s="488" t="s">
        <v>449</v>
      </c>
      <c r="C53" s="650" cm="1">
        <f t="array" ref="C53">_xlfn.XLOOKUP(A53,'TB upload'!A:A,'TB upload'!C:C-'TB upload'!B:B,0,)</f>
        <v>0</v>
      </c>
      <c r="D53" s="489"/>
      <c r="E53" s="474" cm="1">
        <f t="array" ref="E53">_xlfn.XLOOKUP($A53,'TB upload'!$A:$A,'TB upload'!E:E-'TB upload'!D:D,0,)</f>
        <v>0</v>
      </c>
      <c r="F53" s="489"/>
      <c r="G53" s="474" cm="1">
        <f t="array" ref="G53">_xlfn.XLOOKUP($A53,'TB upload'!$A:$A,'TB upload'!G:G-'TB upload'!F:F,0,)</f>
        <v>0</v>
      </c>
      <c r="H53" s="489"/>
      <c r="I53" s="474" cm="1">
        <f t="array" ref="I53">_xlfn.XLOOKUP($A53,'TB upload'!$A:$A,'TB upload'!I:I-'TB upload'!H:H,0,)</f>
        <v>0</v>
      </c>
      <c r="J53" s="489"/>
      <c r="K53" s="490">
        <f t="shared" ref="K53" si="18">SUM(C53:J53)</f>
        <v>0</v>
      </c>
      <c r="L53" s="650">
        <v>0</v>
      </c>
      <c r="M53" s="489"/>
      <c r="N53" s="474">
        <v>0</v>
      </c>
      <c r="O53" s="489"/>
      <c r="P53" s="474">
        <v>0</v>
      </c>
      <c r="Q53" s="489"/>
      <c r="R53" s="474">
        <v>0</v>
      </c>
      <c r="S53" s="489"/>
      <c r="T53" s="490">
        <v>0</v>
      </c>
      <c r="U53" s="650">
        <v>592863.6</v>
      </c>
      <c r="V53" s="489"/>
      <c r="W53" s="474"/>
      <c r="X53" s="489"/>
      <c r="Y53" s="474"/>
      <c r="Z53" s="489"/>
      <c r="AA53" s="489"/>
      <c r="AB53" s="489"/>
      <c r="AC53" s="490">
        <v>592863.6</v>
      </c>
      <c r="AD53" s="477">
        <v>5757554.6900000004</v>
      </c>
      <c r="AE53" s="489"/>
      <c r="AF53" s="474">
        <v>0</v>
      </c>
      <c r="AG53" s="489"/>
      <c r="AH53" s="474">
        <v>0</v>
      </c>
      <c r="AI53" s="489"/>
      <c r="AJ53" s="489">
        <v>0</v>
      </c>
      <c r="AK53" s="489">
        <v>-50060</v>
      </c>
      <c r="AL53" s="490">
        <v>5707494.6900000004</v>
      </c>
      <c r="AM53" s="477">
        <v>0</v>
      </c>
      <c r="AN53" s="489">
        <v>2843006.23</v>
      </c>
      <c r="AO53" s="489"/>
      <c r="AP53" s="489"/>
      <c r="AQ53" s="489"/>
      <c r="AR53" s="489"/>
      <c r="AS53" s="489"/>
      <c r="AT53" s="489"/>
      <c r="AU53" s="490">
        <v>2843006.23</v>
      </c>
    </row>
    <row r="54" spans="1:47" ht="15" thickBot="1">
      <c r="B54" s="488"/>
      <c r="C54" s="477"/>
      <c r="D54" s="489"/>
      <c r="E54" s="489"/>
      <c r="F54" s="489"/>
      <c r="G54" s="489"/>
      <c r="H54" s="489"/>
      <c r="I54" s="489"/>
      <c r="J54" s="489"/>
      <c r="K54" s="490"/>
      <c r="L54" s="477"/>
      <c r="M54" s="489"/>
      <c r="N54" s="489"/>
      <c r="O54" s="489"/>
      <c r="P54" s="489"/>
      <c r="Q54" s="489"/>
      <c r="R54" s="489"/>
      <c r="S54" s="489"/>
      <c r="T54" s="490"/>
      <c r="U54" s="477"/>
      <c r="V54" s="489"/>
      <c r="W54" s="489"/>
      <c r="X54" s="489"/>
      <c r="Y54" s="489"/>
      <c r="Z54" s="489"/>
      <c r="AA54" s="489"/>
      <c r="AB54" s="489"/>
      <c r="AC54" s="490"/>
      <c r="AD54" s="477"/>
      <c r="AE54" s="489"/>
      <c r="AF54" s="489"/>
      <c r="AG54" s="489"/>
      <c r="AH54" s="489"/>
      <c r="AI54" s="489"/>
      <c r="AJ54" s="489"/>
      <c r="AK54" s="489"/>
      <c r="AL54" s="490"/>
      <c r="AM54" s="477"/>
      <c r="AN54" s="489"/>
      <c r="AO54" s="489"/>
      <c r="AP54" s="489"/>
      <c r="AQ54" s="489"/>
      <c r="AR54" s="489"/>
      <c r="AS54" s="489"/>
      <c r="AT54" s="489"/>
      <c r="AU54" s="490"/>
    </row>
    <row r="55" spans="1:47" ht="15.6" thickTop="1" thickBot="1">
      <c r="A55" s="492"/>
      <c r="B55" s="493" t="s">
        <v>1521</v>
      </c>
      <c r="C55" s="654">
        <f>SUM(C53:C54)</f>
        <v>0</v>
      </c>
      <c r="D55" s="495">
        <f t="shared" ref="D55:K55" si="19">SUM(D53:D54)</f>
        <v>0</v>
      </c>
      <c r="E55" s="495">
        <f t="shared" si="19"/>
        <v>0</v>
      </c>
      <c r="F55" s="495">
        <f t="shared" si="19"/>
        <v>0</v>
      </c>
      <c r="G55" s="495">
        <f t="shared" si="19"/>
        <v>0</v>
      </c>
      <c r="H55" s="495">
        <f t="shared" si="19"/>
        <v>0</v>
      </c>
      <c r="I55" s="495">
        <f t="shared" si="19"/>
        <v>0</v>
      </c>
      <c r="J55" s="495">
        <f t="shared" si="19"/>
        <v>0</v>
      </c>
      <c r="K55" s="496">
        <f t="shared" si="19"/>
        <v>0</v>
      </c>
      <c r="L55" s="654">
        <v>0</v>
      </c>
      <c r="M55" s="495">
        <v>0</v>
      </c>
      <c r="N55" s="495">
        <v>0</v>
      </c>
      <c r="O55" s="495">
        <v>0</v>
      </c>
      <c r="P55" s="495">
        <v>0</v>
      </c>
      <c r="Q55" s="495">
        <v>0</v>
      </c>
      <c r="R55" s="495">
        <v>0</v>
      </c>
      <c r="S55" s="495">
        <v>0</v>
      </c>
      <c r="T55" s="496">
        <v>0</v>
      </c>
      <c r="U55" s="654">
        <v>592863.6</v>
      </c>
      <c r="V55" s="495">
        <v>0</v>
      </c>
      <c r="W55" s="495">
        <v>0</v>
      </c>
      <c r="X55" s="495">
        <v>0</v>
      </c>
      <c r="Y55" s="495">
        <v>0</v>
      </c>
      <c r="Z55" s="495">
        <v>0</v>
      </c>
      <c r="AA55" s="495">
        <v>0</v>
      </c>
      <c r="AB55" s="495">
        <v>0</v>
      </c>
      <c r="AC55" s="496">
        <v>592863.6</v>
      </c>
      <c r="AD55" s="494">
        <v>5757554.6900000004</v>
      </c>
      <c r="AE55" s="495">
        <v>0</v>
      </c>
      <c r="AF55" s="495">
        <v>0</v>
      </c>
      <c r="AG55" s="495">
        <v>0</v>
      </c>
      <c r="AH55" s="495">
        <v>0</v>
      </c>
      <c r="AI55" s="495">
        <v>0</v>
      </c>
      <c r="AJ55" s="495">
        <v>0</v>
      </c>
      <c r="AK55" s="495">
        <v>-50060</v>
      </c>
      <c r="AL55" s="496">
        <v>5707494.6900000004</v>
      </c>
      <c r="AM55" s="494">
        <v>0</v>
      </c>
      <c r="AN55" s="495">
        <v>2843006.23</v>
      </c>
      <c r="AO55" s="495">
        <v>0</v>
      </c>
      <c r="AP55" s="495">
        <v>0</v>
      </c>
      <c r="AQ55" s="495">
        <v>0</v>
      </c>
      <c r="AR55" s="495">
        <v>0</v>
      </c>
      <c r="AS55" s="495">
        <v>0</v>
      </c>
      <c r="AT55" s="495">
        <v>0</v>
      </c>
      <c r="AU55" s="497">
        <v>2843006.23</v>
      </c>
    </row>
    <row r="56" spans="1:47" ht="15" thickTop="1">
      <c r="A56" s="444" t="s">
        <v>105</v>
      </c>
      <c r="B56" s="499"/>
      <c r="C56" s="477"/>
      <c r="D56" s="489"/>
      <c r="E56" s="489"/>
      <c r="F56" s="489"/>
      <c r="G56" s="489"/>
      <c r="H56" s="489"/>
      <c r="I56" s="489"/>
      <c r="J56" s="489"/>
      <c r="K56" s="490"/>
      <c r="L56" s="477"/>
      <c r="M56" s="489"/>
      <c r="N56" s="489"/>
      <c r="O56" s="489"/>
      <c r="P56" s="489"/>
      <c r="Q56" s="489"/>
      <c r="R56" s="489"/>
      <c r="S56" s="489"/>
      <c r="T56" s="490"/>
      <c r="U56" s="477"/>
      <c r="V56" s="489"/>
      <c r="W56" s="489"/>
      <c r="X56" s="489"/>
      <c r="Y56" s="489"/>
      <c r="Z56" s="489"/>
      <c r="AA56" s="489"/>
      <c r="AB56" s="489"/>
      <c r="AC56" s="490"/>
      <c r="AD56" s="477"/>
      <c r="AE56" s="489"/>
      <c r="AF56" s="489"/>
      <c r="AG56" s="489"/>
      <c r="AH56" s="489"/>
      <c r="AI56" s="489"/>
      <c r="AJ56" s="489"/>
      <c r="AK56" s="489"/>
      <c r="AL56" s="490"/>
      <c r="AM56" s="477"/>
      <c r="AN56" s="489"/>
      <c r="AO56" s="489"/>
      <c r="AP56" s="489"/>
      <c r="AQ56" s="489"/>
      <c r="AR56" s="489"/>
      <c r="AS56" s="489"/>
      <c r="AT56" s="489"/>
      <c r="AU56" s="490"/>
    </row>
    <row r="57" spans="1:47" ht="15" thickBot="1">
      <c r="A57" s="444" t="s">
        <v>1131</v>
      </c>
      <c r="B57" s="488" t="s">
        <v>1432</v>
      </c>
      <c r="C57" s="477"/>
      <c r="D57" s="489">
        <f>-D19</f>
        <v>0</v>
      </c>
      <c r="E57" s="489"/>
      <c r="F57" s="489"/>
      <c r="G57" s="489"/>
      <c r="H57" s="489"/>
      <c r="I57" s="489"/>
      <c r="J57" s="489"/>
      <c r="K57" s="490">
        <f t="shared" ref="K57" si="20">SUM(C57:J57)</f>
        <v>0</v>
      </c>
      <c r="L57" s="477"/>
      <c r="M57" s="489">
        <v>0</v>
      </c>
      <c r="N57" s="489"/>
      <c r="O57" s="489"/>
      <c r="P57" s="489"/>
      <c r="Q57" s="489"/>
      <c r="R57" s="489"/>
      <c r="S57" s="489"/>
      <c r="T57" s="490">
        <v>0</v>
      </c>
      <c r="U57" s="477"/>
      <c r="V57" s="489">
        <v>0</v>
      </c>
      <c r="W57" s="489"/>
      <c r="X57" s="489"/>
      <c r="Y57" s="489"/>
      <c r="Z57" s="489"/>
      <c r="AA57" s="489"/>
      <c r="AB57" s="489"/>
      <c r="AC57" s="490">
        <v>0</v>
      </c>
      <c r="AD57" s="477"/>
      <c r="AE57" s="489">
        <v>326037.69359735784</v>
      </c>
      <c r="AF57" s="489"/>
      <c r="AG57" s="489"/>
      <c r="AH57" s="489"/>
      <c r="AI57" s="489"/>
      <c r="AJ57" s="489"/>
      <c r="AK57" s="489"/>
      <c r="AL57" s="490">
        <v>326037.69359735784</v>
      </c>
      <c r="AM57" s="477">
        <v>11410</v>
      </c>
      <c r="AN57" s="489"/>
      <c r="AO57" s="489"/>
      <c r="AP57" s="489"/>
      <c r="AQ57" s="489"/>
      <c r="AR57" s="489"/>
      <c r="AS57" s="489"/>
      <c r="AT57" s="489"/>
      <c r="AU57" s="490">
        <v>11410</v>
      </c>
    </row>
    <row r="58" spans="1:47" ht="15.6" thickTop="1" thickBot="1">
      <c r="A58" s="492"/>
      <c r="B58" s="493" t="s">
        <v>1521</v>
      </c>
      <c r="C58" s="654">
        <f t="shared" ref="C58" si="21">SUM(C56:C57)</f>
        <v>0</v>
      </c>
      <c r="D58" s="495">
        <f>SUM(D56:D57)</f>
        <v>0</v>
      </c>
      <c r="E58" s="495">
        <f t="shared" ref="E58:K58" si="22">SUM(E56:E57)</f>
        <v>0</v>
      </c>
      <c r="F58" s="495">
        <f t="shared" si="22"/>
        <v>0</v>
      </c>
      <c r="G58" s="495">
        <f t="shared" si="22"/>
        <v>0</v>
      </c>
      <c r="H58" s="495">
        <f t="shared" si="22"/>
        <v>0</v>
      </c>
      <c r="I58" s="495">
        <f t="shared" si="22"/>
        <v>0</v>
      </c>
      <c r="J58" s="495">
        <f t="shared" si="22"/>
        <v>0</v>
      </c>
      <c r="K58" s="496">
        <f t="shared" si="22"/>
        <v>0</v>
      </c>
      <c r="L58" s="654">
        <v>0</v>
      </c>
      <c r="M58" s="495">
        <v>0</v>
      </c>
      <c r="N58" s="495">
        <v>0</v>
      </c>
      <c r="O58" s="495">
        <v>0</v>
      </c>
      <c r="P58" s="495">
        <v>0</v>
      </c>
      <c r="Q58" s="495">
        <v>0</v>
      </c>
      <c r="R58" s="495">
        <v>0</v>
      </c>
      <c r="S58" s="495">
        <v>0</v>
      </c>
      <c r="T58" s="496">
        <v>0</v>
      </c>
      <c r="U58" s="654">
        <v>0</v>
      </c>
      <c r="V58" s="495">
        <v>0</v>
      </c>
      <c r="W58" s="495">
        <v>0</v>
      </c>
      <c r="X58" s="495">
        <v>0</v>
      </c>
      <c r="Y58" s="495">
        <v>0</v>
      </c>
      <c r="Z58" s="495">
        <v>0</v>
      </c>
      <c r="AA58" s="495">
        <v>0</v>
      </c>
      <c r="AB58" s="495">
        <v>0</v>
      </c>
      <c r="AC58" s="496">
        <v>0</v>
      </c>
      <c r="AD58" s="494">
        <v>0</v>
      </c>
      <c r="AE58" s="495">
        <v>326037.69359735784</v>
      </c>
      <c r="AF58" s="495">
        <v>0</v>
      </c>
      <c r="AG58" s="495">
        <v>0</v>
      </c>
      <c r="AH58" s="495">
        <v>0</v>
      </c>
      <c r="AI58" s="495">
        <v>0</v>
      </c>
      <c r="AJ58" s="495">
        <v>0</v>
      </c>
      <c r="AK58" s="495">
        <v>0</v>
      </c>
      <c r="AL58" s="496">
        <v>326037.69359735784</v>
      </c>
      <c r="AM58" s="494">
        <v>11410</v>
      </c>
      <c r="AN58" s="495">
        <v>0</v>
      </c>
      <c r="AO58" s="495">
        <v>0</v>
      </c>
      <c r="AP58" s="495">
        <v>0</v>
      </c>
      <c r="AQ58" s="495">
        <v>0</v>
      </c>
      <c r="AR58" s="495">
        <v>0</v>
      </c>
      <c r="AS58" s="495">
        <v>0</v>
      </c>
      <c r="AT58" s="495">
        <v>0</v>
      </c>
      <c r="AU58" s="497">
        <v>11410</v>
      </c>
    </row>
    <row r="59" spans="1:47" ht="15" thickTop="1">
      <c r="B59" s="488"/>
      <c r="C59" s="477"/>
      <c r="D59" s="489"/>
      <c r="E59" s="489"/>
      <c r="F59" s="489"/>
      <c r="G59" s="489"/>
      <c r="H59" s="489"/>
      <c r="I59" s="489"/>
      <c r="J59" s="489"/>
      <c r="K59" s="490"/>
      <c r="L59" s="477"/>
      <c r="M59" s="489"/>
      <c r="N59" s="489"/>
      <c r="O59" s="489"/>
      <c r="P59" s="489"/>
      <c r="Q59" s="489"/>
      <c r="R59" s="489"/>
      <c r="S59" s="489"/>
      <c r="T59" s="490"/>
      <c r="U59" s="477"/>
      <c r="V59" s="489"/>
      <c r="W59" s="489"/>
      <c r="X59" s="489"/>
      <c r="Y59" s="489"/>
      <c r="Z59" s="489"/>
      <c r="AA59" s="489"/>
      <c r="AB59" s="489"/>
      <c r="AC59" s="490"/>
      <c r="AD59" s="477"/>
      <c r="AE59" s="489"/>
      <c r="AF59" s="489"/>
      <c r="AG59" s="489"/>
      <c r="AH59" s="489"/>
      <c r="AI59" s="489"/>
      <c r="AJ59" s="489"/>
      <c r="AK59" s="489"/>
      <c r="AL59" s="490"/>
      <c r="AM59" s="477"/>
      <c r="AN59" s="489"/>
      <c r="AO59" s="489"/>
      <c r="AP59" s="489"/>
      <c r="AQ59" s="489"/>
      <c r="AR59" s="489"/>
      <c r="AS59" s="489"/>
      <c r="AT59" s="489"/>
      <c r="AU59" s="490"/>
    </row>
    <row r="60" spans="1:47">
      <c r="A60" s="444" t="s">
        <v>25</v>
      </c>
      <c r="B60" s="488"/>
      <c r="C60" s="477"/>
      <c r="D60" s="489"/>
      <c r="E60" s="489"/>
      <c r="F60" s="489"/>
      <c r="G60" s="489"/>
      <c r="H60" s="489"/>
      <c r="I60" s="489"/>
      <c r="J60" s="489"/>
      <c r="K60" s="490"/>
      <c r="L60" s="477"/>
      <c r="M60" s="489"/>
      <c r="N60" s="489"/>
      <c r="O60" s="489"/>
      <c r="P60" s="489"/>
      <c r="Q60" s="489"/>
      <c r="R60" s="489"/>
      <c r="S60" s="489"/>
      <c r="T60" s="490"/>
      <c r="U60" s="477"/>
      <c r="V60" s="489"/>
      <c r="W60" s="489"/>
      <c r="X60" s="489"/>
      <c r="Y60" s="489"/>
      <c r="Z60" s="489"/>
      <c r="AA60" s="489"/>
      <c r="AB60" s="489"/>
      <c r="AC60" s="490"/>
      <c r="AD60" s="477"/>
      <c r="AE60" s="489"/>
      <c r="AF60" s="489"/>
      <c r="AG60" s="489"/>
      <c r="AH60" s="489"/>
      <c r="AI60" s="489"/>
      <c r="AJ60" s="489"/>
      <c r="AK60" s="489"/>
      <c r="AL60" s="490"/>
      <c r="AM60" s="477"/>
      <c r="AN60" s="489"/>
      <c r="AO60" s="489"/>
      <c r="AP60" s="489"/>
      <c r="AQ60" s="489"/>
      <c r="AR60" s="489"/>
      <c r="AS60" s="489"/>
      <c r="AT60" s="489"/>
      <c r="AU60" s="490"/>
    </row>
    <row r="61" spans="1:47">
      <c r="A61" s="444" t="s">
        <v>230</v>
      </c>
      <c r="B61" s="488" t="s">
        <v>450</v>
      </c>
      <c r="C61" s="477"/>
      <c r="D61" s="489"/>
      <c r="E61" s="489"/>
      <c r="F61" s="489"/>
      <c r="G61" s="489"/>
      <c r="H61" s="489"/>
      <c r="I61" s="489"/>
      <c r="J61" s="489"/>
      <c r="K61" s="490">
        <f t="shared" ref="K61" si="23">SUM(C61:J61)</f>
        <v>0</v>
      </c>
      <c r="L61" s="477"/>
      <c r="M61" s="489"/>
      <c r="N61" s="489"/>
      <c r="O61" s="489"/>
      <c r="P61" s="489"/>
      <c r="Q61" s="489"/>
      <c r="R61" s="489"/>
      <c r="S61" s="489"/>
      <c r="T61" s="490">
        <v>0</v>
      </c>
      <c r="U61" s="477"/>
      <c r="V61" s="489"/>
      <c r="W61" s="489"/>
      <c r="X61" s="489"/>
      <c r="Y61" s="489"/>
      <c r="Z61" s="489"/>
      <c r="AA61" s="489"/>
      <c r="AB61" s="489"/>
      <c r="AC61" s="490">
        <v>0</v>
      </c>
      <c r="AD61" s="477">
        <v>19954301</v>
      </c>
      <c r="AE61" s="489"/>
      <c r="AF61" s="489"/>
      <c r="AG61" s="489"/>
      <c r="AH61" s="489"/>
      <c r="AI61" s="489"/>
      <c r="AJ61" s="489"/>
      <c r="AK61" s="489"/>
      <c r="AL61" s="490">
        <v>19954301</v>
      </c>
      <c r="AM61" s="477">
        <v>5514595.9000000004</v>
      </c>
      <c r="AN61" s="489"/>
      <c r="AO61" s="489"/>
      <c r="AP61" s="489"/>
      <c r="AQ61" s="489"/>
      <c r="AR61" s="489"/>
      <c r="AS61" s="489"/>
      <c r="AT61" s="489"/>
      <c r="AU61" s="490">
        <v>5514595.9000000004</v>
      </c>
    </row>
    <row r="62" spans="1:47" ht="15" customHeight="1" thickBot="1">
      <c r="B62" s="488"/>
      <c r="C62" s="477"/>
      <c r="D62" s="489"/>
      <c r="E62" s="489"/>
      <c r="F62" s="489"/>
      <c r="G62" s="489"/>
      <c r="H62" s="489"/>
      <c r="I62" s="489"/>
      <c r="J62" s="489"/>
      <c r="K62" s="490"/>
      <c r="L62" s="477"/>
      <c r="M62" s="489"/>
      <c r="N62" s="489"/>
      <c r="O62" s="489"/>
      <c r="P62" s="489"/>
      <c r="Q62" s="489"/>
      <c r="R62" s="489"/>
      <c r="S62" s="489"/>
      <c r="T62" s="490"/>
      <c r="U62" s="477"/>
      <c r="V62" s="489"/>
      <c r="W62" s="489"/>
      <c r="X62" s="489"/>
      <c r="Y62" s="489"/>
      <c r="Z62" s="489"/>
      <c r="AA62" s="489"/>
      <c r="AB62" s="489"/>
      <c r="AC62" s="490"/>
      <c r="AD62" s="477"/>
      <c r="AE62" s="489"/>
      <c r="AF62" s="489"/>
      <c r="AG62" s="489"/>
      <c r="AH62" s="489"/>
      <c r="AI62" s="489"/>
      <c r="AJ62" s="489"/>
      <c r="AK62" s="489"/>
      <c r="AL62" s="490"/>
      <c r="AM62" s="477"/>
      <c r="AN62" s="489"/>
      <c r="AO62" s="489"/>
      <c r="AP62" s="489"/>
      <c r="AQ62" s="489"/>
      <c r="AR62" s="489"/>
      <c r="AS62" s="489"/>
      <c r="AT62" s="489"/>
      <c r="AU62" s="490"/>
    </row>
    <row r="63" spans="1:47" ht="15.6" thickTop="1" thickBot="1">
      <c r="A63" s="492"/>
      <c r="B63" s="493" t="s">
        <v>1521</v>
      </c>
      <c r="C63" s="654">
        <f>SUM(C61:C62)</f>
        <v>0</v>
      </c>
      <c r="D63" s="495">
        <f>SUM(D61:D62)</f>
        <v>0</v>
      </c>
      <c r="E63" s="495">
        <f t="shared" ref="E63:K63" si="24">SUM(E61:E62)</f>
        <v>0</v>
      </c>
      <c r="F63" s="495">
        <f t="shared" si="24"/>
        <v>0</v>
      </c>
      <c r="G63" s="495">
        <f t="shared" si="24"/>
        <v>0</v>
      </c>
      <c r="H63" s="495">
        <f t="shared" si="24"/>
        <v>0</v>
      </c>
      <c r="I63" s="495">
        <f t="shared" si="24"/>
        <v>0</v>
      </c>
      <c r="J63" s="495">
        <f t="shared" si="24"/>
        <v>0</v>
      </c>
      <c r="K63" s="497">
        <f t="shared" si="24"/>
        <v>0</v>
      </c>
      <c r="L63" s="654">
        <v>0</v>
      </c>
      <c r="M63" s="495">
        <v>0</v>
      </c>
      <c r="N63" s="495">
        <v>0</v>
      </c>
      <c r="O63" s="495">
        <v>0</v>
      </c>
      <c r="P63" s="495">
        <v>0</v>
      </c>
      <c r="Q63" s="495">
        <v>0</v>
      </c>
      <c r="R63" s="495">
        <v>0</v>
      </c>
      <c r="S63" s="495">
        <v>0</v>
      </c>
      <c r="T63" s="497">
        <v>0</v>
      </c>
      <c r="U63" s="654">
        <v>0</v>
      </c>
      <c r="V63" s="495">
        <v>0</v>
      </c>
      <c r="W63" s="495">
        <v>0</v>
      </c>
      <c r="X63" s="495">
        <v>0</v>
      </c>
      <c r="Y63" s="495">
        <v>0</v>
      </c>
      <c r="Z63" s="495">
        <v>0</v>
      </c>
      <c r="AA63" s="495">
        <v>0</v>
      </c>
      <c r="AB63" s="495">
        <v>0</v>
      </c>
      <c r="AC63" s="497">
        <v>0</v>
      </c>
      <c r="AD63" s="494">
        <v>19954301</v>
      </c>
      <c r="AE63" s="495">
        <v>0</v>
      </c>
      <c r="AF63" s="495">
        <v>0</v>
      </c>
      <c r="AG63" s="495">
        <v>0</v>
      </c>
      <c r="AH63" s="495">
        <v>0</v>
      </c>
      <c r="AI63" s="495">
        <v>0</v>
      </c>
      <c r="AJ63" s="495">
        <v>0</v>
      </c>
      <c r="AK63" s="495">
        <v>0</v>
      </c>
      <c r="AL63" s="497">
        <v>19954301</v>
      </c>
      <c r="AM63" s="494">
        <v>5514595.9000000004</v>
      </c>
      <c r="AN63" s="495">
        <v>0</v>
      </c>
      <c r="AO63" s="495">
        <v>0</v>
      </c>
      <c r="AP63" s="495">
        <v>0</v>
      </c>
      <c r="AQ63" s="495">
        <v>0</v>
      </c>
      <c r="AR63" s="495">
        <v>0</v>
      </c>
      <c r="AS63" s="495">
        <v>0</v>
      </c>
      <c r="AT63" s="495">
        <v>0</v>
      </c>
      <c r="AU63" s="497">
        <v>5514595.9000000004</v>
      </c>
    </row>
    <row r="64" spans="1:47" ht="15" thickTop="1">
      <c r="A64" s="444" t="s">
        <v>111</v>
      </c>
      <c r="B64" s="488" t="s">
        <v>449</v>
      </c>
      <c r="C64" s="650" cm="1">
        <f t="array" ref="C64">_xlfn.XLOOKUP(A64,'TB upload'!A:A,'TB upload'!C:C-'TB upload'!B:B,0,)</f>
        <v>6951965.8700000001</v>
      </c>
      <c r="D64" s="489">
        <v>27770</v>
      </c>
      <c r="E64" s="474" cm="1">
        <f t="array" ref="E64">_xlfn.XLOOKUP($A64,'TB upload'!$A:$A,'TB upload'!E:E-'TB upload'!D:D,0,)</f>
        <v>0</v>
      </c>
      <c r="F64" s="489"/>
      <c r="G64" s="474" cm="1">
        <f t="array" ref="G64">_xlfn.XLOOKUP($A64,'TB upload'!$A:$A,'TB upload'!G:G-'TB upload'!F:F,0,)</f>
        <v>0</v>
      </c>
      <c r="H64" s="489"/>
      <c r="I64" s="474" cm="1">
        <f t="array" ref="I64">_xlfn.XLOOKUP($A64,'TB upload'!$A:$A,'TB upload'!I:I-'TB upload'!H:H,0,)</f>
        <v>0</v>
      </c>
      <c r="J64" s="489"/>
      <c r="K64" s="490">
        <f t="shared" ref="K64:K65" si="25">SUM(C64:J64)</f>
        <v>6979735.8700000001</v>
      </c>
      <c r="L64" s="650">
        <v>12021315.280000001</v>
      </c>
      <c r="M64" s="489"/>
      <c r="N64" s="474">
        <v>-100.56</v>
      </c>
      <c r="O64" s="489"/>
      <c r="P64" s="474">
        <v>0</v>
      </c>
      <c r="Q64" s="489"/>
      <c r="R64" s="474">
        <v>0</v>
      </c>
      <c r="S64" s="489"/>
      <c r="T64" s="490">
        <v>12021214.720000001</v>
      </c>
      <c r="U64" s="650">
        <v>31110735.699999999</v>
      </c>
      <c r="V64" s="489"/>
      <c r="W64" s="474">
        <v>549</v>
      </c>
      <c r="X64" s="489"/>
      <c r="Y64" s="474">
        <v>711</v>
      </c>
      <c r="Z64" s="489"/>
      <c r="AA64" s="489"/>
      <c r="AB64" s="489"/>
      <c r="AC64" s="490">
        <v>31111995.699999999</v>
      </c>
      <c r="AD64" s="477">
        <v>48901774.82</v>
      </c>
      <c r="AE64" s="489"/>
      <c r="AF64" s="474">
        <v>0</v>
      </c>
      <c r="AG64" s="489"/>
      <c r="AH64" s="474">
        <v>-1397013.51</v>
      </c>
      <c r="AI64" s="489"/>
      <c r="AJ64" s="489">
        <v>761945.72</v>
      </c>
      <c r="AK64" s="489">
        <v>447072.20999999996</v>
      </c>
      <c r="AL64" s="490">
        <v>48713779.240000002</v>
      </c>
      <c r="AM64" s="477"/>
      <c r="AN64" s="489"/>
      <c r="AO64" s="489"/>
      <c r="AP64" s="489"/>
      <c r="AQ64" s="489"/>
      <c r="AR64" s="489"/>
      <c r="AS64" s="489"/>
      <c r="AT64" s="489"/>
      <c r="AU64" s="490">
        <v>0</v>
      </c>
    </row>
    <row r="65" spans="1:49" ht="28.8">
      <c r="A65" s="444" t="s">
        <v>69</v>
      </c>
      <c r="B65" s="488" t="s">
        <v>450</v>
      </c>
      <c r="C65" s="477"/>
      <c r="D65" s="489"/>
      <c r="E65" s="489"/>
      <c r="F65" s="489"/>
      <c r="G65" s="489"/>
      <c r="H65" s="489"/>
      <c r="I65" s="489"/>
      <c r="J65" s="489"/>
      <c r="K65" s="490">
        <f t="shared" si="25"/>
        <v>0</v>
      </c>
      <c r="L65" s="477"/>
      <c r="M65" s="489"/>
      <c r="N65" s="489"/>
      <c r="O65" s="489"/>
      <c r="P65" s="489"/>
      <c r="Q65" s="489"/>
      <c r="R65" s="489"/>
      <c r="S65" s="489"/>
      <c r="T65" s="490">
        <v>0</v>
      </c>
      <c r="U65" s="477"/>
      <c r="V65" s="489"/>
      <c r="W65" s="489"/>
      <c r="X65" s="489"/>
      <c r="Y65" s="489"/>
      <c r="Z65" s="489"/>
      <c r="AA65" s="489"/>
      <c r="AB65" s="489"/>
      <c r="AC65" s="490">
        <v>0</v>
      </c>
      <c r="AD65" s="477">
        <v>-19954301.420000002</v>
      </c>
      <c r="AE65" s="489"/>
      <c r="AF65" s="489"/>
      <c r="AG65" s="489"/>
      <c r="AH65" s="489"/>
      <c r="AI65" s="489"/>
      <c r="AJ65" s="489"/>
      <c r="AK65" s="489">
        <v>-347699.26999999996</v>
      </c>
      <c r="AL65" s="490">
        <v>-20302000.690000001</v>
      </c>
      <c r="AM65" s="477">
        <v>29831995.110000007</v>
      </c>
      <c r="AN65" s="489"/>
      <c r="AO65" s="489">
        <v>41778</v>
      </c>
      <c r="AP65" s="489">
        <v>-4995</v>
      </c>
      <c r="AQ65" s="489">
        <v>-746918</v>
      </c>
      <c r="AR65" s="489"/>
      <c r="AS65" s="489"/>
      <c r="AT65" s="489"/>
      <c r="AU65" s="490">
        <v>29121860.110000007</v>
      </c>
    </row>
    <row r="66" spans="1:49" ht="15" thickBot="1">
      <c r="B66" s="488"/>
      <c r="C66" s="477"/>
      <c r="D66" s="489"/>
      <c r="E66" s="489"/>
      <c r="F66" s="489"/>
      <c r="G66" s="489"/>
      <c r="H66" s="489"/>
      <c r="I66" s="489"/>
      <c r="J66" s="489"/>
      <c r="K66" s="490"/>
      <c r="L66" s="477"/>
      <c r="M66" s="489"/>
      <c r="N66" s="489"/>
      <c r="O66" s="489"/>
      <c r="P66" s="489"/>
      <c r="Q66" s="489"/>
      <c r="R66" s="489"/>
      <c r="S66" s="489"/>
      <c r="T66" s="490"/>
      <c r="U66" s="477"/>
      <c r="V66" s="489"/>
      <c r="W66" s="489"/>
      <c r="X66" s="489"/>
      <c r="Y66" s="489"/>
      <c r="Z66" s="489"/>
      <c r="AA66" s="489"/>
      <c r="AB66" s="489"/>
      <c r="AC66" s="490"/>
      <c r="AD66" s="477"/>
      <c r="AE66" s="489"/>
      <c r="AF66" s="489"/>
      <c r="AG66" s="489"/>
      <c r="AH66" s="489"/>
      <c r="AI66" s="489"/>
      <c r="AJ66" s="489"/>
      <c r="AK66" s="489"/>
      <c r="AL66" s="490"/>
      <c r="AM66" s="477"/>
      <c r="AN66" s="489"/>
      <c r="AO66" s="489"/>
      <c r="AP66" s="489"/>
      <c r="AQ66" s="489"/>
      <c r="AR66" s="489"/>
      <c r="AS66" s="489"/>
      <c r="AT66" s="489"/>
      <c r="AU66" s="490"/>
    </row>
    <row r="67" spans="1:49" ht="15.6" thickTop="1" thickBot="1">
      <c r="A67" s="492"/>
      <c r="B67" s="493" t="s">
        <v>1521</v>
      </c>
      <c r="C67" s="654">
        <f>SUM(C64:C66)</f>
        <v>6951965.8700000001</v>
      </c>
      <c r="D67" s="495">
        <f t="shared" ref="D67:K67" si="26">SUM(D64:D66)</f>
        <v>27770</v>
      </c>
      <c r="E67" s="495">
        <f t="shared" si="26"/>
        <v>0</v>
      </c>
      <c r="F67" s="495">
        <f t="shared" si="26"/>
        <v>0</v>
      </c>
      <c r="G67" s="495">
        <f t="shared" si="26"/>
        <v>0</v>
      </c>
      <c r="H67" s="495">
        <f t="shared" si="26"/>
        <v>0</v>
      </c>
      <c r="I67" s="495">
        <f t="shared" si="26"/>
        <v>0</v>
      </c>
      <c r="J67" s="495">
        <f t="shared" si="26"/>
        <v>0</v>
      </c>
      <c r="K67" s="496">
        <f t="shared" si="26"/>
        <v>6979735.8700000001</v>
      </c>
      <c r="L67" s="654">
        <v>12021315.280000001</v>
      </c>
      <c r="M67" s="495">
        <v>0</v>
      </c>
      <c r="N67" s="495">
        <v>-100.56</v>
      </c>
      <c r="O67" s="495">
        <v>0</v>
      </c>
      <c r="P67" s="495">
        <v>0</v>
      </c>
      <c r="Q67" s="495">
        <v>0</v>
      </c>
      <c r="R67" s="495">
        <v>0</v>
      </c>
      <c r="S67" s="495">
        <v>0</v>
      </c>
      <c r="T67" s="496">
        <v>12021214.720000001</v>
      </c>
      <c r="U67" s="654">
        <v>31110735.699999999</v>
      </c>
      <c r="V67" s="495">
        <v>0</v>
      </c>
      <c r="W67" s="495">
        <v>549</v>
      </c>
      <c r="X67" s="495">
        <v>0</v>
      </c>
      <c r="Y67" s="495">
        <v>711</v>
      </c>
      <c r="Z67" s="495">
        <v>0</v>
      </c>
      <c r="AA67" s="495">
        <v>0</v>
      </c>
      <c r="AB67" s="495">
        <v>0</v>
      </c>
      <c r="AC67" s="496">
        <v>31111995.699999999</v>
      </c>
      <c r="AD67" s="494">
        <v>28947473.399999999</v>
      </c>
      <c r="AE67" s="495">
        <v>0</v>
      </c>
      <c r="AF67" s="495">
        <v>0</v>
      </c>
      <c r="AG67" s="495">
        <v>0</v>
      </c>
      <c r="AH67" s="495">
        <v>-1397013.51</v>
      </c>
      <c r="AI67" s="495">
        <v>0</v>
      </c>
      <c r="AJ67" s="495">
        <v>761945.72</v>
      </c>
      <c r="AK67" s="495">
        <v>99372.94</v>
      </c>
      <c r="AL67" s="496">
        <v>28411778.550000001</v>
      </c>
      <c r="AM67" s="494">
        <v>29831995.110000007</v>
      </c>
      <c r="AN67" s="495">
        <v>0</v>
      </c>
      <c r="AO67" s="495">
        <v>41778</v>
      </c>
      <c r="AP67" s="495">
        <v>-4995</v>
      </c>
      <c r="AQ67" s="495">
        <v>-746918</v>
      </c>
      <c r="AR67" s="495">
        <v>0</v>
      </c>
      <c r="AS67" s="495">
        <v>0</v>
      </c>
      <c r="AT67" s="495">
        <v>0</v>
      </c>
      <c r="AU67" s="497">
        <v>29121860.110000007</v>
      </c>
      <c r="AV67" s="152"/>
    </row>
    <row r="68" spans="1:49" ht="15" thickTop="1">
      <c r="A68" s="498" t="s">
        <v>119</v>
      </c>
      <c r="B68" s="488"/>
      <c r="C68" s="477"/>
      <c r="D68" s="489"/>
      <c r="E68" s="489"/>
      <c r="F68" s="489"/>
      <c r="G68" s="489"/>
      <c r="H68" s="489"/>
      <c r="I68" s="489"/>
      <c r="J68" s="489"/>
      <c r="K68" s="490"/>
      <c r="L68" s="477"/>
      <c r="M68" s="489"/>
      <c r="N68" s="489"/>
      <c r="O68" s="489"/>
      <c r="P68" s="489"/>
      <c r="Q68" s="489"/>
      <c r="R68" s="489"/>
      <c r="S68" s="489"/>
      <c r="T68" s="490"/>
      <c r="U68" s="477"/>
      <c r="V68" s="489"/>
      <c r="W68" s="489"/>
      <c r="X68" s="489"/>
      <c r="Y68" s="489"/>
      <c r="Z68" s="489"/>
      <c r="AA68" s="489"/>
      <c r="AB68" s="489"/>
      <c r="AC68" s="490"/>
      <c r="AD68" s="477"/>
      <c r="AE68" s="489"/>
      <c r="AF68" s="489"/>
      <c r="AG68" s="489"/>
      <c r="AH68" s="489"/>
      <c r="AI68" s="489"/>
      <c r="AJ68" s="489"/>
      <c r="AK68" s="489"/>
      <c r="AL68" s="490"/>
      <c r="AM68" s="477"/>
      <c r="AN68" s="489"/>
      <c r="AO68" s="489"/>
      <c r="AP68" s="489"/>
      <c r="AQ68" s="489"/>
      <c r="AR68" s="489"/>
      <c r="AS68" s="489"/>
      <c r="AT68" s="489"/>
      <c r="AU68" s="490"/>
      <c r="AW68" s="152"/>
    </row>
    <row r="69" spans="1:49">
      <c r="A69" s="498" t="s">
        <v>108</v>
      </c>
      <c r="B69" s="488"/>
      <c r="C69" s="477"/>
      <c r="D69" s="489"/>
      <c r="E69" s="489"/>
      <c r="F69" s="489"/>
      <c r="G69" s="489"/>
      <c r="H69" s="489"/>
      <c r="I69" s="489"/>
      <c r="J69" s="489"/>
      <c r="K69" s="490"/>
      <c r="L69" s="477"/>
      <c r="M69" s="489"/>
      <c r="N69" s="489"/>
      <c r="O69" s="489"/>
      <c r="P69" s="489"/>
      <c r="Q69" s="489"/>
      <c r="R69" s="489"/>
      <c r="S69" s="489"/>
      <c r="T69" s="490"/>
      <c r="U69" s="477"/>
      <c r="V69" s="489"/>
      <c r="W69" s="489"/>
      <c r="X69" s="489"/>
      <c r="Y69" s="489"/>
      <c r="Z69" s="489"/>
      <c r="AA69" s="489"/>
      <c r="AB69" s="489"/>
      <c r="AC69" s="490"/>
      <c r="AD69" s="477"/>
      <c r="AE69" s="489"/>
      <c r="AF69" s="489"/>
      <c r="AG69" s="489"/>
      <c r="AH69" s="489"/>
      <c r="AI69" s="489"/>
      <c r="AJ69" s="489"/>
      <c r="AK69" s="489"/>
      <c r="AL69" s="490"/>
      <c r="AM69" s="477"/>
      <c r="AN69" s="489"/>
      <c r="AO69" s="489"/>
      <c r="AP69" s="489"/>
      <c r="AQ69" s="489"/>
      <c r="AR69" s="489"/>
      <c r="AS69" s="489"/>
      <c r="AT69" s="489"/>
      <c r="AU69" s="490"/>
    </row>
    <row r="70" spans="1:49">
      <c r="A70" s="444" t="s">
        <v>531</v>
      </c>
      <c r="B70" s="488" t="s">
        <v>449</v>
      </c>
      <c r="C70" s="650" cm="1">
        <f t="array" ref="C70">_xlfn.XLOOKUP(A70,'TB upload'!A:A,'TB upload'!C:C-'TB upload'!B:B,0,)</f>
        <v>0</v>
      </c>
      <c r="D70" s="489">
        <f>7200-1125+5250</f>
        <v>11325</v>
      </c>
      <c r="E70" s="474" cm="1">
        <f t="array" ref="E70">_xlfn.XLOOKUP($A70,'TB upload'!$A:$A,'TB upload'!E:E-'TB upload'!D:D,0,)</f>
        <v>0</v>
      </c>
      <c r="F70" s="489"/>
      <c r="G70" s="474" cm="1">
        <f t="array" ref="G70">_xlfn.XLOOKUP($A70,'TB upload'!$A:$A,'TB upload'!G:G-'TB upload'!F:F,0,)</f>
        <v>0</v>
      </c>
      <c r="H70" s="489"/>
      <c r="I70" s="474" cm="1">
        <f t="array" ref="I70">_xlfn.XLOOKUP($A70,'TB upload'!$A:$A,'TB upload'!I:I-'TB upload'!H:H,0,)</f>
        <v>0</v>
      </c>
      <c r="J70" s="489">
        <v>113494</v>
      </c>
      <c r="K70" s="490">
        <f t="shared" ref="K70:K77" si="27">SUM(C70:J70)</f>
        <v>124819</v>
      </c>
      <c r="L70" s="650">
        <v>0</v>
      </c>
      <c r="M70" s="489"/>
      <c r="N70" s="474">
        <v>0</v>
      </c>
      <c r="O70" s="489"/>
      <c r="P70" s="474">
        <v>0</v>
      </c>
      <c r="Q70" s="489"/>
      <c r="R70" s="474">
        <v>0</v>
      </c>
      <c r="S70" s="489"/>
      <c r="T70" s="490">
        <v>0</v>
      </c>
      <c r="U70" s="477">
        <v>0</v>
      </c>
      <c r="V70" s="489"/>
      <c r="W70" s="474">
        <v>0</v>
      </c>
      <c r="X70" s="489"/>
      <c r="Y70" s="474">
        <v>0</v>
      </c>
      <c r="Z70" s="489"/>
      <c r="AA70" s="489">
        <v>0</v>
      </c>
      <c r="AB70" s="489"/>
      <c r="AC70" s="490">
        <v>0</v>
      </c>
      <c r="AD70" s="477">
        <v>0</v>
      </c>
      <c r="AE70" s="489"/>
      <c r="AF70" s="474">
        <v>0</v>
      </c>
      <c r="AG70" s="489"/>
      <c r="AH70" s="474">
        <v>0</v>
      </c>
      <c r="AI70" s="489"/>
      <c r="AJ70" s="489">
        <v>0</v>
      </c>
      <c r="AK70" s="489"/>
      <c r="AL70" s="490">
        <v>0</v>
      </c>
      <c r="AM70" s="477">
        <v>609176.63</v>
      </c>
      <c r="AN70" s="489"/>
      <c r="AO70" s="489">
        <v>2105</v>
      </c>
      <c r="AP70" s="489"/>
      <c r="AQ70" s="489">
        <v>473</v>
      </c>
      <c r="AR70" s="489"/>
      <c r="AS70" s="489"/>
      <c r="AT70" s="489"/>
      <c r="AU70" s="490">
        <v>611754.63</v>
      </c>
    </row>
    <row r="71" spans="1:49">
      <c r="A71" s="444" t="s">
        <v>109</v>
      </c>
      <c r="B71" s="488" t="s">
        <v>449</v>
      </c>
      <c r="C71" s="650" cm="1">
        <f t="array" ref="C71">_xlfn.XLOOKUP(A71,'TB upload'!A:A,'TB upload'!C:C-'TB upload'!B:B,0,)</f>
        <v>0</v>
      </c>
      <c r="D71" s="489"/>
      <c r="E71" s="474" cm="1">
        <f t="array" ref="E71">_xlfn.XLOOKUP($A71,'TB upload'!$A:$A,'TB upload'!E:E-'TB upload'!D:D,0,)</f>
        <v>0</v>
      </c>
      <c r="F71" s="489"/>
      <c r="G71" s="474" cm="1">
        <f t="array" ref="G71">_xlfn.XLOOKUP($A71,'TB upload'!$A:$A,'TB upload'!G:G-'TB upload'!F:F,0,)</f>
        <v>0</v>
      </c>
      <c r="H71" s="489"/>
      <c r="I71" s="474" cm="1">
        <f t="array" ref="I71">_xlfn.XLOOKUP($A71,'TB upload'!$A:$A,'TB upload'!I:I-'TB upload'!H:H,0,)</f>
        <v>0</v>
      </c>
      <c r="J71" s="489"/>
      <c r="K71" s="490">
        <f t="shared" si="27"/>
        <v>0</v>
      </c>
      <c r="L71" s="650">
        <v>0</v>
      </c>
      <c r="M71" s="489"/>
      <c r="N71" s="474">
        <v>0</v>
      </c>
      <c r="O71" s="489"/>
      <c r="P71" s="474">
        <v>0</v>
      </c>
      <c r="Q71" s="489"/>
      <c r="R71" s="474">
        <v>0</v>
      </c>
      <c r="S71" s="489"/>
      <c r="T71" s="490">
        <v>0</v>
      </c>
      <c r="U71" s="477">
        <v>0</v>
      </c>
      <c r="V71" s="489"/>
      <c r="W71" s="474">
        <v>0</v>
      </c>
      <c r="X71" s="489"/>
      <c r="Y71" s="474">
        <v>0</v>
      </c>
      <c r="Z71" s="489"/>
      <c r="AA71" s="489">
        <v>0</v>
      </c>
      <c r="AB71" s="489"/>
      <c r="AC71" s="490">
        <v>0</v>
      </c>
      <c r="AD71" s="477">
        <v>0</v>
      </c>
      <c r="AE71" s="489"/>
      <c r="AF71" s="474">
        <v>0</v>
      </c>
      <c r="AG71" s="489"/>
      <c r="AH71" s="474">
        <v>0</v>
      </c>
      <c r="AI71" s="489"/>
      <c r="AJ71" s="489">
        <v>0</v>
      </c>
      <c r="AK71" s="489"/>
      <c r="AL71" s="490">
        <v>0</v>
      </c>
      <c r="AM71" s="477">
        <v>5600</v>
      </c>
      <c r="AN71" s="489"/>
      <c r="AO71" s="489"/>
      <c r="AP71" s="489"/>
      <c r="AQ71" s="489"/>
      <c r="AR71" s="489"/>
      <c r="AS71" s="489"/>
      <c r="AT71" s="489"/>
      <c r="AU71" s="490">
        <v>5600</v>
      </c>
    </row>
    <row r="72" spans="1:49">
      <c r="A72" s="444" t="s">
        <v>110</v>
      </c>
      <c r="B72" s="488" t="s">
        <v>449</v>
      </c>
      <c r="C72" s="650" cm="1">
        <f t="array" ref="C72">_xlfn.XLOOKUP(A72,'TB upload'!A:A,'TB upload'!C:C-'TB upload'!B:B,0,)</f>
        <v>0</v>
      </c>
      <c r="D72" s="489"/>
      <c r="E72" s="474" cm="1">
        <f t="array" ref="E72">_xlfn.XLOOKUP($A72,'TB upload'!$A:$A,'TB upload'!E:E-'TB upload'!D:D,0,)</f>
        <v>0</v>
      </c>
      <c r="F72" s="489"/>
      <c r="G72" s="474" cm="1">
        <f t="array" ref="G72">_xlfn.XLOOKUP($A72,'TB upload'!$A:$A,'TB upload'!G:G-'TB upload'!F:F,0,)</f>
        <v>0</v>
      </c>
      <c r="H72" s="489"/>
      <c r="I72" s="474" cm="1">
        <f t="array" ref="I72">_xlfn.XLOOKUP($A72,'TB upload'!$A:$A,'TB upload'!I:I-'TB upload'!H:H,0,)</f>
        <v>0</v>
      </c>
      <c r="J72" s="489"/>
      <c r="K72" s="490">
        <f t="shared" si="27"/>
        <v>0</v>
      </c>
      <c r="L72" s="650">
        <v>0</v>
      </c>
      <c r="M72" s="489"/>
      <c r="N72" s="474">
        <v>0</v>
      </c>
      <c r="O72" s="489"/>
      <c r="P72" s="474">
        <v>0</v>
      </c>
      <c r="Q72" s="489"/>
      <c r="R72" s="474">
        <v>0</v>
      </c>
      <c r="S72" s="489"/>
      <c r="T72" s="490">
        <v>0</v>
      </c>
      <c r="U72" s="477">
        <v>0</v>
      </c>
      <c r="V72" s="489"/>
      <c r="W72" s="474">
        <v>0</v>
      </c>
      <c r="X72" s="489"/>
      <c r="Y72" s="474">
        <v>0</v>
      </c>
      <c r="Z72" s="489"/>
      <c r="AA72" s="489">
        <v>0</v>
      </c>
      <c r="AB72" s="489"/>
      <c r="AC72" s="490">
        <v>0</v>
      </c>
      <c r="AD72" s="477">
        <v>0</v>
      </c>
      <c r="AE72" s="489"/>
      <c r="AF72" s="474">
        <v>0</v>
      </c>
      <c r="AG72" s="489"/>
      <c r="AH72" s="474">
        <v>0</v>
      </c>
      <c r="AI72" s="489"/>
      <c r="AJ72" s="489">
        <v>0</v>
      </c>
      <c r="AK72" s="489"/>
      <c r="AL72" s="490">
        <v>0</v>
      </c>
      <c r="AM72" s="477">
        <v>553500</v>
      </c>
      <c r="AN72" s="489"/>
      <c r="AO72" s="489"/>
      <c r="AP72" s="489"/>
      <c r="AQ72" s="489"/>
      <c r="AR72" s="489"/>
      <c r="AS72" s="489"/>
      <c r="AT72" s="489"/>
      <c r="AU72" s="490">
        <v>553500</v>
      </c>
    </row>
    <row r="73" spans="1:49">
      <c r="A73" s="444" t="s">
        <v>118</v>
      </c>
      <c r="B73" s="488" t="s">
        <v>449</v>
      </c>
      <c r="C73" s="650" cm="1">
        <f t="array" ref="C73">_xlfn.XLOOKUP(A73,'TB upload'!A:A,'TB upload'!C:C-'TB upload'!B:B,0,)</f>
        <v>0</v>
      </c>
      <c r="D73" s="489"/>
      <c r="E73" s="474" cm="1">
        <f t="array" ref="E73">_xlfn.XLOOKUP($A73,'TB upload'!$A:$A,'TB upload'!E:E-'TB upload'!D:D,0,)</f>
        <v>0</v>
      </c>
      <c r="F73" s="489"/>
      <c r="G73" s="474" cm="1">
        <f t="array" ref="G73">_xlfn.XLOOKUP($A73,'TB upload'!$A:$A,'TB upload'!G:G-'TB upload'!F:F,0,)</f>
        <v>0</v>
      </c>
      <c r="H73" s="489"/>
      <c r="I73" s="474" cm="1">
        <f t="array" ref="I73">_xlfn.XLOOKUP($A73,'TB upload'!$A:$A,'TB upload'!I:I-'TB upload'!H:H,0,)</f>
        <v>0</v>
      </c>
      <c r="J73" s="489"/>
      <c r="K73" s="490">
        <f t="shared" si="27"/>
        <v>0</v>
      </c>
      <c r="L73" s="650">
        <v>75</v>
      </c>
      <c r="M73" s="489"/>
      <c r="N73" s="474">
        <v>0</v>
      </c>
      <c r="O73" s="489"/>
      <c r="P73" s="474">
        <v>0</v>
      </c>
      <c r="Q73" s="489"/>
      <c r="R73" s="474">
        <v>0</v>
      </c>
      <c r="S73" s="489"/>
      <c r="T73" s="490">
        <v>75</v>
      </c>
      <c r="U73" s="650">
        <v>225</v>
      </c>
      <c r="V73" s="489"/>
      <c r="W73" s="474">
        <v>0</v>
      </c>
      <c r="X73" s="489"/>
      <c r="Y73" s="474">
        <v>0</v>
      </c>
      <c r="Z73" s="489"/>
      <c r="AA73" s="489">
        <v>0</v>
      </c>
      <c r="AB73" s="489"/>
      <c r="AC73" s="490">
        <v>225</v>
      </c>
      <c r="AD73" s="477">
        <v>2302</v>
      </c>
      <c r="AE73" s="489"/>
      <c r="AF73" s="474">
        <v>0</v>
      </c>
      <c r="AG73" s="489"/>
      <c r="AH73" s="474">
        <v>0</v>
      </c>
      <c r="AI73" s="489"/>
      <c r="AJ73" s="489">
        <v>0</v>
      </c>
      <c r="AK73" s="489"/>
      <c r="AL73" s="490">
        <v>2302</v>
      </c>
      <c r="AM73" s="477">
        <v>1946</v>
      </c>
      <c r="AN73" s="489"/>
      <c r="AO73" s="489"/>
      <c r="AP73" s="489"/>
      <c r="AQ73" s="489"/>
      <c r="AR73" s="489"/>
      <c r="AS73" s="489"/>
      <c r="AT73" s="489"/>
      <c r="AU73" s="490">
        <v>1946</v>
      </c>
    </row>
    <row r="74" spans="1:49">
      <c r="A74" s="444" t="s">
        <v>532</v>
      </c>
      <c r="B74" s="488" t="s">
        <v>449</v>
      </c>
      <c r="C74" s="650" cm="1">
        <f t="array" ref="C74">_xlfn.XLOOKUP(A74,'TB upload'!A:A,'TB upload'!C:C-'TB upload'!B:B,0,)</f>
        <v>0</v>
      </c>
      <c r="D74" s="489"/>
      <c r="E74" s="474" cm="1">
        <f t="array" ref="E74">_xlfn.XLOOKUP($A74,'TB upload'!$A:$A,'TB upload'!E:E-'TB upload'!D:D,0,)</f>
        <v>0</v>
      </c>
      <c r="F74" s="489"/>
      <c r="G74" s="474" cm="1">
        <f t="array" ref="G74">_xlfn.XLOOKUP($A74,'TB upload'!$A:$A,'TB upload'!G:G-'TB upload'!F:F,0,)</f>
        <v>0</v>
      </c>
      <c r="H74" s="489"/>
      <c r="I74" s="474" cm="1">
        <f t="array" ref="I74">_xlfn.XLOOKUP($A74,'TB upload'!$A:$A,'TB upload'!I:I-'TB upload'!H:H,0,)</f>
        <v>0</v>
      </c>
      <c r="J74" s="489"/>
      <c r="K74" s="490">
        <f t="shared" si="27"/>
        <v>0</v>
      </c>
      <c r="L74" s="650">
        <v>500</v>
      </c>
      <c r="M74" s="489"/>
      <c r="N74" s="474">
        <v>0</v>
      </c>
      <c r="O74" s="489"/>
      <c r="P74" s="474">
        <v>0</v>
      </c>
      <c r="Q74" s="489"/>
      <c r="R74" s="474">
        <v>0</v>
      </c>
      <c r="S74" s="489"/>
      <c r="T74" s="490">
        <v>500</v>
      </c>
      <c r="U74" s="650">
        <v>500</v>
      </c>
      <c r="V74" s="489"/>
      <c r="W74" s="474">
        <v>0</v>
      </c>
      <c r="X74" s="489"/>
      <c r="Y74" s="474">
        <v>0</v>
      </c>
      <c r="Z74" s="489"/>
      <c r="AA74" s="489">
        <v>0</v>
      </c>
      <c r="AB74" s="489"/>
      <c r="AC74" s="490">
        <v>500</v>
      </c>
      <c r="AD74" s="477">
        <v>2838</v>
      </c>
      <c r="AE74" s="489"/>
      <c r="AF74" s="474">
        <v>0</v>
      </c>
      <c r="AG74" s="489"/>
      <c r="AH74" s="474">
        <v>0</v>
      </c>
      <c r="AI74" s="489"/>
      <c r="AJ74" s="489">
        <v>0</v>
      </c>
      <c r="AK74" s="489"/>
      <c r="AL74" s="490">
        <v>2838</v>
      </c>
      <c r="AM74" s="477">
        <v>2209</v>
      </c>
      <c r="AN74" s="489"/>
      <c r="AO74" s="489"/>
      <c r="AP74" s="489"/>
      <c r="AQ74" s="489"/>
      <c r="AR74" s="489"/>
      <c r="AS74" s="489"/>
      <c r="AT74" s="489"/>
      <c r="AU74" s="490">
        <v>2209</v>
      </c>
    </row>
    <row r="75" spans="1:49">
      <c r="A75" s="444" t="s">
        <v>121</v>
      </c>
      <c r="B75" s="488" t="s">
        <v>449</v>
      </c>
      <c r="C75" s="650" cm="1">
        <f t="array" ref="C75">_xlfn.XLOOKUP(A75,'TB upload'!A:A,'TB upload'!C:C-'TB upload'!B:B,0,)</f>
        <v>0</v>
      </c>
      <c r="D75" s="489"/>
      <c r="E75" s="474" cm="1">
        <f t="array" ref="E75">_xlfn.XLOOKUP($A75,'TB upload'!$A:$A,'TB upload'!E:E-'TB upload'!D:D,0,)</f>
        <v>0</v>
      </c>
      <c r="F75" s="489"/>
      <c r="G75" s="474" cm="1">
        <f t="array" ref="G75">_xlfn.XLOOKUP($A75,'TB upload'!$A:$A,'TB upload'!G:G-'TB upload'!F:F,0,)</f>
        <v>0</v>
      </c>
      <c r="H75" s="489"/>
      <c r="I75" s="474" cm="1">
        <f t="array" ref="I75">_xlfn.XLOOKUP($A75,'TB upload'!$A:$A,'TB upload'!I:I-'TB upload'!H:H,0,)</f>
        <v>0</v>
      </c>
      <c r="J75" s="489"/>
      <c r="K75" s="490">
        <f t="shared" si="27"/>
        <v>0</v>
      </c>
      <c r="L75" s="650">
        <v>1806</v>
      </c>
      <c r="M75" s="489"/>
      <c r="N75" s="474">
        <v>0</v>
      </c>
      <c r="O75" s="489"/>
      <c r="P75" s="474">
        <v>0</v>
      </c>
      <c r="Q75" s="489"/>
      <c r="R75" s="474">
        <v>0</v>
      </c>
      <c r="S75" s="489"/>
      <c r="T75" s="490">
        <v>1806</v>
      </c>
      <c r="U75" s="650">
        <v>8286</v>
      </c>
      <c r="V75" s="489"/>
      <c r="W75" s="474">
        <v>0</v>
      </c>
      <c r="X75" s="489"/>
      <c r="Y75" s="474">
        <v>0</v>
      </c>
      <c r="Z75" s="489"/>
      <c r="AA75" s="489">
        <v>0</v>
      </c>
      <c r="AB75" s="489"/>
      <c r="AC75" s="490">
        <v>8286</v>
      </c>
      <c r="AD75" s="477">
        <v>67457</v>
      </c>
      <c r="AE75" s="489"/>
      <c r="AF75" s="474">
        <v>0</v>
      </c>
      <c r="AG75" s="489"/>
      <c r="AH75" s="474">
        <v>0</v>
      </c>
      <c r="AI75" s="489"/>
      <c r="AJ75" s="489">
        <v>0</v>
      </c>
      <c r="AK75" s="489"/>
      <c r="AL75" s="490">
        <v>67457</v>
      </c>
      <c r="AM75" s="477">
        <v>52383</v>
      </c>
      <c r="AN75" s="489"/>
      <c r="AO75" s="489"/>
      <c r="AP75" s="489"/>
      <c r="AQ75" s="489"/>
      <c r="AR75" s="489"/>
      <c r="AS75" s="489"/>
      <c r="AT75" s="489"/>
      <c r="AU75" s="490">
        <v>52383</v>
      </c>
    </row>
    <row r="76" spans="1:49">
      <c r="A76" s="444" t="s">
        <v>1194</v>
      </c>
      <c r="B76" s="488" t="s">
        <v>449</v>
      </c>
      <c r="C76" s="650" cm="1">
        <f t="array" ref="C76">_xlfn.XLOOKUP(A76,'TB upload'!A:A,'TB upload'!C:C-'TB upload'!B:B,0,)</f>
        <v>0</v>
      </c>
      <c r="D76" s="489"/>
      <c r="E76" s="474" cm="1">
        <f t="array" ref="E76">_xlfn.XLOOKUP($A76,'TB upload'!$A:$A,'TB upload'!E:E-'TB upload'!D:D,0,)</f>
        <v>0</v>
      </c>
      <c r="F76" s="489"/>
      <c r="G76" s="474" cm="1">
        <f t="array" ref="G76">_xlfn.XLOOKUP($A76,'TB upload'!$A:$A,'TB upload'!G:G-'TB upload'!F:F,0,)</f>
        <v>0</v>
      </c>
      <c r="H76" s="489"/>
      <c r="I76" s="474" cm="1">
        <f t="array" ref="I76">_xlfn.XLOOKUP($A76,'TB upload'!$A:$A,'TB upload'!I:I-'TB upload'!H:H,0,)</f>
        <v>0</v>
      </c>
      <c r="J76" s="489"/>
      <c r="K76" s="490">
        <f t="shared" si="27"/>
        <v>0</v>
      </c>
      <c r="L76" s="650">
        <v>0</v>
      </c>
      <c r="M76" s="489"/>
      <c r="N76" s="474">
        <v>0</v>
      </c>
      <c r="O76" s="489"/>
      <c r="P76" s="474">
        <v>0</v>
      </c>
      <c r="Q76" s="489"/>
      <c r="R76" s="474">
        <v>0</v>
      </c>
      <c r="S76" s="489"/>
      <c r="T76" s="490">
        <v>0</v>
      </c>
      <c r="U76" s="650">
        <v>771</v>
      </c>
      <c r="V76" s="489"/>
      <c r="W76" s="474">
        <v>0</v>
      </c>
      <c r="X76" s="489"/>
      <c r="Y76" s="474">
        <v>0</v>
      </c>
      <c r="Z76" s="489"/>
      <c r="AA76" s="489">
        <v>0</v>
      </c>
      <c r="AB76" s="489"/>
      <c r="AC76" s="490">
        <v>771</v>
      </c>
      <c r="AD76" s="477">
        <v>687</v>
      </c>
      <c r="AE76" s="489"/>
      <c r="AF76" s="474">
        <v>0</v>
      </c>
      <c r="AG76" s="489"/>
      <c r="AH76" s="474">
        <v>0</v>
      </c>
      <c r="AI76" s="489"/>
      <c r="AJ76" s="489">
        <v>0</v>
      </c>
      <c r="AK76" s="489"/>
      <c r="AL76" s="490">
        <v>687</v>
      </c>
      <c r="AM76" s="477">
        <v>378</v>
      </c>
      <c r="AN76" s="489"/>
      <c r="AO76" s="489"/>
      <c r="AP76" s="489"/>
      <c r="AQ76" s="489"/>
      <c r="AR76" s="489"/>
      <c r="AS76" s="489"/>
      <c r="AT76" s="489"/>
      <c r="AU76" s="490">
        <v>378</v>
      </c>
    </row>
    <row r="77" spans="1:49" ht="15" thickBot="1">
      <c r="A77" s="444" t="s">
        <v>122</v>
      </c>
      <c r="B77" s="488" t="s">
        <v>449</v>
      </c>
      <c r="C77" s="650" cm="1">
        <f t="array" ref="C77">_xlfn.XLOOKUP(A77,'TB upload'!A:A,'TB upload'!C:C-'TB upload'!B:B,0,)</f>
        <v>0</v>
      </c>
      <c r="D77" s="489"/>
      <c r="E77" s="474" cm="1">
        <f t="array" ref="E77">_xlfn.XLOOKUP($A77,'TB upload'!$A:$A,'TB upload'!E:E-'TB upload'!D:D,0,)</f>
        <v>0</v>
      </c>
      <c r="F77" s="489"/>
      <c r="G77" s="474" cm="1">
        <f t="array" ref="G77">_xlfn.XLOOKUP($A77,'TB upload'!$A:$A,'TB upload'!G:G-'TB upload'!F:F,0,)</f>
        <v>0</v>
      </c>
      <c r="H77" s="489"/>
      <c r="I77" s="474" cm="1">
        <f t="array" ref="I77">_xlfn.XLOOKUP($A77,'TB upload'!$A:$A,'TB upload'!I:I-'TB upload'!H:H,0,)</f>
        <v>0</v>
      </c>
      <c r="J77" s="489"/>
      <c r="K77" s="490">
        <f t="shared" si="27"/>
        <v>0</v>
      </c>
      <c r="L77" s="650">
        <v>3600</v>
      </c>
      <c r="M77" s="489"/>
      <c r="N77" s="474">
        <v>0</v>
      </c>
      <c r="O77" s="489"/>
      <c r="P77" s="474">
        <v>0</v>
      </c>
      <c r="Q77" s="489"/>
      <c r="R77" s="474">
        <v>0</v>
      </c>
      <c r="S77" s="489"/>
      <c r="T77" s="490">
        <v>3600</v>
      </c>
      <c r="U77" s="650">
        <v>10080</v>
      </c>
      <c r="V77" s="489"/>
      <c r="W77" s="474">
        <v>0</v>
      </c>
      <c r="X77" s="489"/>
      <c r="Y77" s="474">
        <v>0</v>
      </c>
      <c r="Z77" s="489"/>
      <c r="AA77" s="489">
        <v>0</v>
      </c>
      <c r="AB77" s="489"/>
      <c r="AC77" s="490">
        <v>10080</v>
      </c>
      <c r="AD77" s="477">
        <v>67457</v>
      </c>
      <c r="AE77" s="489"/>
      <c r="AF77" s="474">
        <v>0</v>
      </c>
      <c r="AG77" s="489"/>
      <c r="AH77" s="474">
        <v>0</v>
      </c>
      <c r="AI77" s="489"/>
      <c r="AJ77" s="489">
        <v>0</v>
      </c>
      <c r="AK77" s="489"/>
      <c r="AL77" s="490">
        <v>67457</v>
      </c>
      <c r="AM77" s="477">
        <v>52383</v>
      </c>
      <c r="AN77" s="489"/>
      <c r="AO77" s="489"/>
      <c r="AP77" s="489"/>
      <c r="AQ77" s="489"/>
      <c r="AR77" s="489"/>
      <c r="AS77" s="489"/>
      <c r="AT77" s="489"/>
      <c r="AU77" s="490">
        <v>52383</v>
      </c>
    </row>
    <row r="78" spans="1:49" ht="15.6" thickTop="1" thickBot="1">
      <c r="A78" s="492"/>
      <c r="B78" s="493" t="s">
        <v>1521</v>
      </c>
      <c r="C78" s="654">
        <f t="shared" ref="C78:K78" si="28">SUM(C70:C77)</f>
        <v>0</v>
      </c>
      <c r="D78" s="495">
        <f t="shared" si="28"/>
        <v>11325</v>
      </c>
      <c r="E78" s="495">
        <f t="shared" si="28"/>
        <v>0</v>
      </c>
      <c r="F78" s="495">
        <f t="shared" si="28"/>
        <v>0</v>
      </c>
      <c r="G78" s="495">
        <f t="shared" si="28"/>
        <v>0</v>
      </c>
      <c r="H78" s="495">
        <f t="shared" si="28"/>
        <v>0</v>
      </c>
      <c r="I78" s="495">
        <f t="shared" si="28"/>
        <v>0</v>
      </c>
      <c r="J78" s="495">
        <f t="shared" si="28"/>
        <v>113494</v>
      </c>
      <c r="K78" s="496">
        <f t="shared" si="28"/>
        <v>124819</v>
      </c>
      <c r="L78" s="654">
        <v>5981</v>
      </c>
      <c r="M78" s="495">
        <v>0</v>
      </c>
      <c r="N78" s="495">
        <v>0</v>
      </c>
      <c r="O78" s="495">
        <v>0</v>
      </c>
      <c r="P78" s="495">
        <v>0</v>
      </c>
      <c r="Q78" s="495">
        <v>0</v>
      </c>
      <c r="R78" s="495">
        <v>0</v>
      </c>
      <c r="S78" s="495">
        <v>0</v>
      </c>
      <c r="T78" s="496">
        <v>5981</v>
      </c>
      <c r="U78" s="654">
        <v>19862</v>
      </c>
      <c r="V78" s="495">
        <v>0</v>
      </c>
      <c r="W78" s="495">
        <v>0</v>
      </c>
      <c r="X78" s="495">
        <v>0</v>
      </c>
      <c r="Y78" s="495">
        <v>0</v>
      </c>
      <c r="Z78" s="495">
        <v>0</v>
      </c>
      <c r="AA78" s="495">
        <v>0</v>
      </c>
      <c r="AB78" s="495">
        <v>0</v>
      </c>
      <c r="AC78" s="496">
        <v>19862</v>
      </c>
      <c r="AD78" s="494">
        <v>140741</v>
      </c>
      <c r="AE78" s="495">
        <v>0</v>
      </c>
      <c r="AF78" s="495">
        <v>0</v>
      </c>
      <c r="AG78" s="495">
        <v>0</v>
      </c>
      <c r="AH78" s="495">
        <v>0</v>
      </c>
      <c r="AI78" s="495">
        <v>0</v>
      </c>
      <c r="AJ78" s="495">
        <v>0</v>
      </c>
      <c r="AK78" s="495">
        <v>0</v>
      </c>
      <c r="AL78" s="496">
        <v>140741</v>
      </c>
      <c r="AM78" s="494">
        <v>1277575.6299999999</v>
      </c>
      <c r="AN78" s="495">
        <v>0</v>
      </c>
      <c r="AO78" s="495">
        <v>2105</v>
      </c>
      <c r="AP78" s="495">
        <v>0</v>
      </c>
      <c r="AQ78" s="495">
        <v>473</v>
      </c>
      <c r="AR78" s="495">
        <v>0</v>
      </c>
      <c r="AS78" s="495">
        <v>0</v>
      </c>
      <c r="AT78" s="495">
        <v>0</v>
      </c>
      <c r="AU78" s="497">
        <v>1280153.6299999999</v>
      </c>
    </row>
    <row r="79" spans="1:49" ht="15" thickTop="1">
      <c r="B79" s="488"/>
      <c r="C79" s="477"/>
      <c r="D79" s="489"/>
      <c r="E79" s="489"/>
      <c r="F79" s="489"/>
      <c r="G79" s="489"/>
      <c r="H79" s="489"/>
      <c r="I79" s="489"/>
      <c r="J79" s="489"/>
      <c r="K79" s="490"/>
      <c r="L79" s="477"/>
      <c r="M79" s="489"/>
      <c r="N79" s="489"/>
      <c r="O79" s="489"/>
      <c r="P79" s="489"/>
      <c r="Q79" s="489"/>
      <c r="R79" s="489"/>
      <c r="S79" s="489"/>
      <c r="T79" s="490"/>
      <c r="U79" s="477"/>
      <c r="V79" s="489"/>
      <c r="W79" s="489"/>
      <c r="X79" s="489"/>
      <c r="Y79" s="489"/>
      <c r="Z79" s="489"/>
      <c r="AA79" s="489"/>
      <c r="AB79" s="489"/>
      <c r="AC79" s="490"/>
      <c r="AD79" s="477"/>
      <c r="AE79" s="489"/>
      <c r="AF79" s="489"/>
      <c r="AG79" s="489"/>
      <c r="AH79" s="489"/>
      <c r="AI79" s="489"/>
      <c r="AJ79" s="489"/>
      <c r="AK79" s="489"/>
      <c r="AL79" s="490"/>
      <c r="AM79" s="477"/>
      <c r="AN79" s="489"/>
      <c r="AO79" s="489"/>
      <c r="AP79" s="489"/>
      <c r="AQ79" s="489"/>
      <c r="AR79" s="489"/>
      <c r="AS79" s="489"/>
      <c r="AT79" s="489"/>
      <c r="AU79" s="490"/>
    </row>
    <row r="80" spans="1:49">
      <c r="A80" s="444" t="s">
        <v>1020</v>
      </c>
      <c r="B80" s="488" t="s">
        <v>450</v>
      </c>
      <c r="C80" s="477"/>
      <c r="D80" s="489">
        <f>D160</f>
        <v>72686.600000000006</v>
      </c>
      <c r="E80" s="489"/>
      <c r="F80" s="489"/>
      <c r="G80" s="489"/>
      <c r="H80" s="489"/>
      <c r="I80" s="489"/>
      <c r="J80" s="489"/>
      <c r="K80" s="490">
        <f t="shared" ref="K80" si="29">SUM(C80:J80)</f>
        <v>72686.600000000006</v>
      </c>
      <c r="L80" s="477"/>
      <c r="M80" s="489"/>
      <c r="N80" s="489"/>
      <c r="O80" s="489"/>
      <c r="P80" s="489"/>
      <c r="Q80" s="489"/>
      <c r="R80" s="489"/>
      <c r="S80" s="489"/>
      <c r="T80" s="490">
        <v>0</v>
      </c>
      <c r="U80" s="477"/>
      <c r="V80" s="489"/>
      <c r="W80" s="489"/>
      <c r="X80" s="489"/>
      <c r="Y80" s="489"/>
      <c r="Z80" s="489"/>
      <c r="AA80" s="489"/>
      <c r="AB80" s="489"/>
      <c r="AC80" s="490">
        <v>0</v>
      </c>
      <c r="AD80" s="477"/>
      <c r="AE80" s="489"/>
      <c r="AF80" s="489"/>
      <c r="AG80" s="489"/>
      <c r="AH80" s="489"/>
      <c r="AI80" s="489"/>
      <c r="AJ80" s="489"/>
      <c r="AK80" s="489"/>
      <c r="AL80" s="490">
        <v>0</v>
      </c>
      <c r="AM80" s="477" t="s">
        <v>1177</v>
      </c>
      <c r="AN80" s="489"/>
      <c r="AO80" s="489"/>
      <c r="AP80" s="489"/>
      <c r="AQ80" s="489"/>
      <c r="AR80" s="489"/>
      <c r="AS80" s="489"/>
      <c r="AT80" s="489"/>
      <c r="AU80" s="490">
        <v>0</v>
      </c>
    </row>
    <row r="81" spans="1:47" ht="15" thickBot="1">
      <c r="B81" s="488"/>
      <c r="C81" s="477"/>
      <c r="D81" s="489"/>
      <c r="E81" s="489"/>
      <c r="F81" s="489"/>
      <c r="G81" s="489"/>
      <c r="H81" s="489"/>
      <c r="I81" s="489"/>
      <c r="J81" s="489"/>
      <c r="K81" s="490"/>
      <c r="L81" s="477"/>
      <c r="M81" s="489"/>
      <c r="N81" s="489"/>
      <c r="O81" s="489"/>
      <c r="P81" s="489"/>
      <c r="Q81" s="489"/>
      <c r="R81" s="489"/>
      <c r="S81" s="489"/>
      <c r="T81" s="490"/>
      <c r="U81" s="477"/>
      <c r="V81" s="489"/>
      <c r="W81" s="489"/>
      <c r="X81" s="489"/>
      <c r="Y81" s="489"/>
      <c r="Z81" s="489"/>
      <c r="AA81" s="489"/>
      <c r="AB81" s="489"/>
      <c r="AC81" s="490"/>
      <c r="AD81" s="477"/>
      <c r="AE81" s="489"/>
      <c r="AF81" s="489"/>
      <c r="AG81" s="489"/>
      <c r="AH81" s="489"/>
      <c r="AI81" s="489"/>
      <c r="AJ81" s="489"/>
      <c r="AK81" s="489"/>
      <c r="AL81" s="490"/>
      <c r="AM81" s="477"/>
      <c r="AN81" s="489"/>
      <c r="AO81" s="489"/>
      <c r="AP81" s="489"/>
      <c r="AQ81" s="489"/>
      <c r="AR81" s="489"/>
      <c r="AS81" s="489"/>
      <c r="AT81" s="489"/>
      <c r="AU81" s="490"/>
    </row>
    <row r="82" spans="1:47" ht="15.6" thickTop="1" thickBot="1">
      <c r="A82" s="492"/>
      <c r="B82" s="493" t="s">
        <v>1521</v>
      </c>
      <c r="C82" s="654">
        <f>SUM(C80:C81)</f>
        <v>0</v>
      </c>
      <c r="D82" s="495">
        <f t="shared" ref="D82:K82" si="30">SUM(D80:D81)</f>
        <v>72686.600000000006</v>
      </c>
      <c r="E82" s="495">
        <f t="shared" si="30"/>
        <v>0</v>
      </c>
      <c r="F82" s="495">
        <f t="shared" si="30"/>
        <v>0</v>
      </c>
      <c r="G82" s="495">
        <f t="shared" si="30"/>
        <v>0</v>
      </c>
      <c r="H82" s="495">
        <f t="shared" si="30"/>
        <v>0</v>
      </c>
      <c r="I82" s="495">
        <f t="shared" si="30"/>
        <v>0</v>
      </c>
      <c r="J82" s="495">
        <f t="shared" si="30"/>
        <v>0</v>
      </c>
      <c r="K82" s="496">
        <f t="shared" si="30"/>
        <v>72686.600000000006</v>
      </c>
      <c r="L82" s="654">
        <v>0</v>
      </c>
      <c r="M82" s="495">
        <v>0</v>
      </c>
      <c r="N82" s="495">
        <v>0</v>
      </c>
      <c r="O82" s="495">
        <v>0</v>
      </c>
      <c r="P82" s="495">
        <v>0</v>
      </c>
      <c r="Q82" s="495">
        <v>0</v>
      </c>
      <c r="R82" s="495">
        <v>0</v>
      </c>
      <c r="S82" s="495">
        <v>0</v>
      </c>
      <c r="T82" s="496">
        <v>0</v>
      </c>
      <c r="U82" s="654">
        <v>0</v>
      </c>
      <c r="V82" s="495">
        <v>0</v>
      </c>
      <c r="W82" s="495">
        <v>0</v>
      </c>
      <c r="X82" s="495">
        <v>0</v>
      </c>
      <c r="Y82" s="495">
        <v>0</v>
      </c>
      <c r="Z82" s="495">
        <v>0</v>
      </c>
      <c r="AA82" s="495">
        <v>0</v>
      </c>
      <c r="AB82" s="495">
        <v>0</v>
      </c>
      <c r="AC82" s="496">
        <v>0</v>
      </c>
      <c r="AD82" s="494">
        <v>0</v>
      </c>
      <c r="AE82" s="495">
        <v>0</v>
      </c>
      <c r="AF82" s="495">
        <v>0</v>
      </c>
      <c r="AG82" s="495">
        <v>0</v>
      </c>
      <c r="AH82" s="495">
        <v>0</v>
      </c>
      <c r="AI82" s="495">
        <v>0</v>
      </c>
      <c r="AJ82" s="495">
        <v>0</v>
      </c>
      <c r="AK82" s="495">
        <v>0</v>
      </c>
      <c r="AL82" s="496">
        <v>0</v>
      </c>
      <c r="AM82" s="494">
        <v>0</v>
      </c>
      <c r="AN82" s="495">
        <v>0</v>
      </c>
      <c r="AO82" s="495">
        <v>0</v>
      </c>
      <c r="AP82" s="495">
        <v>0</v>
      </c>
      <c r="AQ82" s="495">
        <v>0</v>
      </c>
      <c r="AR82" s="495">
        <v>0</v>
      </c>
      <c r="AS82" s="495">
        <v>0</v>
      </c>
      <c r="AT82" s="495">
        <v>0</v>
      </c>
      <c r="AU82" s="497">
        <v>0</v>
      </c>
    </row>
    <row r="83" spans="1:47" ht="15" thickTop="1">
      <c r="B83" s="488"/>
      <c r="C83" s="477"/>
      <c r="D83" s="489"/>
      <c r="E83" s="489"/>
      <c r="F83" s="489"/>
      <c r="G83" s="489"/>
      <c r="H83" s="489"/>
      <c r="I83" s="489"/>
      <c r="J83" s="489"/>
      <c r="K83" s="490"/>
      <c r="L83" s="477"/>
      <c r="M83" s="489"/>
      <c r="N83" s="489"/>
      <c r="O83" s="489"/>
      <c r="P83" s="489"/>
      <c r="Q83" s="489"/>
      <c r="R83" s="489"/>
      <c r="S83" s="489"/>
      <c r="T83" s="490"/>
      <c r="U83" s="477"/>
      <c r="V83" s="489"/>
      <c r="W83" s="489"/>
      <c r="X83" s="489"/>
      <c r="Y83" s="489"/>
      <c r="Z83" s="489"/>
      <c r="AA83" s="489"/>
      <c r="AB83" s="489"/>
      <c r="AC83" s="490"/>
      <c r="AD83" s="477"/>
      <c r="AE83" s="489"/>
      <c r="AF83" s="489"/>
      <c r="AG83" s="489"/>
      <c r="AH83" s="489"/>
      <c r="AI83" s="489"/>
      <c r="AJ83" s="489"/>
      <c r="AK83" s="489"/>
      <c r="AL83" s="490"/>
      <c r="AM83" s="477"/>
      <c r="AN83" s="489"/>
      <c r="AO83" s="489"/>
      <c r="AP83" s="489"/>
      <c r="AQ83" s="489"/>
      <c r="AR83" s="489"/>
      <c r="AS83" s="489"/>
      <c r="AT83" s="489"/>
      <c r="AU83" s="490"/>
    </row>
    <row r="84" spans="1:47">
      <c r="A84" s="498" t="s">
        <v>1132</v>
      </c>
      <c r="B84" s="488"/>
      <c r="C84" s="477"/>
      <c r="D84" s="489"/>
      <c r="E84" s="489"/>
      <c r="F84" s="489"/>
      <c r="G84" s="489"/>
      <c r="H84" s="489"/>
      <c r="I84" s="489"/>
      <c r="J84" s="489"/>
      <c r="K84" s="490"/>
      <c r="L84" s="477"/>
      <c r="M84" s="489"/>
      <c r="N84" s="489"/>
      <c r="O84" s="489"/>
      <c r="P84" s="489"/>
      <c r="Q84" s="489"/>
      <c r="R84" s="489"/>
      <c r="S84" s="489"/>
      <c r="T84" s="490"/>
      <c r="U84" s="477"/>
      <c r="V84" s="489"/>
      <c r="W84" s="489"/>
      <c r="X84" s="489"/>
      <c r="Y84" s="489"/>
      <c r="Z84" s="489"/>
      <c r="AA84" s="489"/>
      <c r="AB84" s="489"/>
      <c r="AC84" s="490"/>
      <c r="AD84" s="477"/>
      <c r="AE84" s="489"/>
      <c r="AF84" s="489"/>
      <c r="AG84" s="489"/>
      <c r="AH84" s="489"/>
      <c r="AI84" s="489"/>
      <c r="AJ84" s="489"/>
      <c r="AK84" s="489"/>
      <c r="AL84" s="490"/>
      <c r="AM84" s="477"/>
      <c r="AN84" s="489"/>
      <c r="AO84" s="489"/>
      <c r="AP84" s="489"/>
      <c r="AQ84" s="489"/>
      <c r="AR84" s="489"/>
      <c r="AS84" s="489"/>
      <c r="AT84" s="489"/>
      <c r="AU84" s="490"/>
    </row>
    <row r="85" spans="1:47">
      <c r="A85" s="444" t="s">
        <v>113</v>
      </c>
      <c r="B85" s="488" t="s">
        <v>449</v>
      </c>
      <c r="C85" s="650" cm="1">
        <f t="array" ref="C85">_xlfn.XLOOKUP(A85,'TB upload'!A:A,'TB upload'!C:C-'TB upload'!B:B,0,)</f>
        <v>22500</v>
      </c>
      <c r="D85" s="489">
        <v>64800</v>
      </c>
      <c r="E85" s="474" cm="1">
        <f t="array" ref="E85">_xlfn.XLOOKUP($A85,'TB upload'!$A:$A,'TB upload'!E:E-'TB upload'!D:D,0,)</f>
        <v>0</v>
      </c>
      <c r="F85" s="489"/>
      <c r="G85" s="474" cm="1">
        <f t="array" ref="G85">_xlfn.XLOOKUP($A85,'TB upload'!$A:$A,'TB upload'!G:G-'TB upload'!F:F,0,)</f>
        <v>0</v>
      </c>
      <c r="H85" s="489"/>
      <c r="I85" s="474" cm="1">
        <f t="array" ref="I85">_xlfn.XLOOKUP($A85,'TB upload'!$A:$A,'TB upload'!I:I-'TB upload'!H:H,0,)</f>
        <v>0</v>
      </c>
      <c r="J85" s="489">
        <f>1021592*0</f>
        <v>0</v>
      </c>
      <c r="K85" s="490">
        <f t="shared" ref="K85:K87" si="31">SUM(C85:J85)</f>
        <v>87300</v>
      </c>
      <c r="L85" s="650">
        <v>0</v>
      </c>
      <c r="M85" s="489"/>
      <c r="N85" s="474">
        <v>0</v>
      </c>
      <c r="O85" s="489"/>
      <c r="P85" s="474">
        <v>0</v>
      </c>
      <c r="Q85" s="489"/>
      <c r="R85" s="474">
        <v>0</v>
      </c>
      <c r="S85" s="489"/>
      <c r="T85" s="490">
        <v>0</v>
      </c>
      <c r="U85" s="477">
        <v>0</v>
      </c>
      <c r="V85" s="489"/>
      <c r="W85" s="474">
        <v>0</v>
      </c>
      <c r="X85" s="489"/>
      <c r="Y85" s="474">
        <v>0</v>
      </c>
      <c r="Z85" s="489"/>
      <c r="AA85" s="489">
        <v>0</v>
      </c>
      <c r="AB85" s="489"/>
      <c r="AC85" s="490">
        <v>0</v>
      </c>
      <c r="AD85" s="477">
        <v>242136</v>
      </c>
      <c r="AE85" s="489"/>
      <c r="AF85" s="474">
        <v>0</v>
      </c>
      <c r="AG85" s="489"/>
      <c r="AH85" s="474">
        <v>0</v>
      </c>
      <c r="AI85" s="489"/>
      <c r="AJ85" s="489">
        <v>0</v>
      </c>
      <c r="AK85" s="489"/>
      <c r="AL85" s="490">
        <v>242136</v>
      </c>
      <c r="AM85" s="477">
        <v>443588.86</v>
      </c>
      <c r="AN85" s="489"/>
      <c r="AO85" s="489"/>
      <c r="AP85" s="489"/>
      <c r="AQ85" s="489"/>
      <c r="AR85" s="489"/>
      <c r="AS85" s="489"/>
      <c r="AT85" s="489"/>
      <c r="AU85" s="490">
        <v>443588.86</v>
      </c>
    </row>
    <row r="86" spans="1:47">
      <c r="A86" s="444" t="s">
        <v>117</v>
      </c>
      <c r="B86" s="488" t="s">
        <v>449</v>
      </c>
      <c r="C86" s="650" cm="1">
        <f t="array" ref="C86">_xlfn.XLOOKUP(A86,'TB upload'!A:A,'TB upload'!C:C-'TB upload'!B:B,0,)</f>
        <v>0</v>
      </c>
      <c r="D86" s="489"/>
      <c r="E86" s="474" cm="1">
        <f t="array" ref="E86">_xlfn.XLOOKUP($A86,'TB upload'!$A:$A,'TB upload'!E:E-'TB upload'!D:D,0,)</f>
        <v>0</v>
      </c>
      <c r="F86" s="489"/>
      <c r="G86" s="474" cm="1">
        <f t="array" ref="G86">_xlfn.XLOOKUP($A86,'TB upload'!$A:$A,'TB upload'!G:G-'TB upload'!F:F,0,)</f>
        <v>0</v>
      </c>
      <c r="H86" s="489"/>
      <c r="I86" s="474" cm="1">
        <f t="array" ref="I86">_xlfn.XLOOKUP($A86,'TB upload'!$A:$A,'TB upload'!I:I-'TB upload'!H:H,0,)</f>
        <v>0</v>
      </c>
      <c r="J86" s="489"/>
      <c r="K86" s="490">
        <f t="shared" si="31"/>
        <v>0</v>
      </c>
      <c r="L86" s="650">
        <v>0</v>
      </c>
      <c r="M86" s="489"/>
      <c r="N86" s="474">
        <v>0</v>
      </c>
      <c r="O86" s="489"/>
      <c r="P86" s="474">
        <v>0</v>
      </c>
      <c r="Q86" s="489"/>
      <c r="R86" s="474">
        <v>0</v>
      </c>
      <c r="S86" s="489"/>
      <c r="T86" s="490">
        <v>0</v>
      </c>
      <c r="U86" s="477">
        <v>0</v>
      </c>
      <c r="V86" s="489"/>
      <c r="W86" s="474">
        <v>0</v>
      </c>
      <c r="X86" s="489"/>
      <c r="Y86" s="474">
        <v>0</v>
      </c>
      <c r="Z86" s="489"/>
      <c r="AA86" s="489">
        <v>0</v>
      </c>
      <c r="AB86" s="489"/>
      <c r="AC86" s="490">
        <v>0</v>
      </c>
      <c r="AD86" s="477">
        <v>1517</v>
      </c>
      <c r="AE86" s="489"/>
      <c r="AF86" s="474">
        <v>0</v>
      </c>
      <c r="AG86" s="489"/>
      <c r="AH86" s="474">
        <v>0</v>
      </c>
      <c r="AI86" s="489"/>
      <c r="AJ86" s="489">
        <v>0</v>
      </c>
      <c r="AK86" s="489"/>
      <c r="AL86" s="490">
        <v>1517</v>
      </c>
      <c r="AM86" s="477">
        <v>38158.239999999998</v>
      </c>
      <c r="AN86" s="489"/>
      <c r="AO86" s="489"/>
      <c r="AP86" s="489"/>
      <c r="AQ86" s="489"/>
      <c r="AR86" s="489"/>
      <c r="AS86" s="489"/>
      <c r="AT86" s="489"/>
      <c r="AU86" s="490">
        <v>38158.239999999998</v>
      </c>
    </row>
    <row r="87" spans="1:47" ht="15" thickBot="1">
      <c r="B87" s="488"/>
      <c r="C87" s="477"/>
      <c r="D87" s="489">
        <v>1125</v>
      </c>
      <c r="E87" s="489"/>
      <c r="F87" s="489"/>
      <c r="G87" s="489"/>
      <c r="H87" s="489"/>
      <c r="I87" s="489"/>
      <c r="J87" s="489"/>
      <c r="K87" s="490">
        <f t="shared" si="31"/>
        <v>1125</v>
      </c>
      <c r="L87" s="477"/>
      <c r="M87" s="489"/>
      <c r="N87" s="489"/>
      <c r="O87" s="489"/>
      <c r="P87" s="489"/>
      <c r="Q87" s="489"/>
      <c r="R87" s="489"/>
      <c r="S87" s="489"/>
      <c r="T87" s="490"/>
      <c r="U87" s="477"/>
      <c r="V87" s="489"/>
      <c r="W87" s="489"/>
      <c r="X87" s="489"/>
      <c r="Y87" s="489"/>
      <c r="Z87" s="489"/>
      <c r="AA87" s="489"/>
      <c r="AB87" s="489"/>
      <c r="AC87" s="490"/>
      <c r="AD87" s="477"/>
      <c r="AE87" s="489"/>
      <c r="AF87" s="489"/>
      <c r="AG87" s="489"/>
      <c r="AH87" s="489"/>
      <c r="AI87" s="489"/>
      <c r="AJ87" s="489"/>
      <c r="AK87" s="489"/>
      <c r="AL87" s="490"/>
      <c r="AM87" s="477"/>
      <c r="AN87" s="489"/>
      <c r="AO87" s="489"/>
      <c r="AP87" s="489"/>
      <c r="AQ87" s="489"/>
      <c r="AR87" s="489"/>
      <c r="AS87" s="489"/>
      <c r="AT87" s="489"/>
      <c r="AU87" s="490"/>
    </row>
    <row r="88" spans="1:47" ht="15.6" thickTop="1" thickBot="1">
      <c r="A88" s="492"/>
      <c r="B88" s="493" t="s">
        <v>1521</v>
      </c>
      <c r="C88" s="654">
        <f>SUM(C85:C87)</f>
        <v>22500</v>
      </c>
      <c r="D88" s="495">
        <f t="shared" ref="D88:K88" si="32">SUM(D85:D87)</f>
        <v>65925</v>
      </c>
      <c r="E88" s="495">
        <f t="shared" si="32"/>
        <v>0</v>
      </c>
      <c r="F88" s="495">
        <f t="shared" si="32"/>
        <v>0</v>
      </c>
      <c r="G88" s="495">
        <f t="shared" si="32"/>
        <v>0</v>
      </c>
      <c r="H88" s="495">
        <f t="shared" si="32"/>
        <v>0</v>
      </c>
      <c r="I88" s="495">
        <f t="shared" si="32"/>
        <v>0</v>
      </c>
      <c r="J88" s="495">
        <f t="shared" si="32"/>
        <v>0</v>
      </c>
      <c r="K88" s="496">
        <f t="shared" si="32"/>
        <v>88425</v>
      </c>
      <c r="L88" s="654">
        <v>0</v>
      </c>
      <c r="M88" s="495">
        <v>0</v>
      </c>
      <c r="N88" s="495">
        <v>0</v>
      </c>
      <c r="O88" s="495">
        <v>0</v>
      </c>
      <c r="P88" s="495">
        <v>0</v>
      </c>
      <c r="Q88" s="495">
        <v>0</v>
      </c>
      <c r="R88" s="495">
        <v>0</v>
      </c>
      <c r="S88" s="495">
        <v>0</v>
      </c>
      <c r="T88" s="496">
        <v>0</v>
      </c>
      <c r="U88" s="654">
        <v>0</v>
      </c>
      <c r="V88" s="495">
        <v>0</v>
      </c>
      <c r="W88" s="495">
        <v>0</v>
      </c>
      <c r="X88" s="495">
        <v>0</v>
      </c>
      <c r="Y88" s="495">
        <v>0</v>
      </c>
      <c r="Z88" s="495">
        <v>0</v>
      </c>
      <c r="AA88" s="495">
        <v>0</v>
      </c>
      <c r="AB88" s="495">
        <v>0</v>
      </c>
      <c r="AC88" s="496">
        <v>0</v>
      </c>
      <c r="AD88" s="494">
        <v>243653</v>
      </c>
      <c r="AE88" s="495">
        <v>0</v>
      </c>
      <c r="AF88" s="495">
        <v>0</v>
      </c>
      <c r="AG88" s="495">
        <v>0</v>
      </c>
      <c r="AH88" s="495">
        <v>0</v>
      </c>
      <c r="AI88" s="495">
        <v>0</v>
      </c>
      <c r="AJ88" s="495">
        <v>0</v>
      </c>
      <c r="AK88" s="495">
        <v>0</v>
      </c>
      <c r="AL88" s="496">
        <v>243653</v>
      </c>
      <c r="AM88" s="494">
        <v>481747.1</v>
      </c>
      <c r="AN88" s="495">
        <v>0</v>
      </c>
      <c r="AO88" s="495">
        <v>0</v>
      </c>
      <c r="AP88" s="495">
        <v>0</v>
      </c>
      <c r="AQ88" s="495">
        <v>0</v>
      </c>
      <c r="AR88" s="495">
        <v>0</v>
      </c>
      <c r="AS88" s="495">
        <v>0</v>
      </c>
      <c r="AT88" s="495">
        <v>0</v>
      </c>
      <c r="AU88" s="497">
        <v>481747.1</v>
      </c>
    </row>
    <row r="89" spans="1:47" ht="15" thickTop="1">
      <c r="B89" s="488"/>
      <c r="C89" s="477"/>
      <c r="D89" s="489"/>
      <c r="E89" s="489"/>
      <c r="F89" s="489"/>
      <c r="G89" s="489"/>
      <c r="H89" s="489"/>
      <c r="I89" s="489"/>
      <c r="J89" s="489"/>
      <c r="K89" s="490"/>
      <c r="L89" s="477"/>
      <c r="M89" s="489"/>
      <c r="N89" s="489"/>
      <c r="O89" s="489"/>
      <c r="P89" s="489"/>
      <c r="Q89" s="489"/>
      <c r="R89" s="489"/>
      <c r="S89" s="489"/>
      <c r="T89" s="490"/>
      <c r="U89" s="477"/>
      <c r="V89" s="489"/>
      <c r="W89" s="489"/>
      <c r="X89" s="489"/>
      <c r="Y89" s="489"/>
      <c r="Z89" s="489"/>
      <c r="AA89" s="489"/>
      <c r="AB89" s="489"/>
      <c r="AC89" s="490"/>
      <c r="AD89" s="477"/>
      <c r="AE89" s="489"/>
      <c r="AF89" s="489"/>
      <c r="AG89" s="489"/>
      <c r="AH89" s="489"/>
      <c r="AI89" s="489"/>
      <c r="AJ89" s="489"/>
      <c r="AK89" s="489"/>
      <c r="AL89" s="490"/>
      <c r="AM89" s="477"/>
      <c r="AN89" s="489"/>
      <c r="AO89" s="489"/>
      <c r="AP89" s="489"/>
      <c r="AQ89" s="489"/>
      <c r="AR89" s="489"/>
      <c r="AS89" s="489"/>
      <c r="AT89" s="489"/>
      <c r="AU89" s="490"/>
    </row>
    <row r="90" spans="1:47">
      <c r="A90" s="498" t="s">
        <v>1412</v>
      </c>
      <c r="B90" s="488"/>
      <c r="C90" s="477"/>
      <c r="D90" s="489"/>
      <c r="E90" s="489"/>
      <c r="F90" s="489"/>
      <c r="G90" s="489"/>
      <c r="H90" s="489"/>
      <c r="I90" s="489"/>
      <c r="J90" s="489"/>
      <c r="K90" s="490"/>
      <c r="L90" s="477"/>
      <c r="M90" s="489"/>
      <c r="N90" s="489"/>
      <c r="O90" s="489"/>
      <c r="P90" s="489"/>
      <c r="Q90" s="489"/>
      <c r="R90" s="489"/>
      <c r="S90" s="489"/>
      <c r="T90" s="490"/>
      <c r="U90" s="477"/>
      <c r="V90" s="489"/>
      <c r="W90" s="489"/>
      <c r="X90" s="489"/>
      <c r="Y90" s="489"/>
      <c r="Z90" s="489"/>
      <c r="AA90" s="489"/>
      <c r="AB90" s="489"/>
      <c r="AC90" s="490"/>
      <c r="AD90" s="477"/>
      <c r="AE90" s="489"/>
      <c r="AF90" s="489"/>
      <c r="AG90" s="489"/>
      <c r="AH90" s="489"/>
      <c r="AI90" s="489"/>
      <c r="AJ90" s="489"/>
      <c r="AK90" s="489"/>
      <c r="AL90" s="490"/>
      <c r="AM90" s="477"/>
      <c r="AN90" s="489"/>
      <c r="AO90" s="489"/>
      <c r="AP90" s="489"/>
      <c r="AQ90" s="489"/>
      <c r="AR90" s="489"/>
      <c r="AS90" s="489"/>
      <c r="AT90" s="489"/>
      <c r="AU90" s="490"/>
    </row>
    <row r="91" spans="1:47">
      <c r="A91" s="444" t="s">
        <v>979</v>
      </c>
      <c r="B91" s="488" t="s">
        <v>449</v>
      </c>
      <c r="C91" s="650" cm="1">
        <f t="array" ref="C91">_xlfn.XLOOKUP(A91,'TB upload'!A:A,'TB upload'!C:C-'TB upload'!B:B,0,)</f>
        <v>0</v>
      </c>
      <c r="D91" s="489"/>
      <c r="E91" s="474" cm="1">
        <f t="array" ref="E91">_xlfn.XLOOKUP($A91,'TB upload'!$A:$A,'TB upload'!E:E-'TB upload'!D:D,0,)</f>
        <v>0</v>
      </c>
      <c r="F91" s="489"/>
      <c r="G91" s="474" cm="1">
        <f t="array" ref="G91">_xlfn.XLOOKUP($A91,'TB upload'!$A:$A,'TB upload'!G:G-'TB upload'!F:F,0,)</f>
        <v>0</v>
      </c>
      <c r="H91" s="489"/>
      <c r="I91" s="474" cm="1">
        <f t="array" ref="I91">_xlfn.XLOOKUP($A91,'TB upload'!$A:$A,'TB upload'!I:I-'TB upload'!H:H,0,)</f>
        <v>0</v>
      </c>
      <c r="J91" s="489"/>
      <c r="K91" s="490">
        <f t="shared" ref="K91:K92" si="33">SUM(C91:J91)</f>
        <v>0</v>
      </c>
      <c r="L91" s="650">
        <v>248733</v>
      </c>
      <c r="M91" s="489"/>
      <c r="N91" s="474">
        <v>0</v>
      </c>
      <c r="O91" s="489"/>
      <c r="P91" s="474">
        <v>0</v>
      </c>
      <c r="Q91" s="489"/>
      <c r="R91" s="474">
        <v>0</v>
      </c>
      <c r="S91" s="489"/>
      <c r="T91" s="490">
        <v>248733</v>
      </c>
      <c r="U91" s="650">
        <v>290368</v>
      </c>
      <c r="V91" s="489"/>
      <c r="W91" s="489"/>
      <c r="X91" s="489"/>
      <c r="Y91" s="489"/>
      <c r="Z91" s="489"/>
      <c r="AA91" s="489"/>
      <c r="AB91" s="489"/>
      <c r="AC91" s="490">
        <v>290368</v>
      </c>
      <c r="AD91" s="477">
        <v>1472312</v>
      </c>
      <c r="AE91" s="489"/>
      <c r="AF91" s="489"/>
      <c r="AG91" s="489"/>
      <c r="AH91" s="489"/>
      <c r="AI91" s="489"/>
      <c r="AJ91" s="489"/>
      <c r="AK91" s="489"/>
      <c r="AL91" s="490">
        <v>1472312</v>
      </c>
      <c r="AM91" s="477">
        <v>126</v>
      </c>
      <c r="AN91" s="489"/>
      <c r="AO91" s="489"/>
      <c r="AP91" s="489"/>
      <c r="AQ91" s="489"/>
      <c r="AR91" s="489"/>
      <c r="AS91" s="489"/>
      <c r="AT91" s="489"/>
      <c r="AU91" s="490">
        <v>126</v>
      </c>
    </row>
    <row r="92" spans="1:47">
      <c r="A92" s="444" t="s">
        <v>1363</v>
      </c>
      <c r="B92" s="488" t="s">
        <v>449</v>
      </c>
      <c r="C92" s="650" cm="1">
        <f t="array" ref="C92">_xlfn.XLOOKUP(A92,'TB upload'!A:A,'TB upload'!C:C-'TB upload'!B:B,0,)</f>
        <v>0</v>
      </c>
      <c r="D92" s="489"/>
      <c r="E92" s="474" cm="1">
        <f t="array" ref="E92">_xlfn.XLOOKUP($A92,'TB upload'!$A:$A,'TB upload'!E:E-'TB upload'!D:D,0,)</f>
        <v>0</v>
      </c>
      <c r="F92" s="489"/>
      <c r="G92" s="474" cm="1">
        <f t="array" ref="G92">_xlfn.XLOOKUP($A92,'TB upload'!$A:$A,'TB upload'!G:G-'TB upload'!F:F,0,)</f>
        <v>0</v>
      </c>
      <c r="H92" s="489"/>
      <c r="I92" s="474" cm="1">
        <f t="array" ref="I92">_xlfn.XLOOKUP($A92,'TB upload'!$A:$A,'TB upload'!I:I-'TB upload'!H:H,0,)</f>
        <v>0</v>
      </c>
      <c r="J92" s="489"/>
      <c r="K92" s="490">
        <f t="shared" si="33"/>
        <v>0</v>
      </c>
      <c r="L92" s="650">
        <v>0</v>
      </c>
      <c r="M92" s="489"/>
      <c r="N92" s="474">
        <v>0</v>
      </c>
      <c r="O92" s="489"/>
      <c r="P92" s="474">
        <v>0</v>
      </c>
      <c r="Q92" s="489"/>
      <c r="R92" s="474">
        <v>0</v>
      </c>
      <c r="S92" s="489"/>
      <c r="T92" s="490">
        <v>0</v>
      </c>
      <c r="U92" s="477">
        <v>0</v>
      </c>
      <c r="V92" s="489"/>
      <c r="W92" s="474">
        <v>0</v>
      </c>
      <c r="X92" s="489"/>
      <c r="Y92" s="474">
        <v>0</v>
      </c>
      <c r="Z92" s="489"/>
      <c r="AA92" s="489">
        <v>0</v>
      </c>
      <c r="AB92" s="489"/>
      <c r="AC92" s="490">
        <v>0</v>
      </c>
      <c r="AD92" s="477">
        <v>36444</v>
      </c>
      <c r="AE92" s="489"/>
      <c r="AF92" s="474">
        <v>0</v>
      </c>
      <c r="AG92" s="489"/>
      <c r="AH92" s="474">
        <v>0</v>
      </c>
      <c r="AI92" s="489"/>
      <c r="AJ92" s="489">
        <v>0</v>
      </c>
      <c r="AK92" s="489"/>
      <c r="AL92" s="490">
        <v>36444</v>
      </c>
      <c r="AM92" s="477">
        <v>0</v>
      </c>
      <c r="AN92" s="489"/>
      <c r="AO92" s="489"/>
      <c r="AP92" s="489"/>
      <c r="AQ92" s="489"/>
      <c r="AR92" s="489"/>
      <c r="AS92" s="489"/>
      <c r="AT92" s="489"/>
      <c r="AU92" s="490">
        <v>0</v>
      </c>
    </row>
    <row r="93" spans="1:47" ht="15" thickBot="1">
      <c r="B93" s="488"/>
      <c r="C93" s="477"/>
      <c r="D93" s="489"/>
      <c r="E93" s="489"/>
      <c r="F93" s="489"/>
      <c r="G93" s="489"/>
      <c r="H93" s="489"/>
      <c r="I93" s="489"/>
      <c r="J93" s="489"/>
      <c r="K93" s="490"/>
      <c r="L93" s="477"/>
      <c r="M93" s="489"/>
      <c r="N93" s="489"/>
      <c r="O93" s="489"/>
      <c r="P93" s="489"/>
      <c r="Q93" s="489"/>
      <c r="R93" s="489"/>
      <c r="S93" s="489"/>
      <c r="T93" s="490"/>
      <c r="U93" s="477"/>
      <c r="V93" s="489"/>
      <c r="W93" s="489"/>
      <c r="X93" s="489"/>
      <c r="Y93" s="489"/>
      <c r="Z93" s="489"/>
      <c r="AA93" s="489"/>
      <c r="AB93" s="489"/>
      <c r="AC93" s="490"/>
      <c r="AD93" s="477"/>
      <c r="AE93" s="489"/>
      <c r="AF93" s="489"/>
      <c r="AG93" s="489"/>
      <c r="AH93" s="489"/>
      <c r="AI93" s="489"/>
      <c r="AJ93" s="489"/>
      <c r="AK93" s="489"/>
      <c r="AL93" s="490"/>
      <c r="AM93" s="477"/>
      <c r="AN93" s="489"/>
      <c r="AO93" s="489"/>
      <c r="AP93" s="489"/>
      <c r="AQ93" s="489"/>
      <c r="AR93" s="489"/>
      <c r="AS93" s="489"/>
      <c r="AT93" s="489"/>
      <c r="AU93" s="490"/>
    </row>
    <row r="94" spans="1:47" ht="15.6" thickTop="1" thickBot="1">
      <c r="A94" s="492"/>
      <c r="B94" s="493" t="s">
        <v>1521</v>
      </c>
      <c r="C94" s="654">
        <f>SUM(C91:C93)</f>
        <v>0</v>
      </c>
      <c r="D94" s="495">
        <f t="shared" ref="D94:K94" si="34">SUM(D91:D93)</f>
        <v>0</v>
      </c>
      <c r="E94" s="495">
        <f t="shared" si="34"/>
        <v>0</v>
      </c>
      <c r="F94" s="495">
        <f t="shared" si="34"/>
        <v>0</v>
      </c>
      <c r="G94" s="495">
        <f t="shared" si="34"/>
        <v>0</v>
      </c>
      <c r="H94" s="495">
        <f t="shared" si="34"/>
        <v>0</v>
      </c>
      <c r="I94" s="495">
        <f t="shared" si="34"/>
        <v>0</v>
      </c>
      <c r="J94" s="495">
        <f t="shared" si="34"/>
        <v>0</v>
      </c>
      <c r="K94" s="496">
        <f t="shared" si="34"/>
        <v>0</v>
      </c>
      <c r="L94" s="654">
        <v>248733</v>
      </c>
      <c r="M94" s="495">
        <v>0</v>
      </c>
      <c r="N94" s="495">
        <v>0</v>
      </c>
      <c r="O94" s="495">
        <v>0</v>
      </c>
      <c r="P94" s="495">
        <v>0</v>
      </c>
      <c r="Q94" s="495">
        <v>0</v>
      </c>
      <c r="R94" s="495">
        <v>0</v>
      </c>
      <c r="S94" s="495">
        <v>0</v>
      </c>
      <c r="T94" s="496">
        <v>248733</v>
      </c>
      <c r="U94" s="654">
        <v>290368</v>
      </c>
      <c r="V94" s="495">
        <v>0</v>
      </c>
      <c r="W94" s="495">
        <v>0</v>
      </c>
      <c r="X94" s="495">
        <v>0</v>
      </c>
      <c r="Y94" s="495">
        <v>0</v>
      </c>
      <c r="Z94" s="495">
        <v>0</v>
      </c>
      <c r="AA94" s="495">
        <v>0</v>
      </c>
      <c r="AB94" s="495">
        <v>0</v>
      </c>
      <c r="AC94" s="496">
        <v>290368</v>
      </c>
      <c r="AD94" s="494">
        <v>1508756</v>
      </c>
      <c r="AE94" s="495">
        <v>0</v>
      </c>
      <c r="AF94" s="495">
        <v>0</v>
      </c>
      <c r="AG94" s="495">
        <v>0</v>
      </c>
      <c r="AH94" s="495">
        <v>0</v>
      </c>
      <c r="AI94" s="495">
        <v>0</v>
      </c>
      <c r="AJ94" s="495">
        <v>0</v>
      </c>
      <c r="AK94" s="495">
        <v>0</v>
      </c>
      <c r="AL94" s="496">
        <v>1508756</v>
      </c>
      <c r="AM94" s="494">
        <v>126</v>
      </c>
      <c r="AN94" s="495">
        <v>0</v>
      </c>
      <c r="AO94" s="495">
        <v>0</v>
      </c>
      <c r="AP94" s="495">
        <v>0</v>
      </c>
      <c r="AQ94" s="495">
        <v>0</v>
      </c>
      <c r="AR94" s="495">
        <v>0</v>
      </c>
      <c r="AS94" s="495">
        <v>0</v>
      </c>
      <c r="AT94" s="495">
        <v>0</v>
      </c>
      <c r="AU94" s="497">
        <v>126</v>
      </c>
    </row>
    <row r="95" spans="1:47" ht="15" thickTop="1">
      <c r="A95" s="498" t="s">
        <v>115</v>
      </c>
      <c r="B95" s="488"/>
      <c r="C95" s="477"/>
      <c r="D95" s="489"/>
      <c r="E95" s="489"/>
      <c r="F95" s="489"/>
      <c r="G95" s="489"/>
      <c r="H95" s="489"/>
      <c r="I95" s="489"/>
      <c r="J95" s="489"/>
      <c r="K95" s="490"/>
      <c r="L95" s="477"/>
      <c r="M95" s="489"/>
      <c r="N95" s="489"/>
      <c r="O95" s="489"/>
      <c r="P95" s="489"/>
      <c r="Q95" s="489"/>
      <c r="R95" s="489"/>
      <c r="S95" s="489"/>
      <c r="T95" s="490"/>
      <c r="U95" s="477"/>
      <c r="V95" s="489"/>
      <c r="W95" s="489"/>
      <c r="X95" s="489"/>
      <c r="Y95" s="489"/>
      <c r="Z95" s="489"/>
      <c r="AA95" s="489"/>
      <c r="AB95" s="489"/>
      <c r="AC95" s="490"/>
      <c r="AD95" s="477"/>
      <c r="AE95" s="489"/>
      <c r="AF95" s="489"/>
      <c r="AG95" s="489"/>
      <c r="AH95" s="489"/>
      <c r="AI95" s="489"/>
      <c r="AJ95" s="489"/>
      <c r="AK95" s="489"/>
      <c r="AL95" s="490"/>
      <c r="AM95" s="477"/>
      <c r="AN95" s="489"/>
      <c r="AO95" s="489"/>
      <c r="AP95" s="489"/>
      <c r="AQ95" s="489"/>
      <c r="AR95" s="489"/>
      <c r="AS95" s="489"/>
      <c r="AT95" s="489"/>
      <c r="AU95" s="490"/>
    </row>
    <row r="96" spans="1:47">
      <c r="A96" s="444" t="s">
        <v>1133</v>
      </c>
      <c r="B96" s="488"/>
      <c r="C96" s="477"/>
      <c r="D96" s="489"/>
      <c r="E96" s="489"/>
      <c r="F96" s="489"/>
      <c r="G96" s="489"/>
      <c r="H96" s="489"/>
      <c r="I96" s="489"/>
      <c r="J96" s="489"/>
      <c r="K96" s="490"/>
      <c r="L96" s="477"/>
      <c r="M96" s="489"/>
      <c r="N96" s="489"/>
      <c r="O96" s="489"/>
      <c r="P96" s="489"/>
      <c r="Q96" s="489"/>
      <c r="R96" s="489"/>
      <c r="S96" s="489"/>
      <c r="T96" s="490"/>
      <c r="U96" s="477"/>
      <c r="V96" s="489"/>
      <c r="W96" s="489"/>
      <c r="X96" s="489"/>
      <c r="Y96" s="489"/>
      <c r="Z96" s="489"/>
      <c r="AA96" s="489"/>
      <c r="AB96" s="489"/>
      <c r="AC96" s="490"/>
      <c r="AD96" s="477"/>
      <c r="AE96" s="489"/>
      <c r="AF96" s="489"/>
      <c r="AG96" s="489"/>
      <c r="AH96" s="489"/>
      <c r="AI96" s="489"/>
      <c r="AJ96" s="489"/>
      <c r="AK96" s="489"/>
      <c r="AL96" s="490"/>
      <c r="AM96" s="477"/>
      <c r="AN96" s="489"/>
      <c r="AO96" s="489"/>
      <c r="AP96" s="489"/>
      <c r="AQ96" s="489"/>
      <c r="AR96" s="489"/>
      <c r="AS96" s="489"/>
      <c r="AT96" s="489"/>
      <c r="AU96" s="490"/>
    </row>
    <row r="97" spans="1:47">
      <c r="A97" s="444" t="s">
        <v>114</v>
      </c>
      <c r="B97" s="488" t="s">
        <v>449</v>
      </c>
      <c r="C97" s="650" cm="1">
        <f t="array" ref="C97">_xlfn.XLOOKUP(A97,'TB upload'!A:A,'TB upload'!C:C-'TB upload'!B:B,0,)</f>
        <v>0</v>
      </c>
      <c r="D97" s="489"/>
      <c r="E97" s="474" cm="1">
        <f t="array" ref="E97">_xlfn.XLOOKUP($A97,'TB upload'!$A:$A,'TB upload'!E:E-'TB upload'!D:D,0,)</f>
        <v>0</v>
      </c>
      <c r="F97" s="489"/>
      <c r="G97" s="474" cm="1">
        <f t="array" ref="G97">_xlfn.XLOOKUP($A97,'TB upload'!$A:$A,'TB upload'!G:G-'TB upload'!F:F,0,)</f>
        <v>0</v>
      </c>
      <c r="H97" s="489"/>
      <c r="I97" s="474" cm="1">
        <f t="array" ref="I97">_xlfn.XLOOKUP($A97,'TB upload'!$A:$A,'TB upload'!I:I-'TB upload'!H:H,0,)</f>
        <v>0</v>
      </c>
      <c r="J97" s="489"/>
      <c r="K97" s="490">
        <f t="shared" ref="K97" si="35">SUM(C97:J97)</f>
        <v>0</v>
      </c>
      <c r="L97" s="650">
        <v>0</v>
      </c>
      <c r="M97" s="489"/>
      <c r="N97" s="474">
        <v>0</v>
      </c>
      <c r="O97" s="489"/>
      <c r="P97" s="474">
        <v>0</v>
      </c>
      <c r="Q97" s="489"/>
      <c r="R97" s="474">
        <v>0</v>
      </c>
      <c r="S97" s="489"/>
      <c r="T97" s="490">
        <v>0</v>
      </c>
      <c r="U97" s="650">
        <v>51053</v>
      </c>
      <c r="V97" s="489"/>
      <c r="W97" s="474">
        <v>0</v>
      </c>
      <c r="X97" s="489"/>
      <c r="Y97" s="474">
        <v>0</v>
      </c>
      <c r="Z97" s="489"/>
      <c r="AA97" s="489">
        <v>0</v>
      </c>
      <c r="AB97" s="489"/>
      <c r="AC97" s="490">
        <v>51053</v>
      </c>
      <c r="AD97" s="477">
        <v>458087</v>
      </c>
      <c r="AE97" s="489"/>
      <c r="AF97" s="474">
        <v>0</v>
      </c>
      <c r="AG97" s="489"/>
      <c r="AH97" s="474">
        <v>0</v>
      </c>
      <c r="AI97" s="489"/>
      <c r="AJ97" s="489">
        <v>0</v>
      </c>
      <c r="AK97" s="489"/>
      <c r="AL97" s="490">
        <v>458087</v>
      </c>
      <c r="AM97" s="477">
        <v>351236</v>
      </c>
      <c r="AN97" s="489"/>
      <c r="AO97" s="489"/>
      <c r="AP97" s="489"/>
      <c r="AQ97" s="489"/>
      <c r="AR97" s="489"/>
      <c r="AS97" s="489"/>
      <c r="AT97" s="489"/>
      <c r="AU97" s="490">
        <v>351236</v>
      </c>
    </row>
    <row r="98" spans="1:47" ht="15" thickBot="1">
      <c r="B98" s="488"/>
      <c r="C98" s="477"/>
      <c r="D98" s="489"/>
      <c r="E98" s="489"/>
      <c r="F98" s="489"/>
      <c r="G98" s="489"/>
      <c r="H98" s="489"/>
      <c r="I98" s="489"/>
      <c r="J98" s="489"/>
      <c r="K98" s="490"/>
      <c r="L98" s="477"/>
      <c r="M98" s="489"/>
      <c r="N98" s="489"/>
      <c r="O98" s="489"/>
      <c r="P98" s="489"/>
      <c r="Q98" s="489"/>
      <c r="R98" s="489"/>
      <c r="S98" s="489"/>
      <c r="T98" s="490"/>
      <c r="U98" s="477"/>
      <c r="V98" s="489"/>
      <c r="W98" s="489"/>
      <c r="X98" s="489"/>
      <c r="Y98" s="489"/>
      <c r="Z98" s="489"/>
      <c r="AA98" s="489"/>
      <c r="AB98" s="489"/>
      <c r="AC98" s="490"/>
      <c r="AD98" s="477"/>
      <c r="AE98" s="489"/>
      <c r="AF98" s="489"/>
      <c r="AG98" s="489"/>
      <c r="AH98" s="489"/>
      <c r="AI98" s="489"/>
      <c r="AJ98" s="489"/>
      <c r="AK98" s="489"/>
      <c r="AL98" s="490"/>
      <c r="AM98" s="477"/>
      <c r="AN98" s="489"/>
      <c r="AO98" s="489"/>
      <c r="AP98" s="489"/>
      <c r="AQ98" s="489"/>
      <c r="AR98" s="489"/>
      <c r="AS98" s="489"/>
      <c r="AT98" s="489"/>
      <c r="AU98" s="490"/>
    </row>
    <row r="99" spans="1:47" ht="15.6" thickTop="1" thickBot="1">
      <c r="A99" s="492"/>
      <c r="B99" s="493" t="s">
        <v>1521</v>
      </c>
      <c r="C99" s="654">
        <f>SUM(C97:C98)</f>
        <v>0</v>
      </c>
      <c r="D99" s="495">
        <f t="shared" ref="D99:K99" si="36">SUM(D97:D98)</f>
        <v>0</v>
      </c>
      <c r="E99" s="495">
        <f t="shared" si="36"/>
        <v>0</v>
      </c>
      <c r="F99" s="495">
        <f t="shared" si="36"/>
        <v>0</v>
      </c>
      <c r="G99" s="495">
        <f t="shared" si="36"/>
        <v>0</v>
      </c>
      <c r="H99" s="495">
        <f t="shared" si="36"/>
        <v>0</v>
      </c>
      <c r="I99" s="495">
        <f t="shared" si="36"/>
        <v>0</v>
      </c>
      <c r="J99" s="495">
        <f t="shared" si="36"/>
        <v>0</v>
      </c>
      <c r="K99" s="496">
        <f t="shared" si="36"/>
        <v>0</v>
      </c>
      <c r="L99" s="654">
        <v>0</v>
      </c>
      <c r="M99" s="495">
        <v>0</v>
      </c>
      <c r="N99" s="495">
        <v>0</v>
      </c>
      <c r="O99" s="495">
        <v>0</v>
      </c>
      <c r="P99" s="495">
        <v>0</v>
      </c>
      <c r="Q99" s="495">
        <v>0</v>
      </c>
      <c r="R99" s="495">
        <v>0</v>
      </c>
      <c r="S99" s="495">
        <v>0</v>
      </c>
      <c r="T99" s="496">
        <v>0</v>
      </c>
      <c r="U99" s="654">
        <v>51053</v>
      </c>
      <c r="V99" s="495">
        <v>0</v>
      </c>
      <c r="W99" s="495">
        <v>0</v>
      </c>
      <c r="X99" s="495">
        <v>0</v>
      </c>
      <c r="Y99" s="495">
        <v>0</v>
      </c>
      <c r="Z99" s="495">
        <v>0</v>
      </c>
      <c r="AA99" s="495">
        <v>0</v>
      </c>
      <c r="AB99" s="495">
        <v>0</v>
      </c>
      <c r="AC99" s="496">
        <v>51053</v>
      </c>
      <c r="AD99" s="494">
        <v>458087</v>
      </c>
      <c r="AE99" s="495">
        <v>0</v>
      </c>
      <c r="AF99" s="495">
        <v>0</v>
      </c>
      <c r="AG99" s="495">
        <v>0</v>
      </c>
      <c r="AH99" s="495">
        <v>0</v>
      </c>
      <c r="AI99" s="495">
        <v>0</v>
      </c>
      <c r="AJ99" s="495">
        <v>0</v>
      </c>
      <c r="AK99" s="495">
        <v>0</v>
      </c>
      <c r="AL99" s="496">
        <v>458087</v>
      </c>
      <c r="AM99" s="494">
        <v>351236</v>
      </c>
      <c r="AN99" s="495">
        <v>0</v>
      </c>
      <c r="AO99" s="495">
        <v>0</v>
      </c>
      <c r="AP99" s="495">
        <v>0</v>
      </c>
      <c r="AQ99" s="495">
        <v>0</v>
      </c>
      <c r="AR99" s="495">
        <v>0</v>
      </c>
      <c r="AS99" s="495">
        <v>0</v>
      </c>
      <c r="AT99" s="495">
        <v>0</v>
      </c>
      <c r="AU99" s="497">
        <v>351236</v>
      </c>
    </row>
    <row r="100" spans="1:47" ht="15" thickTop="1">
      <c r="A100" s="154" t="s">
        <v>124</v>
      </c>
      <c r="B100" s="488"/>
      <c r="C100" s="477"/>
      <c r="D100" s="489"/>
      <c r="E100" s="489"/>
      <c r="F100" s="489"/>
      <c r="G100" s="489"/>
      <c r="H100" s="489"/>
      <c r="I100" s="489"/>
      <c r="J100" s="489"/>
      <c r="K100" s="490">
        <f>SUBTOTAL(9,C100:J100)</f>
        <v>0</v>
      </c>
      <c r="L100" s="477"/>
      <c r="M100" s="489"/>
      <c r="N100" s="489"/>
      <c r="O100" s="489"/>
      <c r="P100" s="489"/>
      <c r="Q100" s="489"/>
      <c r="R100" s="489"/>
      <c r="S100" s="489"/>
      <c r="T100" s="490">
        <v>0</v>
      </c>
      <c r="U100" s="477"/>
      <c r="V100" s="489"/>
      <c r="W100" s="489"/>
      <c r="X100" s="489"/>
      <c r="Y100" s="489"/>
      <c r="Z100" s="489"/>
      <c r="AA100" s="489"/>
      <c r="AB100" s="489"/>
      <c r="AC100" s="490">
        <v>0</v>
      </c>
      <c r="AD100" s="477"/>
      <c r="AE100" s="489"/>
      <c r="AF100" s="489"/>
      <c r="AG100" s="489"/>
      <c r="AH100" s="489"/>
      <c r="AI100" s="489"/>
      <c r="AJ100" s="489"/>
      <c r="AK100" s="489"/>
      <c r="AL100" s="490">
        <v>0</v>
      </c>
      <c r="AM100" s="477"/>
      <c r="AN100" s="489">
        <v>9203</v>
      </c>
      <c r="AO100" s="489"/>
      <c r="AP100" s="489"/>
      <c r="AQ100" s="489"/>
      <c r="AR100" s="489"/>
      <c r="AS100" s="489"/>
      <c r="AT100" s="489"/>
      <c r="AU100" s="490">
        <v>9203</v>
      </c>
    </row>
    <row r="101" spans="1:47" ht="15" thickBot="1">
      <c r="A101" s="158" t="s">
        <v>1443</v>
      </c>
      <c r="B101" s="488" t="s">
        <v>1432</v>
      </c>
      <c r="C101" s="477"/>
      <c r="D101" s="489"/>
      <c r="E101" s="489"/>
      <c r="F101" s="489"/>
      <c r="G101" s="489"/>
      <c r="H101" s="489"/>
      <c r="I101" s="489"/>
      <c r="J101" s="489"/>
      <c r="K101" s="490">
        <f t="shared" ref="K101" si="37">SUM(C101:J101)</f>
        <v>0</v>
      </c>
      <c r="L101" s="477"/>
      <c r="M101" s="489"/>
      <c r="N101" s="489"/>
      <c r="O101" s="489"/>
      <c r="P101" s="489"/>
      <c r="Q101" s="489"/>
      <c r="R101" s="489"/>
      <c r="S101" s="489"/>
      <c r="T101" s="490">
        <v>0</v>
      </c>
      <c r="U101" s="477"/>
      <c r="V101" s="489"/>
      <c r="W101" s="489"/>
      <c r="X101" s="489"/>
      <c r="Y101" s="489"/>
      <c r="Z101" s="489"/>
      <c r="AA101" s="489"/>
      <c r="AB101" s="489"/>
      <c r="AC101" s="490">
        <v>0</v>
      </c>
      <c r="AD101" s="477"/>
      <c r="AE101" s="489">
        <v>20802</v>
      </c>
      <c r="AF101" s="489"/>
      <c r="AG101" s="489"/>
      <c r="AH101" s="489"/>
      <c r="AI101" s="489"/>
      <c r="AJ101" s="489"/>
      <c r="AK101" s="489"/>
      <c r="AL101" s="490">
        <v>20802</v>
      </c>
      <c r="AM101" s="477"/>
      <c r="AN101" s="489"/>
      <c r="AO101" s="489"/>
      <c r="AP101" s="489"/>
      <c r="AQ101" s="489"/>
      <c r="AR101" s="489"/>
      <c r="AS101" s="489"/>
      <c r="AT101" s="489"/>
      <c r="AU101" s="490"/>
    </row>
    <row r="102" spans="1:47" ht="15.6" thickTop="1" thickBot="1">
      <c r="A102" s="492"/>
      <c r="B102" s="493" t="s">
        <v>1521</v>
      </c>
      <c r="C102" s="654">
        <f>SUM(C100:C101)</f>
        <v>0</v>
      </c>
      <c r="D102" s="495">
        <f t="shared" ref="D102:K102" si="38">SUM(D100:D101)</f>
        <v>0</v>
      </c>
      <c r="E102" s="495">
        <f t="shared" si="38"/>
        <v>0</v>
      </c>
      <c r="F102" s="495">
        <f t="shared" si="38"/>
        <v>0</v>
      </c>
      <c r="G102" s="495">
        <f t="shared" si="38"/>
        <v>0</v>
      </c>
      <c r="H102" s="495">
        <f t="shared" si="38"/>
        <v>0</v>
      </c>
      <c r="I102" s="495">
        <f t="shared" si="38"/>
        <v>0</v>
      </c>
      <c r="J102" s="495">
        <f t="shared" si="38"/>
        <v>0</v>
      </c>
      <c r="K102" s="496">
        <f t="shared" si="38"/>
        <v>0</v>
      </c>
      <c r="L102" s="654">
        <v>0</v>
      </c>
      <c r="M102" s="495">
        <v>0</v>
      </c>
      <c r="N102" s="495">
        <v>0</v>
      </c>
      <c r="O102" s="495">
        <v>0</v>
      </c>
      <c r="P102" s="495">
        <v>0</v>
      </c>
      <c r="Q102" s="495">
        <v>0</v>
      </c>
      <c r="R102" s="495">
        <v>0</v>
      </c>
      <c r="S102" s="495">
        <v>0</v>
      </c>
      <c r="T102" s="496">
        <v>0</v>
      </c>
      <c r="U102" s="654">
        <v>0</v>
      </c>
      <c r="V102" s="495">
        <v>0</v>
      </c>
      <c r="W102" s="495">
        <v>0</v>
      </c>
      <c r="X102" s="495">
        <v>0</v>
      </c>
      <c r="Y102" s="495">
        <v>0</v>
      </c>
      <c r="Z102" s="495">
        <v>0</v>
      </c>
      <c r="AA102" s="495">
        <v>0</v>
      </c>
      <c r="AB102" s="495">
        <v>0</v>
      </c>
      <c r="AC102" s="496">
        <v>0</v>
      </c>
      <c r="AD102" s="494">
        <v>0</v>
      </c>
      <c r="AE102" s="495">
        <v>20802</v>
      </c>
      <c r="AF102" s="495">
        <v>0</v>
      </c>
      <c r="AG102" s="495">
        <v>0</v>
      </c>
      <c r="AH102" s="495">
        <v>0</v>
      </c>
      <c r="AI102" s="495">
        <v>0</v>
      </c>
      <c r="AJ102" s="495">
        <v>0</v>
      </c>
      <c r="AK102" s="495">
        <v>0</v>
      </c>
      <c r="AL102" s="496">
        <v>20802</v>
      </c>
      <c r="AM102" s="494">
        <v>0</v>
      </c>
      <c r="AN102" s="495">
        <v>9203</v>
      </c>
      <c r="AO102" s="495">
        <v>0</v>
      </c>
      <c r="AP102" s="495">
        <v>0</v>
      </c>
      <c r="AQ102" s="495">
        <v>0</v>
      </c>
      <c r="AR102" s="495">
        <v>0</v>
      </c>
      <c r="AS102" s="495">
        <v>0</v>
      </c>
      <c r="AT102" s="495">
        <v>0</v>
      </c>
      <c r="AU102" s="497">
        <v>9203</v>
      </c>
    </row>
    <row r="103" spans="1:47" ht="15" thickTop="1">
      <c r="A103" s="158"/>
      <c r="B103" s="488"/>
      <c r="C103" s="477"/>
      <c r="D103" s="489"/>
      <c r="E103" s="489"/>
      <c r="F103" s="489"/>
      <c r="G103" s="489"/>
      <c r="H103" s="489"/>
      <c r="I103" s="489"/>
      <c r="J103" s="489"/>
      <c r="K103" s="490"/>
      <c r="L103" s="477"/>
      <c r="M103" s="489"/>
      <c r="N103" s="489"/>
      <c r="O103" s="489"/>
      <c r="P103" s="489"/>
      <c r="Q103" s="489"/>
      <c r="R103" s="489"/>
      <c r="S103" s="489"/>
      <c r="T103" s="490"/>
      <c r="U103" s="477"/>
      <c r="V103" s="489"/>
      <c r="W103" s="489"/>
      <c r="X103" s="489"/>
      <c r="Y103" s="489"/>
      <c r="Z103" s="489"/>
      <c r="AA103" s="489"/>
      <c r="AB103" s="489"/>
      <c r="AC103" s="490"/>
      <c r="AD103" s="477"/>
      <c r="AE103" s="489"/>
      <c r="AF103" s="489"/>
      <c r="AG103" s="489"/>
      <c r="AH103" s="489"/>
      <c r="AI103" s="489"/>
      <c r="AJ103" s="489"/>
      <c r="AK103" s="489"/>
      <c r="AL103" s="490"/>
      <c r="AM103" s="477"/>
      <c r="AN103" s="489"/>
      <c r="AO103" s="489"/>
      <c r="AP103" s="489"/>
      <c r="AQ103" s="489"/>
      <c r="AR103" s="489"/>
      <c r="AS103" s="489"/>
      <c r="AT103" s="489"/>
      <c r="AU103" s="490"/>
    </row>
    <row r="104" spans="1:47">
      <c r="A104" s="158" t="s">
        <v>126</v>
      </c>
      <c r="B104" s="488" t="s">
        <v>1432</v>
      </c>
      <c r="C104" s="477"/>
      <c r="D104" s="489"/>
      <c r="E104" s="489"/>
      <c r="F104" s="489"/>
      <c r="G104" s="489"/>
      <c r="H104" s="489"/>
      <c r="I104" s="489"/>
      <c r="J104" s="489"/>
      <c r="K104" s="490">
        <f t="shared" ref="K104" si="39">SUM(C104:J104)</f>
        <v>0</v>
      </c>
      <c r="L104" s="477"/>
      <c r="M104" s="489"/>
      <c r="N104" s="489"/>
      <c r="O104" s="489"/>
      <c r="P104" s="489"/>
      <c r="Q104" s="489"/>
      <c r="R104" s="489"/>
      <c r="S104" s="489"/>
      <c r="T104" s="490">
        <v>0</v>
      </c>
      <c r="U104" s="477"/>
      <c r="V104" s="489"/>
      <c r="W104" s="489"/>
      <c r="X104" s="489"/>
      <c r="Y104" s="489"/>
      <c r="Z104" s="489"/>
      <c r="AA104" s="489"/>
      <c r="AB104" s="489"/>
      <c r="AC104" s="490">
        <v>0</v>
      </c>
      <c r="AD104" s="477"/>
      <c r="AE104" s="489"/>
      <c r="AF104" s="489"/>
      <c r="AG104" s="489"/>
      <c r="AH104" s="489"/>
      <c r="AI104" s="489"/>
      <c r="AJ104" s="489"/>
      <c r="AK104" s="489"/>
      <c r="AL104" s="490">
        <v>0</v>
      </c>
      <c r="AM104" s="477"/>
      <c r="AN104" s="489">
        <v>124009</v>
      </c>
      <c r="AO104" s="489"/>
      <c r="AP104" s="489"/>
      <c r="AQ104" s="489"/>
      <c r="AR104" s="489"/>
      <c r="AS104" s="489"/>
      <c r="AT104" s="489"/>
      <c r="AU104" s="490">
        <v>124009</v>
      </c>
    </row>
    <row r="105" spans="1:47" ht="15" thickBot="1">
      <c r="A105" s="158" t="s">
        <v>1444</v>
      </c>
      <c r="B105" s="488"/>
      <c r="C105" s="477"/>
      <c r="D105" s="489"/>
      <c r="E105" s="489"/>
      <c r="F105" s="489"/>
      <c r="G105" s="489"/>
      <c r="H105" s="489"/>
      <c r="I105" s="489"/>
      <c r="J105" s="489"/>
      <c r="K105" s="490">
        <f>SUBTOTAL(9,C105:J105)</f>
        <v>0</v>
      </c>
      <c r="L105" s="477"/>
      <c r="M105" s="489"/>
      <c r="N105" s="489"/>
      <c r="O105" s="489"/>
      <c r="P105" s="489"/>
      <c r="Q105" s="489"/>
      <c r="R105" s="489"/>
      <c r="S105" s="489"/>
      <c r="T105" s="490">
        <v>0</v>
      </c>
      <c r="U105" s="477"/>
      <c r="V105" s="489"/>
      <c r="W105" s="489"/>
      <c r="X105" s="489"/>
      <c r="Y105" s="489"/>
      <c r="Z105" s="489"/>
      <c r="AA105" s="489"/>
      <c r="AB105" s="489"/>
      <c r="AC105" s="490">
        <v>0</v>
      </c>
      <c r="AD105" s="477"/>
      <c r="AE105" s="489">
        <v>158061</v>
      </c>
      <c r="AF105" s="489"/>
      <c r="AG105" s="489"/>
      <c r="AH105" s="489"/>
      <c r="AI105" s="489"/>
      <c r="AJ105" s="489"/>
      <c r="AK105" s="489"/>
      <c r="AL105" s="490">
        <v>158061</v>
      </c>
      <c r="AM105" s="477"/>
      <c r="AN105" s="489"/>
      <c r="AO105" s="489"/>
      <c r="AP105" s="489"/>
      <c r="AQ105" s="489"/>
      <c r="AR105" s="489"/>
      <c r="AS105" s="489"/>
      <c r="AT105" s="489"/>
      <c r="AU105" s="490"/>
    </row>
    <row r="106" spans="1:47" ht="15.6" thickTop="1" thickBot="1">
      <c r="A106" s="507"/>
      <c r="B106" s="493" t="s">
        <v>1521</v>
      </c>
      <c r="C106" s="654">
        <f>SUM(C104:C105)</f>
        <v>0</v>
      </c>
      <c r="D106" s="495">
        <f t="shared" ref="D106:K106" si="40">SUM(D104:D105)</f>
        <v>0</v>
      </c>
      <c r="E106" s="495">
        <f t="shared" si="40"/>
        <v>0</v>
      </c>
      <c r="F106" s="495">
        <f t="shared" si="40"/>
        <v>0</v>
      </c>
      <c r="G106" s="495">
        <f t="shared" si="40"/>
        <v>0</v>
      </c>
      <c r="H106" s="495">
        <f t="shared" si="40"/>
        <v>0</v>
      </c>
      <c r="I106" s="495">
        <f t="shared" si="40"/>
        <v>0</v>
      </c>
      <c r="J106" s="495">
        <f t="shared" si="40"/>
        <v>0</v>
      </c>
      <c r="K106" s="496">
        <f t="shared" si="40"/>
        <v>0</v>
      </c>
      <c r="L106" s="654">
        <v>0</v>
      </c>
      <c r="M106" s="495">
        <v>0</v>
      </c>
      <c r="N106" s="495">
        <v>0</v>
      </c>
      <c r="O106" s="495">
        <v>0</v>
      </c>
      <c r="P106" s="495">
        <v>0</v>
      </c>
      <c r="Q106" s="495">
        <v>0</v>
      </c>
      <c r="R106" s="495">
        <v>0</v>
      </c>
      <c r="S106" s="495">
        <v>0</v>
      </c>
      <c r="T106" s="496">
        <v>0</v>
      </c>
      <c r="U106" s="654">
        <v>0</v>
      </c>
      <c r="V106" s="495">
        <v>0</v>
      </c>
      <c r="W106" s="495">
        <v>0</v>
      </c>
      <c r="X106" s="495">
        <v>0</v>
      </c>
      <c r="Y106" s="495">
        <v>0</v>
      </c>
      <c r="Z106" s="495">
        <v>0</v>
      </c>
      <c r="AA106" s="495">
        <v>0</v>
      </c>
      <c r="AB106" s="495">
        <v>0</v>
      </c>
      <c r="AC106" s="496">
        <v>0</v>
      </c>
      <c r="AD106" s="494">
        <v>0</v>
      </c>
      <c r="AE106" s="495">
        <v>158061</v>
      </c>
      <c r="AF106" s="495">
        <v>0</v>
      </c>
      <c r="AG106" s="495">
        <v>0</v>
      </c>
      <c r="AH106" s="495">
        <v>0</v>
      </c>
      <c r="AI106" s="495">
        <v>0</v>
      </c>
      <c r="AJ106" s="495">
        <v>0</v>
      </c>
      <c r="AK106" s="495">
        <v>0</v>
      </c>
      <c r="AL106" s="496">
        <v>158061</v>
      </c>
      <c r="AM106" s="494">
        <v>0</v>
      </c>
      <c r="AN106" s="495">
        <v>124009</v>
      </c>
      <c r="AO106" s="495">
        <v>0</v>
      </c>
      <c r="AP106" s="495">
        <v>0</v>
      </c>
      <c r="AQ106" s="495">
        <v>0</v>
      </c>
      <c r="AR106" s="495">
        <v>0</v>
      </c>
      <c r="AS106" s="495">
        <v>0</v>
      </c>
      <c r="AT106" s="495">
        <v>0</v>
      </c>
      <c r="AU106" s="497">
        <v>124009</v>
      </c>
    </row>
    <row r="107" spans="1:47" ht="15" thickTop="1">
      <c r="A107" s="498" t="s">
        <v>147</v>
      </c>
      <c r="B107" s="499"/>
      <c r="C107" s="477"/>
      <c r="D107" s="489"/>
      <c r="E107" s="489"/>
      <c r="F107" s="489"/>
      <c r="G107" s="489"/>
      <c r="H107" s="489"/>
      <c r="I107" s="489"/>
      <c r="J107" s="489"/>
      <c r="K107" s="490"/>
      <c r="L107" s="477"/>
      <c r="M107" s="489"/>
      <c r="N107" s="489"/>
      <c r="O107" s="489"/>
      <c r="P107" s="489"/>
      <c r="Q107" s="489"/>
      <c r="R107" s="489"/>
      <c r="S107" s="489"/>
      <c r="T107" s="490"/>
      <c r="U107" s="477"/>
      <c r="V107" s="489"/>
      <c r="W107" s="489"/>
      <c r="X107" s="489"/>
      <c r="Y107" s="489"/>
      <c r="Z107" s="489"/>
      <c r="AA107" s="489"/>
      <c r="AB107" s="489"/>
      <c r="AC107" s="490"/>
      <c r="AD107" s="477"/>
      <c r="AE107" s="489"/>
      <c r="AF107" s="489"/>
      <c r="AG107" s="489"/>
      <c r="AH107" s="489"/>
      <c r="AI107" s="489"/>
      <c r="AJ107" s="489"/>
      <c r="AK107" s="489"/>
      <c r="AL107" s="490"/>
      <c r="AM107" s="477"/>
      <c r="AN107" s="489"/>
      <c r="AO107" s="489"/>
      <c r="AP107" s="489"/>
      <c r="AQ107" s="489"/>
      <c r="AR107" s="489"/>
      <c r="AS107" s="489"/>
      <c r="AT107" s="489"/>
      <c r="AU107" s="490"/>
    </row>
    <row r="108" spans="1:47">
      <c r="A108" s="498" t="s">
        <v>6</v>
      </c>
      <c r="B108" s="499"/>
      <c r="C108" s="477"/>
      <c r="D108" s="489"/>
      <c r="E108" s="489"/>
      <c r="F108" s="489"/>
      <c r="G108" s="489"/>
      <c r="H108" s="489"/>
      <c r="I108" s="489"/>
      <c r="J108" s="489"/>
      <c r="K108" s="490"/>
      <c r="L108" s="477"/>
      <c r="M108" s="489"/>
      <c r="N108" s="489"/>
      <c r="O108" s="489"/>
      <c r="P108" s="489"/>
      <c r="Q108" s="489"/>
      <c r="R108" s="489"/>
      <c r="S108" s="489"/>
      <c r="T108" s="490"/>
      <c r="U108" s="477"/>
      <c r="V108" s="489"/>
      <c r="W108" s="489"/>
      <c r="X108" s="489"/>
      <c r="Y108" s="489"/>
      <c r="Z108" s="489"/>
      <c r="AA108" s="489"/>
      <c r="AB108" s="489"/>
      <c r="AC108" s="490"/>
      <c r="AD108" s="477"/>
      <c r="AE108" s="489"/>
      <c r="AF108" s="489"/>
      <c r="AG108" s="489"/>
      <c r="AH108" s="489"/>
      <c r="AI108" s="489"/>
      <c r="AJ108" s="489"/>
      <c r="AK108" s="489"/>
      <c r="AL108" s="490"/>
      <c r="AM108" s="477"/>
      <c r="AN108" s="489"/>
      <c r="AO108" s="489"/>
      <c r="AP108" s="489"/>
      <c r="AQ108" s="489"/>
      <c r="AR108" s="489"/>
      <c r="AS108" s="489"/>
      <c r="AT108" s="489"/>
      <c r="AU108" s="490"/>
    </row>
    <row r="109" spans="1:47" s="945" customFormat="1">
      <c r="A109" s="946" t="s">
        <v>127</v>
      </c>
      <c r="B109" s="941" t="s">
        <v>449</v>
      </c>
      <c r="C109" s="649" cm="1">
        <f t="array" ref="C109">_xlfn.XLOOKUP($A$109,'TB upload'!$A:$A,'TB upload'!B:B-'TB upload'!C:C,0,)+19181.72-36</f>
        <v>12815437.57</v>
      </c>
      <c r="D109" s="942"/>
      <c r="E109" s="489" cm="1">
        <f t="array" ref="E109">_xlfn.XLOOKUP($A109,'TB upload'!$A:$A,'TB upload'!D:D-'TB upload'!E:E,0,)</f>
        <v>0</v>
      </c>
      <c r="F109" s="942"/>
      <c r="G109" s="947" cm="1">
        <f t="array" ref="G109">_xlfn.XLOOKUP($A109,'TB upload'!$A:$A,'TB upload'!F:F-'TB upload'!G:G,0,)</f>
        <v>0</v>
      </c>
      <c r="H109" s="942"/>
      <c r="I109" s="942" cm="1">
        <f t="array" ref="I109">_xlfn.XLOOKUP($A109,'TB upload'!$A:$A,'TB upload'!H:H-'TB upload'!I:I,0,)</f>
        <v>0</v>
      </c>
      <c r="J109" s="942"/>
      <c r="K109" s="943">
        <f t="shared" ref="K109" si="41">SUM(C109:J109)</f>
        <v>12815437.57</v>
      </c>
      <c r="L109" s="649">
        <v>15392707.699999999</v>
      </c>
      <c r="M109" s="942"/>
      <c r="N109" s="489">
        <v>0</v>
      </c>
      <c r="O109" s="942"/>
      <c r="P109" s="947">
        <v>0</v>
      </c>
      <c r="Q109" s="942"/>
      <c r="R109" s="942">
        <v>0</v>
      </c>
      <c r="S109" s="942"/>
      <c r="T109" s="943">
        <v>15392707.699999999</v>
      </c>
      <c r="U109" s="649">
        <v>15467932.699999999</v>
      </c>
      <c r="V109" s="942">
        <v>1554693.5</v>
      </c>
      <c r="W109" s="947">
        <v>0</v>
      </c>
      <c r="X109" s="942"/>
      <c r="Y109" s="947">
        <v>0</v>
      </c>
      <c r="Z109" s="942"/>
      <c r="AA109" s="942">
        <v>0</v>
      </c>
      <c r="AB109" s="942"/>
      <c r="AC109" s="943">
        <v>17022626.199999999</v>
      </c>
      <c r="AD109" s="649">
        <v>19022288.919999998</v>
      </c>
      <c r="AE109" s="942"/>
      <c r="AF109" s="947">
        <v>0</v>
      </c>
      <c r="AG109" s="942"/>
      <c r="AH109" s="947">
        <v>0</v>
      </c>
      <c r="AI109" s="942"/>
      <c r="AJ109" s="942">
        <v>34968.86</v>
      </c>
      <c r="AK109" s="942"/>
      <c r="AL109" s="943">
        <v>19057257.779999997</v>
      </c>
      <c r="AM109" s="649">
        <v>16639106.16</v>
      </c>
      <c r="AN109" s="942"/>
      <c r="AO109" s="942"/>
      <c r="AP109" s="942"/>
      <c r="AQ109" s="942"/>
      <c r="AR109" s="942"/>
      <c r="AS109" s="942"/>
      <c r="AT109" s="942"/>
      <c r="AU109" s="943">
        <v>16639106.16</v>
      </c>
    </row>
    <row r="110" spans="1:47" ht="15" thickBot="1">
      <c r="A110" s="158"/>
      <c r="B110" s="488"/>
      <c r="C110" s="477"/>
      <c r="D110" s="489"/>
      <c r="E110" s="489"/>
      <c r="F110" s="489"/>
      <c r="G110" s="489"/>
      <c r="H110" s="489"/>
      <c r="I110" s="489"/>
      <c r="J110" s="489"/>
      <c r="K110" s="490"/>
      <c r="L110" s="477"/>
      <c r="M110" s="489"/>
      <c r="N110" s="489"/>
      <c r="O110" s="489"/>
      <c r="P110" s="489"/>
      <c r="Q110" s="489"/>
      <c r="R110" s="489"/>
      <c r="S110" s="489"/>
      <c r="T110" s="490"/>
      <c r="U110" s="477"/>
      <c r="V110" s="489"/>
      <c r="W110" s="489"/>
      <c r="X110" s="489"/>
      <c r="Y110" s="489"/>
      <c r="Z110" s="489"/>
      <c r="AA110" s="489"/>
      <c r="AB110" s="489"/>
      <c r="AC110" s="490"/>
      <c r="AD110" s="477"/>
      <c r="AE110" s="489"/>
      <c r="AF110" s="489"/>
      <c r="AG110" s="489"/>
      <c r="AH110" s="489"/>
      <c r="AI110" s="489"/>
      <c r="AJ110" s="489"/>
      <c r="AK110" s="489"/>
      <c r="AL110" s="490"/>
      <c r="AM110" s="477"/>
      <c r="AN110" s="489"/>
      <c r="AO110" s="489"/>
      <c r="AP110" s="489"/>
      <c r="AQ110" s="489"/>
      <c r="AR110" s="489"/>
      <c r="AS110" s="489"/>
      <c r="AT110" s="489"/>
      <c r="AU110" s="490"/>
    </row>
    <row r="111" spans="1:47" ht="15.6" thickTop="1" thickBot="1">
      <c r="A111" s="492"/>
      <c r="B111" s="493" t="s">
        <v>1522</v>
      </c>
      <c r="C111" s="653">
        <f t="shared" ref="C111:K111" si="42">SUM(C109:C110)</f>
        <v>12815437.57</v>
      </c>
      <c r="D111" s="495">
        <f t="shared" si="42"/>
        <v>0</v>
      </c>
      <c r="E111" s="495">
        <f t="shared" si="42"/>
        <v>0</v>
      </c>
      <c r="F111" s="495">
        <f t="shared" si="42"/>
        <v>0</v>
      </c>
      <c r="G111" s="495">
        <f t="shared" si="42"/>
        <v>0</v>
      </c>
      <c r="H111" s="495">
        <f t="shared" si="42"/>
        <v>0</v>
      </c>
      <c r="I111" s="495">
        <f t="shared" si="42"/>
        <v>0</v>
      </c>
      <c r="J111" s="495">
        <f t="shared" si="42"/>
        <v>0</v>
      </c>
      <c r="K111" s="655">
        <f t="shared" si="42"/>
        <v>12815437.57</v>
      </c>
      <c r="L111" s="653">
        <v>15392707.699999999</v>
      </c>
      <c r="M111" s="495">
        <v>0</v>
      </c>
      <c r="N111" s="495">
        <v>0</v>
      </c>
      <c r="O111" s="495">
        <v>0</v>
      </c>
      <c r="P111" s="495">
        <v>0</v>
      </c>
      <c r="Q111" s="495">
        <v>0</v>
      </c>
      <c r="R111" s="495">
        <v>0</v>
      </c>
      <c r="S111" s="495">
        <v>0</v>
      </c>
      <c r="T111" s="655">
        <v>15392707.699999999</v>
      </c>
      <c r="U111" s="653">
        <v>15467932.699999999</v>
      </c>
      <c r="V111" s="495">
        <v>1554693.5</v>
      </c>
      <c r="W111" s="495">
        <v>0</v>
      </c>
      <c r="X111" s="495">
        <v>0</v>
      </c>
      <c r="Y111" s="495">
        <v>0</v>
      </c>
      <c r="Z111" s="495">
        <v>0</v>
      </c>
      <c r="AA111" s="495">
        <v>0</v>
      </c>
      <c r="AB111" s="495">
        <v>0</v>
      </c>
      <c r="AC111" s="655">
        <v>17022626.199999999</v>
      </c>
      <c r="AD111" s="494">
        <v>19022288.919999998</v>
      </c>
      <c r="AE111" s="495">
        <v>0</v>
      </c>
      <c r="AF111" s="495">
        <v>0</v>
      </c>
      <c r="AG111" s="495">
        <v>0</v>
      </c>
      <c r="AH111" s="495">
        <v>0</v>
      </c>
      <c r="AI111" s="495">
        <v>0</v>
      </c>
      <c r="AJ111" s="495">
        <v>34968.86</v>
      </c>
      <c r="AK111" s="495">
        <v>0</v>
      </c>
      <c r="AL111" s="497">
        <v>19057257.779999997</v>
      </c>
      <c r="AM111" s="494">
        <v>16639106.16</v>
      </c>
      <c r="AN111" s="495">
        <v>0</v>
      </c>
      <c r="AO111" s="495">
        <v>0</v>
      </c>
      <c r="AP111" s="495">
        <v>0</v>
      </c>
      <c r="AQ111" s="495">
        <v>0</v>
      </c>
      <c r="AR111" s="495">
        <v>0</v>
      </c>
      <c r="AS111" s="495">
        <v>0</v>
      </c>
      <c r="AT111" s="495">
        <v>0</v>
      </c>
      <c r="AU111" s="497">
        <v>16639106.16</v>
      </c>
    </row>
    <row r="112" spans="1:47" ht="15" thickTop="1">
      <c r="A112" s="444" t="s">
        <v>1414</v>
      </c>
      <c r="B112" s="499"/>
      <c r="C112" s="477"/>
      <c r="D112" s="489"/>
      <c r="E112" s="489"/>
      <c r="F112" s="489"/>
      <c r="G112" s="489"/>
      <c r="H112" s="489"/>
      <c r="I112" s="489"/>
      <c r="J112" s="489"/>
      <c r="K112" s="490"/>
      <c r="L112" s="477"/>
      <c r="M112" s="489"/>
      <c r="N112" s="489"/>
      <c r="O112" s="489"/>
      <c r="P112" s="489"/>
      <c r="Q112" s="489"/>
      <c r="R112" s="489"/>
      <c r="S112" s="489"/>
      <c r="T112" s="490"/>
      <c r="U112" s="477"/>
      <c r="V112" s="489"/>
      <c r="W112" s="489"/>
      <c r="X112" s="489"/>
      <c r="Y112" s="489"/>
      <c r="Z112" s="489"/>
      <c r="AA112" s="489"/>
      <c r="AB112" s="489"/>
      <c r="AC112" s="490"/>
      <c r="AD112" s="477"/>
      <c r="AE112" s="489"/>
      <c r="AF112" s="489"/>
      <c r="AG112" s="489"/>
      <c r="AH112" s="489"/>
      <c r="AI112" s="489"/>
      <c r="AJ112" s="489"/>
      <c r="AK112" s="489"/>
      <c r="AL112" s="490"/>
      <c r="AM112" s="477"/>
      <c r="AN112" s="489"/>
      <c r="AO112" s="489"/>
      <c r="AP112" s="489"/>
      <c r="AQ112" s="489"/>
      <c r="AR112" s="489"/>
      <c r="AS112" s="489"/>
      <c r="AT112" s="489"/>
      <c r="AU112" s="490"/>
    </row>
    <row r="113" spans="1:48">
      <c r="A113" s="158" t="s">
        <v>1367</v>
      </c>
      <c r="B113" s="488" t="s">
        <v>449</v>
      </c>
      <c r="C113" s="649" cm="1">
        <f t="array" ref="C113">_xlfn.XLOOKUP(A113,'TB upload'!A:A,'TB upload'!B:B-'TB upload'!C:C,0,)</f>
        <v>0</v>
      </c>
      <c r="D113" s="489">
        <f>-C113</f>
        <v>0</v>
      </c>
      <c r="E113" s="474" cm="1">
        <f t="array" ref="E113">_xlfn.XLOOKUP($A113,'TB upload'!$A:$A,'TB upload'!D:D-'TB upload'!E:E,0,)</f>
        <v>0</v>
      </c>
      <c r="F113" s="489"/>
      <c r="G113" s="474" cm="1">
        <f t="array" ref="G113">_xlfn.XLOOKUP($A113,'TB upload'!$A:$A,'TB upload'!F:F-'TB upload'!G:G,0,)</f>
        <v>0</v>
      </c>
      <c r="H113" s="489"/>
      <c r="I113" s="489" cm="1">
        <f t="array" ref="I113">_xlfn.XLOOKUP($A113,'TB upload'!$A:$A,'TB upload'!H:H-'TB upload'!I:I,0,)</f>
        <v>0</v>
      </c>
      <c r="J113" s="489"/>
      <c r="K113" s="490">
        <f t="shared" ref="K113" si="43">SUM(C113:J113)</f>
        <v>0</v>
      </c>
      <c r="L113" s="649">
        <v>569699</v>
      </c>
      <c r="M113" s="489">
        <v>-569699</v>
      </c>
      <c r="N113" s="474">
        <v>0</v>
      </c>
      <c r="O113" s="489"/>
      <c r="P113" s="474">
        <v>0</v>
      </c>
      <c r="Q113" s="489"/>
      <c r="R113" s="489">
        <v>0</v>
      </c>
      <c r="S113" s="489"/>
      <c r="T113" s="490">
        <v>0</v>
      </c>
      <c r="U113" s="650">
        <v>569699</v>
      </c>
      <c r="V113" s="489">
        <v>-569699</v>
      </c>
      <c r="W113" s="474"/>
      <c r="X113" s="489"/>
      <c r="Y113" s="474"/>
      <c r="Z113" s="489"/>
      <c r="AA113" s="489"/>
      <c r="AB113" s="489"/>
      <c r="AC113" s="490">
        <v>0</v>
      </c>
      <c r="AD113" s="477">
        <v>872850</v>
      </c>
      <c r="AE113" s="489">
        <v>-303131</v>
      </c>
      <c r="AF113" s="474">
        <v>0</v>
      </c>
      <c r="AG113" s="489"/>
      <c r="AH113" s="474">
        <v>0</v>
      </c>
      <c r="AI113" s="489"/>
      <c r="AJ113" s="489">
        <v>0</v>
      </c>
      <c r="AK113" s="489"/>
      <c r="AL113" s="490">
        <v>569719</v>
      </c>
      <c r="AM113" s="477">
        <v>0</v>
      </c>
      <c r="AN113" s="489"/>
      <c r="AO113" s="489"/>
      <c r="AP113" s="489"/>
      <c r="AQ113" s="489"/>
      <c r="AR113" s="489"/>
      <c r="AS113" s="489"/>
      <c r="AT113" s="489"/>
      <c r="AU113" s="490">
        <v>0</v>
      </c>
      <c r="AV113" s="151" t="s">
        <v>1458</v>
      </c>
    </row>
    <row r="114" spans="1:48" ht="15" thickBot="1">
      <c r="A114" s="158"/>
      <c r="B114" s="488"/>
      <c r="C114" s="477"/>
      <c r="D114" s="489"/>
      <c r="E114" s="489"/>
      <c r="F114" s="489"/>
      <c r="G114" s="489"/>
      <c r="H114" s="489"/>
      <c r="I114" s="489"/>
      <c r="J114" s="489"/>
      <c r="K114" s="490"/>
      <c r="L114" s="477"/>
      <c r="M114" s="489"/>
      <c r="N114" s="489"/>
      <c r="O114" s="489"/>
      <c r="P114" s="489"/>
      <c r="Q114" s="489"/>
      <c r="R114" s="489"/>
      <c r="S114" s="489"/>
      <c r="T114" s="490"/>
      <c r="U114" s="477"/>
      <c r="V114" s="489"/>
      <c r="W114" s="489"/>
      <c r="X114" s="489"/>
      <c r="Y114" s="489"/>
      <c r="Z114" s="489"/>
      <c r="AA114" s="489"/>
      <c r="AB114" s="489"/>
      <c r="AC114" s="490"/>
      <c r="AD114" s="477"/>
      <c r="AE114" s="489"/>
      <c r="AF114" s="489"/>
      <c r="AG114" s="489"/>
      <c r="AH114" s="489"/>
      <c r="AI114" s="489"/>
      <c r="AJ114" s="489"/>
      <c r="AK114" s="489"/>
      <c r="AL114" s="490"/>
      <c r="AM114" s="477"/>
      <c r="AN114" s="489"/>
      <c r="AO114" s="489"/>
      <c r="AP114" s="489"/>
      <c r="AQ114" s="489"/>
      <c r="AR114" s="489"/>
      <c r="AS114" s="489"/>
      <c r="AT114" s="489"/>
      <c r="AU114" s="490"/>
    </row>
    <row r="115" spans="1:48" ht="15.6" thickTop="1" thickBot="1">
      <c r="A115" s="492"/>
      <c r="B115" s="493" t="s">
        <v>1522</v>
      </c>
      <c r="C115" s="653">
        <f t="shared" ref="C115:K115" si="44">SUM(C113:C114)</f>
        <v>0</v>
      </c>
      <c r="D115" s="495">
        <f t="shared" si="44"/>
        <v>0</v>
      </c>
      <c r="E115" s="495">
        <f t="shared" si="44"/>
        <v>0</v>
      </c>
      <c r="F115" s="495">
        <f t="shared" si="44"/>
        <v>0</v>
      </c>
      <c r="G115" s="495">
        <f t="shared" si="44"/>
        <v>0</v>
      </c>
      <c r="H115" s="495">
        <f t="shared" si="44"/>
        <v>0</v>
      </c>
      <c r="I115" s="495">
        <f t="shared" si="44"/>
        <v>0</v>
      </c>
      <c r="J115" s="495">
        <f t="shared" si="44"/>
        <v>0</v>
      </c>
      <c r="K115" s="655">
        <f t="shared" si="44"/>
        <v>0</v>
      </c>
      <c r="L115" s="653">
        <v>569699</v>
      </c>
      <c r="M115" s="495">
        <v>-569699</v>
      </c>
      <c r="N115" s="495">
        <v>0</v>
      </c>
      <c r="O115" s="495">
        <v>0</v>
      </c>
      <c r="P115" s="495">
        <v>0</v>
      </c>
      <c r="Q115" s="495">
        <v>0</v>
      </c>
      <c r="R115" s="495">
        <v>0</v>
      </c>
      <c r="S115" s="495">
        <v>0</v>
      </c>
      <c r="T115" s="655">
        <v>0</v>
      </c>
      <c r="U115" s="653">
        <v>569699</v>
      </c>
      <c r="V115" s="495">
        <v>-569699</v>
      </c>
      <c r="W115" s="495">
        <v>0</v>
      </c>
      <c r="X115" s="495">
        <v>0</v>
      </c>
      <c r="Y115" s="495">
        <v>0</v>
      </c>
      <c r="Z115" s="495">
        <v>0</v>
      </c>
      <c r="AA115" s="495">
        <v>0</v>
      </c>
      <c r="AB115" s="495">
        <v>0</v>
      </c>
      <c r="AC115" s="655">
        <v>0</v>
      </c>
      <c r="AD115" s="494">
        <v>872850</v>
      </c>
      <c r="AE115" s="495">
        <v>-303131</v>
      </c>
      <c r="AF115" s="495">
        <v>0</v>
      </c>
      <c r="AG115" s="495">
        <v>0</v>
      </c>
      <c r="AH115" s="495">
        <v>0</v>
      </c>
      <c r="AI115" s="495">
        <v>0</v>
      </c>
      <c r="AJ115" s="495">
        <v>0</v>
      </c>
      <c r="AK115" s="495">
        <v>0</v>
      </c>
      <c r="AL115" s="497">
        <v>569719</v>
      </c>
      <c r="AM115" s="494">
        <v>0</v>
      </c>
      <c r="AN115" s="495">
        <v>0</v>
      </c>
      <c r="AO115" s="495">
        <v>0</v>
      </c>
      <c r="AP115" s="495">
        <v>0</v>
      </c>
      <c r="AQ115" s="495">
        <v>0</v>
      </c>
      <c r="AR115" s="495">
        <v>0</v>
      </c>
      <c r="AS115" s="495">
        <v>0</v>
      </c>
      <c r="AT115" s="495">
        <v>0</v>
      </c>
      <c r="AU115" s="497">
        <v>0</v>
      </c>
    </row>
    <row r="116" spans="1:48" ht="15" thickTop="1">
      <c r="B116" s="499"/>
      <c r="C116" s="477"/>
      <c r="D116" s="489"/>
      <c r="E116" s="489"/>
      <c r="F116" s="489"/>
      <c r="G116" s="489"/>
      <c r="H116" s="489"/>
      <c r="I116" s="489"/>
      <c r="J116" s="489"/>
      <c r="K116" s="490"/>
      <c r="L116" s="477"/>
      <c r="M116" s="489"/>
      <c r="N116" s="489"/>
      <c r="O116" s="489"/>
      <c r="P116" s="489"/>
      <c r="Q116" s="489"/>
      <c r="R116" s="489"/>
      <c r="S116" s="489"/>
      <c r="T116" s="490"/>
      <c r="U116" s="477"/>
      <c r="V116" s="489"/>
      <c r="W116" s="489"/>
      <c r="X116" s="489"/>
      <c r="Y116" s="489"/>
      <c r="Z116" s="489"/>
      <c r="AA116" s="489"/>
      <c r="AB116" s="489"/>
      <c r="AC116" s="490"/>
      <c r="AD116" s="477"/>
      <c r="AE116" s="489"/>
      <c r="AF116" s="489"/>
      <c r="AG116" s="489"/>
      <c r="AH116" s="489"/>
      <c r="AI116" s="489"/>
      <c r="AJ116" s="489"/>
      <c r="AK116" s="489"/>
      <c r="AL116" s="490"/>
      <c r="AM116" s="477"/>
      <c r="AN116" s="489"/>
      <c r="AO116" s="489"/>
      <c r="AP116" s="489"/>
      <c r="AQ116" s="489"/>
      <c r="AR116" s="489"/>
      <c r="AS116" s="489"/>
      <c r="AT116" s="489"/>
      <c r="AU116" s="490"/>
    </row>
    <row r="117" spans="1:48">
      <c r="A117" s="498" t="s">
        <v>147</v>
      </c>
      <c r="B117" s="499"/>
      <c r="C117" s="477"/>
      <c r="D117" s="489"/>
      <c r="E117" s="489"/>
      <c r="F117" s="489"/>
      <c r="G117" s="489"/>
      <c r="H117" s="489"/>
      <c r="I117" s="489"/>
      <c r="J117" s="489"/>
      <c r="K117" s="490"/>
      <c r="L117" s="477"/>
      <c r="M117" s="489"/>
      <c r="N117" s="489"/>
      <c r="O117" s="489"/>
      <c r="P117" s="489"/>
      <c r="Q117" s="489"/>
      <c r="R117" s="489"/>
      <c r="S117" s="489"/>
      <c r="T117" s="490"/>
      <c r="U117" s="477"/>
      <c r="V117" s="489"/>
      <c r="W117" s="489"/>
      <c r="X117" s="489"/>
      <c r="Y117" s="489"/>
      <c r="Z117" s="489"/>
      <c r="AA117" s="489"/>
      <c r="AB117" s="489"/>
      <c r="AC117" s="490"/>
      <c r="AD117" s="477"/>
      <c r="AE117" s="489"/>
      <c r="AF117" s="489"/>
      <c r="AG117" s="489"/>
      <c r="AH117" s="489"/>
      <c r="AI117" s="489"/>
      <c r="AJ117" s="489"/>
      <c r="AK117" s="489"/>
      <c r="AL117" s="490"/>
      <c r="AM117" s="477"/>
      <c r="AN117" s="489"/>
      <c r="AO117" s="489"/>
      <c r="AP117" s="489"/>
      <c r="AQ117" s="489"/>
      <c r="AR117" s="489"/>
      <c r="AS117" s="489"/>
      <c r="AT117" s="489"/>
      <c r="AU117" s="490"/>
    </row>
    <row r="118" spans="1:48">
      <c r="A118" s="158" t="s">
        <v>146</v>
      </c>
      <c r="B118" s="488" t="s">
        <v>449</v>
      </c>
      <c r="C118" s="649" cm="1">
        <f t="array" ref="C118">_xlfn.XLOOKUP(A118,'TB upload'!A:A,'TB upload'!B:B-'TB upload'!C:C,0,)</f>
        <v>0</v>
      </c>
      <c r="D118" s="489"/>
      <c r="E118" s="474" cm="1">
        <f t="array" ref="E118">_xlfn.XLOOKUP($A118,'TB upload'!$A:$A,'TB upload'!D:D-'TB upload'!E:E,0,)</f>
        <v>0</v>
      </c>
      <c r="F118" s="489"/>
      <c r="G118" s="474" cm="1">
        <f t="array" ref="G118">_xlfn.XLOOKUP($A118,'TB upload'!$A:$A,'TB upload'!F:F-'TB upload'!G:G,0,)</f>
        <v>0</v>
      </c>
      <c r="H118" s="489"/>
      <c r="I118" s="489" cm="1">
        <f t="array" ref="I118">_xlfn.XLOOKUP($A118,'TB upload'!$A:$A,'TB upload'!H:H-'TB upload'!I:I,0,)</f>
        <v>0</v>
      </c>
      <c r="J118" s="489"/>
      <c r="K118" s="490">
        <f t="shared" ref="K118" si="45">SUM(C118:J118)</f>
        <v>0</v>
      </c>
      <c r="L118" s="649">
        <v>0</v>
      </c>
      <c r="M118" s="489"/>
      <c r="N118" s="474">
        <v>0</v>
      </c>
      <c r="O118" s="489"/>
      <c r="P118" s="474">
        <v>0</v>
      </c>
      <c r="Q118" s="489"/>
      <c r="R118" s="489">
        <v>0</v>
      </c>
      <c r="S118" s="489"/>
      <c r="T118" s="490">
        <v>0</v>
      </c>
      <c r="U118" s="477">
        <v>0</v>
      </c>
      <c r="V118" s="489"/>
      <c r="W118" s="474">
        <v>0</v>
      </c>
      <c r="X118" s="489"/>
      <c r="Y118" s="474">
        <v>0</v>
      </c>
      <c r="Z118" s="489"/>
      <c r="AA118" s="489">
        <v>0</v>
      </c>
      <c r="AB118" s="489"/>
      <c r="AC118" s="490">
        <v>0</v>
      </c>
      <c r="AD118" s="477">
        <v>8165446</v>
      </c>
      <c r="AE118" s="489"/>
      <c r="AF118" s="474">
        <v>0</v>
      </c>
      <c r="AG118" s="489"/>
      <c r="AH118" s="474">
        <v>0</v>
      </c>
      <c r="AI118" s="489"/>
      <c r="AJ118" s="489">
        <v>0</v>
      </c>
      <c r="AK118" s="489"/>
      <c r="AL118" s="490">
        <v>8165446</v>
      </c>
      <c r="AM118" s="477">
        <v>8165446</v>
      </c>
      <c r="AN118" s="489"/>
      <c r="AO118" s="489"/>
      <c r="AP118" s="489"/>
      <c r="AQ118" s="489"/>
      <c r="AR118" s="489"/>
      <c r="AS118" s="489"/>
      <c r="AT118" s="489"/>
      <c r="AU118" s="490">
        <v>8165446</v>
      </c>
    </row>
    <row r="119" spans="1:48" ht="15" thickBot="1">
      <c r="A119" s="158"/>
      <c r="B119" s="488"/>
      <c r="C119" s="477"/>
      <c r="D119" s="489"/>
      <c r="E119" s="489"/>
      <c r="F119" s="489"/>
      <c r="G119" s="489"/>
      <c r="H119" s="489"/>
      <c r="I119" s="489"/>
      <c r="J119" s="489"/>
      <c r="K119" s="490"/>
      <c r="L119" s="477"/>
      <c r="M119" s="489"/>
      <c r="N119" s="489"/>
      <c r="O119" s="489"/>
      <c r="P119" s="489"/>
      <c r="Q119" s="489"/>
      <c r="R119" s="489"/>
      <c r="S119" s="489"/>
      <c r="T119" s="490"/>
      <c r="U119" s="477"/>
      <c r="V119" s="489"/>
      <c r="W119" s="489"/>
      <c r="X119" s="489"/>
      <c r="Y119" s="489"/>
      <c r="Z119" s="489"/>
      <c r="AA119" s="489"/>
      <c r="AB119" s="489"/>
      <c r="AC119" s="490"/>
      <c r="AD119" s="477"/>
      <c r="AE119" s="489"/>
      <c r="AF119" s="489"/>
      <c r="AG119" s="489"/>
      <c r="AH119" s="489"/>
      <c r="AI119" s="489"/>
      <c r="AJ119" s="489"/>
      <c r="AK119" s="489"/>
      <c r="AL119" s="490"/>
      <c r="AM119" s="477"/>
      <c r="AN119" s="489"/>
      <c r="AO119" s="489"/>
      <c r="AP119" s="489"/>
      <c r="AQ119" s="489"/>
      <c r="AR119" s="489"/>
      <c r="AS119" s="489"/>
      <c r="AT119" s="489"/>
      <c r="AU119" s="490"/>
    </row>
    <row r="120" spans="1:48" ht="15.6" thickTop="1" thickBot="1">
      <c r="A120" s="492"/>
      <c r="B120" s="493" t="s">
        <v>1522</v>
      </c>
      <c r="C120" s="653">
        <f t="shared" ref="C120:K120" si="46">SUM(C118:C119)</f>
        <v>0</v>
      </c>
      <c r="D120" s="495">
        <f t="shared" si="46"/>
        <v>0</v>
      </c>
      <c r="E120" s="495">
        <f t="shared" si="46"/>
        <v>0</v>
      </c>
      <c r="F120" s="495">
        <f t="shared" si="46"/>
        <v>0</v>
      </c>
      <c r="G120" s="495">
        <f t="shared" si="46"/>
        <v>0</v>
      </c>
      <c r="H120" s="495">
        <f t="shared" si="46"/>
        <v>0</v>
      </c>
      <c r="I120" s="495">
        <f t="shared" si="46"/>
        <v>0</v>
      </c>
      <c r="J120" s="495">
        <f t="shared" si="46"/>
        <v>0</v>
      </c>
      <c r="K120" s="497">
        <f t="shared" si="46"/>
        <v>0</v>
      </c>
      <c r="L120" s="653">
        <v>0</v>
      </c>
      <c r="M120" s="495">
        <v>0</v>
      </c>
      <c r="N120" s="495">
        <v>0</v>
      </c>
      <c r="O120" s="495">
        <v>0</v>
      </c>
      <c r="P120" s="495">
        <v>0</v>
      </c>
      <c r="Q120" s="495">
        <v>0</v>
      </c>
      <c r="R120" s="495">
        <v>0</v>
      </c>
      <c r="S120" s="495">
        <v>0</v>
      </c>
      <c r="T120" s="497">
        <v>0</v>
      </c>
      <c r="U120" s="653">
        <v>0</v>
      </c>
      <c r="V120" s="495">
        <v>0</v>
      </c>
      <c r="W120" s="495">
        <v>0</v>
      </c>
      <c r="X120" s="495">
        <v>0</v>
      </c>
      <c r="Y120" s="495">
        <v>0</v>
      </c>
      <c r="Z120" s="495">
        <v>0</v>
      </c>
      <c r="AA120" s="495">
        <v>0</v>
      </c>
      <c r="AB120" s="495">
        <v>0</v>
      </c>
      <c r="AC120" s="497">
        <v>0</v>
      </c>
      <c r="AD120" s="494">
        <v>8165446</v>
      </c>
      <c r="AE120" s="495">
        <v>0</v>
      </c>
      <c r="AF120" s="495">
        <v>0</v>
      </c>
      <c r="AG120" s="495">
        <v>0</v>
      </c>
      <c r="AH120" s="495">
        <v>0</v>
      </c>
      <c r="AI120" s="495">
        <v>0</v>
      </c>
      <c r="AJ120" s="495">
        <v>0</v>
      </c>
      <c r="AK120" s="495">
        <v>0</v>
      </c>
      <c r="AL120" s="497">
        <v>8165446</v>
      </c>
      <c r="AM120" s="494">
        <v>8165446</v>
      </c>
      <c r="AN120" s="495">
        <v>0</v>
      </c>
      <c r="AO120" s="495">
        <v>0</v>
      </c>
      <c r="AP120" s="495">
        <v>0</v>
      </c>
      <c r="AQ120" s="495">
        <v>0</v>
      </c>
      <c r="AR120" s="495">
        <v>0</v>
      </c>
      <c r="AS120" s="495">
        <v>0</v>
      </c>
      <c r="AT120" s="495">
        <v>0</v>
      </c>
      <c r="AU120" s="497">
        <v>8165446</v>
      </c>
    </row>
    <row r="121" spans="1:48" ht="15" thickTop="1">
      <c r="A121" s="498" t="s">
        <v>1364</v>
      </c>
      <c r="B121" s="499"/>
      <c r="C121" s="477"/>
      <c r="D121" s="489"/>
      <c r="E121" s="489"/>
      <c r="F121" s="489"/>
      <c r="G121" s="489"/>
      <c r="H121" s="489"/>
      <c r="I121" s="489"/>
      <c r="J121" s="489"/>
      <c r="K121" s="490"/>
      <c r="L121" s="477"/>
      <c r="M121" s="489"/>
      <c r="N121" s="489"/>
      <c r="O121" s="489"/>
      <c r="P121" s="489"/>
      <c r="Q121" s="489"/>
      <c r="R121" s="489"/>
      <c r="S121" s="489"/>
      <c r="T121" s="490"/>
      <c r="U121" s="477"/>
      <c r="V121" s="489"/>
      <c r="W121" s="489"/>
      <c r="X121" s="489"/>
      <c r="Y121" s="489"/>
      <c r="Z121" s="489"/>
      <c r="AA121" s="489"/>
      <c r="AB121" s="489"/>
      <c r="AC121" s="490"/>
      <c r="AD121" s="477"/>
      <c r="AE121" s="489"/>
      <c r="AF121" s="489"/>
      <c r="AG121" s="489"/>
      <c r="AH121" s="489"/>
      <c r="AI121" s="489"/>
      <c r="AJ121" s="489"/>
      <c r="AK121" s="489"/>
      <c r="AL121" s="490"/>
      <c r="AM121" s="477"/>
      <c r="AN121" s="489"/>
      <c r="AO121" s="489"/>
      <c r="AP121" s="489"/>
      <c r="AQ121" s="489"/>
      <c r="AR121" s="489"/>
      <c r="AS121" s="489"/>
      <c r="AT121" s="489"/>
      <c r="AU121" s="490"/>
    </row>
    <row r="122" spans="1:48">
      <c r="A122" s="158" t="s">
        <v>1365</v>
      </c>
      <c r="B122" s="488" t="s">
        <v>449</v>
      </c>
      <c r="C122" s="649" cm="1">
        <f t="array" ref="C122">_xlfn.XLOOKUP(A122,'TB upload'!A:A,'TB upload'!B:B-'TB upload'!C:C,0,)</f>
        <v>0</v>
      </c>
      <c r="D122" s="489"/>
      <c r="E122" s="474" cm="1">
        <f t="array" ref="E122">_xlfn.XLOOKUP($A122,'TB upload'!$A:$A,'TB upload'!D:D-'TB upload'!E:E,0,)</f>
        <v>0</v>
      </c>
      <c r="F122" s="489"/>
      <c r="G122" s="474" cm="1">
        <f t="array" ref="G122">_xlfn.XLOOKUP($A122,'TB upload'!$A:$A,'TB upload'!F:F-'TB upload'!G:G,0,)</f>
        <v>0</v>
      </c>
      <c r="H122" s="489"/>
      <c r="I122" s="489" cm="1">
        <f t="array" ref="I122">_xlfn.XLOOKUP($A122,'TB upload'!$A:$A,'TB upload'!H:H-'TB upload'!I:I,0,)</f>
        <v>0</v>
      </c>
      <c r="J122" s="489"/>
      <c r="K122" s="490">
        <f t="shared" ref="K122" si="47">SUM(C122:J122)</f>
        <v>0</v>
      </c>
      <c r="L122" s="649">
        <v>0</v>
      </c>
      <c r="M122" s="489"/>
      <c r="N122" s="474">
        <v>0</v>
      </c>
      <c r="O122" s="489"/>
      <c r="P122" s="474">
        <v>0</v>
      </c>
      <c r="Q122" s="489"/>
      <c r="R122" s="489">
        <v>0</v>
      </c>
      <c r="S122" s="489"/>
      <c r="T122" s="490">
        <v>0</v>
      </c>
      <c r="U122" s="477">
        <v>0</v>
      </c>
      <c r="V122" s="489"/>
      <c r="W122" s="474">
        <v>0</v>
      </c>
      <c r="X122" s="489"/>
      <c r="Y122" s="474">
        <v>0</v>
      </c>
      <c r="Z122" s="489"/>
      <c r="AA122" s="489">
        <v>0</v>
      </c>
      <c r="AB122" s="489"/>
      <c r="AC122" s="490">
        <v>0</v>
      </c>
      <c r="AD122" s="477">
        <v>40000</v>
      </c>
      <c r="AE122" s="489"/>
      <c r="AF122" s="474">
        <v>0</v>
      </c>
      <c r="AG122" s="489"/>
      <c r="AH122" s="474">
        <v>0</v>
      </c>
      <c r="AI122" s="489"/>
      <c r="AJ122" s="489">
        <v>0</v>
      </c>
      <c r="AK122" s="489"/>
      <c r="AL122" s="490">
        <v>40000</v>
      </c>
      <c r="AM122" s="477">
        <v>0</v>
      </c>
      <c r="AN122" s="489"/>
      <c r="AO122" s="489"/>
      <c r="AP122" s="489"/>
      <c r="AQ122" s="489"/>
      <c r="AR122" s="489"/>
      <c r="AS122" s="489"/>
      <c r="AT122" s="489"/>
      <c r="AU122" s="490">
        <v>0</v>
      </c>
    </row>
    <row r="123" spans="1:48" ht="15" thickBot="1">
      <c r="A123" s="158" t="s">
        <v>1449</v>
      </c>
      <c r="B123" s="488"/>
      <c r="C123" s="477"/>
      <c r="D123" s="489"/>
      <c r="E123" s="489"/>
      <c r="F123" s="489"/>
      <c r="G123" s="489"/>
      <c r="H123" s="489"/>
      <c r="I123" s="489"/>
      <c r="J123" s="489"/>
      <c r="K123" s="490"/>
      <c r="L123" s="477"/>
      <c r="M123" s="489"/>
      <c r="N123" s="489"/>
      <c r="O123" s="489"/>
      <c r="P123" s="489"/>
      <c r="Q123" s="489"/>
      <c r="R123" s="489"/>
      <c r="S123" s="489"/>
      <c r="T123" s="490"/>
      <c r="U123" s="477"/>
      <c r="V123" s="489"/>
      <c r="W123" s="489"/>
      <c r="X123" s="489"/>
      <c r="Y123" s="489"/>
      <c r="Z123" s="489"/>
      <c r="AA123" s="489"/>
      <c r="AB123" s="489"/>
      <c r="AC123" s="490"/>
      <c r="AD123" s="477"/>
      <c r="AE123" s="489"/>
      <c r="AF123" s="489"/>
      <c r="AG123" s="489"/>
      <c r="AH123" s="489"/>
      <c r="AI123" s="489"/>
      <c r="AJ123" s="489"/>
      <c r="AK123" s="489"/>
      <c r="AL123" s="490"/>
      <c r="AM123" s="477"/>
      <c r="AN123" s="489"/>
      <c r="AO123" s="489"/>
      <c r="AP123" s="489"/>
      <c r="AQ123" s="489"/>
      <c r="AR123" s="489"/>
      <c r="AS123" s="489"/>
      <c r="AT123" s="489"/>
      <c r="AU123" s="490"/>
    </row>
    <row r="124" spans="1:48" ht="15.6" thickTop="1" thickBot="1">
      <c r="A124" s="492"/>
      <c r="B124" s="493" t="s">
        <v>1522</v>
      </c>
      <c r="C124" s="653">
        <f t="shared" ref="C124:K124" si="48">SUM(C122:C123)</f>
        <v>0</v>
      </c>
      <c r="D124" s="495">
        <f t="shared" si="48"/>
        <v>0</v>
      </c>
      <c r="E124" s="495">
        <f t="shared" si="48"/>
        <v>0</v>
      </c>
      <c r="F124" s="495">
        <f t="shared" si="48"/>
        <v>0</v>
      </c>
      <c r="G124" s="495">
        <f t="shared" si="48"/>
        <v>0</v>
      </c>
      <c r="H124" s="495">
        <f t="shared" si="48"/>
        <v>0</v>
      </c>
      <c r="I124" s="495">
        <f t="shared" si="48"/>
        <v>0</v>
      </c>
      <c r="J124" s="495">
        <f t="shared" si="48"/>
        <v>0</v>
      </c>
      <c r="K124" s="497">
        <f t="shared" si="48"/>
        <v>0</v>
      </c>
      <c r="L124" s="653">
        <v>0</v>
      </c>
      <c r="M124" s="495">
        <v>0</v>
      </c>
      <c r="N124" s="495">
        <v>0</v>
      </c>
      <c r="O124" s="495">
        <v>0</v>
      </c>
      <c r="P124" s="495">
        <v>0</v>
      </c>
      <c r="Q124" s="495">
        <v>0</v>
      </c>
      <c r="R124" s="495">
        <v>0</v>
      </c>
      <c r="S124" s="495">
        <v>0</v>
      </c>
      <c r="T124" s="497">
        <v>0</v>
      </c>
      <c r="U124" s="653">
        <v>0</v>
      </c>
      <c r="V124" s="495">
        <v>0</v>
      </c>
      <c r="W124" s="495">
        <v>0</v>
      </c>
      <c r="X124" s="495">
        <v>0</v>
      </c>
      <c r="Y124" s="495">
        <v>0</v>
      </c>
      <c r="Z124" s="495">
        <v>0</v>
      </c>
      <c r="AA124" s="495">
        <v>0</v>
      </c>
      <c r="AB124" s="495">
        <v>0</v>
      </c>
      <c r="AC124" s="497">
        <v>0</v>
      </c>
      <c r="AD124" s="494">
        <v>40000</v>
      </c>
      <c r="AE124" s="495">
        <v>0</v>
      </c>
      <c r="AF124" s="495">
        <v>0</v>
      </c>
      <c r="AG124" s="495">
        <v>0</v>
      </c>
      <c r="AH124" s="495">
        <v>0</v>
      </c>
      <c r="AI124" s="495">
        <v>0</v>
      </c>
      <c r="AJ124" s="495">
        <v>0</v>
      </c>
      <c r="AK124" s="495">
        <v>0</v>
      </c>
      <c r="AL124" s="497">
        <v>40000</v>
      </c>
      <c r="AM124" s="494">
        <v>0</v>
      </c>
      <c r="AN124" s="495">
        <v>0</v>
      </c>
      <c r="AO124" s="495">
        <v>0</v>
      </c>
      <c r="AP124" s="495">
        <v>0</v>
      </c>
      <c r="AQ124" s="495">
        <v>0</v>
      </c>
      <c r="AR124" s="495">
        <v>0</v>
      </c>
      <c r="AS124" s="495">
        <v>0</v>
      </c>
      <c r="AT124" s="495">
        <v>0</v>
      </c>
      <c r="AU124" s="497">
        <v>0</v>
      </c>
    </row>
    <row r="125" spans="1:48" ht="29.4" thickTop="1">
      <c r="A125" s="498" t="s">
        <v>365</v>
      </c>
      <c r="B125" s="499"/>
      <c r="C125" s="477"/>
      <c r="D125" s="489"/>
      <c r="E125" s="489"/>
      <c r="F125" s="489"/>
      <c r="G125" s="489"/>
      <c r="H125" s="489"/>
      <c r="I125" s="489"/>
      <c r="J125" s="489"/>
      <c r="K125" s="490"/>
      <c r="L125" s="477"/>
      <c r="M125" s="489"/>
      <c r="N125" s="489"/>
      <c r="O125" s="489"/>
      <c r="P125" s="489"/>
      <c r="Q125" s="489"/>
      <c r="R125" s="489"/>
      <c r="S125" s="489"/>
      <c r="T125" s="490"/>
      <c r="U125" s="477"/>
      <c r="V125" s="489"/>
      <c r="W125" s="489"/>
      <c r="X125" s="489"/>
      <c r="Y125" s="489"/>
      <c r="Z125" s="489"/>
      <c r="AA125" s="489"/>
      <c r="AB125" s="489"/>
      <c r="AC125" s="490"/>
      <c r="AD125" s="477"/>
      <c r="AE125" s="489"/>
      <c r="AF125" s="489"/>
      <c r="AG125" s="489"/>
      <c r="AH125" s="489"/>
      <c r="AI125" s="489"/>
      <c r="AJ125" s="489"/>
      <c r="AK125" s="489"/>
      <c r="AL125" s="490"/>
      <c r="AM125" s="477"/>
      <c r="AN125" s="489"/>
      <c r="AO125" s="489"/>
      <c r="AP125" s="489"/>
      <c r="AQ125" s="489"/>
      <c r="AR125" s="489"/>
      <c r="AS125" s="489"/>
      <c r="AT125" s="489"/>
      <c r="AU125" s="490"/>
    </row>
    <row r="126" spans="1:48">
      <c r="A126" s="158" t="s">
        <v>149</v>
      </c>
      <c r="B126" s="488" t="s">
        <v>449</v>
      </c>
      <c r="C126" s="649" cm="1">
        <f t="array" ref="C126">_xlfn.XLOOKUP(A126,'TB upload'!A:A,'TB upload'!B:B-'TB upload'!C:C,0,)</f>
        <v>0</v>
      </c>
      <c r="D126" s="489"/>
      <c r="E126" s="474" cm="1">
        <f t="array" ref="E126">_xlfn.XLOOKUP($A126,'TB upload'!$A:$A,'TB upload'!D:D-'TB upload'!E:E,0,)</f>
        <v>0</v>
      </c>
      <c r="F126" s="489"/>
      <c r="G126" s="474" cm="1">
        <f t="array" ref="G126">_xlfn.XLOOKUP($A126,'TB upload'!$A:$A,'TB upload'!F:F-'TB upload'!G:G,0,)</f>
        <v>0</v>
      </c>
      <c r="H126" s="489"/>
      <c r="I126" s="489" cm="1">
        <f t="array" ref="I126">_xlfn.XLOOKUP($A126,'TB upload'!$A:$A,'TB upload'!H:H-'TB upload'!I:I,0,)</f>
        <v>0</v>
      </c>
      <c r="J126" s="489"/>
      <c r="K126" s="490">
        <f t="shared" ref="K126" si="49">SUM(C126:J126)</f>
        <v>0</v>
      </c>
      <c r="L126" s="649">
        <v>100000</v>
      </c>
      <c r="M126" s="489"/>
      <c r="N126" s="474">
        <v>0</v>
      </c>
      <c r="O126" s="489"/>
      <c r="P126" s="474">
        <v>0</v>
      </c>
      <c r="Q126" s="489"/>
      <c r="R126" s="489">
        <v>0</v>
      </c>
      <c r="S126" s="489"/>
      <c r="T126" s="490">
        <v>100000</v>
      </c>
      <c r="U126" s="650">
        <v>100000</v>
      </c>
      <c r="V126" s="489"/>
      <c r="W126" s="474">
        <v>0</v>
      </c>
      <c r="X126" s="489"/>
      <c r="Y126" s="474">
        <v>0</v>
      </c>
      <c r="Z126" s="489"/>
      <c r="AA126" s="489">
        <v>0</v>
      </c>
      <c r="AB126" s="489"/>
      <c r="AC126" s="490">
        <v>100000</v>
      </c>
      <c r="AD126" s="477">
        <v>100000</v>
      </c>
      <c r="AE126" s="489"/>
      <c r="AF126" s="474">
        <v>0</v>
      </c>
      <c r="AG126" s="489"/>
      <c r="AH126" s="474">
        <v>0</v>
      </c>
      <c r="AI126" s="489"/>
      <c r="AJ126" s="489">
        <v>0</v>
      </c>
      <c r="AK126" s="489"/>
      <c r="AL126" s="490">
        <v>100000</v>
      </c>
      <c r="AM126" s="477">
        <v>100000</v>
      </c>
      <c r="AN126" s="489"/>
      <c r="AO126" s="489"/>
      <c r="AP126" s="489"/>
      <c r="AQ126" s="489"/>
      <c r="AR126" s="489"/>
      <c r="AS126" s="489"/>
      <c r="AT126" s="489"/>
      <c r="AU126" s="490">
        <v>100000</v>
      </c>
    </row>
    <row r="127" spans="1:48" ht="15" thickBot="1">
      <c r="A127" s="158"/>
      <c r="B127" s="488"/>
      <c r="C127" s="477"/>
      <c r="D127" s="489"/>
      <c r="E127" s="489"/>
      <c r="F127" s="489"/>
      <c r="G127" s="489"/>
      <c r="H127" s="489"/>
      <c r="I127" s="489"/>
      <c r="J127" s="489"/>
      <c r="K127" s="490"/>
      <c r="L127" s="477"/>
      <c r="M127" s="489"/>
      <c r="N127" s="489"/>
      <c r="O127" s="489"/>
      <c r="P127" s="489"/>
      <c r="Q127" s="489"/>
      <c r="R127" s="489"/>
      <c r="S127" s="489"/>
      <c r="T127" s="490"/>
      <c r="U127" s="477"/>
      <c r="V127" s="489"/>
      <c r="W127" s="489"/>
      <c r="X127" s="489"/>
      <c r="Y127" s="489"/>
      <c r="Z127" s="489"/>
      <c r="AA127" s="489"/>
      <c r="AB127" s="489"/>
      <c r="AC127" s="490"/>
      <c r="AD127" s="477"/>
      <c r="AE127" s="489"/>
      <c r="AF127" s="489"/>
      <c r="AG127" s="489"/>
      <c r="AH127" s="489"/>
      <c r="AI127" s="489"/>
      <c r="AJ127" s="489"/>
      <c r="AK127" s="489"/>
      <c r="AL127" s="490"/>
      <c r="AM127" s="477"/>
      <c r="AN127" s="489"/>
      <c r="AO127" s="489"/>
      <c r="AP127" s="489"/>
      <c r="AQ127" s="489"/>
      <c r="AR127" s="489"/>
      <c r="AS127" s="489"/>
      <c r="AT127" s="489"/>
      <c r="AU127" s="490"/>
    </row>
    <row r="128" spans="1:48" ht="15.6" thickTop="1" thickBot="1">
      <c r="A128" s="492"/>
      <c r="B128" s="493" t="s">
        <v>1522</v>
      </c>
      <c r="C128" s="653">
        <f t="shared" ref="C128:K128" si="50">SUM(C126:C127)</f>
        <v>0</v>
      </c>
      <c r="D128" s="495">
        <f t="shared" si="50"/>
        <v>0</v>
      </c>
      <c r="E128" s="495">
        <f t="shared" si="50"/>
        <v>0</v>
      </c>
      <c r="F128" s="495">
        <f t="shared" si="50"/>
        <v>0</v>
      </c>
      <c r="G128" s="495">
        <f t="shared" si="50"/>
        <v>0</v>
      </c>
      <c r="H128" s="495">
        <f t="shared" si="50"/>
        <v>0</v>
      </c>
      <c r="I128" s="495">
        <f t="shared" si="50"/>
        <v>0</v>
      </c>
      <c r="J128" s="495">
        <f t="shared" si="50"/>
        <v>0</v>
      </c>
      <c r="K128" s="656">
        <f t="shared" si="50"/>
        <v>0</v>
      </c>
      <c r="L128" s="653">
        <v>100000</v>
      </c>
      <c r="M128" s="495">
        <v>0</v>
      </c>
      <c r="N128" s="495">
        <v>0</v>
      </c>
      <c r="O128" s="495">
        <v>0</v>
      </c>
      <c r="P128" s="495">
        <v>0</v>
      </c>
      <c r="Q128" s="495">
        <v>0</v>
      </c>
      <c r="R128" s="495">
        <v>0</v>
      </c>
      <c r="S128" s="495">
        <v>0</v>
      </c>
      <c r="T128" s="656">
        <v>100000</v>
      </c>
      <c r="U128" s="653">
        <v>100000</v>
      </c>
      <c r="V128" s="495">
        <v>0</v>
      </c>
      <c r="W128" s="495">
        <v>0</v>
      </c>
      <c r="X128" s="495">
        <v>0</v>
      </c>
      <c r="Y128" s="495">
        <v>0</v>
      </c>
      <c r="Z128" s="495">
        <v>0</v>
      </c>
      <c r="AA128" s="495">
        <v>0</v>
      </c>
      <c r="AB128" s="495">
        <v>0</v>
      </c>
      <c r="AC128" s="656">
        <v>100000</v>
      </c>
      <c r="AD128" s="494">
        <v>100000</v>
      </c>
      <c r="AE128" s="495">
        <v>0</v>
      </c>
      <c r="AF128" s="495">
        <v>0</v>
      </c>
      <c r="AG128" s="495">
        <v>0</v>
      </c>
      <c r="AH128" s="495">
        <v>0</v>
      </c>
      <c r="AI128" s="495">
        <v>0</v>
      </c>
      <c r="AJ128" s="495">
        <v>0</v>
      </c>
      <c r="AK128" s="495">
        <v>0</v>
      </c>
      <c r="AL128" s="496">
        <v>100000</v>
      </c>
      <c r="AM128" s="494">
        <v>100000</v>
      </c>
      <c r="AN128" s="495">
        <v>0</v>
      </c>
      <c r="AO128" s="495">
        <v>0</v>
      </c>
      <c r="AP128" s="495">
        <v>0</v>
      </c>
      <c r="AQ128" s="495">
        <v>0</v>
      </c>
      <c r="AR128" s="495">
        <v>0</v>
      </c>
      <c r="AS128" s="495">
        <v>0</v>
      </c>
      <c r="AT128" s="495">
        <v>0</v>
      </c>
      <c r="AU128" s="497">
        <v>100000</v>
      </c>
    </row>
    <row r="129" spans="1:47" ht="15" thickTop="1">
      <c r="A129" s="158"/>
      <c r="B129" s="488"/>
      <c r="C129" s="477"/>
      <c r="D129" s="489"/>
      <c r="E129" s="489"/>
      <c r="F129" s="489"/>
      <c r="G129" s="489"/>
      <c r="H129" s="489"/>
      <c r="I129" s="489"/>
      <c r="J129" s="489"/>
      <c r="K129" s="490"/>
      <c r="L129" s="477"/>
      <c r="M129" s="489"/>
      <c r="N129" s="489"/>
      <c r="O129" s="489"/>
      <c r="P129" s="489"/>
      <c r="Q129" s="489"/>
      <c r="R129" s="489"/>
      <c r="S129" s="489"/>
      <c r="T129" s="490"/>
      <c r="U129" s="477"/>
      <c r="V129" s="489"/>
      <c r="W129" s="489"/>
      <c r="X129" s="489"/>
      <c r="Y129" s="489"/>
      <c r="Z129" s="489"/>
      <c r="AA129" s="489"/>
      <c r="AB129" s="489"/>
      <c r="AC129" s="490"/>
      <c r="AD129" s="477"/>
      <c r="AE129" s="489"/>
      <c r="AF129" s="489"/>
      <c r="AG129" s="489"/>
      <c r="AH129" s="489"/>
      <c r="AI129" s="489"/>
      <c r="AJ129" s="489"/>
      <c r="AK129" s="489"/>
      <c r="AL129" s="490"/>
      <c r="AM129" s="477"/>
      <c r="AN129" s="489"/>
      <c r="AO129" s="489"/>
      <c r="AP129" s="489"/>
      <c r="AQ129" s="489"/>
      <c r="AR129" s="489"/>
      <c r="AS129" s="489"/>
      <c r="AT129" s="489"/>
      <c r="AU129" s="490"/>
    </row>
    <row r="130" spans="1:47">
      <c r="A130" s="498" t="s">
        <v>538</v>
      </c>
      <c r="B130" s="499"/>
      <c r="C130" s="477"/>
      <c r="D130" s="489"/>
      <c r="E130" s="489"/>
      <c r="F130" s="489"/>
      <c r="G130" s="489"/>
      <c r="H130" s="489"/>
      <c r="I130" s="489"/>
      <c r="J130" s="489"/>
      <c r="K130" s="490"/>
      <c r="L130" s="477"/>
      <c r="M130" s="489"/>
      <c r="N130" s="489"/>
      <c r="O130" s="489"/>
      <c r="P130" s="489"/>
      <c r="Q130" s="489"/>
      <c r="R130" s="489"/>
      <c r="S130" s="489"/>
      <c r="T130" s="490"/>
      <c r="U130" s="477"/>
      <c r="V130" s="489"/>
      <c r="W130" s="489"/>
      <c r="X130" s="489"/>
      <c r="Y130" s="489"/>
      <c r="Z130" s="489"/>
      <c r="AA130" s="489"/>
      <c r="AB130" s="489"/>
      <c r="AC130" s="490"/>
      <c r="AD130" s="477"/>
      <c r="AE130" s="489"/>
      <c r="AF130" s="489"/>
      <c r="AG130" s="489"/>
      <c r="AH130" s="489"/>
      <c r="AI130" s="489"/>
      <c r="AJ130" s="489"/>
      <c r="AK130" s="489"/>
      <c r="AL130" s="490"/>
      <c r="AM130" s="477"/>
      <c r="AN130" s="489"/>
      <c r="AO130" s="489"/>
      <c r="AP130" s="489"/>
      <c r="AQ130" s="489"/>
      <c r="AR130" s="489"/>
      <c r="AS130" s="489"/>
      <c r="AT130" s="489"/>
      <c r="AU130" s="490"/>
    </row>
    <row r="131" spans="1:47">
      <c r="A131" s="158" t="s">
        <v>137</v>
      </c>
      <c r="B131" s="488" t="s">
        <v>449</v>
      </c>
      <c r="C131" s="649" cm="1">
        <f t="array" ref="C131">_xlfn.XLOOKUP(A131,'TB upload'!A:A,'TB upload'!B:B-'TB upload'!C:C,0,)</f>
        <v>25000</v>
      </c>
      <c r="D131" s="489"/>
      <c r="E131" s="474" cm="1">
        <f t="array" ref="E131">_xlfn.XLOOKUP($A131,'TB upload'!$A:$A,'TB upload'!D:D-'TB upload'!E:E,0,)</f>
        <v>0</v>
      </c>
      <c r="F131" s="489"/>
      <c r="G131" s="474" cm="1">
        <f t="array" ref="G131">_xlfn.XLOOKUP($A131,'TB upload'!$A:$A,'TB upload'!F:F-'TB upload'!G:G,0,)</f>
        <v>0</v>
      </c>
      <c r="H131" s="489"/>
      <c r="I131" s="489" cm="1">
        <f t="array" ref="I131">_xlfn.XLOOKUP($A131,'TB upload'!$A:$A,'TB upload'!H:H-'TB upload'!I:I,0,)</f>
        <v>0</v>
      </c>
      <c r="J131" s="489"/>
      <c r="K131" s="490">
        <f t="shared" ref="K131:K132" si="51">SUM(C131:J131)</f>
        <v>25000</v>
      </c>
      <c r="L131" s="649">
        <v>25000</v>
      </c>
      <c r="M131" s="489"/>
      <c r="N131" s="474">
        <v>0</v>
      </c>
      <c r="O131" s="489"/>
      <c r="P131" s="474">
        <v>0</v>
      </c>
      <c r="Q131" s="489"/>
      <c r="R131" s="489">
        <v>0</v>
      </c>
      <c r="S131" s="489"/>
      <c r="T131" s="490">
        <v>25000</v>
      </c>
      <c r="U131" s="650">
        <v>25000</v>
      </c>
      <c r="V131" s="489"/>
      <c r="W131" s="474">
        <v>0</v>
      </c>
      <c r="X131" s="489"/>
      <c r="Y131" s="474">
        <v>0</v>
      </c>
      <c r="Z131" s="489"/>
      <c r="AA131" s="489">
        <v>0</v>
      </c>
      <c r="AB131" s="489"/>
      <c r="AC131" s="490">
        <v>25000</v>
      </c>
      <c r="AD131" s="477">
        <v>25000</v>
      </c>
      <c r="AE131" s="489"/>
      <c r="AF131" s="474">
        <v>0</v>
      </c>
      <c r="AG131" s="489"/>
      <c r="AH131" s="474">
        <v>0</v>
      </c>
      <c r="AI131" s="489"/>
      <c r="AJ131" s="489">
        <v>0</v>
      </c>
      <c r="AK131" s="489"/>
      <c r="AL131" s="490">
        <v>25000</v>
      </c>
      <c r="AM131" s="477">
        <v>25000</v>
      </c>
      <c r="AN131" s="489"/>
      <c r="AO131" s="489"/>
      <c r="AP131" s="489"/>
      <c r="AQ131" s="489"/>
      <c r="AR131" s="489"/>
      <c r="AS131" s="489"/>
      <c r="AT131" s="489"/>
      <c r="AU131" s="490">
        <v>25000</v>
      </c>
    </row>
    <row r="132" spans="1:47" ht="15" thickBot="1">
      <c r="A132" s="158" t="s">
        <v>1433</v>
      </c>
      <c r="B132" s="488" t="s">
        <v>450</v>
      </c>
      <c r="C132" s="477">
        <v>-25000</v>
      </c>
      <c r="D132" s="489"/>
      <c r="E132" s="489"/>
      <c r="F132" s="489"/>
      <c r="G132" s="489"/>
      <c r="H132" s="489"/>
      <c r="I132" s="489"/>
      <c r="J132" s="489"/>
      <c r="K132" s="490">
        <f t="shared" si="51"/>
        <v>-25000</v>
      </c>
      <c r="L132" s="477">
        <v>15335</v>
      </c>
      <c r="M132" s="489"/>
      <c r="N132" s="489"/>
      <c r="O132" s="489"/>
      <c r="P132" s="489"/>
      <c r="Q132" s="489"/>
      <c r="R132" s="489"/>
      <c r="S132" s="489"/>
      <c r="T132" s="490">
        <v>15335</v>
      </c>
      <c r="U132" s="477">
        <v>15335</v>
      </c>
      <c r="V132" s="489"/>
      <c r="W132" s="489"/>
      <c r="X132" s="489"/>
      <c r="Y132" s="489"/>
      <c r="Z132" s="489"/>
      <c r="AA132" s="489"/>
      <c r="AB132" s="489"/>
      <c r="AC132" s="490">
        <v>15335</v>
      </c>
      <c r="AD132" s="477"/>
      <c r="AE132" s="489"/>
      <c r="AF132" s="489"/>
      <c r="AG132" s="489">
        <v>4044</v>
      </c>
      <c r="AH132" s="489"/>
      <c r="AI132" s="489"/>
      <c r="AJ132" s="489"/>
      <c r="AK132" s="489"/>
      <c r="AL132" s="490">
        <v>4044</v>
      </c>
      <c r="AM132" s="477"/>
      <c r="AN132" s="489"/>
      <c r="AO132" s="489"/>
      <c r="AP132" s="489"/>
      <c r="AQ132" s="489"/>
      <c r="AR132" s="489"/>
      <c r="AS132" s="489"/>
      <c r="AT132" s="489"/>
      <c r="AU132" s="490"/>
    </row>
    <row r="133" spans="1:47" ht="15.6" thickTop="1" thickBot="1">
      <c r="A133" s="492"/>
      <c r="B133" s="493" t="s">
        <v>1522</v>
      </c>
      <c r="C133" s="653">
        <f t="shared" ref="C133:K133" si="52">SUM(C131:C132)</f>
        <v>0</v>
      </c>
      <c r="D133" s="495">
        <f t="shared" si="52"/>
        <v>0</v>
      </c>
      <c r="E133" s="495">
        <f t="shared" si="52"/>
        <v>0</v>
      </c>
      <c r="F133" s="495">
        <f t="shared" si="52"/>
        <v>0</v>
      </c>
      <c r="G133" s="495">
        <f t="shared" si="52"/>
        <v>0</v>
      </c>
      <c r="H133" s="495">
        <f t="shared" si="52"/>
        <v>0</v>
      </c>
      <c r="I133" s="495">
        <f t="shared" si="52"/>
        <v>0</v>
      </c>
      <c r="J133" s="495">
        <f t="shared" si="52"/>
        <v>0</v>
      </c>
      <c r="K133" s="656">
        <f t="shared" si="52"/>
        <v>0</v>
      </c>
      <c r="L133" s="653">
        <v>40335</v>
      </c>
      <c r="M133" s="495">
        <v>0</v>
      </c>
      <c r="N133" s="495">
        <v>0</v>
      </c>
      <c r="O133" s="495">
        <v>0</v>
      </c>
      <c r="P133" s="495">
        <v>0</v>
      </c>
      <c r="Q133" s="495">
        <v>0</v>
      </c>
      <c r="R133" s="495">
        <v>0</v>
      </c>
      <c r="S133" s="495">
        <v>0</v>
      </c>
      <c r="T133" s="656">
        <v>40335</v>
      </c>
      <c r="U133" s="653">
        <v>40335</v>
      </c>
      <c r="V133" s="495">
        <v>0</v>
      </c>
      <c r="W133" s="495">
        <v>0</v>
      </c>
      <c r="X133" s="495">
        <v>0</v>
      </c>
      <c r="Y133" s="495">
        <v>0</v>
      </c>
      <c r="Z133" s="495">
        <v>0</v>
      </c>
      <c r="AA133" s="495">
        <v>0</v>
      </c>
      <c r="AB133" s="495">
        <v>0</v>
      </c>
      <c r="AC133" s="656">
        <v>40335</v>
      </c>
      <c r="AD133" s="494">
        <v>25000</v>
      </c>
      <c r="AE133" s="495">
        <v>0</v>
      </c>
      <c r="AF133" s="495">
        <v>0</v>
      </c>
      <c r="AG133" s="495">
        <v>4044</v>
      </c>
      <c r="AH133" s="495">
        <v>0</v>
      </c>
      <c r="AI133" s="495">
        <v>0</v>
      </c>
      <c r="AJ133" s="495">
        <v>0</v>
      </c>
      <c r="AK133" s="495">
        <v>0</v>
      </c>
      <c r="AL133" s="496">
        <v>29044</v>
      </c>
      <c r="AM133" s="494">
        <v>25000</v>
      </c>
      <c r="AN133" s="495">
        <v>0</v>
      </c>
      <c r="AO133" s="495">
        <v>0</v>
      </c>
      <c r="AP133" s="495">
        <v>0</v>
      </c>
      <c r="AQ133" s="495">
        <v>0</v>
      </c>
      <c r="AR133" s="495">
        <v>0</v>
      </c>
      <c r="AS133" s="495">
        <v>0</v>
      </c>
      <c r="AT133" s="495">
        <v>0</v>
      </c>
      <c r="AU133" s="497">
        <v>25000</v>
      </c>
    </row>
    <row r="134" spans="1:47" ht="15" thickTop="1">
      <c r="A134" s="498" t="s">
        <v>473</v>
      </c>
      <c r="B134" s="499"/>
      <c r="C134" s="477"/>
      <c r="D134" s="489"/>
      <c r="E134" s="489"/>
      <c r="F134" s="489"/>
      <c r="G134" s="489"/>
      <c r="H134" s="489"/>
      <c r="I134" s="489"/>
      <c r="J134" s="489"/>
      <c r="K134" s="490"/>
      <c r="L134" s="477"/>
      <c r="M134" s="489"/>
      <c r="N134" s="489"/>
      <c r="O134" s="489"/>
      <c r="P134" s="489"/>
      <c r="Q134" s="489"/>
      <c r="R134" s="489"/>
      <c r="S134" s="489"/>
      <c r="T134" s="490"/>
      <c r="U134" s="477"/>
      <c r="V134" s="489"/>
      <c r="W134" s="489"/>
      <c r="X134" s="489"/>
      <c r="Y134" s="489"/>
      <c r="Z134" s="489"/>
      <c r="AA134" s="489"/>
      <c r="AB134" s="489"/>
      <c r="AC134" s="490"/>
      <c r="AD134" s="477"/>
      <c r="AE134" s="489"/>
      <c r="AF134" s="489"/>
      <c r="AG134" s="489"/>
      <c r="AH134" s="489"/>
      <c r="AI134" s="489"/>
      <c r="AJ134" s="489"/>
      <c r="AK134" s="489"/>
      <c r="AL134" s="490"/>
      <c r="AM134" s="477"/>
      <c r="AN134" s="489"/>
      <c r="AO134" s="489"/>
      <c r="AP134" s="489"/>
      <c r="AQ134" s="489"/>
      <c r="AR134" s="489"/>
      <c r="AS134" s="489"/>
      <c r="AT134" s="489"/>
      <c r="AU134" s="490"/>
    </row>
    <row r="135" spans="1:47">
      <c r="A135" s="158" t="s">
        <v>1147</v>
      </c>
      <c r="B135" s="488" t="s">
        <v>1432</v>
      </c>
      <c r="C135" s="477"/>
      <c r="D135" s="489"/>
      <c r="E135" s="489"/>
      <c r="F135" s="489"/>
      <c r="G135" s="489"/>
      <c r="H135" s="489"/>
      <c r="I135" s="489"/>
      <c r="J135" s="489"/>
      <c r="K135" s="490">
        <f t="shared" ref="K135:K136" si="53">SUM(C135:J135)</f>
        <v>0</v>
      </c>
      <c r="L135" s="477"/>
      <c r="M135" s="489"/>
      <c r="N135" s="489"/>
      <c r="O135" s="489"/>
      <c r="P135" s="489"/>
      <c r="Q135" s="489"/>
      <c r="R135" s="489"/>
      <c r="S135" s="489"/>
      <c r="T135" s="490">
        <v>0</v>
      </c>
      <c r="U135" s="477"/>
      <c r="V135" s="489"/>
      <c r="W135" s="489"/>
      <c r="X135" s="489"/>
      <c r="Y135" s="489"/>
      <c r="Z135" s="489"/>
      <c r="AA135" s="489"/>
      <c r="AB135" s="489"/>
      <c r="AC135" s="490">
        <v>0</v>
      </c>
      <c r="AD135" s="477"/>
      <c r="AE135" s="489"/>
      <c r="AF135" s="489">
        <v>130350</v>
      </c>
      <c r="AG135" s="489"/>
      <c r="AH135" s="489"/>
      <c r="AI135" s="489"/>
      <c r="AJ135" s="489"/>
      <c r="AK135" s="489"/>
      <c r="AL135" s="490">
        <v>130350</v>
      </c>
      <c r="AM135" s="477"/>
      <c r="AN135" s="489"/>
      <c r="AO135" s="489"/>
      <c r="AP135" s="489"/>
      <c r="AQ135" s="489"/>
      <c r="AR135" s="489"/>
      <c r="AS135" s="489"/>
      <c r="AT135" s="489"/>
      <c r="AU135" s="490">
        <v>0</v>
      </c>
    </row>
    <row r="136" spans="1:47" ht="15" thickBot="1">
      <c r="A136" s="158" t="s">
        <v>133</v>
      </c>
      <c r="B136" s="488" t="s">
        <v>449</v>
      </c>
      <c r="C136" s="649" cm="1">
        <f t="array" ref="C136">_xlfn.XLOOKUP(A136,'TB upload'!A:A,'TB upload'!B:B-'TB upload'!C:C,0,)</f>
        <v>0</v>
      </c>
      <c r="D136" s="489">
        <f>-C136</f>
        <v>0</v>
      </c>
      <c r="E136" s="474" cm="1">
        <f t="array" ref="E136">_xlfn.XLOOKUP($A136,'TB upload'!$A:$A,'TB upload'!D:D-'TB upload'!E:E,0,)</f>
        <v>0</v>
      </c>
      <c r="F136" s="489"/>
      <c r="G136" s="474" cm="1">
        <f t="array" ref="G136">_xlfn.XLOOKUP($A136,'TB upload'!$A:$A,'TB upload'!F:F-'TB upload'!G:G,0,)</f>
        <v>0</v>
      </c>
      <c r="H136" s="489"/>
      <c r="I136" s="489" cm="1">
        <f t="array" ref="I136">_xlfn.XLOOKUP($A136,'TB upload'!$A:$A,'TB upload'!H:H-'TB upload'!I:I,0,)</f>
        <v>0</v>
      </c>
      <c r="J136" s="489"/>
      <c r="K136" s="490">
        <f t="shared" si="53"/>
        <v>0</v>
      </c>
      <c r="L136" s="649">
        <v>-43642.54</v>
      </c>
      <c r="M136" s="489">
        <v>43642.54</v>
      </c>
      <c r="N136" s="474">
        <v>0</v>
      </c>
      <c r="O136" s="489"/>
      <c r="P136" s="474">
        <v>0</v>
      </c>
      <c r="Q136" s="489"/>
      <c r="R136" s="489">
        <v>0</v>
      </c>
      <c r="S136" s="489"/>
      <c r="T136" s="490">
        <v>0</v>
      </c>
      <c r="U136" s="650">
        <v>-28426.54</v>
      </c>
      <c r="V136" s="489">
        <v>28426.54</v>
      </c>
      <c r="W136" s="474"/>
      <c r="X136" s="489"/>
      <c r="Y136" s="474"/>
      <c r="Z136" s="489"/>
      <c r="AA136" s="489"/>
      <c r="AB136" s="489"/>
      <c r="AC136" s="490">
        <v>0</v>
      </c>
      <c r="AD136" s="477">
        <v>136383.46</v>
      </c>
      <c r="AE136" s="489">
        <v>13234</v>
      </c>
      <c r="AF136" s="474">
        <v>0</v>
      </c>
      <c r="AG136" s="489">
        <v>-4044</v>
      </c>
      <c r="AH136" s="474">
        <v>0</v>
      </c>
      <c r="AI136" s="489"/>
      <c r="AJ136" s="489">
        <v>0</v>
      </c>
      <c r="AK136" s="489"/>
      <c r="AL136" s="490">
        <v>145573.46</v>
      </c>
      <c r="AM136" s="477">
        <v>110899.46</v>
      </c>
      <c r="AN136" s="489">
        <v>21440</v>
      </c>
      <c r="AO136" s="489"/>
      <c r="AP136" s="489"/>
      <c r="AQ136" s="489"/>
      <c r="AR136" s="489"/>
      <c r="AS136" s="489"/>
      <c r="AT136" s="489"/>
      <c r="AU136" s="490">
        <v>132339.46000000002</v>
      </c>
    </row>
    <row r="137" spans="1:47" ht="15.6" thickTop="1" thickBot="1">
      <c r="A137" s="492"/>
      <c r="B137" s="493" t="s">
        <v>1522</v>
      </c>
      <c r="C137" s="653">
        <f t="shared" ref="C137:K137" si="54">SUM(C135:C136)</f>
        <v>0</v>
      </c>
      <c r="D137" s="495">
        <f t="shared" si="54"/>
        <v>0</v>
      </c>
      <c r="E137" s="495">
        <f t="shared" si="54"/>
        <v>0</v>
      </c>
      <c r="F137" s="495">
        <f t="shared" si="54"/>
        <v>0</v>
      </c>
      <c r="G137" s="495">
        <f t="shared" si="54"/>
        <v>0</v>
      </c>
      <c r="H137" s="495">
        <f t="shared" si="54"/>
        <v>0</v>
      </c>
      <c r="I137" s="495">
        <f t="shared" si="54"/>
        <v>0</v>
      </c>
      <c r="J137" s="495">
        <f t="shared" si="54"/>
        <v>0</v>
      </c>
      <c r="K137" s="656">
        <f t="shared" si="54"/>
        <v>0</v>
      </c>
      <c r="L137" s="653">
        <v>-43642.54</v>
      </c>
      <c r="M137" s="495">
        <v>43642.54</v>
      </c>
      <c r="N137" s="495">
        <v>0</v>
      </c>
      <c r="O137" s="495">
        <v>0</v>
      </c>
      <c r="P137" s="495">
        <v>0</v>
      </c>
      <c r="Q137" s="495">
        <v>0</v>
      </c>
      <c r="R137" s="495">
        <v>0</v>
      </c>
      <c r="S137" s="495">
        <v>0</v>
      </c>
      <c r="T137" s="656">
        <v>0</v>
      </c>
      <c r="U137" s="653">
        <v>-28426.54</v>
      </c>
      <c r="V137" s="495">
        <v>28426.54</v>
      </c>
      <c r="W137" s="495">
        <v>0</v>
      </c>
      <c r="X137" s="495">
        <v>0</v>
      </c>
      <c r="Y137" s="495">
        <v>0</v>
      </c>
      <c r="Z137" s="495">
        <v>0</v>
      </c>
      <c r="AA137" s="495">
        <v>0</v>
      </c>
      <c r="AB137" s="495">
        <v>0</v>
      </c>
      <c r="AC137" s="656">
        <v>0</v>
      </c>
      <c r="AD137" s="494">
        <v>136383.46</v>
      </c>
      <c r="AE137" s="495">
        <v>13234</v>
      </c>
      <c r="AF137" s="495">
        <v>130350</v>
      </c>
      <c r="AG137" s="495">
        <v>-4044</v>
      </c>
      <c r="AH137" s="495">
        <v>0</v>
      </c>
      <c r="AI137" s="495">
        <v>0</v>
      </c>
      <c r="AJ137" s="495">
        <v>0</v>
      </c>
      <c r="AK137" s="495">
        <v>0</v>
      </c>
      <c r="AL137" s="496">
        <v>275923.45999999996</v>
      </c>
      <c r="AM137" s="494">
        <v>110899.46</v>
      </c>
      <c r="AN137" s="495">
        <v>21440</v>
      </c>
      <c r="AO137" s="495">
        <v>0</v>
      </c>
      <c r="AP137" s="495">
        <v>0</v>
      </c>
      <c r="AQ137" s="495">
        <v>0</v>
      </c>
      <c r="AR137" s="495">
        <v>0</v>
      </c>
      <c r="AS137" s="495">
        <v>0</v>
      </c>
      <c r="AT137" s="495">
        <v>0</v>
      </c>
      <c r="AU137" s="497">
        <v>132339.46000000002</v>
      </c>
    </row>
    <row r="138" spans="1:47" ht="15" thickTop="1">
      <c r="A138" s="498" t="s">
        <v>225</v>
      </c>
      <c r="B138" s="499"/>
      <c r="C138" s="477"/>
      <c r="D138" s="489"/>
      <c r="E138" s="489"/>
      <c r="F138" s="489"/>
      <c r="G138" s="489"/>
      <c r="H138" s="489"/>
      <c r="I138" s="489"/>
      <c r="J138" s="489"/>
      <c r="K138" s="490"/>
      <c r="L138" s="477"/>
      <c r="M138" s="489"/>
      <c r="N138" s="489"/>
      <c r="O138" s="489"/>
      <c r="P138" s="489"/>
      <c r="Q138" s="489"/>
      <c r="R138" s="489"/>
      <c r="S138" s="489"/>
      <c r="T138" s="490"/>
      <c r="U138" s="477"/>
      <c r="V138" s="489"/>
      <c r="W138" s="489"/>
      <c r="X138" s="489"/>
      <c r="Y138" s="489"/>
      <c r="Z138" s="489"/>
      <c r="AA138" s="489"/>
      <c r="AB138" s="489"/>
      <c r="AC138" s="490"/>
      <c r="AD138" s="477"/>
      <c r="AE138" s="489"/>
      <c r="AF138" s="489"/>
      <c r="AG138" s="489"/>
      <c r="AH138" s="489"/>
      <c r="AI138" s="489"/>
      <c r="AJ138" s="489"/>
      <c r="AK138" s="489"/>
      <c r="AL138" s="490"/>
      <c r="AM138" s="477"/>
      <c r="AN138" s="489"/>
      <c r="AO138" s="489"/>
      <c r="AP138" s="489"/>
      <c r="AQ138" s="489"/>
      <c r="AR138" s="489"/>
      <c r="AS138" s="489"/>
      <c r="AT138" s="489"/>
      <c r="AU138" s="490"/>
    </row>
    <row r="139" spans="1:47">
      <c r="A139" s="158" t="s">
        <v>533</v>
      </c>
      <c r="B139" s="488" t="s">
        <v>449</v>
      </c>
      <c r="C139" s="649" cm="1">
        <f t="array" ref="C139">_xlfn.XLOOKUP(A139,'TB upload'!A:A,'TB upload'!B:B-'TB upload'!C:C,0,)</f>
        <v>0</v>
      </c>
      <c r="D139" s="489">
        <f>'PL Grouping'!D24</f>
        <v>0</v>
      </c>
      <c r="E139" s="474" cm="1">
        <f t="array" ref="E139">_xlfn.XLOOKUP($A139,'TB upload'!$A:$A,'TB upload'!D:D-'TB upload'!E:E,0,)</f>
        <v>0</v>
      </c>
      <c r="F139" s="489"/>
      <c r="G139" s="474" cm="1">
        <f t="array" ref="G139">_xlfn.XLOOKUP($A139,'TB upload'!$A:$A,'TB upload'!F:F-'TB upload'!G:G,0,)</f>
        <v>0</v>
      </c>
      <c r="H139" s="489"/>
      <c r="I139" s="489" cm="1">
        <f t="array" ref="I139">_xlfn.XLOOKUP($A139,'TB upload'!$A:$A,'TB upload'!H:H-'TB upload'!I:I,0,)</f>
        <v>0</v>
      </c>
      <c r="J139" s="489"/>
      <c r="K139" s="490">
        <f t="shared" ref="K139:K146" si="55">SUM(C139:J139)</f>
        <v>0</v>
      </c>
      <c r="L139" s="649">
        <v>121799.08</v>
      </c>
      <c r="M139" s="489">
        <v>-145120</v>
      </c>
      <c r="N139" s="474">
        <v>0</v>
      </c>
      <c r="O139" s="489"/>
      <c r="P139" s="474">
        <v>0</v>
      </c>
      <c r="Q139" s="489"/>
      <c r="R139" s="489">
        <v>0</v>
      </c>
      <c r="S139" s="489"/>
      <c r="T139" s="490">
        <v>-23320.92</v>
      </c>
      <c r="U139" s="650">
        <v>121799.08</v>
      </c>
      <c r="V139" s="489"/>
      <c r="W139" s="474">
        <v>0</v>
      </c>
      <c r="X139" s="489"/>
      <c r="Y139" s="474">
        <v>0</v>
      </c>
      <c r="Z139" s="489"/>
      <c r="AA139" s="489">
        <v>0</v>
      </c>
      <c r="AB139" s="489"/>
      <c r="AC139" s="490">
        <v>121799.08</v>
      </c>
      <c r="AD139" s="477">
        <v>127251.53</v>
      </c>
      <c r="AE139" s="489"/>
      <c r="AF139" s="474">
        <v>0</v>
      </c>
      <c r="AG139" s="489"/>
      <c r="AH139" s="474">
        <v>0</v>
      </c>
      <c r="AI139" s="489"/>
      <c r="AJ139" s="489">
        <v>0</v>
      </c>
      <c r="AK139" s="489"/>
      <c r="AL139" s="490">
        <v>127251.53</v>
      </c>
      <c r="AM139" s="477">
        <v>47081.19</v>
      </c>
      <c r="AN139" s="489"/>
      <c r="AO139" s="489"/>
      <c r="AP139" s="489"/>
      <c r="AQ139" s="489"/>
      <c r="AR139" s="489"/>
      <c r="AS139" s="489"/>
      <c r="AT139" s="489"/>
      <c r="AU139" s="490">
        <v>47081.19</v>
      </c>
    </row>
    <row r="140" spans="1:47">
      <c r="A140" s="158" t="s">
        <v>1581</v>
      </c>
      <c r="B140" s="488" t="s">
        <v>449</v>
      </c>
      <c r="C140" s="649" cm="1">
        <f t="array" ref="C140">_xlfn.XLOOKUP(A140,'TB upload'!A:A,'TB upload'!B:B-'TB upload'!C:C,0,)</f>
        <v>6763.98</v>
      </c>
      <c r="D140" s="489"/>
      <c r="E140" s="474" cm="1">
        <f t="array" ref="E140">_xlfn.XLOOKUP($A140,'TB upload'!$A:$A,'TB upload'!D:D-'TB upload'!E:E,0,)</f>
        <v>0</v>
      </c>
      <c r="F140" s="489"/>
      <c r="G140" s="474" cm="1">
        <f t="array" ref="G140">_xlfn.XLOOKUP($A140,'TB upload'!$A:$A,'TB upload'!F:F-'TB upload'!G:G,0,)</f>
        <v>0</v>
      </c>
      <c r="H140" s="489"/>
      <c r="I140" s="489" cm="1">
        <f t="array" ref="I140">_xlfn.XLOOKUP($A140,'TB upload'!$A:$A,'TB upload'!H:H-'TB upload'!I:I,0,)</f>
        <v>0</v>
      </c>
      <c r="J140" s="489"/>
      <c r="K140" s="490">
        <f t="shared" si="55"/>
        <v>6763.98</v>
      </c>
      <c r="L140" s="649">
        <v>30.49</v>
      </c>
      <c r="M140" s="489"/>
      <c r="N140" s="474">
        <v>0</v>
      </c>
      <c r="O140" s="489"/>
      <c r="P140" s="474">
        <v>0</v>
      </c>
      <c r="Q140" s="489"/>
      <c r="R140" s="489">
        <v>0</v>
      </c>
      <c r="S140" s="489"/>
      <c r="T140" s="490">
        <v>30.49</v>
      </c>
      <c r="U140" s="650">
        <v>30.49</v>
      </c>
      <c r="V140" s="489"/>
      <c r="W140" s="474">
        <v>0</v>
      </c>
      <c r="X140" s="489"/>
      <c r="Y140" s="474">
        <v>0</v>
      </c>
      <c r="Z140" s="489"/>
      <c r="AA140" s="489">
        <v>0</v>
      </c>
      <c r="AB140" s="489"/>
      <c r="AC140" s="490">
        <v>30.49</v>
      </c>
      <c r="AD140" s="477">
        <v>30.49</v>
      </c>
      <c r="AE140" s="489"/>
      <c r="AF140" s="474">
        <v>0</v>
      </c>
      <c r="AG140" s="489"/>
      <c r="AH140" s="474">
        <v>0</v>
      </c>
      <c r="AI140" s="489"/>
      <c r="AJ140" s="489">
        <v>0</v>
      </c>
      <c r="AK140" s="489"/>
      <c r="AL140" s="490">
        <v>30.49</v>
      </c>
      <c r="AM140" s="477">
        <v>30.49</v>
      </c>
      <c r="AN140" s="489"/>
      <c r="AO140" s="489"/>
      <c r="AP140" s="489"/>
      <c r="AQ140" s="489"/>
      <c r="AR140" s="489"/>
      <c r="AS140" s="489"/>
      <c r="AT140" s="489"/>
      <c r="AU140" s="490">
        <v>30.49</v>
      </c>
    </row>
    <row r="141" spans="1:47">
      <c r="A141" s="158" t="s">
        <v>509</v>
      </c>
      <c r="B141" s="488" t="s">
        <v>449</v>
      </c>
      <c r="C141" s="649" cm="1">
        <f t="array" ref="C141">_xlfn.XLOOKUP(A141,'TB upload'!A:A,'TB upload'!B:B-'TB upload'!C:C,0,)</f>
        <v>0</v>
      </c>
      <c r="D141" s="489"/>
      <c r="E141" s="474" cm="1">
        <f t="array" ref="E141">_xlfn.XLOOKUP($A141,'TB upload'!$A:$A,'TB upload'!D:D-'TB upload'!E:E,0,)</f>
        <v>0</v>
      </c>
      <c r="F141" s="489"/>
      <c r="G141" s="474" cm="1">
        <f t="array" ref="G141">_xlfn.XLOOKUP($A141,'TB upload'!$A:$A,'TB upload'!F:F-'TB upload'!G:G,0,)</f>
        <v>0</v>
      </c>
      <c r="H141" s="489"/>
      <c r="I141" s="489" cm="1">
        <f t="array" ref="I141">_xlfn.XLOOKUP($A141,'TB upload'!$A:$A,'TB upload'!H:H-'TB upload'!I:I,0,)</f>
        <v>0</v>
      </c>
      <c r="J141" s="489"/>
      <c r="K141" s="490">
        <f t="shared" si="55"/>
        <v>0</v>
      </c>
      <c r="L141" s="649">
        <v>0</v>
      </c>
      <c r="M141" s="489"/>
      <c r="N141" s="474">
        <v>0</v>
      </c>
      <c r="O141" s="489"/>
      <c r="P141" s="474">
        <v>0</v>
      </c>
      <c r="Q141" s="489"/>
      <c r="R141" s="489">
        <v>0</v>
      </c>
      <c r="S141" s="489"/>
      <c r="T141" s="490">
        <v>0</v>
      </c>
      <c r="U141" s="650">
        <v>0</v>
      </c>
      <c r="V141" s="489"/>
      <c r="W141" s="474">
        <v>0</v>
      </c>
      <c r="X141" s="489"/>
      <c r="Y141" s="474">
        <v>4385</v>
      </c>
      <c r="Z141" s="489"/>
      <c r="AA141" s="489">
        <v>0</v>
      </c>
      <c r="AB141" s="489"/>
      <c r="AC141" s="490">
        <v>4385</v>
      </c>
      <c r="AD141" s="477">
        <v>0</v>
      </c>
      <c r="AE141" s="489"/>
      <c r="AF141" s="474">
        <v>0</v>
      </c>
      <c r="AG141" s="489"/>
      <c r="AH141" s="474">
        <v>0</v>
      </c>
      <c r="AI141" s="489"/>
      <c r="AJ141" s="489">
        <v>0</v>
      </c>
      <c r="AK141" s="489"/>
      <c r="AL141" s="490">
        <v>0</v>
      </c>
      <c r="AM141" s="477">
        <v>-9013.7000000000007</v>
      </c>
      <c r="AN141" s="489"/>
      <c r="AO141" s="489"/>
      <c r="AP141" s="489"/>
      <c r="AQ141" s="489">
        <v>4385</v>
      </c>
      <c r="AR141" s="489"/>
      <c r="AS141" s="489"/>
      <c r="AT141" s="489"/>
      <c r="AU141" s="490">
        <v>-4628.7000000000007</v>
      </c>
    </row>
    <row r="142" spans="1:47">
      <c r="A142" s="158" t="s">
        <v>981</v>
      </c>
      <c r="B142" s="488" t="s">
        <v>449</v>
      </c>
      <c r="C142" s="649" cm="1">
        <f t="array" ref="C142">_xlfn.XLOOKUP(A142,'TB upload'!A:A,'TB upload'!B:B-'TB upload'!C:C,0,)</f>
        <v>0</v>
      </c>
      <c r="D142" s="489"/>
      <c r="E142" s="474" cm="1">
        <f t="array" ref="E142">_xlfn.XLOOKUP($A142,'TB upload'!$A:$A,'TB upload'!D:D-'TB upload'!E:E,0,)</f>
        <v>0</v>
      </c>
      <c r="F142" s="489"/>
      <c r="G142" s="474" cm="1">
        <f t="array" ref="G142">_xlfn.XLOOKUP($A142,'TB upload'!$A:$A,'TB upload'!F:F-'TB upload'!G:G,0,)</f>
        <v>0</v>
      </c>
      <c r="H142" s="489"/>
      <c r="I142" s="489" cm="1">
        <f t="array" ref="I142">_xlfn.XLOOKUP($A142,'TB upload'!$A:$A,'TB upload'!H:H-'TB upload'!I:I,0,)</f>
        <v>0</v>
      </c>
      <c r="J142" s="489"/>
      <c r="K142" s="490">
        <f t="shared" si="55"/>
        <v>0</v>
      </c>
      <c r="L142" s="649">
        <v>0</v>
      </c>
      <c r="M142" s="489"/>
      <c r="N142" s="474">
        <v>0</v>
      </c>
      <c r="O142" s="489"/>
      <c r="P142" s="474">
        <v>0</v>
      </c>
      <c r="Q142" s="489"/>
      <c r="R142" s="489">
        <v>0</v>
      </c>
      <c r="S142" s="489"/>
      <c r="T142" s="490">
        <v>0</v>
      </c>
      <c r="U142" s="650">
        <v>0</v>
      </c>
      <c r="V142" s="489"/>
      <c r="W142" s="474">
        <v>0</v>
      </c>
      <c r="X142" s="489"/>
      <c r="Y142" s="474">
        <v>0</v>
      </c>
      <c r="Z142" s="489"/>
      <c r="AA142" s="489">
        <v>0</v>
      </c>
      <c r="AB142" s="489"/>
      <c r="AC142" s="490">
        <v>0</v>
      </c>
      <c r="AD142" s="477">
        <v>0</v>
      </c>
      <c r="AE142" s="489"/>
      <c r="AF142" s="474">
        <v>0</v>
      </c>
      <c r="AG142" s="489"/>
      <c r="AH142" s="474">
        <v>0</v>
      </c>
      <c r="AI142" s="489"/>
      <c r="AJ142" s="489">
        <v>0</v>
      </c>
      <c r="AK142" s="489"/>
      <c r="AL142" s="490">
        <v>0</v>
      </c>
      <c r="AM142" s="477">
        <v>-49.15</v>
      </c>
      <c r="AN142" s="489"/>
      <c r="AO142" s="489"/>
      <c r="AP142" s="489"/>
      <c r="AQ142" s="489">
        <v>8898</v>
      </c>
      <c r="AR142" s="489"/>
      <c r="AS142" s="489"/>
      <c r="AT142" s="489"/>
      <c r="AU142" s="490">
        <v>8848.85</v>
      </c>
    </row>
    <row r="143" spans="1:47">
      <c r="A143" s="158" t="s">
        <v>1056</v>
      </c>
      <c r="B143" s="488" t="s">
        <v>449</v>
      </c>
      <c r="C143" s="649" cm="1">
        <f t="array" ref="C143">_xlfn.XLOOKUP(A143,'TB upload'!A:A,'TB upload'!B:B-'TB upload'!C:C,0,)</f>
        <v>73.11</v>
      </c>
      <c r="D143" s="489"/>
      <c r="E143" s="474" cm="1">
        <f t="array" ref="E143">_xlfn.XLOOKUP($A143,'TB upload'!$A:$A,'TB upload'!D:D-'TB upload'!E:E,0,)</f>
        <v>0</v>
      </c>
      <c r="F143" s="489"/>
      <c r="G143" s="474" cm="1">
        <f t="array" ref="G143">_xlfn.XLOOKUP($A143,'TB upload'!$A:$A,'TB upload'!F:F-'TB upload'!G:G,0,)</f>
        <v>0</v>
      </c>
      <c r="H143" s="489"/>
      <c r="I143" s="489" cm="1">
        <f t="array" ref="I143">_xlfn.XLOOKUP($A143,'TB upload'!$A:$A,'TB upload'!H:H-'TB upload'!I:I,0,)</f>
        <v>0</v>
      </c>
      <c r="J143" s="489"/>
      <c r="K143" s="490">
        <f t="shared" si="55"/>
        <v>73.11</v>
      </c>
      <c r="L143" s="649">
        <v>73.11</v>
      </c>
      <c r="M143" s="489"/>
      <c r="N143" s="474">
        <v>0</v>
      </c>
      <c r="O143" s="489"/>
      <c r="P143" s="474">
        <v>0</v>
      </c>
      <c r="Q143" s="489"/>
      <c r="R143" s="489">
        <v>0</v>
      </c>
      <c r="S143" s="489"/>
      <c r="T143" s="490">
        <v>73.11</v>
      </c>
      <c r="U143" s="650">
        <v>73.11</v>
      </c>
      <c r="V143" s="489"/>
      <c r="W143" s="474">
        <v>0</v>
      </c>
      <c r="X143" s="489"/>
      <c r="Y143" s="474">
        <v>0</v>
      </c>
      <c r="Z143" s="489"/>
      <c r="AA143" s="489">
        <v>0</v>
      </c>
      <c r="AB143" s="489"/>
      <c r="AC143" s="490">
        <v>73.11</v>
      </c>
      <c r="AD143" s="477">
        <v>73.11</v>
      </c>
      <c r="AE143" s="489"/>
      <c r="AF143" s="474">
        <v>0</v>
      </c>
      <c r="AG143" s="489"/>
      <c r="AH143" s="474">
        <v>0</v>
      </c>
      <c r="AI143" s="489"/>
      <c r="AJ143" s="489">
        <v>0</v>
      </c>
      <c r="AK143" s="489"/>
      <c r="AL143" s="490">
        <v>73.11</v>
      </c>
      <c r="AM143" s="477">
        <v>73.11</v>
      </c>
      <c r="AN143" s="489"/>
      <c r="AO143" s="489"/>
      <c r="AP143" s="489"/>
      <c r="AQ143" s="489"/>
      <c r="AR143" s="489"/>
      <c r="AS143" s="489"/>
      <c r="AT143" s="489"/>
      <c r="AU143" s="490">
        <v>73.11</v>
      </c>
    </row>
    <row r="144" spans="1:47">
      <c r="A144" s="158" t="s">
        <v>1413</v>
      </c>
      <c r="B144" s="488" t="s">
        <v>449</v>
      </c>
      <c r="C144" s="649" cm="1">
        <f t="array" ref="C144">_xlfn.XLOOKUP(A144,'TB upload'!A:A,'TB upload'!B:B-'TB upload'!C:C,0,)</f>
        <v>32874.69</v>
      </c>
      <c r="D144" s="489"/>
      <c r="E144" s="474" cm="1">
        <f t="array" ref="E144">_xlfn.XLOOKUP($A144,'TB upload'!$A:$A,'TB upload'!D:D-'TB upload'!E:E,0,)</f>
        <v>0</v>
      </c>
      <c r="F144" s="489"/>
      <c r="G144" s="474" cm="1">
        <f t="array" ref="G144">_xlfn.XLOOKUP($A144,'TB upload'!$A:$A,'TB upload'!F:F-'TB upload'!G:G,0,)</f>
        <v>0</v>
      </c>
      <c r="H144" s="489"/>
      <c r="I144" s="489" cm="1">
        <f t="array" ref="I144">_xlfn.XLOOKUP($A144,'TB upload'!$A:$A,'TB upload'!H:H-'TB upload'!I:I,0,)</f>
        <v>0</v>
      </c>
      <c r="J144" s="489"/>
      <c r="K144" s="490">
        <f t="shared" si="55"/>
        <v>32874.69</v>
      </c>
      <c r="L144" s="649">
        <v>32874.69</v>
      </c>
      <c r="M144" s="489"/>
      <c r="N144" s="474">
        <v>0</v>
      </c>
      <c r="O144" s="489"/>
      <c r="P144" s="474">
        <v>0</v>
      </c>
      <c r="Q144" s="489"/>
      <c r="R144" s="489">
        <v>0</v>
      </c>
      <c r="S144" s="489"/>
      <c r="T144" s="490">
        <v>32874.69</v>
      </c>
      <c r="U144" s="650">
        <v>32874.69</v>
      </c>
      <c r="V144" s="489"/>
      <c r="W144" s="474">
        <v>0</v>
      </c>
      <c r="X144" s="489"/>
      <c r="Y144" s="474">
        <v>0</v>
      </c>
      <c r="Z144" s="489"/>
      <c r="AA144" s="489"/>
      <c r="AB144" s="489"/>
      <c r="AC144" s="490">
        <v>32874.69</v>
      </c>
      <c r="AD144" s="477">
        <v>32874.69</v>
      </c>
      <c r="AE144" s="489"/>
      <c r="AF144" s="474">
        <v>0</v>
      </c>
      <c r="AG144" s="489"/>
      <c r="AH144" s="474">
        <v>0</v>
      </c>
      <c r="AI144" s="489"/>
      <c r="AJ144" s="489"/>
      <c r="AK144" s="489"/>
      <c r="AL144" s="490">
        <v>32874.69</v>
      </c>
      <c r="AM144" s="477">
        <v>0</v>
      </c>
      <c r="AN144" s="489"/>
      <c r="AO144" s="489"/>
      <c r="AP144" s="489"/>
      <c r="AQ144" s="489"/>
      <c r="AR144" s="489"/>
      <c r="AS144" s="489"/>
      <c r="AT144" s="489"/>
      <c r="AU144" s="490">
        <v>0</v>
      </c>
    </row>
    <row r="145" spans="1:47">
      <c r="A145" s="158" t="s">
        <v>1420</v>
      </c>
      <c r="B145" s="488" t="s">
        <v>449</v>
      </c>
      <c r="C145" s="649" cm="1">
        <f t="array" ref="C145">_xlfn.XLOOKUP(A145,'TB upload'!A:A,'TB upload'!B:B-'TB upload'!C:C,0,)</f>
        <v>0</v>
      </c>
      <c r="D145" s="489"/>
      <c r="E145" s="474" cm="1">
        <f t="array" ref="E145">_xlfn.XLOOKUP($A145,'TB upload'!$A:$A,'TB upload'!D:D-'TB upload'!E:E,0,)</f>
        <v>0</v>
      </c>
      <c r="F145" s="489"/>
      <c r="G145" s="474" cm="1">
        <f t="array" ref="G145">_xlfn.XLOOKUP($A145,'TB upload'!$A:$A,'TB upload'!F:F-'TB upload'!G:G,0,)</f>
        <v>0</v>
      </c>
      <c r="H145" s="489"/>
      <c r="I145" s="489" cm="1">
        <f t="array" ref="I145">_xlfn.XLOOKUP($A145,'TB upload'!$A:$A,'TB upload'!H:H-'TB upload'!I:I,0,)</f>
        <v>0</v>
      </c>
      <c r="J145" s="489"/>
      <c r="K145" s="490">
        <f t="shared" si="55"/>
        <v>0</v>
      </c>
      <c r="L145" s="649">
        <v>0</v>
      </c>
      <c r="M145" s="489"/>
      <c r="N145" s="474">
        <v>0</v>
      </c>
      <c r="O145" s="489"/>
      <c r="P145" s="474">
        <v>0</v>
      </c>
      <c r="Q145" s="489"/>
      <c r="R145" s="489">
        <v>0</v>
      </c>
      <c r="S145" s="489"/>
      <c r="T145" s="490">
        <v>0</v>
      </c>
      <c r="U145" s="650">
        <v>0</v>
      </c>
      <c r="V145" s="489"/>
      <c r="W145" s="474">
        <v>0</v>
      </c>
      <c r="X145" s="489"/>
      <c r="Y145" s="474">
        <v>0</v>
      </c>
      <c r="Z145" s="489"/>
      <c r="AA145" s="489"/>
      <c r="AB145" s="489"/>
      <c r="AC145" s="490">
        <v>0</v>
      </c>
      <c r="AD145" s="477">
        <v>0</v>
      </c>
      <c r="AE145" s="489"/>
      <c r="AF145" s="474">
        <v>0</v>
      </c>
      <c r="AG145" s="489"/>
      <c r="AH145" s="474">
        <v>4384.95</v>
      </c>
      <c r="AI145" s="489"/>
      <c r="AJ145" s="489">
        <v>51.24</v>
      </c>
      <c r="AK145" s="489"/>
      <c r="AL145" s="490">
        <v>4436.1899999999996</v>
      </c>
      <c r="AM145" s="477">
        <v>0</v>
      </c>
      <c r="AN145" s="489"/>
      <c r="AO145" s="489"/>
      <c r="AP145" s="489"/>
      <c r="AQ145" s="489"/>
      <c r="AR145" s="489"/>
      <c r="AS145" s="489"/>
      <c r="AT145" s="489"/>
      <c r="AU145" s="490">
        <v>0</v>
      </c>
    </row>
    <row r="146" spans="1:47">
      <c r="A146" s="158" t="s">
        <v>1058</v>
      </c>
      <c r="B146" s="488" t="s">
        <v>449</v>
      </c>
      <c r="C146" s="649" cm="1">
        <f t="array" ref="C146">_xlfn.XLOOKUP(A146,'TB upload'!A:A,'TB upload'!B:B-'TB upload'!C:C,0,)</f>
        <v>0</v>
      </c>
      <c r="D146" s="489"/>
      <c r="E146" s="474" cm="1">
        <f t="array" ref="E146">_xlfn.XLOOKUP($A146,'TB upload'!$A:$A,'TB upload'!D:D-'TB upload'!E:E,0,)</f>
        <v>0</v>
      </c>
      <c r="F146" s="489"/>
      <c r="G146" s="474" cm="1">
        <f t="array" ref="G146">_xlfn.XLOOKUP($A146,'TB upload'!$A:$A,'TB upload'!F:F-'TB upload'!G:G,0,)</f>
        <v>0</v>
      </c>
      <c r="H146" s="489"/>
      <c r="I146" s="489" cm="1">
        <f t="array" ref="I146">_xlfn.XLOOKUP($A146,'TB upload'!$A:$A,'TB upload'!H:H-'TB upload'!I:I,0,)</f>
        <v>0</v>
      </c>
      <c r="J146" s="489"/>
      <c r="K146" s="490">
        <f t="shared" si="55"/>
        <v>0</v>
      </c>
      <c r="L146" s="649">
        <v>0</v>
      </c>
      <c r="M146" s="489"/>
      <c r="N146" s="474">
        <v>0</v>
      </c>
      <c r="O146" s="489"/>
      <c r="P146" s="474">
        <v>0</v>
      </c>
      <c r="Q146" s="489"/>
      <c r="R146" s="489">
        <v>0</v>
      </c>
      <c r="S146" s="489"/>
      <c r="T146" s="490">
        <v>0</v>
      </c>
      <c r="U146" s="650">
        <v>0</v>
      </c>
      <c r="V146" s="489"/>
      <c r="W146" s="474">
        <v>0</v>
      </c>
      <c r="X146" s="489"/>
      <c r="Y146" s="474">
        <v>0</v>
      </c>
      <c r="Z146" s="489"/>
      <c r="AA146" s="489">
        <v>0</v>
      </c>
      <c r="AB146" s="489"/>
      <c r="AC146" s="490">
        <v>0</v>
      </c>
      <c r="AD146" s="477">
        <v>0</v>
      </c>
      <c r="AE146" s="489"/>
      <c r="AF146" s="474">
        <v>0</v>
      </c>
      <c r="AG146" s="489"/>
      <c r="AH146" s="474">
        <v>0</v>
      </c>
      <c r="AI146" s="489"/>
      <c r="AJ146" s="489">
        <v>0</v>
      </c>
      <c r="AK146" s="489"/>
      <c r="AL146" s="490">
        <v>0</v>
      </c>
      <c r="AM146" s="477">
        <v>0</v>
      </c>
      <c r="AN146" s="489"/>
      <c r="AO146" s="489"/>
      <c r="AP146" s="489"/>
      <c r="AQ146" s="489"/>
      <c r="AR146" s="489"/>
      <c r="AS146" s="489"/>
      <c r="AT146" s="489"/>
      <c r="AU146" s="490">
        <v>0</v>
      </c>
    </row>
    <row r="147" spans="1:47">
      <c r="A147" s="158" t="s">
        <v>1541</v>
      </c>
      <c r="B147" s="488" t="s">
        <v>449</v>
      </c>
      <c r="C147" s="649" cm="1">
        <f t="array" ref="C147">_xlfn.XLOOKUP(A147,'TB upload'!A:A,'TB upload'!B:B-'TB upload'!C:C,0,)</f>
        <v>51.24</v>
      </c>
      <c r="D147" s="489"/>
      <c r="E147" s="474" cm="1">
        <f t="array" ref="E147">_xlfn.XLOOKUP($A147,'TB upload'!$A:$A,'TB upload'!D:D-'TB upload'!E:E,0,)</f>
        <v>0</v>
      </c>
      <c r="F147" s="489"/>
      <c r="G147" s="474" cm="1">
        <f t="array" ref="G147">_xlfn.XLOOKUP($A147,'TB upload'!$A:$A,'TB upload'!F:F-'TB upload'!G:G,0,)</f>
        <v>0</v>
      </c>
      <c r="H147" s="489"/>
      <c r="I147" s="489" cm="1">
        <f t="array" ref="I147">_xlfn.XLOOKUP($A147,'TB upload'!$A:$A,'TB upload'!H:H-'TB upload'!I:I,0,)</f>
        <v>0</v>
      </c>
      <c r="J147" s="489"/>
      <c r="K147" s="490">
        <f t="shared" ref="K147" si="56">SUM(C147:J147)</f>
        <v>51.24</v>
      </c>
      <c r="L147" s="649">
        <v>51.24</v>
      </c>
      <c r="M147" s="489"/>
      <c r="N147" s="474">
        <v>0</v>
      </c>
      <c r="O147" s="489"/>
      <c r="P147" s="474">
        <v>0</v>
      </c>
      <c r="Q147" s="489"/>
      <c r="R147" s="489">
        <v>0</v>
      </c>
      <c r="S147" s="489"/>
      <c r="T147" s="490">
        <v>51.24</v>
      </c>
      <c r="U147" s="650"/>
      <c r="V147" s="489"/>
      <c r="W147" s="474"/>
      <c r="X147" s="489"/>
      <c r="Y147" s="474"/>
      <c r="Z147" s="489"/>
      <c r="AA147" s="489"/>
      <c r="AB147" s="489"/>
      <c r="AC147" s="490"/>
      <c r="AD147" s="477"/>
      <c r="AE147" s="489"/>
      <c r="AF147" s="474"/>
      <c r="AG147" s="489"/>
      <c r="AH147" s="474"/>
      <c r="AI147" s="489"/>
      <c r="AJ147" s="489"/>
      <c r="AK147" s="489"/>
      <c r="AL147" s="490"/>
      <c r="AM147" s="477"/>
      <c r="AN147" s="489"/>
      <c r="AO147" s="489"/>
      <c r="AP147" s="489"/>
      <c r="AQ147" s="489"/>
      <c r="AR147" s="489"/>
      <c r="AS147" s="489"/>
      <c r="AT147" s="489"/>
      <c r="AU147" s="490"/>
    </row>
    <row r="148" spans="1:47" ht="15" thickBot="1">
      <c r="A148" s="158" t="s">
        <v>1542</v>
      </c>
      <c r="B148" s="488" t="s">
        <v>449</v>
      </c>
      <c r="C148" s="649" cm="1">
        <f t="array" ref="C148">_xlfn.XLOOKUP(A148,'TB upload'!A:A,'TB upload'!B:B-'TB upload'!C:C,0,)</f>
        <v>4384.95</v>
      </c>
      <c r="D148" s="489"/>
      <c r="E148" s="474" cm="1">
        <f t="array" ref="E148">_xlfn.XLOOKUP($A148,'TB upload'!$A:$A,'TB upload'!D:D-'TB upload'!E:E,0,)</f>
        <v>0</v>
      </c>
      <c r="F148" s="489"/>
      <c r="G148" s="474" cm="1">
        <f t="array" ref="G148">_xlfn.XLOOKUP($A148,'TB upload'!$A:$A,'TB upload'!F:F-'TB upload'!G:G,0,)</f>
        <v>0</v>
      </c>
      <c r="H148" s="489"/>
      <c r="I148" s="489" cm="1">
        <f t="array" ref="I148">_xlfn.XLOOKUP($A148,'TB upload'!$A:$A,'TB upload'!H:H-'TB upload'!I:I,0,)</f>
        <v>0</v>
      </c>
      <c r="J148" s="489"/>
      <c r="K148" s="490">
        <f t="shared" ref="K148" si="57">SUM(C148:J148)</f>
        <v>4384.95</v>
      </c>
      <c r="L148" s="649">
        <v>4384.95</v>
      </c>
      <c r="M148" s="489"/>
      <c r="N148" s="474">
        <v>0</v>
      </c>
      <c r="O148" s="489"/>
      <c r="P148" s="474">
        <v>0</v>
      </c>
      <c r="Q148" s="489"/>
      <c r="R148" s="489">
        <v>0</v>
      </c>
      <c r="S148" s="489"/>
      <c r="T148" s="490">
        <v>4384.95</v>
      </c>
      <c r="U148" s="477"/>
      <c r="V148" s="489"/>
      <c r="W148" s="489"/>
      <c r="X148" s="489"/>
      <c r="Y148" s="489"/>
      <c r="Z148" s="489"/>
      <c r="AA148" s="489"/>
      <c r="AB148" s="489"/>
      <c r="AC148" s="490"/>
      <c r="AD148" s="477"/>
      <c r="AE148" s="489"/>
      <c r="AF148" s="489"/>
      <c r="AG148" s="489"/>
      <c r="AH148" s="489"/>
      <c r="AI148" s="489"/>
      <c r="AJ148" s="489"/>
      <c r="AK148" s="489"/>
      <c r="AL148" s="490"/>
      <c r="AM148" s="477"/>
      <c r="AN148" s="489"/>
      <c r="AO148" s="489"/>
      <c r="AP148" s="489"/>
      <c r="AQ148" s="489"/>
      <c r="AR148" s="489"/>
      <c r="AS148" s="489"/>
      <c r="AT148" s="489"/>
      <c r="AU148" s="490"/>
    </row>
    <row r="149" spans="1:47" ht="15.6" thickTop="1" thickBot="1">
      <c r="A149" s="492"/>
      <c r="B149" s="493" t="s">
        <v>1522</v>
      </c>
      <c r="C149" s="653">
        <f t="shared" ref="C149:K149" si="58">SUM(C139:C148)</f>
        <v>44147.969999999994</v>
      </c>
      <c r="D149" s="495">
        <f t="shared" si="58"/>
        <v>0</v>
      </c>
      <c r="E149" s="495">
        <f t="shared" si="58"/>
        <v>0</v>
      </c>
      <c r="F149" s="495">
        <f t="shared" si="58"/>
        <v>0</v>
      </c>
      <c r="G149" s="495">
        <f t="shared" si="58"/>
        <v>0</v>
      </c>
      <c r="H149" s="495">
        <f t="shared" si="58"/>
        <v>0</v>
      </c>
      <c r="I149" s="495">
        <f t="shared" si="58"/>
        <v>0</v>
      </c>
      <c r="J149" s="495">
        <f t="shared" si="58"/>
        <v>0</v>
      </c>
      <c r="K149" s="656">
        <f t="shared" si="58"/>
        <v>44147.969999999994</v>
      </c>
      <c r="L149" s="653">
        <v>159213.56</v>
      </c>
      <c r="M149" s="495">
        <v>-145120</v>
      </c>
      <c r="N149" s="495">
        <v>0</v>
      </c>
      <c r="O149" s="495">
        <v>0</v>
      </c>
      <c r="P149" s="495">
        <v>0</v>
      </c>
      <c r="Q149" s="495">
        <v>0</v>
      </c>
      <c r="R149" s="495">
        <v>0</v>
      </c>
      <c r="S149" s="495">
        <v>0</v>
      </c>
      <c r="T149" s="656">
        <v>14093.560000000005</v>
      </c>
      <c r="U149" s="653">
        <v>154777.37</v>
      </c>
      <c r="V149" s="495">
        <v>0</v>
      </c>
      <c r="W149" s="495">
        <v>0</v>
      </c>
      <c r="X149" s="495">
        <v>0</v>
      </c>
      <c r="Y149" s="495">
        <v>4385</v>
      </c>
      <c r="Z149" s="495">
        <v>0</v>
      </c>
      <c r="AA149" s="495">
        <v>0</v>
      </c>
      <c r="AB149" s="495">
        <v>0</v>
      </c>
      <c r="AC149" s="656">
        <v>159162.37</v>
      </c>
      <c r="AD149" s="494">
        <v>160229.82</v>
      </c>
      <c r="AE149" s="495">
        <v>0</v>
      </c>
      <c r="AF149" s="495">
        <v>0</v>
      </c>
      <c r="AG149" s="495">
        <v>0</v>
      </c>
      <c r="AH149" s="495">
        <v>4384.95</v>
      </c>
      <c r="AI149" s="495">
        <v>0</v>
      </c>
      <c r="AJ149" s="495">
        <v>51.24</v>
      </c>
      <c r="AK149" s="495">
        <v>0</v>
      </c>
      <c r="AL149" s="496">
        <v>164666.01</v>
      </c>
      <c r="AM149" s="494">
        <v>38121.939999999995</v>
      </c>
      <c r="AN149" s="495">
        <v>0</v>
      </c>
      <c r="AO149" s="495">
        <v>0</v>
      </c>
      <c r="AP149" s="495">
        <v>0</v>
      </c>
      <c r="AQ149" s="495">
        <v>13283</v>
      </c>
      <c r="AR149" s="495">
        <v>0</v>
      </c>
      <c r="AS149" s="495">
        <v>0</v>
      </c>
      <c r="AT149" s="495">
        <v>0</v>
      </c>
      <c r="AU149" s="497">
        <v>51404.939999999995</v>
      </c>
    </row>
    <row r="150" spans="1:47" ht="15" thickTop="1">
      <c r="A150" s="498" t="s">
        <v>337</v>
      </c>
      <c r="B150" s="499"/>
      <c r="C150" s="477"/>
      <c r="D150" s="489"/>
      <c r="E150" s="489"/>
      <c r="F150" s="489"/>
      <c r="G150" s="489"/>
      <c r="H150" s="489"/>
      <c r="I150" s="489"/>
      <c r="J150" s="489"/>
      <c r="K150" s="490"/>
      <c r="L150" s="477"/>
      <c r="M150" s="489"/>
      <c r="N150" s="489"/>
      <c r="O150" s="489"/>
      <c r="P150" s="489"/>
      <c r="Q150" s="489"/>
      <c r="R150" s="489"/>
      <c r="S150" s="489"/>
      <c r="T150" s="490"/>
      <c r="U150" s="477"/>
      <c r="V150" s="489"/>
      <c r="W150" s="489"/>
      <c r="X150" s="489"/>
      <c r="Y150" s="489"/>
      <c r="Z150" s="489"/>
      <c r="AA150" s="489"/>
      <c r="AB150" s="489"/>
      <c r="AC150" s="490"/>
      <c r="AD150" s="477"/>
      <c r="AE150" s="489"/>
      <c r="AF150" s="489"/>
      <c r="AG150" s="489"/>
      <c r="AH150" s="489"/>
      <c r="AI150" s="489"/>
      <c r="AJ150" s="489"/>
      <c r="AK150" s="489"/>
      <c r="AL150" s="490"/>
      <c r="AM150" s="477"/>
      <c r="AN150" s="489"/>
      <c r="AO150" s="489"/>
      <c r="AP150" s="489"/>
      <c r="AQ150" s="489"/>
      <c r="AR150" s="489"/>
      <c r="AS150" s="489"/>
      <c r="AT150" s="489"/>
      <c r="AU150" s="490"/>
    </row>
    <row r="151" spans="1:47">
      <c r="A151" s="158" t="s">
        <v>1147</v>
      </c>
      <c r="B151" s="488" t="s">
        <v>1432</v>
      </c>
      <c r="C151" s="477"/>
      <c r="D151" s="489"/>
      <c r="E151" s="489"/>
      <c r="F151" s="489"/>
      <c r="G151" s="489"/>
      <c r="H151" s="489"/>
      <c r="I151" s="489"/>
      <c r="J151" s="489"/>
      <c r="K151" s="490">
        <f t="shared" ref="K151:K152" si="59">SUM(C151:J151)</f>
        <v>0</v>
      </c>
      <c r="L151" s="477"/>
      <c r="M151" s="489"/>
      <c r="N151" s="489"/>
      <c r="O151" s="489"/>
      <c r="P151" s="489"/>
      <c r="Q151" s="489"/>
      <c r="R151" s="489"/>
      <c r="S151" s="489"/>
      <c r="T151" s="490">
        <v>0</v>
      </c>
      <c r="U151" s="477"/>
      <c r="V151" s="489"/>
      <c r="W151" s="489"/>
      <c r="X151" s="489"/>
      <c r="Y151" s="489"/>
      <c r="Z151" s="489"/>
      <c r="AA151" s="489"/>
      <c r="AB151" s="489"/>
      <c r="AC151" s="490">
        <v>0</v>
      </c>
      <c r="AD151" s="477"/>
      <c r="AE151" s="489">
        <v>-14557</v>
      </c>
      <c r="AF151" s="489"/>
      <c r="AG151" s="489"/>
      <c r="AH151" s="489"/>
      <c r="AI151" s="489"/>
      <c r="AJ151" s="489"/>
      <c r="AK151" s="489"/>
      <c r="AL151" s="490">
        <v>-14557</v>
      </c>
      <c r="AM151" s="477"/>
      <c r="AN151" s="489"/>
      <c r="AO151" s="489"/>
      <c r="AP151" s="489"/>
      <c r="AQ151" s="489"/>
      <c r="AR151" s="489"/>
      <c r="AS151" s="489"/>
      <c r="AT151" s="489"/>
      <c r="AU151" s="490">
        <v>0</v>
      </c>
    </row>
    <row r="152" spans="1:47" ht="15" thickBot="1">
      <c r="A152" s="158" t="s">
        <v>1366</v>
      </c>
      <c r="B152" s="488" t="s">
        <v>449</v>
      </c>
      <c r="C152" s="649" cm="1">
        <f t="array" ref="C152">_xlfn.XLOOKUP(A152,'TB upload'!A:A,'TB upload'!B:B-'TB upload'!C:C,0,)</f>
        <v>0</v>
      </c>
      <c r="D152" s="489">
        <f>-C152</f>
        <v>0</v>
      </c>
      <c r="E152" s="474" cm="1">
        <f t="array" ref="E152">_xlfn.XLOOKUP($A152,'TB upload'!$A:$A,'TB upload'!D:D-'TB upload'!E:E,0,)</f>
        <v>0</v>
      </c>
      <c r="F152" s="489"/>
      <c r="G152" s="474" cm="1">
        <f t="array" ref="G152">_xlfn.XLOOKUP($A152,'TB upload'!$A:$A,'TB upload'!F:F-'TB upload'!G:G,0,)</f>
        <v>0</v>
      </c>
      <c r="H152" s="489"/>
      <c r="I152" s="489" cm="1">
        <f t="array" ref="I152">_xlfn.XLOOKUP($A152,'TB upload'!$A:$A,'TB upload'!H:H-'TB upload'!I:I,0,)</f>
        <v>0</v>
      </c>
      <c r="J152" s="489"/>
      <c r="K152" s="490">
        <f t="shared" si="59"/>
        <v>0</v>
      </c>
      <c r="L152" s="649">
        <v>26908</v>
      </c>
      <c r="M152" s="489">
        <v>-26908</v>
      </c>
      <c r="N152" s="474">
        <v>0</v>
      </c>
      <c r="O152" s="489"/>
      <c r="P152" s="474">
        <v>0</v>
      </c>
      <c r="Q152" s="489"/>
      <c r="R152" s="489">
        <v>0</v>
      </c>
      <c r="S152" s="489"/>
      <c r="T152" s="490">
        <v>0</v>
      </c>
      <c r="U152" s="650">
        <v>26908</v>
      </c>
      <c r="V152" s="489">
        <v>-26908</v>
      </c>
      <c r="W152" s="474"/>
      <c r="X152" s="489"/>
      <c r="Y152" s="474"/>
      <c r="Z152" s="489"/>
      <c r="AA152" s="489"/>
      <c r="AB152" s="489"/>
      <c r="AC152" s="490">
        <v>0</v>
      </c>
      <c r="AD152" s="477">
        <v>41320</v>
      </c>
      <c r="AE152" s="489">
        <v>-14412.333333333334</v>
      </c>
      <c r="AF152" s="474">
        <v>0</v>
      </c>
      <c r="AG152" s="489">
        <v>0</v>
      </c>
      <c r="AH152" s="474">
        <v>0</v>
      </c>
      <c r="AI152" s="489"/>
      <c r="AJ152" s="489">
        <v>0</v>
      </c>
      <c r="AK152" s="489"/>
      <c r="AL152" s="490">
        <v>26907.666666666664</v>
      </c>
      <c r="AM152" s="477">
        <v>62760</v>
      </c>
      <c r="AN152" s="489">
        <v>-35672.333333333336</v>
      </c>
      <c r="AO152" s="489"/>
      <c r="AP152" s="489"/>
      <c r="AQ152" s="489"/>
      <c r="AR152" s="489"/>
      <c r="AS152" s="489"/>
      <c r="AT152" s="489"/>
      <c r="AU152" s="490">
        <v>27087.666666666664</v>
      </c>
    </row>
    <row r="153" spans="1:47" ht="15.6" thickTop="1" thickBot="1">
      <c r="A153" s="492"/>
      <c r="B153" s="493" t="s">
        <v>1522</v>
      </c>
      <c r="C153" s="653">
        <f t="shared" ref="C153:K153" si="60">SUM(C151:C152)</f>
        <v>0</v>
      </c>
      <c r="D153" s="495">
        <f t="shared" si="60"/>
        <v>0</v>
      </c>
      <c r="E153" s="495">
        <f t="shared" si="60"/>
        <v>0</v>
      </c>
      <c r="F153" s="495">
        <f t="shared" si="60"/>
        <v>0</v>
      </c>
      <c r="G153" s="495">
        <f t="shared" si="60"/>
        <v>0</v>
      </c>
      <c r="H153" s="495">
        <f t="shared" si="60"/>
        <v>0</v>
      </c>
      <c r="I153" s="495">
        <f t="shared" si="60"/>
        <v>0</v>
      </c>
      <c r="J153" s="495">
        <f t="shared" si="60"/>
        <v>0</v>
      </c>
      <c r="K153" s="656">
        <f t="shared" si="60"/>
        <v>0</v>
      </c>
      <c r="L153" s="653">
        <v>26908</v>
      </c>
      <c r="M153" s="495">
        <v>-26908</v>
      </c>
      <c r="N153" s="495">
        <v>0</v>
      </c>
      <c r="O153" s="495">
        <v>0</v>
      </c>
      <c r="P153" s="495">
        <v>0</v>
      </c>
      <c r="Q153" s="495">
        <v>0</v>
      </c>
      <c r="R153" s="495">
        <v>0</v>
      </c>
      <c r="S153" s="495">
        <v>0</v>
      </c>
      <c r="T153" s="656">
        <v>0</v>
      </c>
      <c r="U153" s="653">
        <v>26908</v>
      </c>
      <c r="V153" s="495">
        <v>-26908</v>
      </c>
      <c r="W153" s="495">
        <v>0</v>
      </c>
      <c r="X153" s="495">
        <v>0</v>
      </c>
      <c r="Y153" s="495">
        <v>0</v>
      </c>
      <c r="Z153" s="495">
        <v>0</v>
      </c>
      <c r="AA153" s="495">
        <v>0</v>
      </c>
      <c r="AB153" s="495">
        <v>0</v>
      </c>
      <c r="AC153" s="656">
        <v>0</v>
      </c>
      <c r="AD153" s="494">
        <v>41320</v>
      </c>
      <c r="AE153" s="495">
        <v>-28969.333333333336</v>
      </c>
      <c r="AF153" s="495">
        <v>0</v>
      </c>
      <c r="AG153" s="495">
        <v>0</v>
      </c>
      <c r="AH153" s="495">
        <v>0</v>
      </c>
      <c r="AI153" s="495">
        <v>0</v>
      </c>
      <c r="AJ153" s="495">
        <v>0</v>
      </c>
      <c r="AK153" s="495">
        <v>0</v>
      </c>
      <c r="AL153" s="496">
        <v>12350.666666666664</v>
      </c>
      <c r="AM153" s="494">
        <v>62760</v>
      </c>
      <c r="AN153" s="495">
        <v>-35672.333333333336</v>
      </c>
      <c r="AO153" s="495">
        <v>0</v>
      </c>
      <c r="AP153" s="495">
        <v>0</v>
      </c>
      <c r="AQ153" s="495">
        <v>0</v>
      </c>
      <c r="AR153" s="495">
        <v>0</v>
      </c>
      <c r="AS153" s="495">
        <v>0</v>
      </c>
      <c r="AT153" s="495">
        <v>0</v>
      </c>
      <c r="AU153" s="497">
        <v>27087.666666666664</v>
      </c>
    </row>
    <row r="154" spans="1:47" ht="15" thickTop="1">
      <c r="A154" s="498" t="s">
        <v>130</v>
      </c>
      <c r="B154" s="499"/>
      <c r="C154" s="477"/>
      <c r="D154" s="489"/>
      <c r="E154" s="489"/>
      <c r="F154" s="489"/>
      <c r="G154" s="489"/>
      <c r="H154" s="489"/>
      <c r="I154" s="489"/>
      <c r="J154" s="489"/>
      <c r="K154" s="490"/>
      <c r="L154" s="477"/>
      <c r="M154" s="489"/>
      <c r="N154" s="489"/>
      <c r="O154" s="489"/>
      <c r="P154" s="489"/>
      <c r="Q154" s="489"/>
      <c r="R154" s="489"/>
      <c r="S154" s="489"/>
      <c r="T154" s="490"/>
      <c r="U154" s="477"/>
      <c r="V154" s="489"/>
      <c r="W154" s="489"/>
      <c r="X154" s="489"/>
      <c r="Y154" s="489"/>
      <c r="Z154" s="489"/>
      <c r="AA154" s="489"/>
      <c r="AB154" s="489"/>
      <c r="AC154" s="490"/>
      <c r="AD154" s="477"/>
      <c r="AE154" s="489"/>
      <c r="AF154" s="489"/>
      <c r="AG154" s="489"/>
      <c r="AH154" s="489"/>
      <c r="AI154" s="489"/>
      <c r="AJ154" s="489"/>
      <c r="AK154" s="489"/>
      <c r="AL154" s="490"/>
      <c r="AM154" s="477"/>
      <c r="AN154" s="489"/>
      <c r="AO154" s="489"/>
      <c r="AP154" s="489"/>
      <c r="AQ154" s="489"/>
      <c r="AR154" s="489"/>
      <c r="AS154" s="489"/>
      <c r="AT154" s="489"/>
      <c r="AU154" s="490"/>
    </row>
    <row r="155" spans="1:47">
      <c r="A155" s="158" t="s">
        <v>1080</v>
      </c>
      <c r="B155" s="488" t="s">
        <v>1134</v>
      </c>
      <c r="C155" s="650">
        <f>'PL Grouping'!C100</f>
        <v>0</v>
      </c>
      <c r="D155" s="489">
        <f>'PL Grouping'!D100</f>
        <v>0</v>
      </c>
      <c r="E155" s="489">
        <f>'PL Grouping'!E100</f>
        <v>0</v>
      </c>
      <c r="F155" s="489">
        <f>'PL Grouping'!F100</f>
        <v>0</v>
      </c>
      <c r="G155" s="489">
        <f>'PL Grouping'!G100</f>
        <v>0</v>
      </c>
      <c r="H155" s="489">
        <f>'PL Grouping'!H100</f>
        <v>0</v>
      </c>
      <c r="I155" s="489">
        <f>'PL Grouping'!I100</f>
        <v>0</v>
      </c>
      <c r="J155" s="489">
        <f>'PL Grouping'!J100</f>
        <v>0</v>
      </c>
      <c r="K155" s="490">
        <f t="shared" ref="K155" si="61">SUM(C155:J155)</f>
        <v>0</v>
      </c>
      <c r="L155" s="650">
        <v>9330334</v>
      </c>
      <c r="M155" s="489">
        <v>0</v>
      </c>
      <c r="N155" s="489">
        <v>0</v>
      </c>
      <c r="O155" s="489">
        <v>0</v>
      </c>
      <c r="P155" s="489">
        <v>29294</v>
      </c>
      <c r="Q155" s="489">
        <v>0</v>
      </c>
      <c r="R155" s="489">
        <v>0</v>
      </c>
      <c r="S155" s="489">
        <v>0</v>
      </c>
      <c r="T155" s="490">
        <v>9359628</v>
      </c>
      <c r="U155" s="650">
        <v>12274103</v>
      </c>
      <c r="V155" s="489">
        <v>0</v>
      </c>
      <c r="W155" s="489">
        <v>96466</v>
      </c>
      <c r="X155" s="489">
        <v>0</v>
      </c>
      <c r="Y155" s="489">
        <v>29294</v>
      </c>
      <c r="Z155" s="489">
        <v>0</v>
      </c>
      <c r="AA155" s="489">
        <v>262780</v>
      </c>
      <c r="AB155" s="489">
        <v>0</v>
      </c>
      <c r="AC155" s="490">
        <v>12662643</v>
      </c>
      <c r="AD155" s="477">
        <v>27004217.280000001</v>
      </c>
      <c r="AE155" s="489">
        <v>0</v>
      </c>
      <c r="AF155" s="489">
        <v>115474</v>
      </c>
      <c r="AG155" s="489">
        <v>0</v>
      </c>
      <c r="AH155" s="489">
        <v>53395</v>
      </c>
      <c r="AI155" s="489">
        <v>0</v>
      </c>
      <c r="AJ155" s="489">
        <v>903470</v>
      </c>
      <c r="AK155" s="489">
        <v>-15605</v>
      </c>
      <c r="AL155" s="490">
        <v>28060951.280000001</v>
      </c>
      <c r="AM155" s="477">
        <v>26585645</v>
      </c>
      <c r="AN155" s="489">
        <v>-374192</v>
      </c>
      <c r="AO155" s="489">
        <v>51847</v>
      </c>
      <c r="AP155" s="489">
        <v>0</v>
      </c>
      <c r="AQ155" s="489">
        <v>10401</v>
      </c>
      <c r="AR155" s="489">
        <v>0</v>
      </c>
      <c r="AS155" s="489">
        <v>0</v>
      </c>
      <c r="AT155" s="489">
        <v>0</v>
      </c>
      <c r="AU155" s="490">
        <v>26273701</v>
      </c>
    </row>
    <row r="156" spans="1:47" ht="15" thickBot="1">
      <c r="A156" s="158"/>
      <c r="B156" s="488"/>
      <c r="C156" s="477"/>
      <c r="D156" s="489"/>
      <c r="E156" s="489"/>
      <c r="F156" s="489"/>
      <c r="G156" s="489"/>
      <c r="H156" s="489"/>
      <c r="I156" s="489"/>
      <c r="J156" s="489"/>
      <c r="K156" s="490"/>
      <c r="L156" s="477"/>
      <c r="M156" s="489"/>
      <c r="N156" s="489"/>
      <c r="O156" s="489"/>
      <c r="P156" s="489"/>
      <c r="Q156" s="489"/>
      <c r="R156" s="489"/>
      <c r="S156" s="489"/>
      <c r="T156" s="490"/>
      <c r="U156" s="477"/>
      <c r="V156" s="489"/>
      <c r="W156" s="489"/>
      <c r="X156" s="489"/>
      <c r="Y156" s="489"/>
      <c r="Z156" s="489"/>
      <c r="AA156" s="489"/>
      <c r="AB156" s="489"/>
      <c r="AC156" s="490"/>
      <c r="AD156" s="477"/>
      <c r="AE156" s="489"/>
      <c r="AF156" s="489"/>
      <c r="AG156" s="489"/>
      <c r="AH156" s="489"/>
      <c r="AI156" s="489"/>
      <c r="AJ156" s="489"/>
      <c r="AK156" s="489"/>
      <c r="AL156" s="490"/>
      <c r="AM156" s="477"/>
      <c r="AN156" s="489"/>
      <c r="AO156" s="489"/>
      <c r="AP156" s="489"/>
      <c r="AQ156" s="489"/>
      <c r="AR156" s="489"/>
      <c r="AS156" s="489"/>
      <c r="AT156" s="489"/>
      <c r="AU156" s="490"/>
    </row>
    <row r="157" spans="1:47" ht="15.6" thickTop="1" thickBot="1">
      <c r="A157" s="492"/>
      <c r="B157" s="493" t="s">
        <v>1522</v>
      </c>
      <c r="C157" s="653">
        <f t="shared" ref="C157:H157" si="62">SUM(C155:C156)</f>
        <v>0</v>
      </c>
      <c r="D157" s="495">
        <f t="shared" si="62"/>
        <v>0</v>
      </c>
      <c r="E157" s="495">
        <f t="shared" si="62"/>
        <v>0</v>
      </c>
      <c r="F157" s="495">
        <f t="shared" si="62"/>
        <v>0</v>
      </c>
      <c r="G157" s="495">
        <f t="shared" si="62"/>
        <v>0</v>
      </c>
      <c r="H157" s="495">
        <f t="shared" si="62"/>
        <v>0</v>
      </c>
      <c r="I157" s="495">
        <f t="shared" ref="I157:K157" si="63">SUM(I155:I156)</f>
        <v>0</v>
      </c>
      <c r="J157" s="495">
        <f t="shared" si="63"/>
        <v>0</v>
      </c>
      <c r="K157" s="497">
        <f t="shared" si="63"/>
        <v>0</v>
      </c>
      <c r="L157" s="653">
        <v>9330334</v>
      </c>
      <c r="M157" s="495">
        <v>0</v>
      </c>
      <c r="N157" s="495">
        <v>0</v>
      </c>
      <c r="O157" s="495">
        <v>0</v>
      </c>
      <c r="P157" s="495">
        <v>29294</v>
      </c>
      <c r="Q157" s="495">
        <v>0</v>
      </c>
      <c r="R157" s="495">
        <v>0</v>
      </c>
      <c r="S157" s="495">
        <v>0</v>
      </c>
      <c r="T157" s="497">
        <v>9359628</v>
      </c>
      <c r="U157" s="653">
        <v>12274103</v>
      </c>
      <c r="V157" s="495">
        <v>0</v>
      </c>
      <c r="W157" s="495">
        <v>96466</v>
      </c>
      <c r="X157" s="495">
        <v>0</v>
      </c>
      <c r="Y157" s="495">
        <v>29294</v>
      </c>
      <c r="Z157" s="495">
        <v>0</v>
      </c>
      <c r="AA157" s="495">
        <v>262780</v>
      </c>
      <c r="AB157" s="495">
        <v>0</v>
      </c>
      <c r="AC157" s="497">
        <v>12662643</v>
      </c>
      <c r="AD157" s="494">
        <v>27004217.280000001</v>
      </c>
      <c r="AE157" s="495">
        <v>0</v>
      </c>
      <c r="AF157" s="495">
        <v>115474</v>
      </c>
      <c r="AG157" s="495">
        <v>0</v>
      </c>
      <c r="AH157" s="495">
        <v>53395</v>
      </c>
      <c r="AI157" s="495">
        <v>0</v>
      </c>
      <c r="AJ157" s="495">
        <v>903470</v>
      </c>
      <c r="AK157" s="495">
        <v>-15605</v>
      </c>
      <c r="AL157" s="497">
        <v>28060951.280000001</v>
      </c>
      <c r="AM157" s="494">
        <v>26585645</v>
      </c>
      <c r="AN157" s="495">
        <v>-374192</v>
      </c>
      <c r="AO157" s="495">
        <v>51847</v>
      </c>
      <c r="AP157" s="495">
        <v>0</v>
      </c>
      <c r="AQ157" s="495">
        <v>10401</v>
      </c>
      <c r="AR157" s="495">
        <v>0</v>
      </c>
      <c r="AS157" s="495">
        <v>0</v>
      </c>
      <c r="AT157" s="495">
        <v>0</v>
      </c>
      <c r="AU157" s="497">
        <v>26273701</v>
      </c>
    </row>
    <row r="158" spans="1:47" ht="15" thickTop="1">
      <c r="A158" s="158"/>
      <c r="B158" s="488"/>
      <c r="C158" s="477"/>
      <c r="D158" s="489"/>
      <c r="E158" s="489"/>
      <c r="F158" s="489"/>
      <c r="G158" s="489"/>
      <c r="H158" s="489"/>
      <c r="I158" s="489"/>
      <c r="J158" s="489"/>
      <c r="K158" s="490"/>
      <c r="L158" s="477"/>
      <c r="M158" s="489"/>
      <c r="N158" s="489"/>
      <c r="O158" s="489"/>
      <c r="P158" s="489"/>
      <c r="Q158" s="489"/>
      <c r="R158" s="489"/>
      <c r="S158" s="489"/>
      <c r="T158" s="490"/>
      <c r="U158" s="477"/>
      <c r="V158" s="489"/>
      <c r="W158" s="489"/>
      <c r="X158" s="489"/>
      <c r="Y158" s="489"/>
      <c r="Z158" s="489"/>
      <c r="AA158" s="489"/>
      <c r="AB158" s="489"/>
      <c r="AC158" s="490"/>
      <c r="AD158" s="477"/>
      <c r="AE158" s="489"/>
      <c r="AF158" s="489"/>
      <c r="AG158" s="489"/>
      <c r="AH158" s="489"/>
      <c r="AI158" s="489"/>
      <c r="AJ158" s="489"/>
      <c r="AK158" s="489"/>
      <c r="AL158" s="490"/>
      <c r="AM158" s="477"/>
      <c r="AN158" s="489"/>
      <c r="AO158" s="489"/>
      <c r="AP158" s="489"/>
      <c r="AQ158" s="489"/>
      <c r="AR158" s="489"/>
      <c r="AS158" s="489"/>
      <c r="AT158" s="489"/>
      <c r="AU158" s="490"/>
    </row>
    <row r="159" spans="1:47">
      <c r="A159" s="155" t="s">
        <v>395</v>
      </c>
      <c r="B159" s="488"/>
      <c r="C159" s="477"/>
      <c r="D159" s="489"/>
      <c r="E159" s="489"/>
      <c r="F159" s="489"/>
      <c r="G159" s="489"/>
      <c r="H159" s="489"/>
      <c r="I159" s="489"/>
      <c r="J159" s="489"/>
      <c r="K159" s="490"/>
      <c r="L159" s="477"/>
      <c r="M159" s="489"/>
      <c r="N159" s="489"/>
      <c r="O159" s="489"/>
      <c r="P159" s="489"/>
      <c r="Q159" s="489"/>
      <c r="R159" s="489"/>
      <c r="S159" s="489"/>
      <c r="T159" s="490"/>
      <c r="U159" s="477"/>
      <c r="V159" s="489"/>
      <c r="W159" s="489"/>
      <c r="X159" s="489"/>
      <c r="Y159" s="489"/>
      <c r="Z159" s="489"/>
      <c r="AA159" s="489"/>
      <c r="AB159" s="489"/>
      <c r="AC159" s="490"/>
      <c r="AD159" s="477"/>
      <c r="AE159" s="489"/>
      <c r="AF159" s="489"/>
      <c r="AG159" s="489"/>
      <c r="AH159" s="489"/>
      <c r="AI159" s="489"/>
      <c r="AJ159" s="489"/>
      <c r="AK159" s="489"/>
      <c r="AL159" s="490"/>
      <c r="AM159" s="477"/>
      <c r="AN159" s="489"/>
      <c r="AO159" s="489"/>
      <c r="AP159" s="489"/>
      <c r="AQ159" s="489"/>
      <c r="AR159" s="489"/>
      <c r="AS159" s="489"/>
      <c r="AT159" s="489"/>
      <c r="AU159" s="490"/>
    </row>
    <row r="160" spans="1:47">
      <c r="A160" s="158" t="s">
        <v>139</v>
      </c>
      <c r="B160" s="488" t="s">
        <v>449</v>
      </c>
      <c r="C160" s="649" cm="1">
        <f t="array" ref="C160">_xlfn.XLOOKUP(A160,'TB upload'!A:A,'TB upload'!B:B-'TB upload'!C:C,0,)*0-56485</f>
        <v>-56485</v>
      </c>
      <c r="D160" s="489">
        <v>72686.600000000006</v>
      </c>
      <c r="E160" s="474" cm="1">
        <f t="array" ref="E160">_xlfn.XLOOKUP($A160,'TB upload'!$A:$A,'TB upload'!D:D-'TB upload'!E:E,0,)</f>
        <v>0</v>
      </c>
      <c r="F160" s="489"/>
      <c r="G160" s="474" cm="1">
        <f t="array" ref="G160">_xlfn.XLOOKUP($A160,'TB upload'!$A:$A,'TB upload'!F:F-'TB upload'!G:G,0,)</f>
        <v>0</v>
      </c>
      <c r="H160" s="489"/>
      <c r="I160" s="489" cm="1">
        <f t="array" ref="I160">_xlfn.XLOOKUP($A160,'TB upload'!$A:$A,'TB upload'!H:H-'TB upload'!I:I,0,)</f>
        <v>0</v>
      </c>
      <c r="J160" s="1107">
        <f>1634619*0</f>
        <v>0</v>
      </c>
      <c r="K160" s="490">
        <f t="shared" ref="K160:K165" si="64">SUM(C160:J160)</f>
        <v>16201.600000000006</v>
      </c>
      <c r="L160" s="649">
        <v>2083551.81</v>
      </c>
      <c r="M160" s="489"/>
      <c r="N160" s="474">
        <v>0</v>
      </c>
      <c r="O160" s="489"/>
      <c r="P160" s="474">
        <v>0</v>
      </c>
      <c r="Q160" s="489"/>
      <c r="R160" s="489">
        <v>0</v>
      </c>
      <c r="S160" s="489"/>
      <c r="T160" s="490">
        <v>2083551.81</v>
      </c>
      <c r="U160" s="650">
        <v>3072116.1400000006</v>
      </c>
      <c r="V160" s="489"/>
      <c r="W160" s="474"/>
      <c r="X160" s="489"/>
      <c r="Y160" s="474"/>
      <c r="Z160" s="489"/>
      <c r="AA160" s="489">
        <v>0</v>
      </c>
      <c r="AB160" s="489"/>
      <c r="AC160" s="490">
        <v>3072116.1400000006</v>
      </c>
      <c r="AD160" s="477">
        <v>2535406.4300000002</v>
      </c>
      <c r="AE160" s="489"/>
      <c r="AF160" s="474">
        <v>6.1</v>
      </c>
      <c r="AG160" s="489"/>
      <c r="AH160" s="474">
        <v>167544.09</v>
      </c>
      <c r="AI160" s="489"/>
      <c r="AJ160" s="489">
        <v>5747.03</v>
      </c>
      <c r="AK160" s="489">
        <v>0</v>
      </c>
      <c r="AL160" s="490">
        <v>2708703.65</v>
      </c>
      <c r="AM160" s="477">
        <v>4528491.4499999993</v>
      </c>
      <c r="AN160" s="489"/>
      <c r="AO160" s="489">
        <v>14091</v>
      </c>
      <c r="AP160" s="489"/>
      <c r="AQ160" s="489">
        <v>164325</v>
      </c>
      <c r="AR160" s="489"/>
      <c r="AS160" s="489"/>
      <c r="AT160" s="489"/>
      <c r="AU160" s="490">
        <v>4706907.4499999993</v>
      </c>
    </row>
    <row r="161" spans="1:47">
      <c r="A161" s="158" t="s">
        <v>535</v>
      </c>
      <c r="B161" s="488" t="s">
        <v>449</v>
      </c>
      <c r="C161" s="649" cm="1">
        <f t="array" ref="C161">_xlfn.XLOOKUP(A161,'TB upload'!A:A,'TB upload'!B:B-'TB upload'!C:C,0,)</f>
        <v>0</v>
      </c>
      <c r="D161" s="489"/>
      <c r="E161" s="474">
        <f>-C162</f>
        <v>-438937.7</v>
      </c>
      <c r="F161" s="489"/>
      <c r="G161" s="474" cm="1">
        <f t="array" ref="G161">_xlfn.XLOOKUP($A161,'TB upload'!$A:$A,'TB upload'!F:F-'TB upload'!G:G,0,)</f>
        <v>0</v>
      </c>
      <c r="H161" s="489"/>
      <c r="I161" s="489" cm="1">
        <f t="array" ref="I161">_xlfn.XLOOKUP($A161,'TB upload'!$A:$A,'TB upload'!H:H-'TB upload'!I:I,0,)</f>
        <v>0</v>
      </c>
      <c r="J161" s="489"/>
      <c r="K161" s="490">
        <f t="shared" si="64"/>
        <v>-438937.7</v>
      </c>
      <c r="L161" s="649">
        <v>0</v>
      </c>
      <c r="M161" s="489"/>
      <c r="N161" s="474">
        <v>0</v>
      </c>
      <c r="O161" s="489"/>
      <c r="P161" s="474">
        <v>0</v>
      </c>
      <c r="Q161" s="489"/>
      <c r="R161" s="489">
        <v>0</v>
      </c>
      <c r="S161" s="489"/>
      <c r="T161" s="490">
        <v>0</v>
      </c>
      <c r="U161" s="477">
        <v>0</v>
      </c>
      <c r="V161" s="489"/>
      <c r="W161" s="474">
        <v>0</v>
      </c>
      <c r="X161" s="489"/>
      <c r="Y161" s="474">
        <v>0</v>
      </c>
      <c r="Z161" s="489"/>
      <c r="AA161" s="489">
        <v>0</v>
      </c>
      <c r="AB161" s="489"/>
      <c r="AC161" s="490">
        <v>0</v>
      </c>
      <c r="AD161" s="477">
        <v>0</v>
      </c>
      <c r="AE161" s="489"/>
      <c r="AF161" s="474">
        <v>0</v>
      </c>
      <c r="AG161" s="489"/>
      <c r="AH161" s="474">
        <v>0</v>
      </c>
      <c r="AI161" s="489"/>
      <c r="AJ161" s="489">
        <v>0</v>
      </c>
      <c r="AK161" s="489"/>
      <c r="AL161" s="490">
        <v>0</v>
      </c>
      <c r="AM161" s="477">
        <v>39452.75</v>
      </c>
      <c r="AN161" s="489"/>
      <c r="AO161" s="489"/>
      <c r="AP161" s="489"/>
      <c r="AQ161" s="489"/>
      <c r="AR161" s="489"/>
      <c r="AS161" s="489"/>
      <c r="AT161" s="489"/>
      <c r="AU161" s="490">
        <v>39452.75</v>
      </c>
    </row>
    <row r="162" spans="1:47">
      <c r="A162" s="158" t="s">
        <v>536</v>
      </c>
      <c r="B162" s="488" t="s">
        <v>449</v>
      </c>
      <c r="C162" s="649" cm="1">
        <f t="array" ref="C162">_xlfn.XLOOKUP(A162,'TB upload'!A:A,'TB upload'!B:B-'TB upload'!C:C,0,)</f>
        <v>438937.7</v>
      </c>
      <c r="D162" s="489"/>
      <c r="E162" s="474" cm="1">
        <f t="array" ref="E162">_xlfn.XLOOKUP($A162,'TB upload'!$A:$A,'TB upload'!D:D-'TB upload'!E:E,0,)</f>
        <v>0</v>
      </c>
      <c r="F162" s="489"/>
      <c r="G162" s="474" cm="1">
        <f t="array" ref="G162">_xlfn.XLOOKUP($A162,'TB upload'!$A:$A,'TB upload'!F:F-'TB upload'!G:G,0,)</f>
        <v>0</v>
      </c>
      <c r="H162" s="489"/>
      <c r="I162" s="489" cm="1">
        <f t="array" ref="I162">_xlfn.XLOOKUP($A162,'TB upload'!$A:$A,'TB upload'!H:H-'TB upload'!I:I,0,)</f>
        <v>0</v>
      </c>
      <c r="J162" s="489"/>
      <c r="K162" s="490">
        <f t="shared" si="64"/>
        <v>438937.7</v>
      </c>
      <c r="L162" s="649">
        <v>1026655.3</v>
      </c>
      <c r="M162" s="489"/>
      <c r="N162" s="474">
        <v>0</v>
      </c>
      <c r="O162" s="489"/>
      <c r="P162" s="474">
        <v>0</v>
      </c>
      <c r="Q162" s="489"/>
      <c r="R162" s="489">
        <v>0</v>
      </c>
      <c r="S162" s="489"/>
      <c r="T162" s="490">
        <v>1026655.3</v>
      </c>
      <c r="U162" s="650">
        <v>1138464.1100000001</v>
      </c>
      <c r="V162" s="489"/>
      <c r="W162" s="474">
        <v>0</v>
      </c>
      <c r="X162" s="489"/>
      <c r="Y162" s="474">
        <v>0</v>
      </c>
      <c r="Z162" s="489"/>
      <c r="AA162" s="489">
        <v>0</v>
      </c>
      <c r="AB162" s="489"/>
      <c r="AC162" s="490">
        <v>1138464.1100000001</v>
      </c>
      <c r="AD162" s="477">
        <v>953094.25</v>
      </c>
      <c r="AE162" s="489"/>
      <c r="AF162" s="474">
        <v>0</v>
      </c>
      <c r="AG162" s="489"/>
      <c r="AH162" s="474">
        <v>0</v>
      </c>
      <c r="AI162" s="489"/>
      <c r="AJ162" s="489">
        <v>0</v>
      </c>
      <c r="AK162" s="489"/>
      <c r="AL162" s="490">
        <v>953094.25</v>
      </c>
      <c r="AM162" s="477">
        <v>158163.09</v>
      </c>
      <c r="AN162" s="489"/>
      <c r="AO162" s="489"/>
      <c r="AP162" s="489"/>
      <c r="AQ162" s="489"/>
      <c r="AR162" s="489"/>
      <c r="AS162" s="489"/>
      <c r="AT162" s="489"/>
      <c r="AU162" s="490">
        <v>158163.09</v>
      </c>
    </row>
    <row r="163" spans="1:47">
      <c r="A163" s="158" t="s">
        <v>1368</v>
      </c>
      <c r="B163" s="488" t="s">
        <v>449</v>
      </c>
      <c r="C163" s="649">
        <v>418019.27</v>
      </c>
      <c r="D163" s="489"/>
      <c r="E163" s="474" cm="1">
        <f t="array" ref="E163">_xlfn.XLOOKUP($A163,'TB upload'!$A:$A,'TB upload'!D:D-'TB upload'!E:E,0,)</f>
        <v>0</v>
      </c>
      <c r="F163" s="489"/>
      <c r="G163" s="474">
        <f>-C164</f>
        <v>-57114.99</v>
      </c>
      <c r="H163" s="489"/>
      <c r="I163" s="489" cm="1">
        <f t="array" ref="I163">_xlfn.XLOOKUP($A163,'TB upload'!$A:$A,'TB upload'!H:H-'TB upload'!I:I,0,)</f>
        <v>0</v>
      </c>
      <c r="J163" s="489"/>
      <c r="K163" s="490">
        <f t="shared" si="64"/>
        <v>360904.28</v>
      </c>
      <c r="L163" s="649">
        <v>661673.72</v>
      </c>
      <c r="M163" s="489"/>
      <c r="N163" s="474">
        <v>0</v>
      </c>
      <c r="O163" s="489"/>
      <c r="P163" s="474">
        <v>0</v>
      </c>
      <c r="Q163" s="489"/>
      <c r="R163" s="489">
        <v>0</v>
      </c>
      <c r="S163" s="489"/>
      <c r="T163" s="490">
        <v>661673.72</v>
      </c>
      <c r="U163" s="650">
        <v>914609</v>
      </c>
      <c r="V163" s="489"/>
      <c r="W163" s="474">
        <v>0</v>
      </c>
      <c r="X163" s="489"/>
      <c r="Y163" s="474">
        <v>0</v>
      </c>
      <c r="Z163" s="489"/>
      <c r="AA163" s="489">
        <v>0</v>
      </c>
      <c r="AB163" s="489"/>
      <c r="AC163" s="490">
        <v>914609</v>
      </c>
      <c r="AD163" s="477">
        <v>620149</v>
      </c>
      <c r="AE163" s="489"/>
      <c r="AF163" s="474">
        <v>0</v>
      </c>
      <c r="AG163" s="489"/>
      <c r="AH163" s="474">
        <v>0</v>
      </c>
      <c r="AI163" s="489"/>
      <c r="AJ163" s="489">
        <v>0</v>
      </c>
      <c r="AK163" s="489"/>
      <c r="AL163" s="490">
        <v>620149</v>
      </c>
      <c r="AM163" s="477">
        <v>0</v>
      </c>
      <c r="AN163" s="489"/>
      <c r="AO163" s="489"/>
      <c r="AP163" s="489"/>
      <c r="AQ163" s="489"/>
      <c r="AR163" s="489"/>
      <c r="AS163" s="489"/>
      <c r="AT163" s="489"/>
      <c r="AU163" s="490">
        <v>0</v>
      </c>
    </row>
    <row r="164" spans="1:47">
      <c r="A164" s="158" t="s">
        <v>1059</v>
      </c>
      <c r="B164" s="488" t="s">
        <v>449</v>
      </c>
      <c r="C164" s="649" cm="1">
        <f t="array" ref="C164">_xlfn.XLOOKUP(A164,'TB upload'!A:A,'TB upload'!B:B-'TB upload'!C:C,0,)</f>
        <v>57114.99</v>
      </c>
      <c r="D164" s="489"/>
      <c r="E164" s="474" cm="1">
        <f t="array" ref="E164">_xlfn.XLOOKUP($A164,'TB upload'!$A:$A,'TB upload'!D:D-'TB upload'!E:E,0,)</f>
        <v>0</v>
      </c>
      <c r="F164" s="489"/>
      <c r="G164" s="474" cm="1">
        <f t="array" ref="G164">_xlfn.XLOOKUP($A164,'TB upload'!$A:$A,'TB upload'!F:F-'TB upload'!G:G,0,)</f>
        <v>0</v>
      </c>
      <c r="H164" s="489"/>
      <c r="I164" s="489">
        <f>-C163</f>
        <v>-418019.27</v>
      </c>
      <c r="J164" s="489"/>
      <c r="K164" s="490">
        <f t="shared" si="64"/>
        <v>-360904.28</v>
      </c>
      <c r="L164" s="649">
        <v>-176570.43</v>
      </c>
      <c r="M164" s="489"/>
      <c r="N164" s="474">
        <v>0</v>
      </c>
      <c r="O164" s="489"/>
      <c r="P164" s="474">
        <v>0</v>
      </c>
      <c r="Q164" s="489"/>
      <c r="R164" s="489">
        <v>0</v>
      </c>
      <c r="S164" s="489"/>
      <c r="T164" s="490">
        <v>-176570.43</v>
      </c>
      <c r="U164" s="650">
        <v>1406497.18</v>
      </c>
      <c r="V164" s="489"/>
      <c r="W164" s="474">
        <v>0</v>
      </c>
      <c r="X164" s="489"/>
      <c r="Y164" s="474">
        <v>0</v>
      </c>
      <c r="Z164" s="489"/>
      <c r="AA164" s="489">
        <v>0</v>
      </c>
      <c r="AB164" s="489"/>
      <c r="AC164" s="490">
        <v>1406497.18</v>
      </c>
      <c r="AD164" s="477">
        <v>1381731.76</v>
      </c>
      <c r="AE164" s="489"/>
      <c r="AF164" s="474">
        <v>0</v>
      </c>
      <c r="AG164" s="489"/>
      <c r="AH164" s="474">
        <v>0</v>
      </c>
      <c r="AI164" s="489"/>
      <c r="AJ164" s="489">
        <v>0</v>
      </c>
      <c r="AK164" s="489"/>
      <c r="AL164" s="490">
        <v>1381731.76</v>
      </c>
      <c r="AM164" s="477">
        <v>1359541.89</v>
      </c>
      <c r="AN164" s="489"/>
      <c r="AO164" s="489">
        <v>-197615</v>
      </c>
      <c r="AP164" s="489"/>
      <c r="AQ164" s="489">
        <v>-1359541.89</v>
      </c>
      <c r="AR164" s="489"/>
      <c r="AS164" s="489"/>
      <c r="AT164" s="489"/>
      <c r="AU164" s="490">
        <v>-197615</v>
      </c>
    </row>
    <row r="165" spans="1:47" ht="15" thickBot="1">
      <c r="A165" s="158" t="s">
        <v>1421</v>
      </c>
      <c r="B165" s="488" t="s">
        <v>449</v>
      </c>
      <c r="C165" s="649" cm="1">
        <f t="array" ref="C165">_xlfn.XLOOKUP(A165,'TB upload'!A:A,'TB upload'!B:B-'TB upload'!C:C,0,)</f>
        <v>0</v>
      </c>
      <c r="D165" s="489"/>
      <c r="E165" s="474" cm="1">
        <f t="array" ref="E165">_xlfn.XLOOKUP($A165,'TB upload'!$A:$A,'TB upload'!D:D-'TB upload'!E:E,0,)</f>
        <v>0</v>
      </c>
      <c r="F165" s="489"/>
      <c r="G165" s="474" cm="1">
        <f t="array" ref="G165">_xlfn.XLOOKUP($A165,'TB upload'!$A:$A,'TB upload'!F:F-'TB upload'!G:G,0,)</f>
        <v>0</v>
      </c>
      <c r="H165" s="489"/>
      <c r="I165" s="489" cm="1">
        <f t="array" ref="I165">_xlfn.XLOOKUP($A165,'TB upload'!$A:$A,'TB upload'!H:H-'TB upload'!I:I,0,)</f>
        <v>0</v>
      </c>
      <c r="J165" s="489"/>
      <c r="K165" s="490">
        <f t="shared" si="64"/>
        <v>0</v>
      </c>
      <c r="L165" s="649">
        <v>0</v>
      </c>
      <c r="M165" s="489"/>
      <c r="N165" s="474">
        <v>-1026655.3</v>
      </c>
      <c r="O165" s="489"/>
      <c r="P165" s="474">
        <v>176570.43</v>
      </c>
      <c r="Q165" s="489"/>
      <c r="R165" s="489">
        <v>-661673.72</v>
      </c>
      <c r="S165" s="489"/>
      <c r="T165" s="490">
        <v>-1511758.59</v>
      </c>
      <c r="U165" s="477">
        <v>0</v>
      </c>
      <c r="V165" s="489"/>
      <c r="W165" s="474">
        <v>-1138464</v>
      </c>
      <c r="X165" s="489"/>
      <c r="Y165" s="474">
        <v>-1406497</v>
      </c>
      <c r="Z165" s="489"/>
      <c r="AA165" s="489">
        <v>-914609</v>
      </c>
      <c r="AB165" s="489"/>
      <c r="AC165" s="490">
        <v>-3459570</v>
      </c>
      <c r="AD165" s="477">
        <v>0</v>
      </c>
      <c r="AE165" s="489"/>
      <c r="AF165" s="474">
        <v>-953094.25</v>
      </c>
      <c r="AG165" s="489"/>
      <c r="AH165" s="474">
        <v>-1381731.76</v>
      </c>
      <c r="AI165" s="489"/>
      <c r="AJ165" s="489">
        <v>-620149</v>
      </c>
      <c r="AK165" s="489"/>
      <c r="AL165" s="490">
        <v>-2954975.01</v>
      </c>
      <c r="AM165" s="477">
        <v>0</v>
      </c>
      <c r="AN165" s="489"/>
      <c r="AO165" s="489"/>
      <c r="AP165" s="489"/>
      <c r="AQ165" s="489"/>
      <c r="AR165" s="489"/>
      <c r="AS165" s="489"/>
      <c r="AT165" s="489"/>
      <c r="AU165" s="490">
        <v>0</v>
      </c>
    </row>
    <row r="166" spans="1:47" ht="15.6" thickTop="1" thickBot="1">
      <c r="A166" s="492"/>
      <c r="B166" s="493" t="s">
        <v>1522</v>
      </c>
      <c r="C166" s="653">
        <f t="shared" ref="C166:K166" si="65">SUM(C160:C165)</f>
        <v>857586.96</v>
      </c>
      <c r="D166" s="495">
        <f t="shared" si="65"/>
        <v>72686.600000000006</v>
      </c>
      <c r="E166" s="495">
        <f t="shared" si="65"/>
        <v>-438937.7</v>
      </c>
      <c r="F166" s="495">
        <f t="shared" si="65"/>
        <v>0</v>
      </c>
      <c r="G166" s="495">
        <f t="shared" si="65"/>
        <v>-57114.99</v>
      </c>
      <c r="H166" s="495">
        <f t="shared" si="65"/>
        <v>0</v>
      </c>
      <c r="I166" s="495">
        <f t="shared" si="65"/>
        <v>-418019.27</v>
      </c>
      <c r="J166" s="495">
        <f t="shared" si="65"/>
        <v>0</v>
      </c>
      <c r="K166" s="496">
        <f t="shared" si="65"/>
        <v>16201.600000000035</v>
      </c>
      <c r="L166" s="653">
        <v>3595310.4</v>
      </c>
      <c r="M166" s="495">
        <v>0</v>
      </c>
      <c r="N166" s="495">
        <v>-1026655.3</v>
      </c>
      <c r="O166" s="495">
        <v>0</v>
      </c>
      <c r="P166" s="495">
        <v>176570.43</v>
      </c>
      <c r="Q166" s="495">
        <v>0</v>
      </c>
      <c r="R166" s="495">
        <v>-661673.72</v>
      </c>
      <c r="S166" s="495">
        <v>0</v>
      </c>
      <c r="T166" s="496">
        <v>2083551.8099999998</v>
      </c>
      <c r="U166" s="653">
        <v>6531686.4300000006</v>
      </c>
      <c r="V166" s="495">
        <v>0</v>
      </c>
      <c r="W166" s="495">
        <v>-1138464</v>
      </c>
      <c r="X166" s="495">
        <v>0</v>
      </c>
      <c r="Y166" s="495">
        <v>-1406497</v>
      </c>
      <c r="Z166" s="495">
        <v>0</v>
      </c>
      <c r="AA166" s="495">
        <v>-914609</v>
      </c>
      <c r="AB166" s="495">
        <v>0</v>
      </c>
      <c r="AC166" s="496">
        <v>3072116.4300000006</v>
      </c>
      <c r="AD166" s="494">
        <v>5490381.4400000004</v>
      </c>
      <c r="AE166" s="495">
        <v>0</v>
      </c>
      <c r="AF166" s="495">
        <v>-953088.15</v>
      </c>
      <c r="AG166" s="495">
        <v>0</v>
      </c>
      <c r="AH166" s="495">
        <v>-1214187.67</v>
      </c>
      <c r="AI166" s="495">
        <v>0</v>
      </c>
      <c r="AJ166" s="495">
        <v>-614401.97</v>
      </c>
      <c r="AK166" s="495">
        <v>0</v>
      </c>
      <c r="AL166" s="496">
        <v>2708703.6500000004</v>
      </c>
      <c r="AM166" s="494">
        <v>6085649.1799999988</v>
      </c>
      <c r="AN166" s="495">
        <v>0</v>
      </c>
      <c r="AO166" s="495">
        <v>-183524</v>
      </c>
      <c r="AP166" s="495">
        <v>0</v>
      </c>
      <c r="AQ166" s="495">
        <v>-1195216.8899999999</v>
      </c>
      <c r="AR166" s="495">
        <v>0</v>
      </c>
      <c r="AS166" s="495">
        <v>0</v>
      </c>
      <c r="AT166" s="495">
        <v>0</v>
      </c>
      <c r="AU166" s="497">
        <v>4706908.2899999991</v>
      </c>
    </row>
    <row r="167" spans="1:47" ht="15" thickTop="1">
      <c r="A167" s="158" t="s">
        <v>62</v>
      </c>
      <c r="B167" s="488"/>
      <c r="C167" s="477"/>
      <c r="D167" s="489"/>
      <c r="E167" s="489"/>
      <c r="F167" s="489"/>
      <c r="G167" s="489"/>
      <c r="H167" s="489"/>
      <c r="I167" s="489"/>
      <c r="J167" s="489"/>
      <c r="K167" s="490"/>
      <c r="L167" s="477"/>
      <c r="M167" s="489"/>
      <c r="N167" s="489"/>
      <c r="O167" s="489"/>
      <c r="P167" s="489"/>
      <c r="Q167" s="489"/>
      <c r="R167" s="489"/>
      <c r="S167" s="489"/>
      <c r="T167" s="490"/>
      <c r="U167" s="477"/>
      <c r="V167" s="489"/>
      <c r="W167" s="489"/>
      <c r="X167" s="489"/>
      <c r="Y167" s="489"/>
      <c r="Z167" s="489"/>
      <c r="AA167" s="489"/>
      <c r="AB167" s="489"/>
      <c r="AC167" s="490"/>
      <c r="AD167" s="477"/>
      <c r="AE167" s="489"/>
      <c r="AF167" s="489"/>
      <c r="AG167" s="489"/>
      <c r="AH167" s="489"/>
      <c r="AI167" s="489"/>
      <c r="AJ167" s="489"/>
      <c r="AK167" s="489"/>
      <c r="AL167" s="490"/>
      <c r="AM167" s="477"/>
      <c r="AN167" s="489"/>
      <c r="AO167" s="489"/>
      <c r="AP167" s="489"/>
      <c r="AQ167" s="489"/>
      <c r="AR167" s="489"/>
      <c r="AS167" s="489"/>
      <c r="AT167" s="489"/>
      <c r="AU167" s="490"/>
    </row>
    <row r="168" spans="1:47">
      <c r="A168" s="158" t="s">
        <v>63</v>
      </c>
      <c r="B168" s="488"/>
      <c r="C168" s="477"/>
      <c r="D168" s="489"/>
      <c r="E168" s="489"/>
      <c r="F168" s="489"/>
      <c r="G168" s="489"/>
      <c r="H168" s="489"/>
      <c r="I168" s="489"/>
      <c r="J168" s="489"/>
      <c r="K168" s="490"/>
      <c r="L168" s="477"/>
      <c r="M168" s="489"/>
      <c r="N168" s="489"/>
      <c r="O168" s="489"/>
      <c r="P168" s="489"/>
      <c r="Q168" s="489"/>
      <c r="R168" s="489"/>
      <c r="S168" s="489"/>
      <c r="T168" s="490"/>
      <c r="U168" s="477"/>
      <c r="V168" s="489"/>
      <c r="W168" s="489"/>
      <c r="X168" s="489"/>
      <c r="Y168" s="489"/>
      <c r="Z168" s="489"/>
      <c r="AA168" s="489"/>
      <c r="AB168" s="489"/>
      <c r="AC168" s="490"/>
      <c r="AD168" s="477"/>
      <c r="AE168" s="489"/>
      <c r="AF168" s="489"/>
      <c r="AG168" s="489"/>
      <c r="AH168" s="489"/>
      <c r="AI168" s="489"/>
      <c r="AJ168" s="489"/>
      <c r="AK168" s="489"/>
      <c r="AL168" s="490"/>
      <c r="AM168" s="477"/>
      <c r="AN168" s="489"/>
      <c r="AO168" s="489"/>
      <c r="AP168" s="489"/>
      <c r="AQ168" s="489"/>
      <c r="AR168" s="489"/>
      <c r="AS168" s="489"/>
      <c r="AT168" s="489"/>
      <c r="AU168" s="490"/>
    </row>
    <row r="169" spans="1:47">
      <c r="A169" s="158" t="s">
        <v>510</v>
      </c>
      <c r="B169" s="488" t="s">
        <v>449</v>
      </c>
      <c r="C169" s="649" cm="1">
        <f t="array" ref="C169">_xlfn.XLOOKUP(A169,'TB upload'!A:A,'TB upload'!B:B-'TB upload'!C:C,0,)</f>
        <v>0</v>
      </c>
      <c r="D169" s="489"/>
      <c r="E169" s="474" cm="1">
        <f t="array" ref="E169">_xlfn.XLOOKUP($A169,'TB upload'!$A:$A,'TB upload'!D:D-'TB upload'!E:E,0,)</f>
        <v>0</v>
      </c>
      <c r="F169" s="489"/>
      <c r="G169" s="474" cm="1">
        <f t="array" ref="G169">_xlfn.XLOOKUP($A169,'TB upload'!$A:$A,'TB upload'!F:F-'TB upload'!G:G,0,)</f>
        <v>0</v>
      </c>
      <c r="H169" s="489"/>
      <c r="I169" s="489" cm="1">
        <f t="array" ref="I169">_xlfn.XLOOKUP($A169,'TB upload'!$A:$A,'TB upload'!H:H-'TB upload'!I:I,0,)</f>
        <v>0</v>
      </c>
      <c r="J169" s="489"/>
      <c r="K169" s="490">
        <f t="shared" ref="K169:K172" si="66">SUM(C169:J169)</f>
        <v>0</v>
      </c>
      <c r="L169" s="649">
        <v>0</v>
      </c>
      <c r="M169" s="489"/>
      <c r="N169" s="474">
        <v>0</v>
      </c>
      <c r="O169" s="489"/>
      <c r="P169" s="474">
        <v>0</v>
      </c>
      <c r="Q169" s="489"/>
      <c r="R169" s="489">
        <v>0</v>
      </c>
      <c r="S169" s="489"/>
      <c r="T169" s="490">
        <v>0</v>
      </c>
      <c r="U169" s="477">
        <v>0</v>
      </c>
      <c r="V169" s="489"/>
      <c r="W169" s="474">
        <v>0</v>
      </c>
      <c r="X169" s="489"/>
      <c r="Y169" s="474">
        <v>0</v>
      </c>
      <c r="Z169" s="489"/>
      <c r="AA169" s="489">
        <v>0</v>
      </c>
      <c r="AB169" s="489"/>
      <c r="AC169" s="490">
        <v>0</v>
      </c>
      <c r="AD169" s="477">
        <v>0</v>
      </c>
      <c r="AE169" s="489"/>
      <c r="AF169" s="474">
        <v>0</v>
      </c>
      <c r="AG169" s="489"/>
      <c r="AH169" s="474">
        <v>0</v>
      </c>
      <c r="AI169" s="489"/>
      <c r="AJ169" s="489">
        <v>0</v>
      </c>
      <c r="AK169" s="489"/>
      <c r="AL169" s="490">
        <v>0</v>
      </c>
      <c r="AM169" s="477">
        <v>0</v>
      </c>
      <c r="AN169" s="489"/>
      <c r="AO169" s="489"/>
      <c r="AP169" s="489"/>
      <c r="AQ169" s="489"/>
      <c r="AR169" s="489"/>
      <c r="AS169" s="489"/>
      <c r="AT169" s="489"/>
      <c r="AU169" s="490">
        <v>0</v>
      </c>
    </row>
    <row r="170" spans="1:47">
      <c r="A170" s="158" t="s">
        <v>1149</v>
      </c>
      <c r="B170" s="488" t="s">
        <v>449</v>
      </c>
      <c r="C170" s="649" cm="1">
        <f t="array" ref="C170">_xlfn.XLOOKUP(A170,'TB upload'!A:A,'TB upload'!B:B-'TB upload'!C:C,0,)</f>
        <v>296913.18</v>
      </c>
      <c r="D170" s="489"/>
      <c r="E170" s="474" cm="1">
        <f t="array" ref="E170">_xlfn.XLOOKUP($A170,'TB upload'!$A:$A,'TB upload'!D:D-'TB upload'!E:E,0,)</f>
        <v>0</v>
      </c>
      <c r="F170" s="489"/>
      <c r="G170" s="474" cm="1">
        <f t="array" ref="G170">_xlfn.XLOOKUP($A170,'TB upload'!$A:$A,'TB upload'!F:F-'TB upload'!G:G,0,)</f>
        <v>0</v>
      </c>
      <c r="H170" s="489"/>
      <c r="I170" s="489" cm="1">
        <f t="array" ref="I170">_xlfn.XLOOKUP($A170,'TB upload'!$A:$A,'TB upload'!H:H-'TB upload'!I:I,0,)</f>
        <v>0</v>
      </c>
      <c r="J170" s="489"/>
      <c r="K170" s="490">
        <f t="shared" si="66"/>
        <v>296913.18</v>
      </c>
      <c r="L170" s="649">
        <v>1908069.23</v>
      </c>
      <c r="M170" s="489"/>
      <c r="N170" s="474">
        <v>0</v>
      </c>
      <c r="O170" s="489"/>
      <c r="P170" s="474">
        <v>0</v>
      </c>
      <c r="Q170" s="489"/>
      <c r="R170" s="489">
        <v>0</v>
      </c>
      <c r="S170" s="489"/>
      <c r="T170" s="490">
        <v>1908069.23</v>
      </c>
      <c r="U170" s="650">
        <v>2689772.58</v>
      </c>
      <c r="V170" s="489"/>
      <c r="W170" s="474">
        <v>0</v>
      </c>
      <c r="X170" s="489"/>
      <c r="Y170" s="474">
        <v>0</v>
      </c>
      <c r="Z170" s="489"/>
      <c r="AA170" s="489">
        <v>0</v>
      </c>
      <c r="AB170" s="489"/>
      <c r="AC170" s="490">
        <v>2689772.58</v>
      </c>
      <c r="AD170" s="477">
        <v>0</v>
      </c>
      <c r="AE170" s="489"/>
      <c r="AF170" s="474">
        <v>0</v>
      </c>
      <c r="AG170" s="489"/>
      <c r="AH170" s="474">
        <v>0</v>
      </c>
      <c r="AI170" s="489"/>
      <c r="AJ170" s="489">
        <v>0</v>
      </c>
      <c r="AK170" s="489"/>
      <c r="AL170" s="490">
        <v>0</v>
      </c>
      <c r="AM170" s="477">
        <v>41060500.060000002</v>
      </c>
      <c r="AN170" s="489"/>
      <c r="AO170" s="489"/>
      <c r="AP170" s="489"/>
      <c r="AQ170" s="489"/>
      <c r="AR170" s="489"/>
      <c r="AS170" s="489"/>
      <c r="AT170" s="489"/>
      <c r="AU170" s="490">
        <v>41060500.060000002</v>
      </c>
    </row>
    <row r="171" spans="1:47">
      <c r="A171" s="158" t="s">
        <v>145</v>
      </c>
      <c r="B171" s="488" t="s">
        <v>449</v>
      </c>
      <c r="C171" s="649" cm="1">
        <f t="array" ref="C171">_xlfn.XLOOKUP(A171,'TB upload'!A:A,'TB upload'!B:B-'TB upload'!C:C,0,)</f>
        <v>0</v>
      </c>
      <c r="D171" s="489"/>
      <c r="E171" s="474" cm="1">
        <f t="array" ref="E171">_xlfn.XLOOKUP($A171,'TB upload'!$A:$A,'TB upload'!D:D-'TB upload'!E:E,0,)</f>
        <v>0</v>
      </c>
      <c r="F171" s="489"/>
      <c r="G171" s="474" cm="1">
        <f t="array" ref="G171">_xlfn.XLOOKUP($A171,'TB upload'!$A:$A,'TB upload'!F:F-'TB upload'!G:G,0,)</f>
        <v>0</v>
      </c>
      <c r="H171" s="489"/>
      <c r="I171" s="489" cm="1">
        <f t="array" ref="I171">_xlfn.XLOOKUP($A171,'TB upload'!$A:$A,'TB upload'!H:H-'TB upload'!I:I,0,)</f>
        <v>0</v>
      </c>
      <c r="J171" s="489"/>
      <c r="K171" s="490">
        <f t="shared" si="66"/>
        <v>0</v>
      </c>
      <c r="L171" s="649">
        <v>0</v>
      </c>
      <c r="M171" s="489"/>
      <c r="N171" s="474">
        <v>0</v>
      </c>
      <c r="O171" s="489"/>
      <c r="P171" s="474">
        <v>0</v>
      </c>
      <c r="Q171" s="489"/>
      <c r="R171" s="489">
        <v>0</v>
      </c>
      <c r="S171" s="489"/>
      <c r="T171" s="490">
        <v>0</v>
      </c>
      <c r="U171" s="650">
        <v>0</v>
      </c>
      <c r="V171" s="489"/>
      <c r="W171" s="474">
        <v>0</v>
      </c>
      <c r="X171" s="489"/>
      <c r="Y171" s="474">
        <v>0</v>
      </c>
      <c r="Z171" s="489"/>
      <c r="AA171" s="489">
        <v>0</v>
      </c>
      <c r="AB171" s="489"/>
      <c r="AC171" s="490">
        <v>0</v>
      </c>
      <c r="AD171" s="477">
        <v>0</v>
      </c>
      <c r="AE171" s="489"/>
      <c r="AF171" s="474">
        <v>0</v>
      </c>
      <c r="AG171" s="489"/>
      <c r="AH171" s="474">
        <v>0</v>
      </c>
      <c r="AI171" s="489"/>
      <c r="AJ171" s="489">
        <v>0</v>
      </c>
      <c r="AK171" s="489"/>
      <c r="AL171" s="490">
        <v>0</v>
      </c>
      <c r="AM171" s="477">
        <v>0</v>
      </c>
      <c r="AN171" s="489"/>
      <c r="AO171" s="489"/>
      <c r="AP171" s="489"/>
      <c r="AQ171" s="489"/>
      <c r="AR171" s="489"/>
      <c r="AS171" s="489"/>
      <c r="AT171" s="489"/>
      <c r="AU171" s="490">
        <v>0</v>
      </c>
    </row>
    <row r="172" spans="1:47" ht="15" thickBot="1">
      <c r="A172" s="158" t="s">
        <v>1057</v>
      </c>
      <c r="B172" s="488" t="s">
        <v>449</v>
      </c>
      <c r="C172" s="649" cm="1">
        <f t="array" ref="C172">_xlfn.XLOOKUP(A172,'TB upload'!A:A,'TB upload'!B:B-'TB upload'!C:C,0,)</f>
        <v>31295.200000000001</v>
      </c>
      <c r="D172" s="489"/>
      <c r="E172" s="474" cm="1">
        <f t="array" ref="E172">_xlfn.XLOOKUP($A172,'TB upload'!$A:$A,'TB upload'!D:D-'TB upload'!E:E,0,)</f>
        <v>0</v>
      </c>
      <c r="F172" s="489"/>
      <c r="G172" s="474" cm="1">
        <f t="array" ref="G172">_xlfn.XLOOKUP($A172,'TB upload'!$A:$A,'TB upload'!F:F-'TB upload'!G:G,0,)</f>
        <v>0</v>
      </c>
      <c r="H172" s="489"/>
      <c r="I172" s="489" cm="1">
        <f t="array" ref="I172">_xlfn.XLOOKUP($A172,'TB upload'!$A:$A,'TB upload'!H:H-'TB upload'!I:I,0,)</f>
        <v>0</v>
      </c>
      <c r="J172" s="489"/>
      <c r="K172" s="490">
        <f t="shared" si="66"/>
        <v>31295.200000000001</v>
      </c>
      <c r="L172" s="649">
        <v>31295.200000000001</v>
      </c>
      <c r="M172" s="489"/>
      <c r="N172" s="474">
        <v>0</v>
      </c>
      <c r="O172" s="489"/>
      <c r="P172" s="474">
        <v>0</v>
      </c>
      <c r="Q172" s="489"/>
      <c r="R172" s="489">
        <v>0</v>
      </c>
      <c r="S172" s="489"/>
      <c r="T172" s="490">
        <v>31295.200000000001</v>
      </c>
      <c r="U172" s="650">
        <v>31401.4</v>
      </c>
      <c r="V172" s="489"/>
      <c r="W172" s="474">
        <v>0</v>
      </c>
      <c r="X172" s="489"/>
      <c r="Y172" s="474">
        <v>0</v>
      </c>
      <c r="Z172" s="489"/>
      <c r="AA172" s="489">
        <v>0</v>
      </c>
      <c r="AB172" s="489"/>
      <c r="AC172" s="490">
        <v>31401.4</v>
      </c>
      <c r="AD172" s="477">
        <v>31401.4</v>
      </c>
      <c r="AE172" s="489"/>
      <c r="AF172" s="474">
        <v>0</v>
      </c>
      <c r="AG172" s="489"/>
      <c r="AH172" s="474">
        <v>0</v>
      </c>
      <c r="AI172" s="489"/>
      <c r="AJ172" s="489">
        <v>0</v>
      </c>
      <c r="AK172" s="489"/>
      <c r="AL172" s="490">
        <v>31401.4</v>
      </c>
      <c r="AM172" s="477">
        <v>31401.4</v>
      </c>
      <c r="AN172" s="489"/>
      <c r="AO172" s="489"/>
      <c r="AP172" s="489"/>
      <c r="AQ172" s="489"/>
      <c r="AR172" s="489"/>
      <c r="AS172" s="489"/>
      <c r="AT172" s="489"/>
      <c r="AU172" s="490">
        <v>31401.4</v>
      </c>
    </row>
    <row r="173" spans="1:47" ht="15.6" thickTop="1" thickBot="1">
      <c r="A173" s="492"/>
      <c r="B173" s="493" t="s">
        <v>1522</v>
      </c>
      <c r="C173" s="653">
        <f t="shared" ref="C173:H173" si="67">SUM(C169:C172)</f>
        <v>328208.38</v>
      </c>
      <c r="D173" s="495">
        <f t="shared" si="67"/>
        <v>0</v>
      </c>
      <c r="E173" s="495">
        <f t="shared" si="67"/>
        <v>0</v>
      </c>
      <c r="F173" s="495">
        <f t="shared" si="67"/>
        <v>0</v>
      </c>
      <c r="G173" s="495">
        <f t="shared" si="67"/>
        <v>0</v>
      </c>
      <c r="H173" s="495">
        <f t="shared" si="67"/>
        <v>0</v>
      </c>
      <c r="I173" s="495">
        <f t="shared" ref="I173:K173" si="68">SUM(I169:I172)</f>
        <v>0</v>
      </c>
      <c r="J173" s="495">
        <f t="shared" si="68"/>
        <v>0</v>
      </c>
      <c r="K173" s="497">
        <f t="shared" si="68"/>
        <v>328208.38</v>
      </c>
      <c r="L173" s="653">
        <v>1939364.43</v>
      </c>
      <c r="M173" s="495">
        <v>0</v>
      </c>
      <c r="N173" s="495">
        <v>0</v>
      </c>
      <c r="O173" s="495">
        <v>0</v>
      </c>
      <c r="P173" s="495">
        <v>0</v>
      </c>
      <c r="Q173" s="495">
        <v>0</v>
      </c>
      <c r="R173" s="495">
        <v>0</v>
      </c>
      <c r="S173" s="495">
        <v>0</v>
      </c>
      <c r="T173" s="497">
        <v>1939364.43</v>
      </c>
      <c r="U173" s="653">
        <v>2721173.98</v>
      </c>
      <c r="V173" s="495">
        <v>0</v>
      </c>
      <c r="W173" s="495">
        <v>0</v>
      </c>
      <c r="X173" s="495">
        <v>0</v>
      </c>
      <c r="Y173" s="495">
        <v>0</v>
      </c>
      <c r="Z173" s="495">
        <v>0</v>
      </c>
      <c r="AA173" s="495">
        <v>0</v>
      </c>
      <c r="AB173" s="495">
        <v>0</v>
      </c>
      <c r="AC173" s="497">
        <v>2721173.98</v>
      </c>
      <c r="AD173" s="494">
        <v>31401.4</v>
      </c>
      <c r="AE173" s="495">
        <v>0</v>
      </c>
      <c r="AF173" s="495">
        <v>0</v>
      </c>
      <c r="AG173" s="495">
        <v>0</v>
      </c>
      <c r="AH173" s="495">
        <v>0</v>
      </c>
      <c r="AI173" s="495">
        <v>0</v>
      </c>
      <c r="AJ173" s="495">
        <v>0</v>
      </c>
      <c r="AK173" s="495">
        <v>0</v>
      </c>
      <c r="AL173" s="497">
        <v>31401.4</v>
      </c>
      <c r="AM173" s="494">
        <v>41091901.460000001</v>
      </c>
      <c r="AN173" s="495">
        <v>0</v>
      </c>
      <c r="AO173" s="495">
        <v>0</v>
      </c>
      <c r="AP173" s="495">
        <v>0</v>
      </c>
      <c r="AQ173" s="495">
        <v>0</v>
      </c>
      <c r="AR173" s="495">
        <v>0</v>
      </c>
      <c r="AS173" s="495">
        <v>0</v>
      </c>
      <c r="AT173" s="495">
        <v>0</v>
      </c>
      <c r="AU173" s="497">
        <v>41091901.460000001</v>
      </c>
    </row>
    <row r="174" spans="1:47" ht="15" thickTop="1">
      <c r="A174" s="158" t="s">
        <v>64</v>
      </c>
      <c r="B174" s="488"/>
      <c r="C174" s="477"/>
      <c r="D174" s="489"/>
      <c r="E174" s="489"/>
      <c r="F174" s="489"/>
      <c r="G174" s="489"/>
      <c r="H174" s="489"/>
      <c r="I174" s="489"/>
      <c r="J174" s="489"/>
      <c r="K174" s="490"/>
      <c r="L174" s="477"/>
      <c r="M174" s="489"/>
      <c r="N174" s="489"/>
      <c r="O174" s="489"/>
      <c r="P174" s="489"/>
      <c r="Q174" s="489"/>
      <c r="R174" s="489"/>
      <c r="S174" s="489"/>
      <c r="T174" s="490"/>
      <c r="U174" s="477"/>
      <c r="V174" s="489"/>
      <c r="W174" s="489"/>
      <c r="X174" s="489"/>
      <c r="Y174" s="489"/>
      <c r="Z174" s="489"/>
      <c r="AA174" s="489"/>
      <c r="AB174" s="489"/>
      <c r="AC174" s="490"/>
      <c r="AD174" s="477"/>
      <c r="AE174" s="489"/>
      <c r="AF174" s="489"/>
      <c r="AG174" s="489"/>
      <c r="AH174" s="489"/>
      <c r="AI174" s="489"/>
      <c r="AJ174" s="489"/>
      <c r="AK174" s="489"/>
      <c r="AL174" s="490"/>
      <c r="AM174" s="477"/>
      <c r="AN174" s="489"/>
      <c r="AO174" s="489"/>
      <c r="AP174" s="489"/>
      <c r="AQ174" s="489"/>
      <c r="AR174" s="489"/>
      <c r="AS174" s="489"/>
      <c r="AT174" s="489"/>
      <c r="AU174" s="490"/>
    </row>
    <row r="175" spans="1:47">
      <c r="A175" s="158" t="s">
        <v>143</v>
      </c>
      <c r="B175" s="488" t="s">
        <v>449</v>
      </c>
      <c r="C175" s="649" cm="1">
        <f t="array" ref="C175">_xlfn.XLOOKUP(A175,'TB upload'!A:A,'TB upload'!B:B-'TB upload'!C:C,0,)+143666</f>
        <v>143666</v>
      </c>
      <c r="D175" s="489"/>
      <c r="E175" s="474" cm="1">
        <f t="array" ref="E175">_xlfn.XLOOKUP($A175,'TB upload'!$A:$A,'TB upload'!D:D-'TB upload'!E:E,0,)</f>
        <v>0</v>
      </c>
      <c r="F175" s="489"/>
      <c r="G175" s="474" cm="1">
        <f t="array" ref="G175">_xlfn.XLOOKUP($A175,'TB upload'!$A:$A,'TB upload'!F:F-'TB upload'!G:G,0,)</f>
        <v>0</v>
      </c>
      <c r="H175" s="489"/>
      <c r="I175" s="489" cm="1">
        <f t="array" ref="I175">_xlfn.XLOOKUP($A175,'TB upload'!$A:$A,'TB upload'!H:H-'TB upload'!I:I,0,)</f>
        <v>0</v>
      </c>
      <c r="J175" s="489"/>
      <c r="K175" s="490">
        <f t="shared" ref="K175" si="69">SUM(C175:J175)</f>
        <v>143666</v>
      </c>
      <c r="L175" s="649">
        <v>5482.93</v>
      </c>
      <c r="M175" s="489"/>
      <c r="N175" s="474">
        <v>0</v>
      </c>
      <c r="O175" s="489"/>
      <c r="P175" s="474">
        <v>0</v>
      </c>
      <c r="Q175" s="489"/>
      <c r="R175" s="489">
        <v>0</v>
      </c>
      <c r="S175" s="489"/>
      <c r="T175" s="490">
        <v>5482.93</v>
      </c>
      <c r="U175" s="650">
        <v>9085.42</v>
      </c>
      <c r="V175" s="489"/>
      <c r="W175" s="474">
        <v>0</v>
      </c>
      <c r="X175" s="489"/>
      <c r="Y175" s="474">
        <v>0</v>
      </c>
      <c r="Z175" s="489"/>
      <c r="AA175" s="489">
        <v>0</v>
      </c>
      <c r="AB175" s="489"/>
      <c r="AC175" s="490">
        <v>9085.42</v>
      </c>
      <c r="AD175" s="477">
        <v>11768.42</v>
      </c>
      <c r="AE175" s="489"/>
      <c r="AF175" s="474">
        <v>0</v>
      </c>
      <c r="AG175" s="489"/>
      <c r="AH175" s="474">
        <v>0</v>
      </c>
      <c r="AI175" s="489"/>
      <c r="AJ175" s="489">
        <v>0</v>
      </c>
      <c r="AK175" s="489"/>
      <c r="AL175" s="490">
        <v>11768.42</v>
      </c>
      <c r="AM175" s="477">
        <v>10191.42</v>
      </c>
      <c r="AN175" s="489"/>
      <c r="AO175" s="489"/>
      <c r="AP175" s="489"/>
      <c r="AQ175" s="489"/>
      <c r="AR175" s="489"/>
      <c r="AS175" s="489"/>
      <c r="AT175" s="489"/>
      <c r="AU175" s="490">
        <v>10191.42</v>
      </c>
    </row>
    <row r="176" spans="1:47" ht="15" thickBot="1">
      <c r="A176" s="158"/>
      <c r="B176" s="488"/>
      <c r="C176" s="477"/>
      <c r="D176" s="489"/>
      <c r="E176" s="489"/>
      <c r="F176" s="489"/>
      <c r="G176" s="489"/>
      <c r="H176" s="489"/>
      <c r="I176" s="489"/>
      <c r="J176" s="489"/>
      <c r="K176" s="490"/>
      <c r="L176" s="477"/>
      <c r="M176" s="489"/>
      <c r="N176" s="489"/>
      <c r="O176" s="489"/>
      <c r="P176" s="489"/>
      <c r="Q176" s="489"/>
      <c r="R176" s="489"/>
      <c r="S176" s="489"/>
      <c r="T176" s="490"/>
      <c r="U176" s="477"/>
      <c r="V176" s="489"/>
      <c r="W176" s="489"/>
      <c r="X176" s="489"/>
      <c r="Y176" s="489"/>
      <c r="Z176" s="489"/>
      <c r="AA176" s="489"/>
      <c r="AB176" s="489"/>
      <c r="AC176" s="490"/>
      <c r="AD176" s="477"/>
      <c r="AE176" s="489"/>
      <c r="AF176" s="489"/>
      <c r="AG176" s="489"/>
      <c r="AH176" s="489"/>
      <c r="AI176" s="489"/>
      <c r="AJ176" s="489"/>
      <c r="AK176" s="489"/>
      <c r="AL176" s="490"/>
      <c r="AM176" s="477"/>
      <c r="AN176" s="489"/>
      <c r="AO176" s="489"/>
      <c r="AP176" s="489"/>
      <c r="AQ176" s="489"/>
      <c r="AR176" s="489"/>
      <c r="AS176" s="489"/>
      <c r="AT176" s="489"/>
      <c r="AU176" s="490"/>
    </row>
    <row r="177" spans="1:47" ht="15.6" thickTop="1" thickBot="1">
      <c r="A177" s="492"/>
      <c r="B177" s="493" t="s">
        <v>1522</v>
      </c>
      <c r="C177" s="653">
        <f t="shared" ref="C177:K177" si="70">SUM(C175:C176)</f>
        <v>143666</v>
      </c>
      <c r="D177" s="495">
        <f t="shared" si="70"/>
        <v>0</v>
      </c>
      <c r="E177" s="495">
        <f t="shared" si="70"/>
        <v>0</v>
      </c>
      <c r="F177" s="495">
        <f t="shared" si="70"/>
        <v>0</v>
      </c>
      <c r="G177" s="495">
        <f t="shared" si="70"/>
        <v>0</v>
      </c>
      <c r="H177" s="495">
        <f t="shared" si="70"/>
        <v>0</v>
      </c>
      <c r="I177" s="495">
        <f t="shared" si="70"/>
        <v>0</v>
      </c>
      <c r="J177" s="495">
        <f t="shared" si="70"/>
        <v>0</v>
      </c>
      <c r="K177" s="497">
        <f t="shared" si="70"/>
        <v>143666</v>
      </c>
      <c r="L177" s="653">
        <v>5482.93</v>
      </c>
      <c r="M177" s="495">
        <v>0</v>
      </c>
      <c r="N177" s="495">
        <v>0</v>
      </c>
      <c r="O177" s="495">
        <v>0</v>
      </c>
      <c r="P177" s="495">
        <v>0</v>
      </c>
      <c r="Q177" s="495">
        <v>0</v>
      </c>
      <c r="R177" s="495">
        <v>0</v>
      </c>
      <c r="S177" s="495">
        <v>0</v>
      </c>
      <c r="T177" s="497">
        <v>5482.93</v>
      </c>
      <c r="U177" s="653">
        <v>9085.42</v>
      </c>
      <c r="V177" s="495">
        <v>0</v>
      </c>
      <c r="W177" s="495">
        <v>0</v>
      </c>
      <c r="X177" s="495">
        <v>0</v>
      </c>
      <c r="Y177" s="495">
        <v>0</v>
      </c>
      <c r="Z177" s="495">
        <v>0</v>
      </c>
      <c r="AA177" s="495">
        <v>0</v>
      </c>
      <c r="AB177" s="495">
        <v>0</v>
      </c>
      <c r="AC177" s="497">
        <v>9085.42</v>
      </c>
      <c r="AD177" s="494">
        <v>11768.42</v>
      </c>
      <c r="AE177" s="495">
        <v>0</v>
      </c>
      <c r="AF177" s="495">
        <v>0</v>
      </c>
      <c r="AG177" s="495">
        <v>0</v>
      </c>
      <c r="AH177" s="495">
        <v>0</v>
      </c>
      <c r="AI177" s="495">
        <v>0</v>
      </c>
      <c r="AJ177" s="495">
        <v>0</v>
      </c>
      <c r="AK177" s="495">
        <v>0</v>
      </c>
      <c r="AL177" s="497">
        <v>11768.42</v>
      </c>
      <c r="AM177" s="494">
        <v>10191.42</v>
      </c>
      <c r="AN177" s="495">
        <v>0</v>
      </c>
      <c r="AO177" s="495">
        <v>0</v>
      </c>
      <c r="AP177" s="495">
        <v>0</v>
      </c>
      <c r="AQ177" s="495">
        <v>0</v>
      </c>
      <c r="AR177" s="495">
        <v>0</v>
      </c>
      <c r="AS177" s="495">
        <v>0</v>
      </c>
      <c r="AT177" s="495">
        <v>0</v>
      </c>
      <c r="AU177" s="497">
        <v>10191.42</v>
      </c>
    </row>
    <row r="178" spans="1:47" ht="15" thickTop="1">
      <c r="A178" s="158" t="s">
        <v>220</v>
      </c>
      <c r="B178" s="488"/>
      <c r="C178" s="477"/>
      <c r="D178" s="489"/>
      <c r="E178" s="489"/>
      <c r="F178" s="489"/>
      <c r="G178" s="489"/>
      <c r="H178" s="489"/>
      <c r="I178" s="489"/>
      <c r="J178" s="489"/>
      <c r="K178" s="490"/>
      <c r="L178" s="477"/>
      <c r="M178" s="489"/>
      <c r="N178" s="489"/>
      <c r="O178" s="489"/>
      <c r="P178" s="489"/>
      <c r="Q178" s="489"/>
      <c r="R178" s="489"/>
      <c r="S178" s="489"/>
      <c r="T178" s="490"/>
      <c r="U178" s="477"/>
      <c r="V178" s="489"/>
      <c r="W178" s="489"/>
      <c r="X178" s="489"/>
      <c r="Y178" s="489"/>
      <c r="Z178" s="489"/>
      <c r="AA178" s="489"/>
      <c r="AB178" s="489"/>
      <c r="AC178" s="490"/>
      <c r="AD178" s="477"/>
      <c r="AE178" s="489"/>
      <c r="AF178" s="489"/>
      <c r="AG178" s="489"/>
      <c r="AH178" s="489"/>
      <c r="AI178" s="489"/>
      <c r="AJ178" s="489"/>
      <c r="AK178" s="489"/>
      <c r="AL178" s="490"/>
      <c r="AM178" s="477"/>
      <c r="AN178" s="489"/>
      <c r="AO178" s="489"/>
      <c r="AP178" s="489"/>
      <c r="AQ178" s="489"/>
      <c r="AR178" s="489"/>
      <c r="AS178" s="489"/>
      <c r="AT178" s="489"/>
      <c r="AU178" s="490"/>
    </row>
    <row r="179" spans="1:47">
      <c r="A179" s="158"/>
      <c r="B179" s="488" t="s">
        <v>1134</v>
      </c>
      <c r="C179" s="477"/>
      <c r="D179" s="489"/>
      <c r="E179" s="489"/>
      <c r="F179" s="489"/>
      <c r="G179" s="489"/>
      <c r="H179" s="489"/>
      <c r="I179" s="489"/>
      <c r="J179" s="489"/>
      <c r="K179" s="490">
        <f t="shared" ref="K179" si="71">SUM(C179:J179)</f>
        <v>0</v>
      </c>
      <c r="L179" s="477"/>
      <c r="M179" s="489"/>
      <c r="N179" s="489"/>
      <c r="O179" s="489"/>
      <c r="P179" s="489"/>
      <c r="Q179" s="489"/>
      <c r="R179" s="489"/>
      <c r="S179" s="489"/>
      <c r="T179" s="490">
        <v>0</v>
      </c>
      <c r="U179" s="477"/>
      <c r="V179" s="489"/>
      <c r="W179" s="489"/>
      <c r="X179" s="489"/>
      <c r="Y179" s="489"/>
      <c r="Z179" s="489"/>
      <c r="AA179" s="489"/>
      <c r="AB179" s="489"/>
      <c r="AC179" s="490">
        <v>0</v>
      </c>
      <c r="AD179" s="477"/>
      <c r="AE179" s="489"/>
      <c r="AF179" s="489"/>
      <c r="AG179" s="489"/>
      <c r="AH179" s="489"/>
      <c r="AI179" s="489"/>
      <c r="AJ179" s="489"/>
      <c r="AK179" s="489"/>
      <c r="AL179" s="490">
        <v>0</v>
      </c>
      <c r="AM179" s="477"/>
      <c r="AN179" s="489"/>
      <c r="AO179" s="489"/>
      <c r="AP179" s="489"/>
      <c r="AQ179" s="489"/>
      <c r="AR179" s="489"/>
      <c r="AS179" s="489"/>
      <c r="AT179" s="489"/>
      <c r="AU179" s="490">
        <v>0</v>
      </c>
    </row>
    <row r="180" spans="1:47" ht="15" thickBot="1">
      <c r="A180" s="158"/>
      <c r="B180" s="488"/>
      <c r="C180" s="477"/>
      <c r="D180" s="489"/>
      <c r="E180" s="489"/>
      <c r="F180" s="489"/>
      <c r="G180" s="489"/>
      <c r="H180" s="489"/>
      <c r="I180" s="489"/>
      <c r="J180" s="489"/>
      <c r="K180" s="490"/>
      <c r="L180" s="477"/>
      <c r="M180" s="489"/>
      <c r="N180" s="489"/>
      <c r="O180" s="489"/>
      <c r="P180" s="489"/>
      <c r="Q180" s="489"/>
      <c r="R180" s="489"/>
      <c r="S180" s="489"/>
      <c r="T180" s="490"/>
      <c r="U180" s="477"/>
      <c r="V180" s="489"/>
      <c r="W180" s="489"/>
      <c r="X180" s="489"/>
      <c r="Y180" s="489"/>
      <c r="Z180" s="489"/>
      <c r="AA180" s="489"/>
      <c r="AB180" s="489"/>
      <c r="AC180" s="490"/>
      <c r="AD180" s="477"/>
      <c r="AE180" s="489"/>
      <c r="AF180" s="489"/>
      <c r="AG180" s="489"/>
      <c r="AH180" s="489"/>
      <c r="AI180" s="489"/>
      <c r="AJ180" s="489"/>
      <c r="AK180" s="489"/>
      <c r="AL180" s="490"/>
      <c r="AM180" s="477"/>
      <c r="AN180" s="489"/>
      <c r="AO180" s="489"/>
      <c r="AP180" s="489"/>
      <c r="AQ180" s="489"/>
      <c r="AR180" s="489"/>
      <c r="AS180" s="489"/>
      <c r="AT180" s="489"/>
      <c r="AU180" s="490"/>
    </row>
    <row r="181" spans="1:47" ht="15.6" thickTop="1" thickBot="1">
      <c r="A181" s="492"/>
      <c r="B181" s="493" t="s">
        <v>1522</v>
      </c>
      <c r="C181" s="653">
        <f t="shared" ref="C181:H181" si="72">SUM(C179:C180)</f>
        <v>0</v>
      </c>
      <c r="D181" s="495">
        <f t="shared" si="72"/>
        <v>0</v>
      </c>
      <c r="E181" s="495">
        <f t="shared" si="72"/>
        <v>0</v>
      </c>
      <c r="F181" s="495">
        <f t="shared" si="72"/>
        <v>0</v>
      </c>
      <c r="G181" s="495">
        <f t="shared" si="72"/>
        <v>0</v>
      </c>
      <c r="H181" s="495">
        <f t="shared" si="72"/>
        <v>0</v>
      </c>
      <c r="I181" s="495">
        <f t="shared" ref="I181:K181" si="73">SUM(I179:I180)</f>
        <v>0</v>
      </c>
      <c r="J181" s="495">
        <f t="shared" si="73"/>
        <v>0</v>
      </c>
      <c r="K181" s="497">
        <f t="shared" si="73"/>
        <v>0</v>
      </c>
      <c r="L181" s="653">
        <v>0</v>
      </c>
      <c r="M181" s="495">
        <v>0</v>
      </c>
      <c r="N181" s="495">
        <v>0</v>
      </c>
      <c r="O181" s="495">
        <v>0</v>
      </c>
      <c r="P181" s="495">
        <v>0</v>
      </c>
      <c r="Q181" s="495">
        <v>0</v>
      </c>
      <c r="R181" s="495">
        <v>0</v>
      </c>
      <c r="S181" s="495">
        <v>0</v>
      </c>
      <c r="T181" s="497">
        <v>0</v>
      </c>
      <c r="U181" s="653">
        <v>0</v>
      </c>
      <c r="V181" s="495">
        <v>0</v>
      </c>
      <c r="W181" s="495">
        <v>0</v>
      </c>
      <c r="X181" s="495">
        <v>0</v>
      </c>
      <c r="Y181" s="495">
        <v>0</v>
      </c>
      <c r="Z181" s="495">
        <v>0</v>
      </c>
      <c r="AA181" s="495">
        <v>0</v>
      </c>
      <c r="AB181" s="495">
        <v>0</v>
      </c>
      <c r="AC181" s="497">
        <v>0</v>
      </c>
      <c r="AD181" s="494">
        <v>0</v>
      </c>
      <c r="AE181" s="495">
        <v>0</v>
      </c>
      <c r="AF181" s="495">
        <v>0</v>
      </c>
      <c r="AG181" s="495">
        <v>0</v>
      </c>
      <c r="AH181" s="495">
        <v>0</v>
      </c>
      <c r="AI181" s="495">
        <v>0</v>
      </c>
      <c r="AJ181" s="495">
        <v>0</v>
      </c>
      <c r="AK181" s="495">
        <v>0</v>
      </c>
      <c r="AL181" s="497">
        <v>0</v>
      </c>
      <c r="AM181" s="494">
        <v>0</v>
      </c>
      <c r="AN181" s="495">
        <v>0</v>
      </c>
      <c r="AO181" s="495">
        <v>0</v>
      </c>
      <c r="AP181" s="495">
        <v>0</v>
      </c>
      <c r="AQ181" s="495">
        <v>0</v>
      </c>
      <c r="AR181" s="495">
        <v>0</v>
      </c>
      <c r="AS181" s="495">
        <v>0</v>
      </c>
      <c r="AT181" s="495">
        <v>0</v>
      </c>
      <c r="AU181" s="497">
        <v>0</v>
      </c>
    </row>
    <row r="182" spans="1:47" ht="15" thickTop="1">
      <c r="A182" s="158" t="s">
        <v>120</v>
      </c>
      <c r="B182" s="488"/>
      <c r="C182" s="477"/>
      <c r="D182" s="489"/>
      <c r="E182" s="489"/>
      <c r="F182" s="489"/>
      <c r="G182" s="489"/>
      <c r="H182" s="489"/>
      <c r="I182" s="489"/>
      <c r="J182" s="489"/>
      <c r="K182" s="490"/>
      <c r="L182" s="477"/>
      <c r="M182" s="489"/>
      <c r="N182" s="489"/>
      <c r="O182" s="489"/>
      <c r="P182" s="489"/>
      <c r="Q182" s="489"/>
      <c r="R182" s="489"/>
      <c r="S182" s="489"/>
      <c r="T182" s="490"/>
      <c r="U182" s="477"/>
      <c r="V182" s="489"/>
      <c r="W182" s="489"/>
      <c r="X182" s="489"/>
      <c r="Y182" s="489"/>
      <c r="Z182" s="489"/>
      <c r="AA182" s="489"/>
      <c r="AB182" s="489"/>
      <c r="AC182" s="490"/>
      <c r="AD182" s="477"/>
      <c r="AE182" s="489"/>
      <c r="AF182" s="489"/>
      <c r="AG182" s="489"/>
      <c r="AH182" s="489"/>
      <c r="AI182" s="489"/>
      <c r="AJ182" s="489"/>
      <c r="AK182" s="489"/>
      <c r="AL182" s="490"/>
      <c r="AM182" s="477"/>
      <c r="AN182" s="489"/>
      <c r="AO182" s="489"/>
      <c r="AP182" s="489"/>
      <c r="AQ182" s="489"/>
      <c r="AR182" s="489"/>
      <c r="AS182" s="489"/>
      <c r="AT182" s="489"/>
      <c r="AU182" s="490"/>
    </row>
    <row r="183" spans="1:47">
      <c r="A183" s="158" t="s">
        <v>151</v>
      </c>
      <c r="B183" s="488" t="s">
        <v>449</v>
      </c>
      <c r="C183" s="649" cm="1">
        <f t="array" ref="C183">_xlfn.XLOOKUP(A183,'TB upload'!A:A,'TB upload'!B:B-'TB upload'!C:C,0,)</f>
        <v>0</v>
      </c>
      <c r="D183" s="489"/>
      <c r="E183" s="474" cm="1">
        <f t="array" ref="E183">_xlfn.XLOOKUP($A183,'TB upload'!$A:$A,'TB upload'!D:D-'TB upload'!E:E,0,)</f>
        <v>0</v>
      </c>
      <c r="F183" s="489"/>
      <c r="G183" s="474" cm="1">
        <f t="array" ref="G183">_xlfn.XLOOKUP($A183,'TB upload'!$A:$A,'TB upload'!F:F-'TB upload'!G:G,0,)</f>
        <v>0</v>
      </c>
      <c r="H183" s="489"/>
      <c r="I183" s="489" cm="1">
        <f t="array" ref="I183">_xlfn.XLOOKUP($A183,'TB upload'!$A:$A,'TB upload'!H:H-'TB upload'!I:I,0,)</f>
        <v>0</v>
      </c>
      <c r="J183" s="489"/>
      <c r="K183" s="490">
        <f t="shared" ref="K183" si="74">SUM(C183:J183)</f>
        <v>0</v>
      </c>
      <c r="L183" s="649">
        <v>3679</v>
      </c>
      <c r="M183" s="489"/>
      <c r="N183" s="474">
        <v>0</v>
      </c>
      <c r="O183" s="489"/>
      <c r="P183" s="474">
        <v>0</v>
      </c>
      <c r="Q183" s="489"/>
      <c r="R183" s="489">
        <v>0</v>
      </c>
      <c r="S183" s="489"/>
      <c r="T183" s="490">
        <v>3679</v>
      </c>
      <c r="U183" s="650">
        <v>3679</v>
      </c>
      <c r="V183" s="489"/>
      <c r="W183" s="474">
        <v>0</v>
      </c>
      <c r="X183" s="489"/>
      <c r="Y183" s="474">
        <v>0</v>
      </c>
      <c r="Z183" s="489"/>
      <c r="AA183" s="489">
        <v>0</v>
      </c>
      <c r="AB183" s="489"/>
      <c r="AC183" s="490">
        <v>3679</v>
      </c>
      <c r="AD183" s="477">
        <v>3679</v>
      </c>
      <c r="AE183" s="489"/>
      <c r="AF183" s="474">
        <v>0</v>
      </c>
      <c r="AG183" s="489"/>
      <c r="AH183" s="474">
        <v>0</v>
      </c>
      <c r="AI183" s="489"/>
      <c r="AJ183" s="489">
        <v>0</v>
      </c>
      <c r="AK183" s="489"/>
      <c r="AL183" s="490">
        <v>3679</v>
      </c>
      <c r="AM183" s="477">
        <v>3710</v>
      </c>
      <c r="AN183" s="489"/>
      <c r="AO183" s="489"/>
      <c r="AP183" s="489"/>
      <c r="AQ183" s="489"/>
      <c r="AR183" s="489"/>
      <c r="AS183" s="489"/>
      <c r="AT183" s="489"/>
      <c r="AU183" s="490">
        <v>3710</v>
      </c>
    </row>
    <row r="184" spans="1:47" ht="15" thickBot="1">
      <c r="A184" s="158"/>
      <c r="B184" s="488"/>
      <c r="C184" s="477"/>
      <c r="D184" s="489"/>
      <c r="E184" s="489"/>
      <c r="F184" s="489"/>
      <c r="G184" s="489"/>
      <c r="H184" s="489"/>
      <c r="I184" s="489"/>
      <c r="J184" s="489"/>
      <c r="K184" s="490"/>
      <c r="L184" s="477"/>
      <c r="M184" s="489"/>
      <c r="N184" s="489"/>
      <c r="O184" s="489"/>
      <c r="P184" s="489"/>
      <c r="Q184" s="489"/>
      <c r="R184" s="489"/>
      <c r="S184" s="489"/>
      <c r="T184" s="490"/>
      <c r="U184" s="477"/>
      <c r="V184" s="489"/>
      <c r="W184" s="489"/>
      <c r="X184" s="489"/>
      <c r="Y184" s="489"/>
      <c r="Z184" s="489"/>
      <c r="AA184" s="489"/>
      <c r="AB184" s="489"/>
      <c r="AC184" s="490"/>
      <c r="AD184" s="477"/>
      <c r="AE184" s="489"/>
      <c r="AF184" s="489"/>
      <c r="AG184" s="489"/>
      <c r="AH184" s="489"/>
      <c r="AI184" s="489"/>
      <c r="AJ184" s="489"/>
      <c r="AK184" s="489"/>
      <c r="AL184" s="490"/>
      <c r="AM184" s="477"/>
      <c r="AN184" s="489"/>
      <c r="AO184" s="489"/>
      <c r="AP184" s="489"/>
      <c r="AQ184" s="489"/>
      <c r="AR184" s="489"/>
      <c r="AS184" s="489"/>
      <c r="AT184" s="489"/>
      <c r="AU184" s="490"/>
    </row>
    <row r="185" spans="1:47" ht="15.6" thickTop="1" thickBot="1">
      <c r="A185" s="492"/>
      <c r="B185" s="493" t="s">
        <v>1522</v>
      </c>
      <c r="C185" s="653">
        <f t="shared" ref="C185:J185" si="75">SUM(C183:C184)</f>
        <v>0</v>
      </c>
      <c r="D185" s="495">
        <f t="shared" si="75"/>
        <v>0</v>
      </c>
      <c r="E185" s="495">
        <f t="shared" si="75"/>
        <v>0</v>
      </c>
      <c r="F185" s="495">
        <f t="shared" si="75"/>
        <v>0</v>
      </c>
      <c r="G185" s="495">
        <f t="shared" si="75"/>
        <v>0</v>
      </c>
      <c r="H185" s="495">
        <f t="shared" si="75"/>
        <v>0</v>
      </c>
      <c r="I185" s="495">
        <f t="shared" si="75"/>
        <v>0</v>
      </c>
      <c r="J185" s="495">
        <f t="shared" si="75"/>
        <v>0</v>
      </c>
      <c r="K185" s="656">
        <f>SUM(K183:K184)</f>
        <v>0</v>
      </c>
      <c r="L185" s="653">
        <v>3679</v>
      </c>
      <c r="M185" s="495">
        <v>0</v>
      </c>
      <c r="N185" s="495">
        <v>0</v>
      </c>
      <c r="O185" s="495">
        <v>0</v>
      </c>
      <c r="P185" s="495">
        <v>0</v>
      </c>
      <c r="Q185" s="495">
        <v>0</v>
      </c>
      <c r="R185" s="495">
        <v>0</v>
      </c>
      <c r="S185" s="495">
        <v>0</v>
      </c>
      <c r="T185" s="656">
        <v>3679</v>
      </c>
      <c r="U185" s="653">
        <v>3679</v>
      </c>
      <c r="V185" s="495">
        <v>0</v>
      </c>
      <c r="W185" s="495">
        <v>0</v>
      </c>
      <c r="X185" s="495">
        <v>0</v>
      </c>
      <c r="Y185" s="495">
        <v>0</v>
      </c>
      <c r="Z185" s="495">
        <v>0</v>
      </c>
      <c r="AA185" s="495">
        <v>0</v>
      </c>
      <c r="AB185" s="495">
        <v>0</v>
      </c>
      <c r="AC185" s="656">
        <v>3679</v>
      </c>
      <c r="AD185" s="494">
        <v>3679</v>
      </c>
      <c r="AE185" s="495">
        <v>0</v>
      </c>
      <c r="AF185" s="495">
        <v>0</v>
      </c>
      <c r="AG185" s="495">
        <v>0</v>
      </c>
      <c r="AH185" s="495">
        <v>0</v>
      </c>
      <c r="AI185" s="495">
        <v>0</v>
      </c>
      <c r="AJ185" s="495">
        <v>0</v>
      </c>
      <c r="AK185" s="495">
        <v>0</v>
      </c>
      <c r="AL185" s="496">
        <v>3679</v>
      </c>
      <c r="AM185" s="494">
        <v>3710</v>
      </c>
      <c r="AN185" s="495">
        <v>0</v>
      </c>
      <c r="AO185" s="495">
        <v>0</v>
      </c>
      <c r="AP185" s="495">
        <v>0</v>
      </c>
      <c r="AQ185" s="495">
        <v>0</v>
      </c>
      <c r="AR185" s="495">
        <v>0</v>
      </c>
      <c r="AS185" s="495">
        <v>0</v>
      </c>
      <c r="AT185" s="495">
        <v>0</v>
      </c>
      <c r="AU185" s="497">
        <v>3710</v>
      </c>
    </row>
    <row r="186" spans="1:47" ht="15" thickTop="1">
      <c r="A186" s="158" t="s">
        <v>222</v>
      </c>
      <c r="B186" s="488"/>
      <c r="C186" s="477"/>
      <c r="D186" s="489">
        <v>-251</v>
      </c>
      <c r="E186" s="489"/>
      <c r="F186" s="489"/>
      <c r="G186" s="489"/>
      <c r="H186" s="489"/>
      <c r="I186" s="489"/>
      <c r="J186" s="489"/>
      <c r="K186" s="490">
        <f t="shared" ref="K186:K188" si="76">SUM(C186:J186)</f>
        <v>-251</v>
      </c>
      <c r="L186" s="477"/>
      <c r="M186" s="489"/>
      <c r="N186" s="489"/>
      <c r="O186" s="489"/>
      <c r="P186" s="489"/>
      <c r="Q186" s="489"/>
      <c r="R186" s="489"/>
      <c r="S186" s="489"/>
      <c r="T186" s="490"/>
      <c r="U186" s="477"/>
      <c r="V186" s="489"/>
      <c r="W186" s="489"/>
      <c r="X186" s="489"/>
      <c r="Y186" s="489"/>
      <c r="Z186" s="489"/>
      <c r="AA186" s="489"/>
      <c r="AB186" s="489"/>
      <c r="AC186" s="490"/>
      <c r="AD186" s="477"/>
      <c r="AE186" s="489"/>
      <c r="AF186" s="489"/>
      <c r="AG186" s="489"/>
      <c r="AH186" s="489"/>
      <c r="AI186" s="489"/>
      <c r="AJ186" s="489"/>
      <c r="AK186" s="489"/>
      <c r="AL186" s="490"/>
      <c r="AM186" s="477"/>
      <c r="AN186" s="489"/>
      <c r="AO186" s="489"/>
      <c r="AP186" s="489"/>
      <c r="AQ186" s="489"/>
      <c r="AR186" s="489"/>
      <c r="AS186" s="489"/>
      <c r="AT186" s="489"/>
      <c r="AU186" s="490"/>
    </row>
    <row r="187" spans="1:47">
      <c r="A187" s="158" t="s">
        <v>135</v>
      </c>
      <c r="B187" s="488" t="s">
        <v>449</v>
      </c>
      <c r="C187" s="649" cm="1">
        <f t="array" ref="C187">_xlfn.XLOOKUP(A187,'TB upload'!A:A,'TB upload'!B:B-'TB upload'!C:C,0,)</f>
        <v>0</v>
      </c>
      <c r="D187" s="489">
        <v>-2500</v>
      </c>
      <c r="E187" s="474" cm="1">
        <f t="array" ref="E187">_xlfn.XLOOKUP($A187,'TB upload'!$A:$A,'TB upload'!D:D-'TB upload'!E:E,0,)</f>
        <v>0</v>
      </c>
      <c r="F187" s="489"/>
      <c r="G187" s="474" cm="1">
        <f t="array" ref="G187">_xlfn.XLOOKUP($A187,'TB upload'!$A:$A,'TB upload'!F:F-'TB upload'!G:G,0,)</f>
        <v>0</v>
      </c>
      <c r="H187" s="489"/>
      <c r="I187" s="489" cm="1">
        <f t="array" ref="I187">_xlfn.XLOOKUP($A187,'TB upload'!$A:$A,'TB upload'!H:H-'TB upload'!I:I,0,)</f>
        <v>0</v>
      </c>
      <c r="J187" s="489"/>
      <c r="K187" s="490">
        <f t="shared" si="76"/>
        <v>-2500</v>
      </c>
      <c r="L187" s="649">
        <v>0</v>
      </c>
      <c r="M187" s="489"/>
      <c r="N187" s="474">
        <v>0</v>
      </c>
      <c r="O187" s="489"/>
      <c r="P187" s="474">
        <v>0</v>
      </c>
      <c r="Q187" s="489"/>
      <c r="R187" s="489">
        <v>0</v>
      </c>
      <c r="S187" s="489"/>
      <c r="T187" s="490">
        <v>0</v>
      </c>
      <c r="U187" s="477">
        <v>0</v>
      </c>
      <c r="V187" s="489"/>
      <c r="W187" s="474">
        <v>0</v>
      </c>
      <c r="X187" s="489"/>
      <c r="Y187" s="474">
        <v>0</v>
      </c>
      <c r="Z187" s="489"/>
      <c r="AA187" s="489">
        <v>0</v>
      </c>
      <c r="AB187" s="489"/>
      <c r="AC187" s="490">
        <v>0</v>
      </c>
      <c r="AD187" s="477">
        <v>0</v>
      </c>
      <c r="AE187" s="489"/>
      <c r="AF187" s="474">
        <v>0</v>
      </c>
      <c r="AG187" s="489"/>
      <c r="AH187" s="474">
        <v>0</v>
      </c>
      <c r="AI187" s="489"/>
      <c r="AJ187" s="489">
        <v>0</v>
      </c>
      <c r="AK187" s="489"/>
      <c r="AL187" s="490">
        <v>0</v>
      </c>
      <c r="AM187" s="477">
        <v>90000</v>
      </c>
      <c r="AN187" s="489"/>
      <c r="AO187" s="489"/>
      <c r="AP187" s="489"/>
      <c r="AQ187" s="489"/>
      <c r="AR187" s="489"/>
      <c r="AS187" s="489"/>
      <c r="AT187" s="489"/>
      <c r="AU187" s="490">
        <v>90000</v>
      </c>
    </row>
    <row r="188" spans="1:47" ht="15" thickBot="1">
      <c r="A188" s="158" t="s">
        <v>814</v>
      </c>
      <c r="B188" s="488"/>
      <c r="C188" s="477"/>
      <c r="D188" s="489">
        <f>D64</f>
        <v>27770</v>
      </c>
      <c r="E188" s="489"/>
      <c r="F188" s="489"/>
      <c r="G188" s="489"/>
      <c r="H188" s="489"/>
      <c r="I188" s="489"/>
      <c r="J188" s="489"/>
      <c r="K188" s="490">
        <f t="shared" si="76"/>
        <v>27770</v>
      </c>
      <c r="L188" s="477"/>
      <c r="M188" s="489"/>
      <c r="N188" s="489"/>
      <c r="O188" s="489"/>
      <c r="P188" s="489"/>
      <c r="Q188" s="489"/>
      <c r="R188" s="489"/>
      <c r="S188" s="489"/>
      <c r="T188" s="490"/>
      <c r="U188" s="477"/>
      <c r="V188" s="489"/>
      <c r="W188" s="489"/>
      <c r="X188" s="489"/>
      <c r="Y188" s="489"/>
      <c r="Z188" s="489"/>
      <c r="AA188" s="489"/>
      <c r="AB188" s="489"/>
      <c r="AC188" s="490"/>
      <c r="AD188" s="477"/>
      <c r="AE188" s="489"/>
      <c r="AF188" s="489"/>
      <c r="AG188" s="489"/>
      <c r="AH188" s="489"/>
      <c r="AI188" s="489"/>
      <c r="AJ188" s="489"/>
      <c r="AK188" s="489"/>
      <c r="AL188" s="490"/>
      <c r="AM188" s="477"/>
      <c r="AN188" s="489"/>
      <c r="AO188" s="489"/>
      <c r="AP188" s="489"/>
      <c r="AQ188" s="489"/>
      <c r="AR188" s="489"/>
      <c r="AS188" s="489"/>
      <c r="AT188" s="489"/>
      <c r="AU188" s="490"/>
    </row>
    <row r="189" spans="1:47" ht="15.6" thickTop="1" thickBot="1">
      <c r="A189" s="492"/>
      <c r="B189" s="493" t="s">
        <v>1522</v>
      </c>
      <c r="C189" s="656">
        <f t="shared" ref="C189:J189" si="77">SUM(C186:C188)</f>
        <v>0</v>
      </c>
      <c r="D189" s="656">
        <f t="shared" si="77"/>
        <v>25019</v>
      </c>
      <c r="E189" s="656">
        <f t="shared" si="77"/>
        <v>0</v>
      </c>
      <c r="F189" s="656">
        <f t="shared" si="77"/>
        <v>0</v>
      </c>
      <c r="G189" s="656">
        <f t="shared" si="77"/>
        <v>0</v>
      </c>
      <c r="H189" s="656">
        <f t="shared" si="77"/>
        <v>0</v>
      </c>
      <c r="I189" s="656">
        <f t="shared" si="77"/>
        <v>0</v>
      </c>
      <c r="J189" s="656">
        <f t="shared" si="77"/>
        <v>0</v>
      </c>
      <c r="K189" s="656">
        <f>SUM(K186:K188)</f>
        <v>25019</v>
      </c>
      <c r="L189" s="653">
        <v>0</v>
      </c>
      <c r="M189" s="495">
        <v>0</v>
      </c>
      <c r="N189" s="495">
        <v>0</v>
      </c>
      <c r="O189" s="495">
        <v>0</v>
      </c>
      <c r="P189" s="495">
        <v>0</v>
      </c>
      <c r="Q189" s="495">
        <v>0</v>
      </c>
      <c r="R189" s="495">
        <v>0</v>
      </c>
      <c r="S189" s="495">
        <v>0</v>
      </c>
      <c r="T189" s="656">
        <v>0</v>
      </c>
      <c r="U189" s="653">
        <v>0</v>
      </c>
      <c r="V189" s="495">
        <v>0</v>
      </c>
      <c r="W189" s="495">
        <v>0</v>
      </c>
      <c r="X189" s="495">
        <v>0</v>
      </c>
      <c r="Y189" s="495">
        <v>0</v>
      </c>
      <c r="Z189" s="495">
        <v>0</v>
      </c>
      <c r="AA189" s="495">
        <v>0</v>
      </c>
      <c r="AB189" s="495">
        <v>0</v>
      </c>
      <c r="AC189" s="656">
        <v>0</v>
      </c>
      <c r="AD189" s="494">
        <v>0</v>
      </c>
      <c r="AE189" s="495">
        <v>0</v>
      </c>
      <c r="AF189" s="495">
        <v>0</v>
      </c>
      <c r="AG189" s="495">
        <v>0</v>
      </c>
      <c r="AH189" s="495">
        <v>0</v>
      </c>
      <c r="AI189" s="495">
        <v>0</v>
      </c>
      <c r="AJ189" s="495">
        <v>0</v>
      </c>
      <c r="AK189" s="495">
        <v>0</v>
      </c>
      <c r="AL189" s="496">
        <v>0</v>
      </c>
      <c r="AM189" s="494">
        <v>90000</v>
      </c>
      <c r="AN189" s="495">
        <v>0</v>
      </c>
      <c r="AO189" s="495">
        <v>0</v>
      </c>
      <c r="AP189" s="495">
        <v>0</v>
      </c>
      <c r="AQ189" s="495">
        <v>0</v>
      </c>
      <c r="AR189" s="495">
        <v>0</v>
      </c>
      <c r="AS189" s="495">
        <v>0</v>
      </c>
      <c r="AT189" s="495">
        <v>0</v>
      </c>
      <c r="AU189" s="497">
        <v>90000</v>
      </c>
    </row>
    <row r="190" spans="1:47" ht="15" thickTop="1">
      <c r="A190" s="158" t="s">
        <v>224</v>
      </c>
      <c r="B190" s="488"/>
      <c r="C190" s="477"/>
      <c r="D190" s="489"/>
      <c r="E190" s="489"/>
      <c r="F190" s="489"/>
      <c r="G190" s="489"/>
      <c r="H190" s="489"/>
      <c r="I190" s="489"/>
      <c r="J190" s="489"/>
      <c r="K190" s="490"/>
      <c r="L190" s="477"/>
      <c r="M190" s="489"/>
      <c r="N190" s="489"/>
      <c r="O190" s="489"/>
      <c r="P190" s="489"/>
      <c r="Q190" s="489"/>
      <c r="R190" s="489"/>
      <c r="S190" s="489"/>
      <c r="T190" s="490"/>
      <c r="U190" s="477"/>
      <c r="V190" s="489"/>
      <c r="W190" s="489"/>
      <c r="X190" s="489"/>
      <c r="Y190" s="489"/>
      <c r="Z190" s="489"/>
      <c r="AA190" s="489"/>
      <c r="AB190" s="489"/>
      <c r="AC190" s="490"/>
      <c r="AD190" s="477"/>
      <c r="AE190" s="489"/>
      <c r="AF190" s="489"/>
      <c r="AG190" s="489"/>
      <c r="AH190" s="489"/>
      <c r="AI190" s="489"/>
      <c r="AJ190" s="489"/>
      <c r="AK190" s="489"/>
      <c r="AL190" s="490"/>
      <c r="AM190" s="477"/>
      <c r="AN190" s="489"/>
      <c r="AO190" s="489"/>
      <c r="AP190" s="489"/>
      <c r="AQ190" s="489"/>
      <c r="AR190" s="489"/>
      <c r="AS190" s="489"/>
      <c r="AT190" s="489"/>
      <c r="AU190" s="490"/>
    </row>
    <row r="191" spans="1:47">
      <c r="A191" s="158" t="s">
        <v>138</v>
      </c>
      <c r="B191" s="488" t="s">
        <v>449</v>
      </c>
      <c r="C191" s="649" cm="1">
        <f t="array" ref="C191">_xlfn.XLOOKUP(A191,'TB upload'!A:A,'TB upload'!B:B-'TB upload'!C:C,0,)</f>
        <v>0</v>
      </c>
      <c r="D191" s="489"/>
      <c r="E191" s="474" cm="1">
        <f t="array" ref="E191">_xlfn.XLOOKUP($A191,'TB upload'!$A:$A,'TB upload'!D:D-'TB upload'!E:E,0,)</f>
        <v>0</v>
      </c>
      <c r="F191" s="489"/>
      <c r="G191" s="474" cm="1">
        <f t="array" ref="G191">_xlfn.XLOOKUP($A191,'TB upload'!$A:$A,'TB upload'!F:F-'TB upload'!G:G,0,)</f>
        <v>0</v>
      </c>
      <c r="H191" s="489"/>
      <c r="I191" s="489" cm="1">
        <f t="array" ref="I191">_xlfn.XLOOKUP($A191,'TB upload'!$A:$A,'TB upload'!H:H-'TB upload'!I:I,0,)</f>
        <v>0</v>
      </c>
      <c r="J191" s="489"/>
      <c r="K191" s="490">
        <f t="shared" ref="K191" si="78">SUM(C191:J191)</f>
        <v>0</v>
      </c>
      <c r="L191" s="649">
        <v>0</v>
      </c>
      <c r="M191" s="489"/>
      <c r="N191" s="474">
        <v>0</v>
      </c>
      <c r="O191" s="489"/>
      <c r="P191" s="474">
        <v>0</v>
      </c>
      <c r="Q191" s="489"/>
      <c r="R191" s="489">
        <v>0</v>
      </c>
      <c r="S191" s="489"/>
      <c r="T191" s="490">
        <v>0</v>
      </c>
      <c r="U191" s="477">
        <v>0</v>
      </c>
      <c r="V191" s="489"/>
      <c r="W191" s="474"/>
      <c r="X191" s="489"/>
      <c r="Y191" s="474"/>
      <c r="Z191" s="489"/>
      <c r="AA191" s="489"/>
      <c r="AB191" s="489"/>
      <c r="AC191" s="490">
        <v>0</v>
      </c>
      <c r="AD191" s="477">
        <v>532840.94999999995</v>
      </c>
      <c r="AE191" s="489"/>
      <c r="AF191" s="474">
        <v>0</v>
      </c>
      <c r="AG191" s="489"/>
      <c r="AH191" s="474">
        <v>0</v>
      </c>
      <c r="AI191" s="489"/>
      <c r="AJ191" s="489">
        <v>0</v>
      </c>
      <c r="AK191" s="489">
        <v>371392</v>
      </c>
      <c r="AL191" s="490">
        <v>904232.95</v>
      </c>
      <c r="AM191" s="477">
        <v>896596.75</v>
      </c>
      <c r="AN191" s="489"/>
      <c r="AO191" s="489"/>
      <c r="AP191" s="489"/>
      <c r="AQ191" s="489"/>
      <c r="AR191" s="489"/>
      <c r="AS191" s="489"/>
      <c r="AT191" s="489"/>
      <c r="AU191" s="490">
        <v>896596.75</v>
      </c>
    </row>
    <row r="192" spans="1:47" ht="15" thickBot="1">
      <c r="A192" s="158"/>
      <c r="B192" s="488"/>
      <c r="C192" s="477"/>
      <c r="D192" s="489"/>
      <c r="E192" s="489"/>
      <c r="F192" s="489"/>
      <c r="G192" s="489"/>
      <c r="H192" s="489"/>
      <c r="I192" s="489"/>
      <c r="J192" s="489"/>
      <c r="K192" s="490"/>
      <c r="L192" s="477"/>
      <c r="M192" s="489"/>
      <c r="N192" s="489"/>
      <c r="O192" s="489"/>
      <c r="P192" s="489"/>
      <c r="Q192" s="489"/>
      <c r="R192" s="489"/>
      <c r="S192" s="489"/>
      <c r="T192" s="490"/>
      <c r="U192" s="477"/>
      <c r="V192" s="489"/>
      <c r="W192" s="489"/>
      <c r="X192" s="489"/>
      <c r="Y192" s="489"/>
      <c r="Z192" s="489"/>
      <c r="AA192" s="489"/>
      <c r="AB192" s="489"/>
      <c r="AC192" s="490"/>
      <c r="AD192" s="477"/>
      <c r="AE192" s="489"/>
      <c r="AF192" s="489"/>
      <c r="AG192" s="489"/>
      <c r="AH192" s="489"/>
      <c r="AI192" s="489"/>
      <c r="AJ192" s="489"/>
      <c r="AK192" s="489"/>
      <c r="AL192" s="490"/>
      <c r="AM192" s="477"/>
      <c r="AN192" s="489"/>
      <c r="AO192" s="489"/>
      <c r="AP192" s="489"/>
      <c r="AQ192" s="489"/>
      <c r="AR192" s="489"/>
      <c r="AS192" s="489"/>
      <c r="AT192" s="489"/>
      <c r="AU192" s="490"/>
    </row>
    <row r="193" spans="1:50" ht="15.6" thickTop="1" thickBot="1">
      <c r="A193" s="492"/>
      <c r="B193" s="493" t="s">
        <v>1522</v>
      </c>
      <c r="C193" s="653">
        <f t="shared" ref="C193:K193" si="79">SUM(C191:C192)</f>
        <v>0</v>
      </c>
      <c r="D193" s="495">
        <f t="shared" si="79"/>
        <v>0</v>
      </c>
      <c r="E193" s="495">
        <f t="shared" si="79"/>
        <v>0</v>
      </c>
      <c r="F193" s="495">
        <f t="shared" si="79"/>
        <v>0</v>
      </c>
      <c r="G193" s="495">
        <f t="shared" si="79"/>
        <v>0</v>
      </c>
      <c r="H193" s="495">
        <f t="shared" si="79"/>
        <v>0</v>
      </c>
      <c r="I193" s="495">
        <f t="shared" si="79"/>
        <v>0</v>
      </c>
      <c r="J193" s="495">
        <f t="shared" si="79"/>
        <v>0</v>
      </c>
      <c r="K193" s="496">
        <f t="shared" si="79"/>
        <v>0</v>
      </c>
      <c r="L193" s="653">
        <v>0</v>
      </c>
      <c r="M193" s="495">
        <v>0</v>
      </c>
      <c r="N193" s="495">
        <v>0</v>
      </c>
      <c r="O193" s="495">
        <v>0</v>
      </c>
      <c r="P193" s="495">
        <v>0</v>
      </c>
      <c r="Q193" s="495">
        <v>0</v>
      </c>
      <c r="R193" s="495">
        <v>0</v>
      </c>
      <c r="S193" s="495">
        <v>0</v>
      </c>
      <c r="T193" s="496">
        <v>0</v>
      </c>
      <c r="U193" s="653">
        <v>0</v>
      </c>
      <c r="V193" s="495">
        <v>0</v>
      </c>
      <c r="W193" s="495">
        <v>0</v>
      </c>
      <c r="X193" s="495">
        <v>0</v>
      </c>
      <c r="Y193" s="495">
        <v>0</v>
      </c>
      <c r="Z193" s="495">
        <v>0</v>
      </c>
      <c r="AA193" s="495">
        <v>0</v>
      </c>
      <c r="AB193" s="495">
        <v>0</v>
      </c>
      <c r="AC193" s="496">
        <v>0</v>
      </c>
      <c r="AD193" s="494">
        <v>532840.94999999995</v>
      </c>
      <c r="AE193" s="495">
        <v>0</v>
      </c>
      <c r="AF193" s="495">
        <v>0</v>
      </c>
      <c r="AG193" s="495">
        <v>0</v>
      </c>
      <c r="AH193" s="495">
        <v>0</v>
      </c>
      <c r="AI193" s="495">
        <v>0</v>
      </c>
      <c r="AJ193" s="495">
        <v>0</v>
      </c>
      <c r="AK193" s="495">
        <v>371392</v>
      </c>
      <c r="AL193" s="496">
        <v>904232.95</v>
      </c>
      <c r="AM193" s="494">
        <v>896596.75</v>
      </c>
      <c r="AN193" s="495">
        <v>0</v>
      </c>
      <c r="AO193" s="495">
        <v>0</v>
      </c>
      <c r="AP193" s="495">
        <v>0</v>
      </c>
      <c r="AQ193" s="495">
        <v>0</v>
      </c>
      <c r="AR193" s="495">
        <v>0</v>
      </c>
      <c r="AS193" s="495">
        <v>0</v>
      </c>
      <c r="AT193" s="495">
        <v>0</v>
      </c>
      <c r="AU193" s="497">
        <v>896596.75</v>
      </c>
    </row>
    <row r="194" spans="1:50" ht="15" thickTop="1">
      <c r="A194" s="155" t="s">
        <v>221</v>
      </c>
      <c r="B194" s="488"/>
      <c r="C194" s="477"/>
      <c r="D194" s="489"/>
      <c r="E194" s="489"/>
      <c r="F194" s="489"/>
      <c r="G194" s="489"/>
      <c r="H194" s="489"/>
      <c r="I194" s="489"/>
      <c r="J194" s="489"/>
      <c r="K194" s="490"/>
      <c r="L194" s="477"/>
      <c r="M194" s="489"/>
      <c r="N194" s="489"/>
      <c r="O194" s="489"/>
      <c r="P194" s="489"/>
      <c r="Q194" s="489"/>
      <c r="R194" s="489"/>
      <c r="S194" s="489"/>
      <c r="T194" s="490"/>
      <c r="U194" s="477"/>
      <c r="V194" s="489"/>
      <c r="W194" s="489"/>
      <c r="X194" s="489"/>
      <c r="Y194" s="489"/>
      <c r="Z194" s="489"/>
      <c r="AA194" s="489"/>
      <c r="AB194" s="489"/>
      <c r="AC194" s="490"/>
      <c r="AD194" s="477"/>
      <c r="AE194" s="489"/>
      <c r="AF194" s="489"/>
      <c r="AG194" s="489"/>
      <c r="AH194" s="489"/>
      <c r="AI194" s="489"/>
      <c r="AJ194" s="489"/>
      <c r="AK194" s="489"/>
      <c r="AL194" s="490"/>
      <c r="AM194" s="477"/>
      <c r="AN194" s="489"/>
      <c r="AO194" s="489"/>
      <c r="AP194" s="489"/>
      <c r="AQ194" s="489"/>
      <c r="AR194" s="489"/>
      <c r="AS194" s="489"/>
      <c r="AT194" s="489"/>
      <c r="AU194" s="490"/>
    </row>
    <row r="195" spans="1:50">
      <c r="A195" s="158" t="s">
        <v>107</v>
      </c>
      <c r="B195" s="488" t="s">
        <v>449</v>
      </c>
      <c r="C195" s="649" cm="1">
        <f t="array" ref="C195">_xlfn.XLOOKUP(A195,'TB upload'!A:A,'TB upload'!B:B-'TB upload'!C:C,0,)</f>
        <v>19387118.350000001</v>
      </c>
      <c r="D195" s="489">
        <f>-'PL Grouping'!D352</f>
        <v>-623518</v>
      </c>
      <c r="E195" s="474" cm="1">
        <f t="array" ref="E195">_xlfn.XLOOKUP($A195,'TB upload'!$A:$A,'TB upload'!D:D-'TB upload'!E:E,0,)</f>
        <v>146066.63</v>
      </c>
      <c r="F195" s="489"/>
      <c r="G195" s="474" cm="1">
        <f t="array" ref="G195">_xlfn.XLOOKUP($A195,'TB upload'!$A:$A,'TB upload'!F:F-'TB upload'!G:G,0,)</f>
        <v>0</v>
      </c>
      <c r="H195" s="489"/>
      <c r="I195" s="489" cm="1">
        <f t="array" ref="I195">_xlfn.XLOOKUP($A195,'TB upload'!$A:$A,'TB upload'!H:H-'TB upload'!I:I,0,)</f>
        <v>96026.329999999987</v>
      </c>
      <c r="J195" s="489">
        <v>-13964.36</v>
      </c>
      <c r="K195" s="490">
        <f t="shared" ref="K195:K199" si="80">SUM(C195:J195)</f>
        <v>18991728.949999999</v>
      </c>
      <c r="L195" s="649">
        <v>19711104.859999999</v>
      </c>
      <c r="M195" s="489">
        <v>-16288</v>
      </c>
      <c r="N195" s="474">
        <v>146066.63</v>
      </c>
      <c r="O195" s="489"/>
      <c r="P195" s="474">
        <v>1719.9500000000007</v>
      </c>
      <c r="Q195" s="489"/>
      <c r="R195" s="489">
        <v>111302.32999999999</v>
      </c>
      <c r="S195" s="489"/>
      <c r="T195" s="490">
        <v>19953905.769999996</v>
      </c>
      <c r="U195" s="650">
        <v>20991418.439999998</v>
      </c>
      <c r="V195" s="489"/>
      <c r="W195" s="474">
        <v>163221</v>
      </c>
      <c r="X195" s="489"/>
      <c r="Y195" s="474">
        <v>1680</v>
      </c>
      <c r="Z195" s="489"/>
      <c r="AA195" s="489">
        <v>149929</v>
      </c>
      <c r="AB195" s="489"/>
      <c r="AC195" s="490">
        <v>21306248.439999998</v>
      </c>
      <c r="AD195" s="477">
        <v>22784461.960000001</v>
      </c>
      <c r="AE195" s="489"/>
      <c r="AF195" s="474">
        <v>119646.88</v>
      </c>
      <c r="AG195" s="489"/>
      <c r="AH195" s="474">
        <v>7421.6899999999987</v>
      </c>
      <c r="AI195" s="489"/>
      <c r="AJ195" s="489">
        <v>194202.45</v>
      </c>
      <c r="AK195" s="489">
        <v>55434</v>
      </c>
      <c r="AL195" s="490">
        <v>23161166.98</v>
      </c>
      <c r="AM195" s="477">
        <v>0</v>
      </c>
      <c r="AN195" s="489"/>
      <c r="AO195" s="489"/>
      <c r="AP195" s="489"/>
      <c r="AQ195" s="489"/>
      <c r="AR195" s="489"/>
      <c r="AS195" s="489"/>
      <c r="AT195" s="489"/>
      <c r="AU195" s="490">
        <v>0</v>
      </c>
    </row>
    <row r="196" spans="1:50">
      <c r="A196" s="158" t="s">
        <v>152</v>
      </c>
      <c r="B196" s="488" t="s">
        <v>449</v>
      </c>
      <c r="C196" s="649" cm="1">
        <f t="array" ref="C196">_xlfn.XLOOKUP(A196,'TB upload'!A:A,'TB upload'!B:B-'TB upload'!C:C,0,)</f>
        <v>63758.8</v>
      </c>
      <c r="D196" s="489"/>
      <c r="E196" s="474" cm="1">
        <f t="array" ref="E196">_xlfn.XLOOKUP($A196,'TB upload'!$A:$A,'TB upload'!D:D-'TB upload'!E:E,0,)</f>
        <v>0</v>
      </c>
      <c r="F196" s="489"/>
      <c r="G196" s="474" cm="1">
        <f t="array" ref="G196">_xlfn.XLOOKUP($A196,'TB upload'!$A:$A,'TB upload'!F:F-'TB upload'!G:G,0,)</f>
        <v>0</v>
      </c>
      <c r="H196" s="489"/>
      <c r="I196" s="489" cm="1">
        <f t="array" ref="I196">_xlfn.XLOOKUP($A196,'TB upload'!$A:$A,'TB upload'!H:H-'TB upload'!I:I,0,)</f>
        <v>0</v>
      </c>
      <c r="J196" s="489"/>
      <c r="K196" s="490">
        <f t="shared" si="80"/>
        <v>63758.8</v>
      </c>
      <c r="L196" s="649">
        <v>63758.8</v>
      </c>
      <c r="M196" s="489"/>
      <c r="N196" s="474">
        <v>0</v>
      </c>
      <c r="O196" s="489"/>
      <c r="P196" s="474">
        <v>0</v>
      </c>
      <c r="Q196" s="489"/>
      <c r="R196" s="489">
        <v>0</v>
      </c>
      <c r="S196" s="489"/>
      <c r="T196" s="490">
        <v>63758.8</v>
      </c>
      <c r="U196" s="650">
        <v>63758.8</v>
      </c>
      <c r="V196" s="489"/>
      <c r="W196" s="474"/>
      <c r="X196" s="489"/>
      <c r="Y196" s="474"/>
      <c r="Z196" s="489"/>
      <c r="AA196" s="489"/>
      <c r="AB196" s="489"/>
      <c r="AC196" s="490">
        <v>63758.8</v>
      </c>
      <c r="AD196" s="477">
        <v>22578.799999999999</v>
      </c>
      <c r="AE196" s="489"/>
      <c r="AF196" s="474">
        <v>0</v>
      </c>
      <c r="AG196" s="489"/>
      <c r="AH196" s="474">
        <v>0</v>
      </c>
      <c r="AI196" s="489"/>
      <c r="AJ196" s="489">
        <v>0</v>
      </c>
      <c r="AK196" s="489">
        <v>12316</v>
      </c>
      <c r="AL196" s="490">
        <v>34894.800000000003</v>
      </c>
      <c r="AM196" s="477">
        <v>22580</v>
      </c>
      <c r="AN196" s="489"/>
      <c r="AO196" s="489"/>
      <c r="AP196" s="489"/>
      <c r="AQ196" s="489"/>
      <c r="AR196" s="489"/>
      <c r="AS196" s="489"/>
      <c r="AT196" s="489"/>
      <c r="AU196" s="490">
        <v>22580</v>
      </c>
    </row>
    <row r="197" spans="1:50">
      <c r="A197" s="158" t="s">
        <v>530</v>
      </c>
      <c r="B197" s="488" t="s">
        <v>449</v>
      </c>
      <c r="C197" s="649" cm="1">
        <f t="array" ref="C197">_xlfn.XLOOKUP(A197,'TB upload'!A:A,'TB upload'!B:B-'TB upload'!C:C,0,)</f>
        <v>0</v>
      </c>
      <c r="D197" s="489"/>
      <c r="E197" s="474" cm="1">
        <f t="array" ref="E197">_xlfn.XLOOKUP($A197,'TB upload'!$A:$A,'TB upload'!D:D-'TB upload'!E:E,0,)</f>
        <v>0</v>
      </c>
      <c r="F197" s="489"/>
      <c r="G197" s="474" cm="1">
        <f t="array" ref="G197">_xlfn.XLOOKUP($A197,'TB upload'!$A:$A,'TB upload'!F:F-'TB upload'!G:G,0,)</f>
        <v>0</v>
      </c>
      <c r="H197" s="489">
        <v>-1815</v>
      </c>
      <c r="I197" s="489" cm="1">
        <f t="array" ref="I197">_xlfn.XLOOKUP($A197,'TB upload'!$A:$A,'TB upload'!H:H-'TB upload'!I:I,0,)</f>
        <v>0</v>
      </c>
      <c r="J197" s="489"/>
      <c r="K197" s="490">
        <f t="shared" si="80"/>
        <v>-1815</v>
      </c>
      <c r="L197" s="649">
        <v>0</v>
      </c>
      <c r="M197" s="489"/>
      <c r="N197" s="474">
        <v>0</v>
      </c>
      <c r="O197" s="489"/>
      <c r="P197" s="474">
        <v>0</v>
      </c>
      <c r="Q197" s="489"/>
      <c r="R197" s="489">
        <v>0</v>
      </c>
      <c r="S197" s="489"/>
      <c r="T197" s="490">
        <v>0</v>
      </c>
      <c r="U197" s="477">
        <v>0</v>
      </c>
      <c r="V197" s="489"/>
      <c r="W197" s="474">
        <v>0</v>
      </c>
      <c r="X197" s="489"/>
      <c r="Y197" s="474">
        <v>0</v>
      </c>
      <c r="Z197" s="489"/>
      <c r="AA197" s="489">
        <v>0</v>
      </c>
      <c r="AB197" s="489"/>
      <c r="AC197" s="490">
        <v>0</v>
      </c>
      <c r="AD197" s="477">
        <v>0</v>
      </c>
      <c r="AE197" s="489"/>
      <c r="AF197" s="474">
        <v>0</v>
      </c>
      <c r="AG197" s="489"/>
      <c r="AH197" s="474">
        <v>0</v>
      </c>
      <c r="AI197" s="489"/>
      <c r="AJ197" s="489">
        <v>0</v>
      </c>
      <c r="AK197" s="489"/>
      <c r="AL197" s="490">
        <v>0</v>
      </c>
      <c r="AM197" s="477">
        <v>17323972.419999998</v>
      </c>
      <c r="AN197" s="489"/>
      <c r="AO197" s="489">
        <v>31324</v>
      </c>
      <c r="AP197" s="489"/>
      <c r="AQ197" s="489">
        <v>89102</v>
      </c>
      <c r="AR197" s="489"/>
      <c r="AS197" s="489"/>
      <c r="AT197" s="489"/>
      <c r="AU197" s="490">
        <v>17444398.419999998</v>
      </c>
    </row>
    <row r="198" spans="1:50">
      <c r="A198" s="158" t="s">
        <v>1520</v>
      </c>
      <c r="B198" s="488" t="s">
        <v>449</v>
      </c>
      <c r="C198" s="649" cm="1">
        <f t="array" ref="C198">_xlfn.XLOOKUP(A198,'TB upload'!A:A,'TB upload'!B:B-'TB upload'!C:C,0,)</f>
        <v>4044</v>
      </c>
      <c r="D198" s="489"/>
      <c r="E198" s="474" cm="1">
        <f t="array" ref="E198">_xlfn.XLOOKUP($A198,'TB upload'!$A:$A,'TB upload'!D:D-'TB upload'!E:E,0,)</f>
        <v>0</v>
      </c>
      <c r="F198" s="489"/>
      <c r="G198" s="474" cm="1">
        <f t="array" ref="G198">_xlfn.XLOOKUP($A198,'TB upload'!$A:$A,'TB upload'!F:F-'TB upload'!G:G,0,)</f>
        <v>0</v>
      </c>
      <c r="H198" s="489"/>
      <c r="I198" s="489" cm="1">
        <f t="array" ref="I198">_xlfn.XLOOKUP($A198,'TB upload'!$A:$A,'TB upload'!H:H-'TB upload'!I:I,0,)</f>
        <v>0</v>
      </c>
      <c r="J198" s="489"/>
      <c r="K198" s="490">
        <f t="shared" si="80"/>
        <v>4044</v>
      </c>
      <c r="L198" s="649">
        <v>4044</v>
      </c>
      <c r="M198" s="489"/>
      <c r="N198" s="474">
        <v>0</v>
      </c>
      <c r="O198" s="489"/>
      <c r="P198" s="474">
        <v>0</v>
      </c>
      <c r="Q198" s="489"/>
      <c r="R198" s="489">
        <v>0</v>
      </c>
      <c r="S198" s="489"/>
      <c r="T198" s="490">
        <v>4044</v>
      </c>
      <c r="U198" s="650">
        <v>4044</v>
      </c>
      <c r="V198" s="489"/>
      <c r="W198" s="474"/>
      <c r="X198" s="489"/>
      <c r="Y198" s="474"/>
      <c r="Z198" s="489"/>
      <c r="AA198" s="489"/>
      <c r="AB198" s="489"/>
      <c r="AC198" s="490">
        <v>4044</v>
      </c>
      <c r="AD198" s="477"/>
      <c r="AE198" s="489"/>
      <c r="AF198" s="474"/>
      <c r="AG198" s="489"/>
      <c r="AH198" s="474"/>
      <c r="AI198" s="489"/>
      <c r="AJ198" s="489"/>
      <c r="AK198" s="489"/>
      <c r="AL198" s="490"/>
      <c r="AM198" s="477"/>
      <c r="AN198" s="489"/>
      <c r="AO198" s="489"/>
      <c r="AP198" s="489"/>
      <c r="AQ198" s="489"/>
      <c r="AR198" s="489"/>
      <c r="AS198" s="489"/>
      <c r="AT198" s="489"/>
      <c r="AU198" s="490"/>
    </row>
    <row r="199" spans="1:50" ht="15" thickBot="1">
      <c r="A199" s="158" t="s">
        <v>136</v>
      </c>
      <c r="B199" s="488" t="s">
        <v>449</v>
      </c>
      <c r="C199" s="649" cm="1">
        <f t="array" ref="C199">_xlfn.XLOOKUP(A199,'TB upload'!A:A,'TB upload'!B:B-'TB upload'!C:C,0,)</f>
        <v>0</v>
      </c>
      <c r="D199" s="489">
        <v>5250</v>
      </c>
      <c r="E199" s="474" cm="1">
        <f t="array" ref="E199">_xlfn.XLOOKUP($A199,'TB upload'!$A:$A,'TB upload'!D:D-'TB upload'!E:E,0,)</f>
        <v>0</v>
      </c>
      <c r="F199" s="489"/>
      <c r="G199" s="474" cm="1">
        <f t="array" ref="G199">_xlfn.XLOOKUP($A199,'TB upload'!$A:$A,'TB upload'!F:F-'TB upload'!G:G,0,)</f>
        <v>0</v>
      </c>
      <c r="H199" s="489"/>
      <c r="I199" s="489" cm="1">
        <f t="array" ref="I199">_xlfn.XLOOKUP($A199,'TB upload'!$A:$A,'TB upload'!H:H-'TB upload'!I:I,0,)</f>
        <v>0</v>
      </c>
      <c r="J199" s="489"/>
      <c r="K199" s="490">
        <f t="shared" si="80"/>
        <v>5250</v>
      </c>
      <c r="L199" s="649">
        <v>1</v>
      </c>
      <c r="M199" s="489"/>
      <c r="N199" s="474">
        <v>0</v>
      </c>
      <c r="O199" s="489"/>
      <c r="P199" s="474">
        <v>0</v>
      </c>
      <c r="Q199" s="489"/>
      <c r="R199" s="489">
        <v>0</v>
      </c>
      <c r="S199" s="489"/>
      <c r="T199" s="490">
        <v>1</v>
      </c>
      <c r="U199" s="477">
        <v>0</v>
      </c>
      <c r="V199" s="489"/>
      <c r="W199" s="474"/>
      <c r="X199" s="489"/>
      <c r="Y199" s="474">
        <v>1581093</v>
      </c>
      <c r="Z199" s="489"/>
      <c r="AA199" s="489"/>
      <c r="AB199" s="489"/>
      <c r="AC199" s="490">
        <v>1581093</v>
      </c>
      <c r="AD199" s="477">
        <v>882050.61</v>
      </c>
      <c r="AE199" s="489"/>
      <c r="AF199" s="474">
        <v>0</v>
      </c>
      <c r="AG199" s="489"/>
      <c r="AH199" s="474">
        <v>0</v>
      </c>
      <c r="AI199" s="489"/>
      <c r="AJ199" s="489">
        <v>0</v>
      </c>
      <c r="AK199" s="489">
        <v>-59511.72</v>
      </c>
      <c r="AL199" s="490">
        <v>822538.89</v>
      </c>
      <c r="AM199" s="477">
        <v>274204.81</v>
      </c>
      <c r="AN199" s="489"/>
      <c r="AO199" s="489"/>
      <c r="AP199" s="489"/>
      <c r="AQ199" s="489"/>
      <c r="AR199" s="489"/>
      <c r="AS199" s="489"/>
      <c r="AT199" s="489"/>
      <c r="AU199" s="490">
        <v>274204.81</v>
      </c>
    </row>
    <row r="200" spans="1:50" ht="15.6" thickTop="1" thickBot="1">
      <c r="A200" s="492"/>
      <c r="B200" s="493" t="s">
        <v>1522</v>
      </c>
      <c r="C200" s="653">
        <f t="shared" ref="C200:K200" si="81">SUM(C195:C199)</f>
        <v>19454921.150000002</v>
      </c>
      <c r="D200" s="495">
        <f t="shared" si="81"/>
        <v>-618268</v>
      </c>
      <c r="E200" s="495">
        <f t="shared" si="81"/>
        <v>146066.63</v>
      </c>
      <c r="F200" s="495">
        <f t="shared" si="81"/>
        <v>0</v>
      </c>
      <c r="G200" s="495">
        <f t="shared" si="81"/>
        <v>0</v>
      </c>
      <c r="H200" s="495">
        <f t="shared" si="81"/>
        <v>-1815</v>
      </c>
      <c r="I200" s="495">
        <f t="shared" si="81"/>
        <v>96026.329999999987</v>
      </c>
      <c r="J200" s="495">
        <f t="shared" si="81"/>
        <v>-13964.36</v>
      </c>
      <c r="K200" s="496">
        <f t="shared" si="81"/>
        <v>19062966.75</v>
      </c>
      <c r="L200" s="653">
        <v>19778908.66</v>
      </c>
      <c r="M200" s="495">
        <v>-16288</v>
      </c>
      <c r="N200" s="495">
        <v>146066.63</v>
      </c>
      <c r="O200" s="495">
        <v>0</v>
      </c>
      <c r="P200" s="495">
        <v>1719.9500000000007</v>
      </c>
      <c r="Q200" s="495">
        <v>0</v>
      </c>
      <c r="R200" s="495">
        <v>111302.32999999999</v>
      </c>
      <c r="S200" s="495">
        <v>0</v>
      </c>
      <c r="T200" s="496">
        <v>20021709.569999997</v>
      </c>
      <c r="U200" s="653">
        <v>21059221.239999998</v>
      </c>
      <c r="V200" s="495">
        <v>0</v>
      </c>
      <c r="W200" s="495">
        <v>163221</v>
      </c>
      <c r="X200" s="495">
        <v>0</v>
      </c>
      <c r="Y200" s="495">
        <v>1582773</v>
      </c>
      <c r="Z200" s="495">
        <v>0</v>
      </c>
      <c r="AA200" s="495">
        <v>149929</v>
      </c>
      <c r="AB200" s="495">
        <v>0</v>
      </c>
      <c r="AC200" s="496">
        <v>22955144.239999998</v>
      </c>
      <c r="AD200" s="494">
        <v>23689091.370000001</v>
      </c>
      <c r="AE200" s="495">
        <v>0</v>
      </c>
      <c r="AF200" s="495">
        <v>119646.88</v>
      </c>
      <c r="AG200" s="495">
        <v>0</v>
      </c>
      <c r="AH200" s="495">
        <v>7421.6899999999987</v>
      </c>
      <c r="AI200" s="495">
        <v>0</v>
      </c>
      <c r="AJ200" s="495">
        <v>194202.45</v>
      </c>
      <c r="AK200" s="495">
        <v>8238.2799999999988</v>
      </c>
      <c r="AL200" s="496">
        <v>24018600.670000002</v>
      </c>
      <c r="AM200" s="494">
        <v>17620757.229999997</v>
      </c>
      <c r="AN200" s="495">
        <v>0</v>
      </c>
      <c r="AO200" s="495">
        <v>31324</v>
      </c>
      <c r="AP200" s="495">
        <v>0</v>
      </c>
      <c r="AQ200" s="495">
        <v>89102</v>
      </c>
      <c r="AR200" s="495">
        <v>0</v>
      </c>
      <c r="AS200" s="495">
        <v>0</v>
      </c>
      <c r="AT200" s="495">
        <v>0</v>
      </c>
      <c r="AU200" s="497">
        <v>17741183.229999997</v>
      </c>
    </row>
    <row r="201" spans="1:50" ht="15" thickTop="1">
      <c r="A201" s="155" t="s">
        <v>339</v>
      </c>
      <c r="B201" s="488"/>
      <c r="C201" s="477"/>
      <c r="D201" s="489"/>
      <c r="E201" s="489"/>
      <c r="F201" s="489"/>
      <c r="G201" s="489"/>
      <c r="H201" s="489"/>
      <c r="I201" s="489"/>
      <c r="J201" s="489"/>
      <c r="K201" s="490"/>
      <c r="L201" s="477"/>
      <c r="M201" s="489"/>
      <c r="N201" s="489"/>
      <c r="O201" s="489"/>
      <c r="P201" s="489"/>
      <c r="Q201" s="489"/>
      <c r="R201" s="489"/>
      <c r="S201" s="489"/>
      <c r="T201" s="490"/>
      <c r="U201" s="477"/>
      <c r="V201" s="489"/>
      <c r="W201" s="489"/>
      <c r="X201" s="489"/>
      <c r="Y201" s="489"/>
      <c r="Z201" s="489"/>
      <c r="AA201" s="489"/>
      <c r="AB201" s="489"/>
      <c r="AC201" s="490"/>
      <c r="AD201" s="477"/>
      <c r="AE201" s="489"/>
      <c r="AF201" s="489"/>
      <c r="AG201" s="489"/>
      <c r="AH201" s="489"/>
      <c r="AI201" s="489"/>
      <c r="AJ201" s="489"/>
      <c r="AK201" s="489"/>
      <c r="AL201" s="490"/>
      <c r="AM201" s="477"/>
      <c r="AN201" s="489"/>
      <c r="AO201" s="489"/>
      <c r="AP201" s="489"/>
      <c r="AQ201" s="489"/>
      <c r="AR201" s="489"/>
      <c r="AS201" s="489"/>
      <c r="AT201" s="489"/>
      <c r="AU201" s="490"/>
    </row>
    <row r="202" spans="1:50">
      <c r="A202" s="158"/>
      <c r="B202" s="488" t="s">
        <v>1134</v>
      </c>
      <c r="C202" s="477"/>
      <c r="D202" s="489"/>
      <c r="E202" s="489"/>
      <c r="F202" s="489"/>
      <c r="G202" s="489"/>
      <c r="H202" s="489"/>
      <c r="I202" s="489"/>
      <c r="J202" s="489"/>
      <c r="K202" s="490">
        <f t="shared" ref="K202" si="82">SUM(C202:J202)</f>
        <v>0</v>
      </c>
      <c r="L202" s="477"/>
      <c r="M202" s="489"/>
      <c r="N202" s="489"/>
      <c r="O202" s="489"/>
      <c r="P202" s="489"/>
      <c r="Q202" s="489"/>
      <c r="R202" s="489"/>
      <c r="S202" s="489"/>
      <c r="T202" s="490">
        <v>0</v>
      </c>
      <c r="U202" s="477"/>
      <c r="V202" s="489"/>
      <c r="W202" s="489"/>
      <c r="X202" s="489"/>
      <c r="Y202" s="489"/>
      <c r="Z202" s="489"/>
      <c r="AA202" s="489"/>
      <c r="AB202" s="489"/>
      <c r="AC202" s="490">
        <v>0</v>
      </c>
      <c r="AD202" s="477"/>
      <c r="AE202" s="489">
        <v>14557</v>
      </c>
      <c r="AF202" s="489"/>
      <c r="AG202" s="489"/>
      <c r="AH202" s="489"/>
      <c r="AI202" s="489"/>
      <c r="AJ202" s="489"/>
      <c r="AK202" s="489"/>
      <c r="AL202" s="490">
        <v>14557</v>
      </c>
      <c r="AM202" s="477">
        <v>14412.333333333334</v>
      </c>
      <c r="AN202" s="489"/>
      <c r="AO202" s="489"/>
      <c r="AP202" s="489"/>
      <c r="AQ202" s="489"/>
      <c r="AR202" s="489"/>
      <c r="AS202" s="489"/>
      <c r="AT202" s="489"/>
      <c r="AU202" s="490">
        <v>14412.333333333334</v>
      </c>
    </row>
    <row r="203" spans="1:50" ht="15" thickBot="1">
      <c r="A203" s="158"/>
      <c r="B203" s="488"/>
      <c r="C203" s="477"/>
      <c r="D203" s="489"/>
      <c r="E203" s="489"/>
      <c r="F203" s="489"/>
      <c r="G203" s="489"/>
      <c r="H203" s="489"/>
      <c r="I203" s="489"/>
      <c r="J203" s="489"/>
      <c r="K203" s="490"/>
      <c r="L203" s="477"/>
      <c r="M203" s="489"/>
      <c r="N203" s="489"/>
      <c r="O203" s="489"/>
      <c r="P203" s="489"/>
      <c r="Q203" s="489"/>
      <c r="R203" s="489"/>
      <c r="S203" s="489"/>
      <c r="T203" s="490"/>
      <c r="U203" s="477"/>
      <c r="V203" s="489"/>
      <c r="W203" s="489"/>
      <c r="X203" s="489"/>
      <c r="Y203" s="489"/>
      <c r="Z203" s="489"/>
      <c r="AA203" s="489"/>
      <c r="AB203" s="489"/>
      <c r="AC203" s="490"/>
      <c r="AD203" s="477"/>
      <c r="AE203" s="489"/>
      <c r="AF203" s="489"/>
      <c r="AG203" s="489"/>
      <c r="AH203" s="489"/>
      <c r="AI203" s="489"/>
      <c r="AJ203" s="489"/>
      <c r="AK203" s="489"/>
      <c r="AL203" s="490"/>
      <c r="AM203" s="477"/>
      <c r="AN203" s="489"/>
      <c r="AO203" s="489"/>
      <c r="AP203" s="489"/>
      <c r="AQ203" s="489"/>
      <c r="AR203" s="489"/>
      <c r="AS203" s="489"/>
      <c r="AT203" s="489"/>
      <c r="AU203" s="490"/>
    </row>
    <row r="204" spans="1:50" ht="15.6" thickTop="1" thickBot="1">
      <c r="A204" s="492"/>
      <c r="B204" s="493" t="s">
        <v>1522</v>
      </c>
      <c r="C204" s="653">
        <f t="shared" ref="C204:H204" si="83">SUM(C202:C203)</f>
        <v>0</v>
      </c>
      <c r="D204" s="495">
        <f t="shared" si="83"/>
        <v>0</v>
      </c>
      <c r="E204" s="495">
        <f t="shared" si="83"/>
        <v>0</v>
      </c>
      <c r="F204" s="495">
        <f t="shared" si="83"/>
        <v>0</v>
      </c>
      <c r="G204" s="495">
        <f t="shared" si="83"/>
        <v>0</v>
      </c>
      <c r="H204" s="495">
        <f t="shared" si="83"/>
        <v>0</v>
      </c>
      <c r="I204" s="495">
        <f t="shared" ref="I204:K204" si="84">SUM(I202:I203)</f>
        <v>0</v>
      </c>
      <c r="J204" s="495">
        <f t="shared" si="84"/>
        <v>0</v>
      </c>
      <c r="K204" s="496">
        <f t="shared" si="84"/>
        <v>0</v>
      </c>
      <c r="L204" s="653">
        <v>0</v>
      </c>
      <c r="M204" s="495">
        <v>0</v>
      </c>
      <c r="N204" s="495">
        <v>0</v>
      </c>
      <c r="O204" s="495">
        <v>0</v>
      </c>
      <c r="P204" s="495">
        <v>0</v>
      </c>
      <c r="Q204" s="495">
        <v>0</v>
      </c>
      <c r="R204" s="495">
        <v>0</v>
      </c>
      <c r="S204" s="495">
        <v>0</v>
      </c>
      <c r="T204" s="496">
        <v>0</v>
      </c>
      <c r="U204" s="653">
        <v>0</v>
      </c>
      <c r="V204" s="495">
        <v>0</v>
      </c>
      <c r="W204" s="495">
        <v>0</v>
      </c>
      <c r="X204" s="495">
        <v>0</v>
      </c>
      <c r="Y204" s="495">
        <v>0</v>
      </c>
      <c r="Z204" s="495">
        <v>0</v>
      </c>
      <c r="AA204" s="495">
        <v>0</v>
      </c>
      <c r="AB204" s="495">
        <v>0</v>
      </c>
      <c r="AC204" s="496">
        <v>0</v>
      </c>
      <c r="AD204" s="494">
        <v>0</v>
      </c>
      <c r="AE204" s="495">
        <v>14557</v>
      </c>
      <c r="AF204" s="495">
        <v>0</v>
      </c>
      <c r="AG204" s="495">
        <v>0</v>
      </c>
      <c r="AH204" s="495">
        <v>0</v>
      </c>
      <c r="AI204" s="495">
        <v>0</v>
      </c>
      <c r="AJ204" s="495">
        <v>0</v>
      </c>
      <c r="AK204" s="495">
        <v>0</v>
      </c>
      <c r="AL204" s="496">
        <v>14557</v>
      </c>
      <c r="AM204" s="494">
        <v>14412.333333333334</v>
      </c>
      <c r="AN204" s="495">
        <v>0</v>
      </c>
      <c r="AO204" s="495">
        <v>0</v>
      </c>
      <c r="AP204" s="495">
        <v>0</v>
      </c>
      <c r="AQ204" s="495">
        <v>0</v>
      </c>
      <c r="AR204" s="495">
        <v>0</v>
      </c>
      <c r="AS204" s="495">
        <v>0</v>
      </c>
      <c r="AT204" s="495">
        <v>0</v>
      </c>
      <c r="AU204" s="497">
        <v>14412.333333333334</v>
      </c>
    </row>
    <row r="205" spans="1:50" ht="15" thickTop="1">
      <c r="B205" s="499"/>
      <c r="C205" s="477"/>
      <c r="D205" s="489"/>
      <c r="E205" s="489"/>
      <c r="F205" s="489"/>
      <c r="G205" s="489"/>
      <c r="H205" s="489"/>
      <c r="I205" s="489"/>
      <c r="J205" s="489"/>
      <c r="K205" s="490"/>
      <c r="L205" s="477"/>
      <c r="M205" s="489"/>
      <c r="N205" s="489"/>
      <c r="O205" s="489"/>
      <c r="P205" s="489"/>
      <c r="Q205" s="489"/>
      <c r="R205" s="489"/>
      <c r="S205" s="489"/>
      <c r="T205" s="490"/>
      <c r="U205" s="477"/>
      <c r="V205" s="489"/>
      <c r="W205" s="489"/>
      <c r="X205" s="489"/>
      <c r="Y205" s="489"/>
      <c r="Z205" s="489"/>
      <c r="AA205" s="489"/>
      <c r="AB205" s="489"/>
      <c r="AC205" s="490"/>
      <c r="AD205" s="477"/>
      <c r="AE205" s="489"/>
      <c r="AF205" s="489"/>
      <c r="AG205" s="489"/>
      <c r="AH205" s="489"/>
      <c r="AI205" s="489"/>
      <c r="AJ205" s="489"/>
      <c r="AK205" s="489"/>
      <c r="AL205" s="490"/>
      <c r="AM205" s="477"/>
      <c r="AN205" s="489"/>
      <c r="AO205" s="489"/>
      <c r="AP205" s="489"/>
      <c r="AQ205" s="489"/>
      <c r="AR205" s="489"/>
      <c r="AS205" s="489"/>
      <c r="AT205" s="489"/>
      <c r="AU205" s="490"/>
    </row>
    <row r="206" spans="1:50">
      <c r="B206" s="499"/>
      <c r="C206" s="477"/>
      <c r="D206" s="489"/>
      <c r="E206" s="489"/>
      <c r="F206" s="489"/>
      <c r="G206" s="489"/>
      <c r="H206" s="489"/>
      <c r="I206" s="489"/>
      <c r="J206" s="489"/>
      <c r="K206" s="490"/>
      <c r="L206" s="477"/>
      <c r="M206" s="489"/>
      <c r="N206" s="489"/>
      <c r="O206" s="489"/>
      <c r="P206" s="489"/>
      <c r="Q206" s="489"/>
      <c r="R206" s="489"/>
      <c r="S206" s="489"/>
      <c r="T206" s="490"/>
      <c r="U206" s="477"/>
      <c r="V206" s="489"/>
      <c r="W206" s="489"/>
      <c r="X206" s="489"/>
      <c r="Y206" s="489"/>
      <c r="Z206" s="489"/>
      <c r="AA206" s="489"/>
      <c r="AB206" s="489"/>
      <c r="AC206" s="490"/>
      <c r="AD206" s="477"/>
      <c r="AE206" s="489"/>
      <c r="AF206" s="489"/>
      <c r="AG206" s="489"/>
      <c r="AH206" s="489"/>
      <c r="AI206" s="489"/>
      <c r="AJ206" s="489"/>
      <c r="AK206" s="489"/>
      <c r="AL206" s="490"/>
      <c r="AM206" s="477"/>
      <c r="AN206" s="489"/>
      <c r="AO206" s="489"/>
      <c r="AP206" s="489"/>
      <c r="AQ206" s="489"/>
      <c r="AR206" s="489"/>
      <c r="AS206" s="489"/>
      <c r="AT206" s="489"/>
      <c r="AU206" s="490"/>
    </row>
    <row r="207" spans="1:50">
      <c r="B207" s="499"/>
      <c r="C207" s="477"/>
      <c r="D207" s="489"/>
      <c r="E207" s="489"/>
      <c r="F207" s="489"/>
      <c r="G207" s="489"/>
      <c r="H207" s="489"/>
      <c r="I207" s="489"/>
      <c r="J207" s="489"/>
      <c r="K207" s="490"/>
      <c r="L207" s="477"/>
      <c r="M207" s="489"/>
      <c r="N207" s="489"/>
      <c r="O207" s="489"/>
      <c r="P207" s="489"/>
      <c r="Q207" s="489"/>
      <c r="R207" s="489"/>
      <c r="S207" s="489"/>
      <c r="T207" s="490"/>
      <c r="U207" s="477"/>
      <c r="V207" s="489"/>
      <c r="W207" s="489"/>
      <c r="X207" s="489"/>
      <c r="Y207" s="489"/>
      <c r="Z207" s="489"/>
      <c r="AA207" s="489"/>
      <c r="AB207" s="489"/>
      <c r="AC207" s="490"/>
      <c r="AD207" s="477"/>
      <c r="AE207" s="489"/>
      <c r="AF207" s="489"/>
      <c r="AG207" s="489"/>
      <c r="AH207" s="489"/>
      <c r="AI207" s="489"/>
      <c r="AJ207" s="489"/>
      <c r="AK207" s="489"/>
      <c r="AL207" s="490"/>
      <c r="AM207" s="477"/>
      <c r="AN207" s="489"/>
      <c r="AO207" s="489"/>
      <c r="AP207" s="489"/>
      <c r="AQ207" s="489"/>
      <c r="AR207" s="489"/>
      <c r="AS207" s="489"/>
      <c r="AT207" s="489"/>
      <c r="AU207" s="490"/>
    </row>
    <row r="208" spans="1:50">
      <c r="A208" s="158" t="s">
        <v>1211</v>
      </c>
      <c r="B208" s="488"/>
      <c r="C208" s="477">
        <f>+C11+C21+C27+C32+C38+C42+C50+C55+C58+C63+C67+C78+C82+C88+C94+C99+C102+C106+C15</f>
        <v>33626677.810000017</v>
      </c>
      <c r="D208" s="477">
        <f t="shared" ref="D208:K208" si="85">+D11+D21+D27+D32+D38+D42+D50+D55+D58+D63+D67+D78+D82+D88+D94+D99+D102+D106+D15</f>
        <v>-631304.92459016375</v>
      </c>
      <c r="E208" s="477">
        <f t="shared" si="85"/>
        <v>-292871</v>
      </c>
      <c r="F208" s="477">
        <f t="shared" si="85"/>
        <v>0</v>
      </c>
      <c r="G208" s="477">
        <f t="shared" si="85"/>
        <v>-57115</v>
      </c>
      <c r="H208" s="477">
        <f t="shared" si="85"/>
        <v>-1815</v>
      </c>
      <c r="I208" s="477">
        <f t="shared" si="85"/>
        <v>-321993</v>
      </c>
      <c r="J208" s="477">
        <f t="shared" si="85"/>
        <v>99529.64</v>
      </c>
      <c r="K208" s="477">
        <f t="shared" si="85"/>
        <v>32421108.525409851</v>
      </c>
      <c r="L208" s="477">
        <v>50617820.296666652</v>
      </c>
      <c r="M208" s="477">
        <v>-714372.46</v>
      </c>
      <c r="N208" s="477">
        <v>-880588.22000000009</v>
      </c>
      <c r="O208" s="477">
        <v>0</v>
      </c>
      <c r="P208" s="477">
        <v>207584.43</v>
      </c>
      <c r="Q208" s="477">
        <v>-0.9900000000197906</v>
      </c>
      <c r="R208" s="477">
        <v>-550370</v>
      </c>
      <c r="S208" s="477">
        <v>703461.67333333334</v>
      </c>
      <c r="T208" s="477">
        <v>49383534.729999989</v>
      </c>
      <c r="U208" s="477">
        <v>58649695.316666633</v>
      </c>
      <c r="V208" s="477">
        <v>-601532</v>
      </c>
      <c r="W208" s="477">
        <v>-878775.66</v>
      </c>
      <c r="X208" s="477">
        <v>0</v>
      </c>
      <c r="Y208" s="477">
        <v>209956</v>
      </c>
      <c r="Z208" s="477">
        <v>0</v>
      </c>
      <c r="AA208" s="477">
        <v>-501899</v>
      </c>
      <c r="AB208" s="477">
        <v>700501.67333333334</v>
      </c>
      <c r="AC208" s="477">
        <v>57577946.329999983</v>
      </c>
      <c r="AD208" s="477">
        <v>81299929.689999998</v>
      </c>
      <c r="AE208" s="477">
        <v>-304395.33333333349</v>
      </c>
      <c r="AF208" s="477">
        <v>-587616.66</v>
      </c>
      <c r="AG208" s="477">
        <v>374337</v>
      </c>
      <c r="AH208" s="477">
        <v>-1149095.08</v>
      </c>
      <c r="AI208" s="477">
        <v>14412.333333333328</v>
      </c>
      <c r="AJ208" s="477">
        <v>518291.72</v>
      </c>
      <c r="AK208" s="477">
        <v>364025.28000000009</v>
      </c>
      <c r="AL208" s="477">
        <v>80529888.949999988</v>
      </c>
      <c r="AM208" s="477">
        <v>115443333.37000002</v>
      </c>
      <c r="AN208" s="477">
        <v>2766699.23</v>
      </c>
      <c r="AO208" s="477">
        <v>-100353</v>
      </c>
      <c r="AP208" s="477">
        <v>-136884</v>
      </c>
      <c r="AQ208" s="477">
        <v>-1082429</v>
      </c>
      <c r="AR208" s="477">
        <v>0</v>
      </c>
      <c r="AS208" s="477">
        <v>0</v>
      </c>
      <c r="AT208" s="477">
        <v>0</v>
      </c>
      <c r="AU208" s="477">
        <v>116890366.60000001</v>
      </c>
      <c r="AW208" s="152"/>
      <c r="AX208" s="152"/>
    </row>
    <row r="209" spans="1:49">
      <c r="A209" s="158" t="s">
        <v>147</v>
      </c>
      <c r="B209" s="488"/>
      <c r="C209" s="477">
        <f t="shared" ref="C209:K209" si="86">+C204+C200+C193+C189+C185+C181+C177+C173+C166+C157+C153+C149+C137+C133+C128+C120+C124+C115+C111</f>
        <v>33643968.030000001</v>
      </c>
      <c r="D209" s="477">
        <f t="shared" si="86"/>
        <v>-520562.4</v>
      </c>
      <c r="E209" s="477">
        <f t="shared" si="86"/>
        <v>-292871.07</v>
      </c>
      <c r="F209" s="477">
        <f t="shared" si="86"/>
        <v>0</v>
      </c>
      <c r="G209" s="477">
        <f t="shared" si="86"/>
        <v>-57114.99</v>
      </c>
      <c r="H209" s="477">
        <f t="shared" si="86"/>
        <v>-1815</v>
      </c>
      <c r="I209" s="477">
        <f t="shared" si="86"/>
        <v>-321992.94000000006</v>
      </c>
      <c r="J209" s="477">
        <f t="shared" si="86"/>
        <v>-13964.36</v>
      </c>
      <c r="K209" s="477">
        <f t="shared" si="86"/>
        <v>32435647.27</v>
      </c>
      <c r="L209" s="477">
        <v>50898300.140000001</v>
      </c>
      <c r="M209" s="477">
        <v>-714372.46</v>
      </c>
      <c r="N209" s="477">
        <v>-880588.67</v>
      </c>
      <c r="O209" s="477">
        <v>0</v>
      </c>
      <c r="P209" s="477">
        <v>207584.38</v>
      </c>
      <c r="Q209" s="477">
        <v>0</v>
      </c>
      <c r="R209" s="477">
        <v>-550371.39</v>
      </c>
      <c r="S209" s="477">
        <v>0</v>
      </c>
      <c r="T209" s="477">
        <v>48960552</v>
      </c>
      <c r="U209" s="477">
        <v>58930174.599999994</v>
      </c>
      <c r="V209" s="477">
        <v>986513.04</v>
      </c>
      <c r="W209" s="477">
        <v>-878777</v>
      </c>
      <c r="X209" s="477">
        <v>0</v>
      </c>
      <c r="Y209" s="477">
        <v>209955</v>
      </c>
      <c r="Z209" s="477">
        <v>0</v>
      </c>
      <c r="AA209" s="477">
        <v>-501900</v>
      </c>
      <c r="AB209" s="477">
        <v>0</v>
      </c>
      <c r="AC209" s="477">
        <v>58745965.640000001</v>
      </c>
      <c r="AD209" s="477">
        <v>85326898.060000002</v>
      </c>
      <c r="AE209" s="477">
        <v>-304309.33333333331</v>
      </c>
      <c r="AF209" s="477">
        <v>-587617.27</v>
      </c>
      <c r="AG209" s="477">
        <v>0</v>
      </c>
      <c r="AH209" s="477">
        <v>-1148986.03</v>
      </c>
      <c r="AI209" s="477">
        <v>0</v>
      </c>
      <c r="AJ209" s="477">
        <v>518290.58</v>
      </c>
      <c r="AK209" s="477">
        <v>364025.28</v>
      </c>
      <c r="AL209" s="477">
        <v>84168301.286666662</v>
      </c>
      <c r="AM209" s="477">
        <v>117540196.93333332</v>
      </c>
      <c r="AN209" s="477">
        <v>-388424.33333333331</v>
      </c>
      <c r="AO209" s="477">
        <v>-100353</v>
      </c>
      <c r="AP209" s="477">
        <v>0</v>
      </c>
      <c r="AQ209" s="477">
        <v>-1082430.8899999999</v>
      </c>
      <c r="AR209" s="477">
        <v>0</v>
      </c>
      <c r="AS209" s="477">
        <v>0</v>
      </c>
      <c r="AT209" s="477">
        <v>0</v>
      </c>
      <c r="AU209" s="477">
        <v>115968988.70999998</v>
      </c>
      <c r="AW209" s="152"/>
    </row>
    <row r="210" spans="1:49">
      <c r="A210" s="158" t="s">
        <v>561</v>
      </c>
      <c r="B210" s="488"/>
      <c r="C210" s="477">
        <f>+C208-C209</f>
        <v>-17290.219999983907</v>
      </c>
      <c r="D210" s="477">
        <f t="shared" ref="D210:K210" si="87">+D208-D209</f>
        <v>-110742.52459016372</v>
      </c>
      <c r="E210" s="477">
        <f t="shared" si="87"/>
        <v>7.0000000006984919E-2</v>
      </c>
      <c r="F210" s="477">
        <f t="shared" si="87"/>
        <v>0</v>
      </c>
      <c r="G210" s="477">
        <f t="shared" si="87"/>
        <v>-1.0000000002037268E-2</v>
      </c>
      <c r="H210" s="477">
        <f t="shared" si="87"/>
        <v>0</v>
      </c>
      <c r="I210" s="477">
        <f t="shared" si="87"/>
        <v>-5.9999999939464033E-2</v>
      </c>
      <c r="J210" s="477">
        <f t="shared" si="87"/>
        <v>113494</v>
      </c>
      <c r="K210" s="477">
        <f t="shared" si="87"/>
        <v>-14538.74459014833</v>
      </c>
      <c r="L210" s="477">
        <v>-280479.84333334863</v>
      </c>
      <c r="M210" s="477">
        <v>0</v>
      </c>
      <c r="N210" s="477">
        <v>0.44999999995343387</v>
      </c>
      <c r="O210" s="477">
        <v>0</v>
      </c>
      <c r="P210" s="477">
        <v>4.9999999988358468E-2</v>
      </c>
      <c r="Q210" s="477">
        <v>-0.9900000000197906</v>
      </c>
      <c r="R210" s="477">
        <v>1.3900000000139698</v>
      </c>
      <c r="S210" s="477">
        <v>703461.67333333334</v>
      </c>
      <c r="T210" s="477">
        <v>422982.72999998927</v>
      </c>
      <c r="U210" s="477">
        <v>-280479.28333336115</v>
      </c>
      <c r="V210" s="477">
        <v>-1588045.04</v>
      </c>
      <c r="W210" s="477">
        <v>1.3399999999674037</v>
      </c>
      <c r="X210" s="477">
        <v>0</v>
      </c>
      <c r="Y210" s="477">
        <v>1</v>
      </c>
      <c r="Z210" s="477">
        <v>0</v>
      </c>
      <c r="AA210" s="477">
        <v>1</v>
      </c>
      <c r="AB210" s="477">
        <v>700501.67333333334</v>
      </c>
      <c r="AC210" s="477">
        <v>-1168019.3100000173</v>
      </c>
      <c r="AD210" s="477">
        <v>-4026968.3700000048</v>
      </c>
      <c r="AE210" s="477">
        <v>-86.000000000174623</v>
      </c>
      <c r="AF210" s="477">
        <v>0.60999999998603016</v>
      </c>
      <c r="AG210" s="477">
        <v>374337</v>
      </c>
      <c r="AH210" s="477">
        <v>-109.05000000004657</v>
      </c>
      <c r="AI210" s="477">
        <v>14412.333333333328</v>
      </c>
      <c r="AJ210" s="477">
        <v>1.1399999999557622</v>
      </c>
      <c r="AK210" s="477">
        <v>0</v>
      </c>
      <c r="AL210" s="477">
        <v>-3638412.3366666734</v>
      </c>
      <c r="AM210" s="477">
        <v>-2096863.5633333027</v>
      </c>
      <c r="AN210" s="477">
        <v>3155123.5633333335</v>
      </c>
      <c r="AO210" s="477">
        <v>0</v>
      </c>
      <c r="AP210" s="477">
        <v>-136884</v>
      </c>
      <c r="AQ210" s="477">
        <v>1.8899999998975545</v>
      </c>
      <c r="AR210" s="477">
        <v>0</v>
      </c>
      <c r="AS210" s="477">
        <v>0</v>
      </c>
      <c r="AT210" s="477">
        <v>0</v>
      </c>
      <c r="AU210" s="477">
        <v>921377.8900000304</v>
      </c>
    </row>
    <row r="212" spans="1:49">
      <c r="K212" s="202">
        <f>K210-F210</f>
        <v>-14538.74459014833</v>
      </c>
      <c r="T212" s="202">
        <v>422982.72999998927</v>
      </c>
      <c r="AC212" s="202">
        <v>-1168019.3100000173</v>
      </c>
      <c r="AL212" s="202">
        <v>-4012749.3366666734</v>
      </c>
    </row>
    <row r="213" spans="1:49">
      <c r="A213" s="444">
        <v>59621635.299999997</v>
      </c>
      <c r="C213" s="202">
        <v>84674835.939999998</v>
      </c>
      <c r="L213" s="202">
        <v>84674835.939999998</v>
      </c>
      <c r="U213" s="202">
        <v>84674835.939999998</v>
      </c>
      <c r="AD213" s="202">
        <v>84674835.939999998</v>
      </c>
    </row>
    <row r="214" spans="1:49">
      <c r="A214" s="652">
        <f>+U11+U21+U27+U32+U38+U42+U50+U55+U58+U63+U67+U78+U82+U88+U94+U99+U102+U106+U15</f>
        <v>58649695.316666633</v>
      </c>
      <c r="C214" s="202">
        <f>C208-C213</f>
        <v>-51048158.12999998</v>
      </c>
      <c r="L214" s="202">
        <v>-34057015.643333346</v>
      </c>
      <c r="U214" s="202">
        <v>-26025140.623333365</v>
      </c>
      <c r="AD214" s="202">
        <v>-3374906.25</v>
      </c>
    </row>
    <row r="224" spans="1:49">
      <c r="A224" s="652">
        <f>+U204+U200+U193+U189+U185+U181+U177+U173+U166+U157+U153+U149+U137+U133+U128+U120+U124+U115+U111</f>
        <v>58930174.599999994</v>
      </c>
    </row>
  </sheetData>
  <autoFilter ref="A5:AY206"/>
  <mergeCells count="5">
    <mergeCell ref="AD4:AL4"/>
    <mergeCell ref="AM4:AU4"/>
    <mergeCell ref="U4:AC4"/>
    <mergeCell ref="C4:K4"/>
    <mergeCell ref="L4:T4"/>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G18"/>
  <sheetViews>
    <sheetView workbookViewId="0">
      <selection activeCell="D20" sqref="D20"/>
    </sheetView>
  </sheetViews>
  <sheetFormatPr defaultColWidth="8.77734375" defaultRowHeight="15.6"/>
  <cols>
    <col min="1" max="2" width="8.77734375" style="509"/>
    <col min="3" max="3" width="65.44140625" style="509" bestFit="1" customWidth="1"/>
    <col min="4" max="4" width="21.44140625" style="509" bestFit="1" customWidth="1"/>
    <col min="5" max="6" width="20.77734375" style="509" bestFit="1" customWidth="1"/>
    <col min="7" max="7" width="13.44140625" style="509" bestFit="1" customWidth="1"/>
    <col min="8" max="16384" width="8.77734375" style="509"/>
  </cols>
  <sheetData>
    <row r="1" spans="3:6">
      <c r="C1" s="508" t="s">
        <v>1310</v>
      </c>
      <c r="D1" s="508"/>
    </row>
    <row r="3" spans="3:6">
      <c r="C3" s="510" t="s">
        <v>1300</v>
      </c>
      <c r="D3" s="510"/>
    </row>
    <row r="5" spans="3:6">
      <c r="C5" s="511" t="s">
        <v>0</v>
      </c>
      <c r="D5" s="511" t="s">
        <v>1459</v>
      </c>
      <c r="E5" s="511" t="s">
        <v>1459</v>
      </c>
      <c r="F5" s="511" t="s">
        <v>1489</v>
      </c>
    </row>
    <row r="6" spans="3:6">
      <c r="C6" s="512" t="s">
        <v>1301</v>
      </c>
      <c r="D6" s="513">
        <f>PL!D27</f>
        <v>11743076</v>
      </c>
      <c r="E6" s="513">
        <f>PL!F27</f>
        <v>-70108956</v>
      </c>
      <c r="F6" s="513">
        <f>PL!G27</f>
        <v>-60115399</v>
      </c>
    </row>
    <row r="7" spans="3:6">
      <c r="C7" s="512" t="s">
        <v>1311</v>
      </c>
      <c r="D7" s="513">
        <f>PL!D17</f>
        <v>2370544</v>
      </c>
      <c r="E7" s="513">
        <f>PL!F17</f>
        <v>3854623</v>
      </c>
      <c r="F7" s="513">
        <f>PL!G17</f>
        <v>1350262</v>
      </c>
    </row>
    <row r="8" spans="3:6">
      <c r="C8" s="512" t="s">
        <v>1302</v>
      </c>
      <c r="D8" s="513">
        <f>ROU!C51*0</f>
        <v>0</v>
      </c>
      <c r="E8" s="513">
        <f>ROU!D51</f>
        <v>90939</v>
      </c>
      <c r="F8" s="513">
        <f>ROU!D50</f>
        <v>10962.509589041096</v>
      </c>
    </row>
    <row r="9" spans="3:6">
      <c r="C9" s="512" t="s">
        <v>1303</v>
      </c>
      <c r="D9" s="513">
        <f>-Notes!D432</f>
        <v>-33352</v>
      </c>
      <c r="E9" s="513">
        <f>-Notes!E432</f>
        <v>-13234</v>
      </c>
      <c r="F9" s="513">
        <f>-Notes!F432</f>
        <v>-24198</v>
      </c>
    </row>
    <row r="10" spans="3:6">
      <c r="C10" s="512" t="s">
        <v>1304</v>
      </c>
      <c r="D10" s="513"/>
      <c r="E10" s="513"/>
      <c r="F10" s="513"/>
    </row>
    <row r="11" spans="3:6">
      <c r="C11" s="512" t="s">
        <v>1305</v>
      </c>
      <c r="D11" s="513"/>
      <c r="E11" s="513"/>
      <c r="F11" s="513"/>
    </row>
    <row r="12" spans="3:6">
      <c r="C12" s="512" t="s">
        <v>1306</v>
      </c>
      <c r="D12" s="513"/>
      <c r="E12" s="513"/>
      <c r="F12" s="513"/>
    </row>
    <row r="13" spans="3:6">
      <c r="C13" s="512" t="s">
        <v>1490</v>
      </c>
      <c r="D13" s="513">
        <f>Notes!D503*0</f>
        <v>0</v>
      </c>
      <c r="E13" s="513">
        <f>Notes!E503*0</f>
        <v>0</v>
      </c>
      <c r="F13" s="513">
        <f>Notes!F503*0</f>
        <v>0</v>
      </c>
    </row>
    <row r="14" spans="3:6">
      <c r="C14" s="512" t="s">
        <v>1307</v>
      </c>
      <c r="D14" s="513"/>
      <c r="E14" s="513"/>
      <c r="F14" s="513"/>
    </row>
    <row r="15" spans="3:6">
      <c r="C15" s="512" t="s">
        <v>1339</v>
      </c>
      <c r="D15" s="513">
        <f>Notes!D464</f>
        <v>0</v>
      </c>
      <c r="E15" s="513">
        <f>Notes!E464</f>
        <v>0</v>
      </c>
      <c r="F15" s="513">
        <f>Notes!F464</f>
        <v>2073850</v>
      </c>
    </row>
    <row r="16" spans="3:6">
      <c r="C16" s="512" t="s">
        <v>1312</v>
      </c>
      <c r="D16" s="513">
        <f>Notes!C494</f>
        <v>548910</v>
      </c>
      <c r="E16" s="513">
        <f>Notes!E494</f>
        <v>38077</v>
      </c>
      <c r="F16" s="513">
        <f>Notes!F494</f>
        <v>122301</v>
      </c>
    </row>
    <row r="17" spans="3:7">
      <c r="C17" s="512" t="s">
        <v>1308</v>
      </c>
      <c r="D17" s="513">
        <f>PL!E26</f>
        <v>-7416129</v>
      </c>
      <c r="E17" s="513">
        <f>PL!F26</f>
        <v>-749317</v>
      </c>
      <c r="F17" s="513">
        <f>PL!G26</f>
        <v>0</v>
      </c>
    </row>
    <row r="18" spans="3:7">
      <c r="C18" s="514" t="s">
        <v>1309</v>
      </c>
      <c r="D18" s="515">
        <f>SUM(D6:D17)</f>
        <v>7213049</v>
      </c>
      <c r="E18" s="515">
        <f>SUM(E6:E17)</f>
        <v>-66887868</v>
      </c>
      <c r="F18" s="515">
        <f>SUM(F6:F17)</f>
        <v>-56582221.490410961</v>
      </c>
      <c r="G18" s="516"/>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Q212"/>
  <sheetViews>
    <sheetView workbookViewId="0">
      <pane xSplit="1" ySplit="5" topLeftCell="B6" activePane="bottomRight" state="frozen"/>
      <selection pane="topRight" activeCell="B1" sqref="B1"/>
      <selection pane="bottomLeft" activeCell="A6" sqref="A6"/>
      <selection pane="bottomRight" activeCell="B15" sqref="B15"/>
    </sheetView>
  </sheetViews>
  <sheetFormatPr defaultRowHeight="14.4"/>
  <cols>
    <col min="1" max="1" width="46.5546875" bestFit="1" customWidth="1"/>
    <col min="2" max="2" width="11.44140625" bestFit="1" customWidth="1"/>
    <col min="3" max="3" width="11" bestFit="1" customWidth="1"/>
    <col min="4" max="5" width="8.77734375" bestFit="1" customWidth="1"/>
    <col min="6" max="7" width="8.33203125" bestFit="1" customWidth="1"/>
    <col min="8" max="9" width="9.6640625" bestFit="1" customWidth="1"/>
    <col min="11" max="11" width="11.5546875" bestFit="1" customWidth="1"/>
    <col min="14" max="14" width="11" bestFit="1" customWidth="1"/>
    <col min="15" max="15" width="12.21875" bestFit="1" customWidth="1"/>
    <col min="17" max="17" width="48.77734375" bestFit="1" customWidth="1"/>
  </cols>
  <sheetData>
    <row r="1" spans="1:17" ht="15.6">
      <c r="A1" s="1373" t="s">
        <v>96</v>
      </c>
      <c r="B1" s="1373"/>
      <c r="C1" s="1373"/>
      <c r="D1" s="917"/>
      <c r="E1" s="917"/>
      <c r="F1" s="917"/>
      <c r="G1" s="917"/>
      <c r="H1" s="917"/>
      <c r="I1" s="917"/>
      <c r="Q1" s="997" t="s">
        <v>96</v>
      </c>
    </row>
    <row r="2" spans="1:17">
      <c r="A2" s="1374" t="s">
        <v>1571</v>
      </c>
      <c r="B2" s="1374"/>
      <c r="C2" s="1374"/>
      <c r="D2" s="917"/>
      <c r="E2" s="917"/>
      <c r="F2" s="917"/>
      <c r="G2" s="917"/>
      <c r="H2" s="917"/>
      <c r="I2" s="917"/>
      <c r="Q2" s="998" t="s">
        <v>1591</v>
      </c>
    </row>
    <row r="3" spans="1:17" ht="14.4" customHeight="1">
      <c r="A3" s="999" t="s">
        <v>97</v>
      </c>
      <c r="B3" s="1375" t="s">
        <v>529</v>
      </c>
      <c r="C3" s="1376"/>
      <c r="D3" s="1371" t="s">
        <v>1418</v>
      </c>
      <c r="E3" s="1372"/>
      <c r="F3" s="1375" t="s">
        <v>1417</v>
      </c>
      <c r="G3" s="1376"/>
      <c r="H3" s="1371" t="s">
        <v>1419</v>
      </c>
      <c r="I3" s="1372"/>
      <c r="Q3" s="999" t="s">
        <v>97</v>
      </c>
    </row>
    <row r="4" spans="1:17" ht="14.4" customHeight="1">
      <c r="A4" s="918" t="s">
        <v>0</v>
      </c>
      <c r="B4" s="1365" t="s">
        <v>1571</v>
      </c>
      <c r="C4" s="1366"/>
      <c r="D4" s="1367" t="s">
        <v>1571</v>
      </c>
      <c r="E4" s="1368"/>
      <c r="F4" s="1365" t="s">
        <v>1571</v>
      </c>
      <c r="G4" s="1366"/>
      <c r="H4" s="1367" t="s">
        <v>1571</v>
      </c>
      <c r="I4" s="1368"/>
      <c r="Q4" s="918" t="s">
        <v>0</v>
      </c>
    </row>
    <row r="5" spans="1:17">
      <c r="A5" s="918" t="s">
        <v>97</v>
      </c>
      <c r="B5" s="1369" t="s">
        <v>98</v>
      </c>
      <c r="C5" s="1370"/>
      <c r="D5" s="1369" t="s">
        <v>98</v>
      </c>
      <c r="E5" s="1370"/>
      <c r="F5" s="1369" t="s">
        <v>98</v>
      </c>
      <c r="G5" s="1370"/>
      <c r="H5" s="1369" t="s">
        <v>98</v>
      </c>
      <c r="I5" s="1370"/>
      <c r="L5">
        <v>0</v>
      </c>
      <c r="M5">
        <v>0</v>
      </c>
      <c r="Q5" s="918" t="s">
        <v>97</v>
      </c>
    </row>
    <row r="6" spans="1:17">
      <c r="A6" s="919" t="s">
        <v>97</v>
      </c>
      <c r="B6" s="1000" t="s">
        <v>99</v>
      </c>
      <c r="C6" s="1000" t="s">
        <v>100</v>
      </c>
      <c r="D6" s="1000" t="s">
        <v>99</v>
      </c>
      <c r="E6" s="1000" t="s">
        <v>100</v>
      </c>
      <c r="F6" s="1000" t="s">
        <v>99</v>
      </c>
      <c r="G6" s="1000" t="s">
        <v>100</v>
      </c>
      <c r="H6" s="1000" t="s">
        <v>99</v>
      </c>
      <c r="I6" s="1000" t="s">
        <v>100</v>
      </c>
      <c r="Q6" s="919" t="s">
        <v>97</v>
      </c>
    </row>
    <row r="7" spans="1:17">
      <c r="A7" s="633" t="s">
        <v>101</v>
      </c>
      <c r="B7" s="1001">
        <v>230570906.03999999</v>
      </c>
      <c r="C7" s="1002">
        <v>244137529.5</v>
      </c>
      <c r="D7" s="1003"/>
      <c r="E7" s="1004"/>
      <c r="F7" s="1005"/>
      <c r="G7" s="1006"/>
      <c r="H7" s="1003"/>
      <c r="I7" s="1004"/>
      <c r="J7" t="str">
        <f>VLOOKUP(A7,Q:Q,1,)</f>
        <v>Capital Account</v>
      </c>
      <c r="Q7" s="633" t="s">
        <v>101</v>
      </c>
    </row>
    <row r="8" spans="1:17">
      <c r="A8" s="644" t="s">
        <v>544</v>
      </c>
      <c r="B8" s="1007"/>
      <c r="C8" s="1008">
        <v>179440746.5</v>
      </c>
      <c r="D8" s="1009"/>
      <c r="E8" s="1010"/>
      <c r="F8" s="1007"/>
      <c r="G8" s="1011"/>
      <c r="H8" s="1009"/>
      <c r="I8" s="1010"/>
      <c r="J8" t="str">
        <f t="shared" ref="J8:J71" si="0">VLOOKUP(A8,Q:Q,1,)</f>
        <v>Reserves &amp; Surplus</v>
      </c>
      <c r="Q8" s="644" t="s">
        <v>544</v>
      </c>
    </row>
    <row r="9" spans="1:17">
      <c r="A9" s="645" t="s">
        <v>1539</v>
      </c>
      <c r="B9" s="1012"/>
      <c r="C9" s="1013">
        <v>179440746.5</v>
      </c>
      <c r="D9" s="1014"/>
      <c r="E9" s="1015"/>
      <c r="F9" s="1012"/>
      <c r="G9" s="1016"/>
      <c r="H9" s="1014"/>
      <c r="I9" s="1015"/>
      <c r="J9" t="str">
        <f t="shared" si="0"/>
        <v>Share Premium</v>
      </c>
      <c r="Q9" s="645" t="s">
        <v>1539</v>
      </c>
    </row>
    <row r="10" spans="1:17">
      <c r="A10" s="644" t="s">
        <v>361</v>
      </c>
      <c r="B10" s="920">
        <v>42152481.479999997</v>
      </c>
      <c r="C10" s="643"/>
      <c r="D10" s="921"/>
      <c r="E10" s="922"/>
      <c r="F10" s="923"/>
      <c r="G10" s="643"/>
      <c r="H10" s="921"/>
      <c r="I10" s="922"/>
      <c r="J10" t="str">
        <f t="shared" si="0"/>
        <v>Other Equity</v>
      </c>
      <c r="Q10" s="644" t="s">
        <v>361</v>
      </c>
    </row>
    <row r="11" spans="1:17">
      <c r="A11" s="924" t="s">
        <v>363</v>
      </c>
      <c r="B11" s="1017">
        <v>66778</v>
      </c>
      <c r="C11" s="1015"/>
      <c r="D11" s="1012"/>
      <c r="E11" s="1016"/>
      <c r="F11" s="1014"/>
      <c r="G11" s="1015"/>
      <c r="H11" s="1012"/>
      <c r="I11" s="1016"/>
      <c r="J11" t="str">
        <f t="shared" si="0"/>
        <v>Other Comprehensive Income (OCI)</v>
      </c>
      <c r="Q11" s="924" t="s">
        <v>363</v>
      </c>
    </row>
    <row r="12" spans="1:17">
      <c r="A12" s="924" t="s">
        <v>1540</v>
      </c>
      <c r="B12" s="934">
        <v>42085703.479999997</v>
      </c>
      <c r="C12" s="638"/>
      <c r="D12" s="926"/>
      <c r="E12" s="635"/>
      <c r="F12" s="925"/>
      <c r="G12" s="638"/>
      <c r="H12" s="926"/>
      <c r="I12" s="635"/>
      <c r="J12" t="str">
        <f t="shared" si="0"/>
        <v>Retained Earning(New)</v>
      </c>
      <c r="Q12" s="1023" t="s">
        <v>794</v>
      </c>
    </row>
    <row r="13" spans="1:17">
      <c r="A13" s="641" t="s">
        <v>102</v>
      </c>
      <c r="B13" s="925"/>
      <c r="C13" s="639">
        <v>60196390</v>
      </c>
      <c r="D13" s="926"/>
      <c r="E13" s="635"/>
      <c r="F13" s="925"/>
      <c r="G13" s="638"/>
      <c r="H13" s="926"/>
      <c r="I13" s="635"/>
      <c r="J13" t="str">
        <f t="shared" si="0"/>
        <v>Equity Share Capital</v>
      </c>
      <c r="Q13" s="924" t="s">
        <v>1540</v>
      </c>
    </row>
    <row r="14" spans="1:17">
      <c r="A14" s="641" t="s">
        <v>1055</v>
      </c>
      <c r="B14" s="925"/>
      <c r="C14" s="639">
        <v>4500393</v>
      </c>
      <c r="D14" s="926"/>
      <c r="E14" s="635"/>
      <c r="F14" s="925"/>
      <c r="G14" s="638"/>
      <c r="H14" s="926"/>
      <c r="I14" s="635"/>
      <c r="J14" t="str">
        <f t="shared" si="0"/>
        <v>General Reserve</v>
      </c>
      <c r="Q14" s="1024" t="s">
        <v>1592</v>
      </c>
    </row>
    <row r="15" spans="1:17">
      <c r="A15" s="641" t="s">
        <v>1572</v>
      </c>
      <c r="B15" s="934">
        <v>188418424.56</v>
      </c>
      <c r="C15" s="638"/>
      <c r="D15" s="926"/>
      <c r="E15" s="635"/>
      <c r="F15" s="925"/>
      <c r="G15" s="638"/>
      <c r="H15" s="926"/>
      <c r="I15" s="635"/>
      <c r="J15" t="e">
        <f t="shared" si="0"/>
        <v>#N/A</v>
      </c>
      <c r="Q15" s="641" t="s">
        <v>102</v>
      </c>
    </row>
    <row r="16" spans="1:17">
      <c r="A16" s="633" t="s">
        <v>103</v>
      </c>
      <c r="B16" s="927"/>
      <c r="C16" s="646"/>
      <c r="D16" s="928"/>
      <c r="E16" s="929"/>
      <c r="F16" s="927"/>
      <c r="G16" s="646"/>
      <c r="H16" s="928"/>
      <c r="I16" s="929"/>
      <c r="J16" t="str">
        <f t="shared" si="0"/>
        <v>Loans (Liability)</v>
      </c>
      <c r="Q16" s="641" t="s">
        <v>1055</v>
      </c>
    </row>
    <row r="17" spans="1:17">
      <c r="A17" s="644" t="s">
        <v>104</v>
      </c>
      <c r="B17" s="1012"/>
      <c r="C17" s="1016"/>
      <c r="D17" s="1014"/>
      <c r="E17" s="1015"/>
      <c r="F17" s="1012"/>
      <c r="G17" s="1016"/>
      <c r="H17" s="1014"/>
      <c r="I17" s="1015"/>
      <c r="J17" t="str">
        <f t="shared" si="0"/>
        <v>Bank OD A/c</v>
      </c>
      <c r="Q17" s="633" t="s">
        <v>103</v>
      </c>
    </row>
    <row r="18" spans="1:17">
      <c r="A18" s="633" t="s">
        <v>106</v>
      </c>
      <c r="B18" s="930">
        <v>24339602.460000001</v>
      </c>
      <c r="C18" s="640">
        <v>11926949.98</v>
      </c>
      <c r="D18" s="931">
        <v>146077.49</v>
      </c>
      <c r="E18" s="932">
        <v>10.86</v>
      </c>
      <c r="F18" s="930">
        <v>31046.34</v>
      </c>
      <c r="G18" s="640">
        <v>31046.34</v>
      </c>
      <c r="H18" s="931">
        <v>175743.83</v>
      </c>
      <c r="I18" s="932">
        <v>79717.5</v>
      </c>
      <c r="J18" t="str">
        <f t="shared" si="0"/>
        <v>Current Liabilities</v>
      </c>
      <c r="Q18" s="644" t="s">
        <v>104</v>
      </c>
    </row>
    <row r="19" spans="1:17">
      <c r="A19" s="644" t="s">
        <v>107</v>
      </c>
      <c r="B19" s="1018">
        <v>24311832.510000002</v>
      </c>
      <c r="C19" s="1013">
        <v>4924714.16</v>
      </c>
      <c r="D19" s="1017">
        <v>146077.49</v>
      </c>
      <c r="E19" s="1019">
        <v>10.86</v>
      </c>
      <c r="F19" s="1018">
        <v>31046.34</v>
      </c>
      <c r="G19" s="1013">
        <v>31046.34</v>
      </c>
      <c r="H19" s="1017">
        <v>175743.83</v>
      </c>
      <c r="I19" s="1019">
        <v>79717.5</v>
      </c>
      <c r="J19" t="str">
        <f t="shared" si="0"/>
        <v>Duties &amp; Taxes</v>
      </c>
      <c r="Q19" s="641" t="s">
        <v>1508</v>
      </c>
    </row>
    <row r="20" spans="1:17">
      <c r="A20" s="644" t="s">
        <v>111</v>
      </c>
      <c r="B20" s="933">
        <v>27769.95</v>
      </c>
      <c r="C20" s="636">
        <v>6979735.8200000003</v>
      </c>
      <c r="D20" s="925"/>
      <c r="E20" s="638"/>
      <c r="F20" s="926"/>
      <c r="G20" s="635"/>
      <c r="H20" s="925"/>
      <c r="I20" s="638"/>
      <c r="J20" t="str">
        <f t="shared" si="0"/>
        <v>Sundry Creditors</v>
      </c>
      <c r="Q20" s="633" t="s">
        <v>106</v>
      </c>
    </row>
    <row r="21" spans="1:17">
      <c r="A21" s="641" t="s">
        <v>113</v>
      </c>
      <c r="B21" s="925"/>
      <c r="C21" s="639">
        <v>22500</v>
      </c>
      <c r="D21" s="926"/>
      <c r="E21" s="635"/>
      <c r="F21" s="925"/>
      <c r="G21" s="638"/>
      <c r="H21" s="926"/>
      <c r="I21" s="635"/>
      <c r="J21" t="e">
        <f t="shared" si="0"/>
        <v>#N/A</v>
      </c>
      <c r="Q21" s="644" t="s">
        <v>107</v>
      </c>
    </row>
    <row r="22" spans="1:17">
      <c r="A22" s="641" t="s">
        <v>1573</v>
      </c>
      <c r="B22" s="925"/>
      <c r="C22" s="638"/>
      <c r="D22" s="926"/>
      <c r="E22" s="635"/>
      <c r="F22" s="925"/>
      <c r="G22" s="638"/>
      <c r="H22" s="926"/>
      <c r="I22" s="635"/>
      <c r="J22" t="e">
        <f t="shared" si="0"/>
        <v>#N/A</v>
      </c>
      <c r="Q22" s="644" t="s">
        <v>111</v>
      </c>
    </row>
    <row r="23" spans="1:17">
      <c r="A23" s="633" t="s">
        <v>127</v>
      </c>
      <c r="B23" s="930">
        <v>12815473.57</v>
      </c>
      <c r="C23" s="640">
        <v>19181.72</v>
      </c>
      <c r="D23" s="928"/>
      <c r="E23" s="929"/>
      <c r="F23" s="927"/>
      <c r="G23" s="646"/>
      <c r="H23" s="928"/>
      <c r="I23" s="929"/>
      <c r="J23" t="str">
        <f t="shared" si="0"/>
        <v>Fixed Assets</v>
      </c>
      <c r="Q23" s="641" t="s">
        <v>118</v>
      </c>
    </row>
    <row r="24" spans="1:17">
      <c r="A24" s="644" t="s">
        <v>1574</v>
      </c>
      <c r="B24" s="1012"/>
      <c r="C24" s="1016"/>
      <c r="D24" s="1014"/>
      <c r="E24" s="1015"/>
      <c r="F24" s="1012"/>
      <c r="G24" s="1016"/>
      <c r="H24" s="1014"/>
      <c r="I24" s="1015"/>
      <c r="J24" t="e">
        <f t="shared" si="0"/>
        <v>#N/A</v>
      </c>
      <c r="Q24" s="641" t="s">
        <v>532</v>
      </c>
    </row>
    <row r="25" spans="1:17">
      <c r="A25" s="634" t="s">
        <v>1575</v>
      </c>
      <c r="B25" s="933">
        <v>124257.64</v>
      </c>
      <c r="C25" s="635"/>
      <c r="D25" s="925"/>
      <c r="E25" s="638"/>
      <c r="F25" s="926"/>
      <c r="G25" s="635"/>
      <c r="H25" s="925"/>
      <c r="I25" s="638"/>
      <c r="J25" t="e">
        <f t="shared" si="0"/>
        <v>#N/A</v>
      </c>
      <c r="Q25" s="641" t="s">
        <v>121</v>
      </c>
    </row>
    <row r="26" spans="1:17">
      <c r="A26" s="644" t="s">
        <v>1576</v>
      </c>
      <c r="B26" s="933">
        <v>12635747.970000001</v>
      </c>
      <c r="C26" s="635"/>
      <c r="D26" s="925"/>
      <c r="E26" s="638"/>
      <c r="F26" s="926"/>
      <c r="G26" s="635"/>
      <c r="H26" s="925"/>
      <c r="I26" s="638"/>
      <c r="J26" t="e">
        <f t="shared" si="0"/>
        <v>#N/A</v>
      </c>
      <c r="Q26" s="641" t="s">
        <v>122</v>
      </c>
    </row>
    <row r="27" spans="1:17">
      <c r="A27" s="644" t="s">
        <v>1577</v>
      </c>
      <c r="B27" s="933">
        <v>55431.96</v>
      </c>
      <c r="C27" s="635"/>
      <c r="D27" s="925"/>
      <c r="E27" s="638"/>
      <c r="F27" s="926"/>
      <c r="G27" s="635"/>
      <c r="H27" s="925"/>
      <c r="I27" s="638"/>
      <c r="J27" t="e">
        <f t="shared" si="0"/>
        <v>#N/A</v>
      </c>
      <c r="Q27" s="641" t="s">
        <v>123</v>
      </c>
    </row>
    <row r="28" spans="1:17">
      <c r="A28" s="641" t="s">
        <v>1578</v>
      </c>
      <c r="B28" s="925"/>
      <c r="C28" s="639">
        <v>19181.72</v>
      </c>
      <c r="D28" s="926"/>
      <c r="E28" s="635"/>
      <c r="F28" s="925"/>
      <c r="G28" s="638"/>
      <c r="H28" s="926"/>
      <c r="I28" s="635"/>
      <c r="J28" t="e">
        <f t="shared" si="0"/>
        <v>#N/A</v>
      </c>
      <c r="Q28" s="641" t="s">
        <v>125</v>
      </c>
    </row>
    <row r="29" spans="1:17">
      <c r="A29" s="641" t="s">
        <v>1579</v>
      </c>
      <c r="B29" s="925"/>
      <c r="C29" s="638"/>
      <c r="D29" s="926"/>
      <c r="E29" s="635"/>
      <c r="F29" s="925"/>
      <c r="G29" s="638"/>
      <c r="H29" s="926"/>
      <c r="I29" s="635"/>
      <c r="J29" t="e">
        <f t="shared" si="0"/>
        <v>#N/A</v>
      </c>
      <c r="Q29" s="641" t="s">
        <v>1362</v>
      </c>
    </row>
    <row r="30" spans="1:17">
      <c r="A30" s="641" t="s">
        <v>1580</v>
      </c>
      <c r="B30" s="934">
        <v>36</v>
      </c>
      <c r="C30" s="638"/>
      <c r="D30" s="926"/>
      <c r="E30" s="635"/>
      <c r="F30" s="925"/>
      <c r="G30" s="638"/>
      <c r="H30" s="926"/>
      <c r="I30" s="635"/>
      <c r="J30" t="e">
        <f t="shared" si="0"/>
        <v>#N/A</v>
      </c>
      <c r="Q30" s="641" t="s">
        <v>979</v>
      </c>
    </row>
    <row r="31" spans="1:17">
      <c r="A31" s="633" t="s">
        <v>1364</v>
      </c>
      <c r="B31" s="937"/>
      <c r="C31" s="642"/>
      <c r="D31" s="935"/>
      <c r="E31" s="936"/>
      <c r="F31" s="937"/>
      <c r="G31" s="642"/>
      <c r="H31" s="935"/>
      <c r="I31" s="936"/>
      <c r="J31" t="str">
        <f t="shared" si="0"/>
        <v>Investments</v>
      </c>
      <c r="Q31" s="641" t="s">
        <v>1593</v>
      </c>
    </row>
    <row r="32" spans="1:17">
      <c r="A32" s="633" t="s">
        <v>128</v>
      </c>
      <c r="B32" s="930">
        <v>27629904.350000001</v>
      </c>
      <c r="C32" s="640">
        <v>72686.600000000006</v>
      </c>
      <c r="D32" s="931">
        <v>115474.23</v>
      </c>
      <c r="E32" s="929"/>
      <c r="F32" s="930">
        <v>50433.14</v>
      </c>
      <c r="G32" s="646"/>
      <c r="H32" s="931">
        <v>903470.69</v>
      </c>
      <c r="I32" s="929"/>
      <c r="J32" t="str">
        <f t="shared" si="0"/>
        <v>Current Assets</v>
      </c>
      <c r="Q32" s="633" t="s">
        <v>127</v>
      </c>
    </row>
    <row r="33" spans="1:17">
      <c r="A33" s="644" t="s">
        <v>129</v>
      </c>
      <c r="B33" s="1018">
        <v>27004877.82</v>
      </c>
      <c r="C33" s="1016"/>
      <c r="D33" s="1017">
        <v>115474.23</v>
      </c>
      <c r="E33" s="1015"/>
      <c r="F33" s="1018">
        <v>50433.14</v>
      </c>
      <c r="G33" s="1016"/>
      <c r="H33" s="1017">
        <v>903470.69</v>
      </c>
      <c r="I33" s="1015"/>
      <c r="J33" t="str">
        <f t="shared" si="0"/>
        <v>Opening Stock</v>
      </c>
      <c r="Q33" s="633" t="s">
        <v>1364</v>
      </c>
    </row>
    <row r="34" spans="1:17">
      <c r="A34" s="644" t="s">
        <v>132</v>
      </c>
      <c r="B34" s="920">
        <v>29044</v>
      </c>
      <c r="C34" s="643"/>
      <c r="D34" s="921"/>
      <c r="E34" s="922"/>
      <c r="F34" s="923"/>
      <c r="G34" s="643"/>
      <c r="H34" s="921"/>
      <c r="I34" s="922"/>
      <c r="J34" t="str">
        <f t="shared" si="0"/>
        <v>Deposits (Asset)</v>
      </c>
      <c r="Q34" s="633" t="s">
        <v>128</v>
      </c>
    </row>
    <row r="35" spans="1:17">
      <c r="A35" s="938" t="s">
        <v>1509</v>
      </c>
      <c r="B35" s="1018">
        <v>4044</v>
      </c>
      <c r="C35" s="1016"/>
      <c r="D35" s="1014"/>
      <c r="E35" s="1015"/>
      <c r="F35" s="1012"/>
      <c r="G35" s="1016"/>
      <c r="H35" s="1014"/>
      <c r="I35" s="1015"/>
      <c r="J35" t="str">
        <f t="shared" si="0"/>
        <v>Electricity Deposit</v>
      </c>
      <c r="Q35" s="644" t="s">
        <v>129</v>
      </c>
    </row>
    <row r="36" spans="1:17">
      <c r="A36" s="645" t="s">
        <v>137</v>
      </c>
      <c r="B36" s="933">
        <v>25000</v>
      </c>
      <c r="C36" s="635"/>
      <c r="D36" s="925"/>
      <c r="E36" s="638"/>
      <c r="F36" s="926"/>
      <c r="G36" s="635"/>
      <c r="H36" s="925"/>
      <c r="I36" s="638"/>
      <c r="J36" t="str">
        <f t="shared" si="0"/>
        <v>MVAT Deposit</v>
      </c>
      <c r="Q36" s="644" t="s">
        <v>132</v>
      </c>
    </row>
    <row r="37" spans="1:17">
      <c r="A37" s="644" t="s">
        <v>134</v>
      </c>
      <c r="B37" s="920">
        <v>39711.78</v>
      </c>
      <c r="C37" s="643"/>
      <c r="D37" s="921"/>
      <c r="E37" s="922"/>
      <c r="F37" s="923"/>
      <c r="G37" s="643"/>
      <c r="H37" s="921"/>
      <c r="I37" s="922"/>
      <c r="J37" t="str">
        <f t="shared" si="0"/>
        <v>Loans &amp; Advances (Asset)</v>
      </c>
      <c r="Q37" s="938" t="s">
        <v>1509</v>
      </c>
    </row>
    <row r="38" spans="1:17">
      <c r="A38" s="924" t="s">
        <v>533</v>
      </c>
      <c r="B38" s="1014"/>
      <c r="C38" s="1015"/>
      <c r="D38" s="1012"/>
      <c r="E38" s="1016"/>
      <c r="F38" s="1014"/>
      <c r="G38" s="1015"/>
      <c r="H38" s="1012"/>
      <c r="I38" s="1016"/>
      <c r="J38" t="str">
        <f t="shared" si="0"/>
        <v>Advance Income Tax</v>
      </c>
      <c r="Q38" s="645" t="s">
        <v>137</v>
      </c>
    </row>
    <row r="39" spans="1:17">
      <c r="A39" s="924" t="s">
        <v>135</v>
      </c>
      <c r="B39" s="925"/>
      <c r="C39" s="638"/>
      <c r="D39" s="926"/>
      <c r="E39" s="635"/>
      <c r="F39" s="925"/>
      <c r="G39" s="638"/>
      <c r="H39" s="926"/>
      <c r="I39" s="635"/>
      <c r="J39" t="str">
        <f t="shared" si="0"/>
        <v>Loans &amp; Advances to Employees</v>
      </c>
      <c r="Q39" s="938" t="s">
        <v>133</v>
      </c>
    </row>
    <row r="40" spans="1:17">
      <c r="A40" s="938" t="s">
        <v>1056</v>
      </c>
      <c r="B40" s="933">
        <v>73.11</v>
      </c>
      <c r="C40" s="635"/>
      <c r="D40" s="925"/>
      <c r="E40" s="638"/>
      <c r="F40" s="926"/>
      <c r="G40" s="635"/>
      <c r="H40" s="925"/>
      <c r="I40" s="638"/>
      <c r="J40" t="str">
        <f t="shared" si="0"/>
        <v>TCS (GST) FY 20-21</v>
      </c>
      <c r="Q40" s="644" t="s">
        <v>134</v>
      </c>
    </row>
    <row r="41" spans="1:17">
      <c r="A41" s="938" t="s">
        <v>1413</v>
      </c>
      <c r="B41" s="933">
        <v>32874.69</v>
      </c>
      <c r="C41" s="635"/>
      <c r="D41" s="925"/>
      <c r="E41" s="638"/>
      <c r="F41" s="926"/>
      <c r="G41" s="635"/>
      <c r="H41" s="925"/>
      <c r="I41" s="638"/>
      <c r="J41" t="str">
        <f t="shared" si="0"/>
        <v>TCS (GST) FY 22-23</v>
      </c>
      <c r="Q41" s="924" t="s">
        <v>533</v>
      </c>
    </row>
    <row r="42" spans="1:17">
      <c r="A42" s="938" t="s">
        <v>1581</v>
      </c>
      <c r="B42" s="933">
        <v>6763.98</v>
      </c>
      <c r="C42" s="635"/>
      <c r="D42" s="925"/>
      <c r="E42" s="638"/>
      <c r="F42" s="926"/>
      <c r="G42" s="635"/>
      <c r="H42" s="925"/>
      <c r="I42" s="638"/>
      <c r="J42" t="e">
        <f t="shared" si="0"/>
        <v>#N/A</v>
      </c>
      <c r="Q42" s="1025" t="s">
        <v>1594</v>
      </c>
    </row>
    <row r="43" spans="1:17">
      <c r="A43" s="644" t="s">
        <v>139</v>
      </c>
      <c r="B43" s="933">
        <v>16201.24</v>
      </c>
      <c r="C43" s="636">
        <v>72686.600000000006</v>
      </c>
      <c r="D43" s="925"/>
      <c r="E43" s="638"/>
      <c r="F43" s="926"/>
      <c r="G43" s="635"/>
      <c r="H43" s="925"/>
      <c r="I43" s="638"/>
      <c r="J43" t="str">
        <f t="shared" si="0"/>
        <v>Sundry Debtors</v>
      </c>
      <c r="Q43" s="1025" t="s">
        <v>1595</v>
      </c>
    </row>
    <row r="44" spans="1:17">
      <c r="A44" s="644" t="s">
        <v>1582</v>
      </c>
      <c r="B44" s="926"/>
      <c r="C44" s="635"/>
      <c r="D44" s="925"/>
      <c r="E44" s="638"/>
      <c r="F44" s="926"/>
      <c r="G44" s="635"/>
      <c r="H44" s="925"/>
      <c r="I44" s="638"/>
      <c r="J44" t="str">
        <f t="shared" si="0"/>
        <v>Cash-in-Hand</v>
      </c>
      <c r="Q44" s="924" t="s">
        <v>135</v>
      </c>
    </row>
    <row r="45" spans="1:17">
      <c r="A45" s="644" t="s">
        <v>142</v>
      </c>
      <c r="B45" s="920">
        <v>471874.52</v>
      </c>
      <c r="C45" s="643"/>
      <c r="D45" s="921"/>
      <c r="E45" s="922"/>
      <c r="F45" s="923"/>
      <c r="G45" s="643"/>
      <c r="H45" s="921"/>
      <c r="I45" s="922"/>
      <c r="J45" t="str">
        <f t="shared" si="0"/>
        <v>Bank Accounts</v>
      </c>
      <c r="Q45" s="938" t="s">
        <v>136</v>
      </c>
    </row>
    <row r="46" spans="1:17">
      <c r="A46" s="645" t="s">
        <v>143</v>
      </c>
      <c r="B46" s="1018">
        <v>143666.14000000001</v>
      </c>
      <c r="C46" s="1016"/>
      <c r="D46" s="1014"/>
      <c r="E46" s="1015"/>
      <c r="F46" s="1012"/>
      <c r="G46" s="1016"/>
      <c r="H46" s="1014"/>
      <c r="I46" s="1015"/>
      <c r="J46" t="str">
        <f t="shared" si="0"/>
        <v>Cash-in-Hand</v>
      </c>
      <c r="Q46" s="645" t="s">
        <v>1596</v>
      </c>
    </row>
    <row r="47" spans="1:17">
      <c r="A47" s="938" t="s">
        <v>1149</v>
      </c>
      <c r="B47" s="933">
        <v>296913.18</v>
      </c>
      <c r="C47" s="635"/>
      <c r="D47" s="925"/>
      <c r="E47" s="638"/>
      <c r="F47" s="926"/>
      <c r="G47" s="635"/>
      <c r="H47" s="925"/>
      <c r="I47" s="638"/>
      <c r="J47" t="str">
        <f t="shared" si="0"/>
        <v>HDFC Bank CA</v>
      </c>
      <c r="Q47" s="938" t="s">
        <v>1056</v>
      </c>
    </row>
    <row r="48" spans="1:17">
      <c r="A48" s="938" t="s">
        <v>1057</v>
      </c>
      <c r="B48" s="933">
        <v>31295.200000000001</v>
      </c>
      <c r="C48" s="635"/>
      <c r="D48" s="925"/>
      <c r="E48" s="638"/>
      <c r="F48" s="926"/>
      <c r="G48" s="635"/>
      <c r="H48" s="925"/>
      <c r="I48" s="638"/>
      <c r="J48" t="str">
        <f t="shared" si="0"/>
        <v>Union Bank of India - 510101005905914</v>
      </c>
      <c r="Q48" s="938" t="s">
        <v>1413</v>
      </c>
    </row>
    <row r="49" spans="1:17">
      <c r="A49" s="641" t="s">
        <v>152</v>
      </c>
      <c r="B49" s="934">
        <v>63758.8</v>
      </c>
      <c r="C49" s="638"/>
      <c r="D49" s="926"/>
      <c r="E49" s="635"/>
      <c r="F49" s="925"/>
      <c r="G49" s="638"/>
      <c r="H49" s="926"/>
      <c r="I49" s="635"/>
      <c r="J49" t="str">
        <f t="shared" si="0"/>
        <v>Tax Paid on RCM</v>
      </c>
      <c r="Q49" s="644" t="s">
        <v>139</v>
      </c>
    </row>
    <row r="50" spans="1:17">
      <c r="A50" s="641" t="s">
        <v>1541</v>
      </c>
      <c r="B50" s="934">
        <v>51.24</v>
      </c>
      <c r="C50" s="638"/>
      <c r="D50" s="926"/>
      <c r="E50" s="635"/>
      <c r="F50" s="925"/>
      <c r="G50" s="638"/>
      <c r="H50" s="926"/>
      <c r="I50" s="635"/>
      <c r="J50" t="str">
        <f t="shared" si="0"/>
        <v>TCS Haryana</v>
      </c>
      <c r="Q50" s="1026" t="s">
        <v>1369</v>
      </c>
    </row>
    <row r="51" spans="1:17">
      <c r="A51" s="637" t="s">
        <v>1542</v>
      </c>
      <c r="B51" s="934">
        <v>4384.95</v>
      </c>
      <c r="C51" s="638"/>
      <c r="D51" s="926"/>
      <c r="E51" s="635"/>
      <c r="F51" s="925"/>
      <c r="G51" s="638"/>
      <c r="H51" s="926"/>
      <c r="I51" s="635"/>
      <c r="J51" t="str">
        <f t="shared" si="0"/>
        <v>TDS Delhi</v>
      </c>
      <c r="Q51" s="1027" t="s">
        <v>1597</v>
      </c>
    </row>
    <row r="52" spans="1:17">
      <c r="A52" s="633" t="s">
        <v>534</v>
      </c>
      <c r="B52" s="930">
        <v>914071.96</v>
      </c>
      <c r="C52" s="646"/>
      <c r="D52" s="928"/>
      <c r="E52" s="932">
        <v>438937.7</v>
      </c>
      <c r="F52" s="927"/>
      <c r="G52" s="640">
        <v>57114.99</v>
      </c>
      <c r="H52" s="928"/>
      <c r="I52" s="932">
        <v>418019.27</v>
      </c>
      <c r="J52" t="str">
        <f t="shared" si="0"/>
        <v>Branch / Divisions</v>
      </c>
      <c r="Q52" s="938" t="s">
        <v>1085</v>
      </c>
    </row>
    <row r="53" spans="1:17">
      <c r="A53" s="641" t="s">
        <v>536</v>
      </c>
      <c r="B53" s="1017">
        <v>438937.7</v>
      </c>
      <c r="C53" s="1015"/>
      <c r="D53" s="1012"/>
      <c r="E53" s="1016"/>
      <c r="F53" s="1014"/>
      <c r="G53" s="1015"/>
      <c r="H53" s="1012"/>
      <c r="I53" s="1016"/>
      <c r="J53" t="str">
        <f t="shared" si="0"/>
        <v>Branch Account -  Bangalore</v>
      </c>
      <c r="Q53" s="938" t="s">
        <v>1598</v>
      </c>
    </row>
    <row r="54" spans="1:17">
      <c r="A54" s="641" t="s">
        <v>1059</v>
      </c>
      <c r="B54" s="934">
        <v>57114.99</v>
      </c>
      <c r="C54" s="638"/>
      <c r="D54" s="926"/>
      <c r="E54" s="635"/>
      <c r="F54" s="925"/>
      <c r="G54" s="638"/>
      <c r="H54" s="926"/>
      <c r="I54" s="635"/>
      <c r="J54" t="str">
        <f t="shared" si="0"/>
        <v>Branch Account - Delhi</v>
      </c>
      <c r="Q54" s="645" t="s">
        <v>1599</v>
      </c>
    </row>
    <row r="55" spans="1:17">
      <c r="A55" s="641" t="s">
        <v>1583</v>
      </c>
      <c r="B55" s="934">
        <v>418019.27</v>
      </c>
      <c r="C55" s="638"/>
      <c r="D55" s="926"/>
      <c r="E55" s="635"/>
      <c r="F55" s="925"/>
      <c r="G55" s="638"/>
      <c r="H55" s="926"/>
      <c r="I55" s="635"/>
      <c r="J55" t="e">
        <f t="shared" si="0"/>
        <v>#N/A</v>
      </c>
      <c r="Q55" s="645" t="s">
        <v>1599</v>
      </c>
    </row>
    <row r="56" spans="1:17">
      <c r="A56" s="641" t="s">
        <v>1584</v>
      </c>
      <c r="B56" s="925"/>
      <c r="C56" s="638"/>
      <c r="D56" s="926"/>
      <c r="E56" s="636">
        <v>438937.7</v>
      </c>
      <c r="F56" s="925"/>
      <c r="G56" s="639">
        <v>57114.99</v>
      </c>
      <c r="H56" s="926"/>
      <c r="I56" s="636">
        <v>418019.27</v>
      </c>
      <c r="J56" t="e">
        <f t="shared" si="0"/>
        <v>#N/A</v>
      </c>
      <c r="Q56" s="645" t="s">
        <v>1599</v>
      </c>
    </row>
    <row r="57" spans="1:17">
      <c r="A57" s="633" t="s">
        <v>153</v>
      </c>
      <c r="B57" s="930">
        <v>146593.85</v>
      </c>
      <c r="C57" s="640">
        <v>15154944.98</v>
      </c>
      <c r="D57" s="928"/>
      <c r="E57" s="932">
        <v>160223.51999999999</v>
      </c>
      <c r="F57" s="927"/>
      <c r="G57" s="640">
        <v>84213.15</v>
      </c>
      <c r="H57" s="928"/>
      <c r="I57" s="932">
        <v>509250.89</v>
      </c>
      <c r="J57" s="1028" t="str">
        <f t="shared" si="0"/>
        <v>Sales Accounts</v>
      </c>
      <c r="K57" s="1028"/>
      <c r="L57" s="1028"/>
      <c r="M57" s="1028"/>
      <c r="Q57" s="938" t="s">
        <v>1600</v>
      </c>
    </row>
    <row r="58" spans="1:17">
      <c r="A58" s="939" t="s">
        <v>1369</v>
      </c>
      <c r="B58" s="1014"/>
      <c r="C58" s="1019">
        <v>-541331.11</v>
      </c>
      <c r="D58" s="1012"/>
      <c r="E58" s="1016"/>
      <c r="F58" s="1014"/>
      <c r="G58" s="1015"/>
      <c r="H58" s="1012"/>
      <c r="I58" s="1016"/>
      <c r="J58" s="1028" t="str">
        <f t="shared" si="0"/>
        <v>Sales Bills to Make</v>
      </c>
      <c r="K58" s="1028"/>
      <c r="L58" s="1028"/>
      <c r="M58" s="1028"/>
      <c r="Q58" s="645" t="s">
        <v>1601</v>
      </c>
    </row>
    <row r="59" spans="1:17">
      <c r="A59" s="644" t="s">
        <v>1585</v>
      </c>
      <c r="B59" s="933">
        <v>3737.28</v>
      </c>
      <c r="C59" s="635"/>
      <c r="D59" s="925"/>
      <c r="E59" s="638"/>
      <c r="F59" s="926"/>
      <c r="G59" s="635"/>
      <c r="H59" s="925"/>
      <c r="I59" s="638"/>
      <c r="J59" s="1028" t="e">
        <f t="shared" si="0"/>
        <v>#N/A</v>
      </c>
      <c r="K59" s="1028"/>
      <c r="L59" s="1028"/>
      <c r="M59" s="1028"/>
      <c r="Q59" s="645" t="s">
        <v>140</v>
      </c>
    </row>
    <row r="60" spans="1:17">
      <c r="A60" s="641" t="s">
        <v>1370</v>
      </c>
      <c r="B60" s="925"/>
      <c r="C60" s="639">
        <v>36872.89</v>
      </c>
      <c r="D60" s="926"/>
      <c r="E60" s="635"/>
      <c r="F60" s="925"/>
      <c r="G60" s="638"/>
      <c r="H60" s="926"/>
      <c r="I60" s="635"/>
      <c r="J60" s="1028" t="str">
        <f t="shared" si="0"/>
        <v>Brancha Sales Account</v>
      </c>
      <c r="K60" s="1028"/>
      <c r="L60" s="1028"/>
      <c r="M60" s="1028"/>
      <c r="Q60" s="938" t="s">
        <v>1602</v>
      </c>
    </row>
    <row r="61" spans="1:17">
      <c r="A61" s="641" t="s">
        <v>1422</v>
      </c>
      <c r="B61" s="925"/>
      <c r="C61" s="638"/>
      <c r="D61" s="926"/>
      <c r="E61" s="635"/>
      <c r="F61" s="925"/>
      <c r="G61" s="639">
        <v>4776</v>
      </c>
      <c r="H61" s="926"/>
      <c r="I61" s="636">
        <v>372032.87</v>
      </c>
      <c r="J61" s="1028" t="str">
        <f t="shared" si="0"/>
        <v>Branch-Sales</v>
      </c>
      <c r="K61" s="1028"/>
      <c r="L61" s="1028"/>
      <c r="M61" s="1028"/>
      <c r="Q61" s="938" t="s">
        <v>1603</v>
      </c>
    </row>
    <row r="62" spans="1:17">
      <c r="A62" s="641" t="s">
        <v>1510</v>
      </c>
      <c r="B62" s="934">
        <v>115195.57</v>
      </c>
      <c r="C62" s="638"/>
      <c r="D62" s="926"/>
      <c r="E62" s="635"/>
      <c r="F62" s="925"/>
      <c r="G62" s="638"/>
      <c r="H62" s="926"/>
      <c r="I62" s="635"/>
      <c r="J62" s="1028" t="str">
        <f t="shared" si="0"/>
        <v>Free Samples</v>
      </c>
      <c r="K62" s="1028"/>
      <c r="L62" s="1028"/>
      <c r="M62" s="1028"/>
      <c r="Q62" s="938" t="s">
        <v>1604</v>
      </c>
    </row>
    <row r="63" spans="1:17">
      <c r="A63" s="641" t="s">
        <v>1371</v>
      </c>
      <c r="B63" s="925"/>
      <c r="C63" s="639">
        <v>1413.52</v>
      </c>
      <c r="D63" s="926"/>
      <c r="E63" s="635"/>
      <c r="F63" s="925"/>
      <c r="G63" s="638"/>
      <c r="H63" s="926"/>
      <c r="I63" s="635"/>
      <c r="J63" s="1028" t="str">
        <f t="shared" si="0"/>
        <v>Interstate@0%</v>
      </c>
      <c r="K63" s="1028"/>
      <c r="L63" s="1028"/>
      <c r="M63" s="1028"/>
      <c r="Q63" s="1025" t="s">
        <v>1605</v>
      </c>
    </row>
    <row r="64" spans="1:17">
      <c r="A64" s="641" t="s">
        <v>1511</v>
      </c>
      <c r="B64" s="925"/>
      <c r="C64" s="639">
        <v>9469.92</v>
      </c>
      <c r="D64" s="926"/>
      <c r="E64" s="635"/>
      <c r="F64" s="925"/>
      <c r="G64" s="638"/>
      <c r="H64" s="926"/>
      <c r="I64" s="635"/>
      <c r="J64" s="1028" t="str">
        <f t="shared" si="0"/>
        <v>Interstate@0.25%</v>
      </c>
      <c r="K64" s="1028"/>
      <c r="L64" s="1028"/>
      <c r="M64" s="1028"/>
      <c r="Q64" s="938" t="s">
        <v>1606</v>
      </c>
    </row>
    <row r="65" spans="1:17">
      <c r="A65" s="641" t="s">
        <v>1372</v>
      </c>
      <c r="B65" s="934">
        <v>27661</v>
      </c>
      <c r="C65" s="638"/>
      <c r="D65" s="926"/>
      <c r="E65" s="636">
        <v>144869.35999999999</v>
      </c>
      <c r="F65" s="925"/>
      <c r="G65" s="638"/>
      <c r="H65" s="926"/>
      <c r="I65" s="635"/>
      <c r="J65" s="1028" t="str">
        <f t="shared" si="0"/>
        <v>Interstate Sales</v>
      </c>
      <c r="K65" s="1028"/>
      <c r="L65" s="1028"/>
      <c r="M65" s="1028"/>
      <c r="Q65" s="938" t="s">
        <v>1607</v>
      </c>
    </row>
    <row r="66" spans="1:17">
      <c r="A66" s="641" t="s">
        <v>1512</v>
      </c>
      <c r="B66" s="925"/>
      <c r="C66" s="639">
        <v>666.67</v>
      </c>
      <c r="D66" s="926"/>
      <c r="E66" s="635"/>
      <c r="F66" s="925"/>
      <c r="G66" s="638"/>
      <c r="H66" s="926"/>
      <c r="I66" s="635"/>
      <c r="J66" s="1028" t="str">
        <f t="shared" si="0"/>
        <v>Interstate Sales @ 5%</v>
      </c>
      <c r="K66" s="1028"/>
      <c r="L66" s="1028"/>
      <c r="M66" s="1028"/>
      <c r="Q66" s="938" t="s">
        <v>1608</v>
      </c>
    </row>
    <row r="67" spans="1:17">
      <c r="A67" s="641" t="s">
        <v>1543</v>
      </c>
      <c r="B67" s="925"/>
      <c r="C67" s="639">
        <v>29805.26</v>
      </c>
      <c r="D67" s="926"/>
      <c r="E67" s="635"/>
      <c r="F67" s="925"/>
      <c r="G67" s="638"/>
      <c r="H67" s="926"/>
      <c r="I67" s="635"/>
      <c r="J67" s="1028" t="str">
        <f t="shared" si="0"/>
        <v>Local@0.25%</v>
      </c>
      <c r="K67" s="1028"/>
      <c r="L67" s="1028"/>
      <c r="M67" s="1028"/>
      <c r="Q67" s="1025" t="s">
        <v>1609</v>
      </c>
    </row>
    <row r="68" spans="1:17">
      <c r="A68" s="641" t="s">
        <v>1373</v>
      </c>
      <c r="B68" s="925"/>
      <c r="C68" s="638"/>
      <c r="D68" s="926"/>
      <c r="E68" s="636">
        <v>15354.16</v>
      </c>
      <c r="F68" s="925"/>
      <c r="G68" s="638"/>
      <c r="H68" s="926"/>
      <c r="I68" s="635"/>
      <c r="J68" s="1028" t="str">
        <f t="shared" si="0"/>
        <v>Local Sales</v>
      </c>
      <c r="K68" s="1028"/>
      <c r="L68" s="1028"/>
      <c r="M68" s="1028"/>
      <c r="Q68" s="938" t="s">
        <v>1610</v>
      </c>
    </row>
    <row r="69" spans="1:17">
      <c r="A69" s="641" t="s">
        <v>1374</v>
      </c>
      <c r="B69" s="925"/>
      <c r="C69" s="638"/>
      <c r="D69" s="926"/>
      <c r="E69" s="635"/>
      <c r="F69" s="925"/>
      <c r="G69" s="638"/>
      <c r="H69" s="926"/>
      <c r="I69" s="635"/>
      <c r="J69" s="1028" t="str">
        <f t="shared" si="0"/>
        <v>Sales- Interstate</v>
      </c>
      <c r="K69" s="1028"/>
      <c r="L69" s="1028"/>
      <c r="M69" s="1028"/>
      <c r="Q69" s="1025" t="s">
        <v>1611</v>
      </c>
    </row>
    <row r="70" spans="1:17">
      <c r="A70" s="641" t="s">
        <v>1374</v>
      </c>
      <c r="B70" s="925"/>
      <c r="C70" s="638"/>
      <c r="D70" s="926"/>
      <c r="E70" s="635"/>
      <c r="F70" s="925"/>
      <c r="G70" s="638"/>
      <c r="H70" s="926"/>
      <c r="I70" s="635"/>
      <c r="J70" s="1028" t="str">
        <f t="shared" si="0"/>
        <v>Sales- Interstate</v>
      </c>
      <c r="K70" s="1028"/>
      <c r="L70" s="1028"/>
      <c r="M70" s="1028"/>
      <c r="Q70" s="938" t="s">
        <v>1612</v>
      </c>
    </row>
    <row r="71" spans="1:17">
      <c r="A71" s="641" t="s">
        <v>1374</v>
      </c>
      <c r="B71" s="925"/>
      <c r="C71" s="639">
        <v>8253171.4299999997</v>
      </c>
      <c r="D71" s="926"/>
      <c r="E71" s="635"/>
      <c r="F71" s="925"/>
      <c r="G71" s="639">
        <v>59922.78</v>
      </c>
      <c r="H71" s="926"/>
      <c r="I71" s="635"/>
      <c r="J71" s="1028" t="str">
        <f t="shared" si="0"/>
        <v>Sales- Interstate</v>
      </c>
      <c r="K71" s="1028"/>
      <c r="L71" s="1028"/>
      <c r="M71" s="1028"/>
      <c r="Q71" s="644" t="s">
        <v>142</v>
      </c>
    </row>
    <row r="72" spans="1:17">
      <c r="A72" s="641" t="s">
        <v>1375</v>
      </c>
      <c r="B72" s="925"/>
      <c r="C72" s="638"/>
      <c r="D72" s="926"/>
      <c r="E72" s="635"/>
      <c r="F72" s="925"/>
      <c r="G72" s="638"/>
      <c r="H72" s="926"/>
      <c r="I72" s="635"/>
      <c r="J72" s="1028" t="str">
        <f t="shared" ref="J72:J135" si="1">VLOOKUP(A72,Q:Q,1,)</f>
        <v>SALES LOCAL</v>
      </c>
      <c r="K72" s="1028"/>
      <c r="L72" s="1028"/>
      <c r="M72" s="1028"/>
      <c r="Q72" s="645" t="s">
        <v>143</v>
      </c>
    </row>
    <row r="73" spans="1:17">
      <c r="A73" s="641" t="s">
        <v>1375</v>
      </c>
      <c r="B73" s="925"/>
      <c r="C73" s="639">
        <v>7364876.4000000004</v>
      </c>
      <c r="D73" s="926"/>
      <c r="E73" s="635"/>
      <c r="F73" s="925"/>
      <c r="G73" s="639">
        <v>19514.37</v>
      </c>
      <c r="H73" s="926"/>
      <c r="I73" s="636">
        <v>137218.01999999999</v>
      </c>
      <c r="J73" s="1028" t="str">
        <f t="shared" si="1"/>
        <v>SALES LOCAL</v>
      </c>
      <c r="K73" s="1028"/>
      <c r="L73" s="1028"/>
      <c r="M73" s="1028"/>
      <c r="Q73" s="938" t="s">
        <v>1149</v>
      </c>
    </row>
    <row r="74" spans="1:17">
      <c r="A74" s="633" t="s">
        <v>154</v>
      </c>
      <c r="B74" s="930">
        <v>3612078.54</v>
      </c>
      <c r="C74" s="640">
        <v>3803362.92</v>
      </c>
      <c r="D74" s="928"/>
      <c r="E74" s="929"/>
      <c r="F74" s="930">
        <v>39651.42</v>
      </c>
      <c r="G74" s="646"/>
      <c r="H74" s="931">
        <v>1624.7</v>
      </c>
      <c r="I74" s="932">
        <v>67279.02</v>
      </c>
      <c r="J74" s="1028" t="str">
        <f t="shared" si="1"/>
        <v>Purchase Accounts</v>
      </c>
      <c r="K74" s="1028"/>
      <c r="L74" s="1028"/>
      <c r="M74" s="1028"/>
      <c r="Q74" s="938" t="s">
        <v>1057</v>
      </c>
    </row>
    <row r="75" spans="1:17">
      <c r="A75" s="641" t="s">
        <v>1150</v>
      </c>
      <c r="B75" s="1017">
        <v>315549.90000000002</v>
      </c>
      <c r="C75" s="1015"/>
      <c r="D75" s="1012"/>
      <c r="E75" s="1016"/>
      <c r="F75" s="1014"/>
      <c r="G75" s="1015"/>
      <c r="H75" s="1012"/>
      <c r="I75" s="1016"/>
      <c r="J75" s="1028" t="str">
        <f t="shared" si="1"/>
        <v>Branch Purchase</v>
      </c>
      <c r="K75" s="1028"/>
      <c r="L75" s="1028"/>
      <c r="M75" s="1028"/>
      <c r="Q75" s="641" t="s">
        <v>1366</v>
      </c>
    </row>
    <row r="76" spans="1:17">
      <c r="A76" s="641" t="s">
        <v>1376</v>
      </c>
      <c r="B76" s="934">
        <v>565989</v>
      </c>
      <c r="C76" s="638"/>
      <c r="D76" s="926"/>
      <c r="E76" s="635"/>
      <c r="F76" s="925"/>
      <c r="G76" s="638"/>
      <c r="H76" s="926"/>
      <c r="I76" s="635"/>
      <c r="J76" s="1028" t="str">
        <f t="shared" si="1"/>
        <v>Clearing &amp; Forwarding Charges (Import)</v>
      </c>
      <c r="K76" s="1028"/>
      <c r="L76" s="1028"/>
      <c r="M76" s="1028"/>
      <c r="Q76" s="641" t="s">
        <v>149</v>
      </c>
    </row>
    <row r="77" spans="1:17">
      <c r="A77" s="641" t="s">
        <v>155</v>
      </c>
      <c r="B77" s="934">
        <v>529707.16</v>
      </c>
      <c r="C77" s="638"/>
      <c r="D77" s="926"/>
      <c r="E77" s="635"/>
      <c r="F77" s="925"/>
      <c r="G77" s="638"/>
      <c r="H77" s="926"/>
      <c r="I77" s="635"/>
      <c r="J77" s="1028" t="str">
        <f t="shared" si="1"/>
        <v>Custom Duty</v>
      </c>
      <c r="K77" s="1028"/>
      <c r="L77" s="1028"/>
      <c r="M77" s="1028"/>
      <c r="Q77" s="641" t="s">
        <v>151</v>
      </c>
    </row>
    <row r="78" spans="1:17">
      <c r="A78" s="641" t="s">
        <v>1377</v>
      </c>
      <c r="B78" s="934">
        <v>22700</v>
      </c>
      <c r="C78" s="638"/>
      <c r="D78" s="926"/>
      <c r="E78" s="635"/>
      <c r="F78" s="925"/>
      <c r="G78" s="638"/>
      <c r="H78" s="926"/>
      <c r="I78" s="635"/>
      <c r="J78" s="1028" t="str">
        <f t="shared" si="1"/>
        <v>Purchase Account - Packing Material</v>
      </c>
      <c r="K78" s="1028"/>
      <c r="L78" s="1028"/>
      <c r="M78" s="1028"/>
      <c r="Q78" s="641" t="s">
        <v>1367</v>
      </c>
    </row>
    <row r="79" spans="1:17" ht="15" customHeight="1">
      <c r="A79" s="641" t="s">
        <v>156</v>
      </c>
      <c r="B79" s="934">
        <v>2160782.48</v>
      </c>
      <c r="C79" s="638"/>
      <c r="D79" s="926"/>
      <c r="E79" s="635"/>
      <c r="F79" s="925"/>
      <c r="G79" s="638"/>
      <c r="H79" s="926"/>
      <c r="I79" s="635"/>
      <c r="J79" s="1028" t="str">
        <f t="shared" si="1"/>
        <v>Purchase Import</v>
      </c>
      <c r="K79" s="1028"/>
      <c r="L79" s="1028"/>
      <c r="M79" s="1028"/>
      <c r="Q79" s="641" t="s">
        <v>152</v>
      </c>
    </row>
    <row r="80" spans="1:17">
      <c r="A80" s="641" t="s">
        <v>157</v>
      </c>
      <c r="B80" s="925"/>
      <c r="C80" s="639">
        <v>2502820.46</v>
      </c>
      <c r="D80" s="926"/>
      <c r="E80" s="635"/>
      <c r="F80" s="934">
        <v>39651.42</v>
      </c>
      <c r="G80" s="638"/>
      <c r="H80" s="933">
        <v>1624.7</v>
      </c>
      <c r="I80" s="635"/>
      <c r="J80" s="1028" t="str">
        <f t="shared" si="1"/>
        <v>Purchase Interstate</v>
      </c>
      <c r="K80" s="1028"/>
      <c r="L80" s="1028"/>
      <c r="M80" s="1028"/>
      <c r="Q80" s="641" t="s">
        <v>1541</v>
      </c>
    </row>
    <row r="81" spans="1:17">
      <c r="A81" s="641" t="s">
        <v>1513</v>
      </c>
      <c r="B81" s="925"/>
      <c r="C81" s="639">
        <v>19806.5</v>
      </c>
      <c r="D81" s="926"/>
      <c r="E81" s="635"/>
      <c r="F81" s="925"/>
      <c r="G81" s="638"/>
      <c r="H81" s="926"/>
      <c r="I81" s="635"/>
      <c r="J81" s="1028" t="str">
        <f t="shared" si="1"/>
        <v>Purchase Interstate@0%</v>
      </c>
      <c r="K81" s="1028"/>
      <c r="L81" s="1028"/>
      <c r="M81" s="1028"/>
      <c r="Q81" s="637" t="s">
        <v>1542</v>
      </c>
    </row>
    <row r="82" spans="1:17">
      <c r="A82" s="641" t="s">
        <v>1061</v>
      </c>
      <c r="B82" s="925"/>
      <c r="C82" s="639">
        <v>67674.37</v>
      </c>
      <c r="D82" s="926"/>
      <c r="E82" s="635"/>
      <c r="F82" s="925"/>
      <c r="G82" s="638"/>
      <c r="H82" s="926"/>
      <c r="I82" s="635"/>
      <c r="J82" s="1028" t="str">
        <f t="shared" si="1"/>
        <v>Purchase Interstate@12%</v>
      </c>
      <c r="K82" s="1028"/>
      <c r="L82" s="1028"/>
      <c r="M82" s="1028"/>
      <c r="Q82" s="633" t="s">
        <v>534</v>
      </c>
    </row>
    <row r="83" spans="1:17">
      <c r="A83" s="641" t="s">
        <v>1152</v>
      </c>
      <c r="B83" s="925"/>
      <c r="C83" s="639">
        <v>1157.77</v>
      </c>
      <c r="D83" s="926"/>
      <c r="E83" s="635"/>
      <c r="F83" s="925"/>
      <c r="G83" s="638"/>
      <c r="H83" s="926"/>
      <c r="I83" s="635"/>
      <c r="J83" s="1028" t="str">
        <f t="shared" si="1"/>
        <v>Purchase Interstate@3%</v>
      </c>
      <c r="K83" s="1028"/>
      <c r="L83" s="1028"/>
      <c r="M83" s="1028"/>
      <c r="Q83" s="641" t="s">
        <v>536</v>
      </c>
    </row>
    <row r="84" spans="1:17">
      <c r="A84" s="641" t="s">
        <v>1062</v>
      </c>
      <c r="B84" s="925"/>
      <c r="C84" s="639">
        <v>6745.63</v>
      </c>
      <c r="D84" s="926"/>
      <c r="E84" s="635"/>
      <c r="F84" s="925"/>
      <c r="G84" s="638"/>
      <c r="H84" s="926"/>
      <c r="I84" s="635"/>
      <c r="J84" s="1028" t="str">
        <f t="shared" si="1"/>
        <v>Purchase Interstate@5%</v>
      </c>
      <c r="K84" s="1028"/>
      <c r="L84" s="1028"/>
      <c r="M84" s="1028"/>
      <c r="Q84" s="641" t="s">
        <v>1059</v>
      </c>
    </row>
    <row r="85" spans="1:17">
      <c r="A85" s="641" t="s">
        <v>158</v>
      </c>
      <c r="B85" s="925"/>
      <c r="C85" s="639">
        <v>1124766.5900000001</v>
      </c>
      <c r="D85" s="926"/>
      <c r="E85" s="635"/>
      <c r="F85" s="925"/>
      <c r="G85" s="638"/>
      <c r="H85" s="926"/>
      <c r="I85" s="636">
        <v>67279.02</v>
      </c>
      <c r="J85" s="1028" t="str">
        <f t="shared" si="1"/>
        <v>Purchase  Local</v>
      </c>
      <c r="K85" s="1028"/>
      <c r="L85" s="1028"/>
      <c r="M85" s="1028"/>
      <c r="Q85" s="641" t="s">
        <v>1368</v>
      </c>
    </row>
    <row r="86" spans="1:17">
      <c r="A86" s="641" t="s">
        <v>1063</v>
      </c>
      <c r="B86" s="925"/>
      <c r="C86" s="639">
        <v>80391.600000000006</v>
      </c>
      <c r="D86" s="926"/>
      <c r="E86" s="635"/>
      <c r="F86" s="925"/>
      <c r="G86" s="638"/>
      <c r="H86" s="926"/>
      <c r="I86" s="635"/>
      <c r="J86" s="1028" t="str">
        <f t="shared" si="1"/>
        <v>Purchase Local@12%</v>
      </c>
      <c r="K86" s="1028"/>
      <c r="L86" s="1028"/>
      <c r="M86" s="1028"/>
      <c r="Q86" s="641" t="s">
        <v>1421</v>
      </c>
    </row>
    <row r="87" spans="1:17">
      <c r="A87" s="641" t="s">
        <v>1379</v>
      </c>
      <c r="B87" s="934">
        <v>17350</v>
      </c>
      <c r="C87" s="638"/>
      <c r="D87" s="926"/>
      <c r="E87" s="635"/>
      <c r="F87" s="925"/>
      <c r="G87" s="638"/>
      <c r="H87" s="926"/>
      <c r="I87" s="635"/>
      <c r="J87" s="1028" t="str">
        <f t="shared" si="1"/>
        <v>Transportation Expenses (Import)</v>
      </c>
      <c r="K87" s="1028"/>
      <c r="L87" s="1028"/>
      <c r="M87" s="1028"/>
      <c r="N87">
        <f>VLOOKUP(A87,'PL Grouping'!A:K,3,)</f>
        <v>17350</v>
      </c>
      <c r="O87" s="657">
        <f>C87-B87-N87</f>
        <v>-34700</v>
      </c>
      <c r="Q87" s="633" t="s">
        <v>153</v>
      </c>
    </row>
    <row r="88" spans="1:17">
      <c r="A88" s="633" t="s">
        <v>159</v>
      </c>
      <c r="B88" s="930">
        <v>346050.65</v>
      </c>
      <c r="C88" s="646"/>
      <c r="D88" s="928"/>
      <c r="E88" s="929"/>
      <c r="F88" s="927"/>
      <c r="G88" s="646"/>
      <c r="H88" s="928"/>
      <c r="I88" s="929"/>
      <c r="J88" s="1028" t="str">
        <f t="shared" si="1"/>
        <v>Direct Expenses</v>
      </c>
      <c r="K88" s="1028"/>
      <c r="L88" s="1028"/>
      <c r="M88" s="1028"/>
      <c r="N88" t="e">
        <f>VLOOKUP(A88,'PL Grouping'!A:K,3,)</f>
        <v>#N/A</v>
      </c>
      <c r="O88" s="657" t="e">
        <f t="shared" ref="O88:O102" si="2">C88-B88-N88</f>
        <v>#N/A</v>
      </c>
      <c r="Q88" s="939" t="s">
        <v>1369</v>
      </c>
    </row>
    <row r="89" spans="1:17">
      <c r="A89" s="637" t="s">
        <v>1380</v>
      </c>
      <c r="B89" s="1017">
        <v>150750</v>
      </c>
      <c r="C89" s="1015"/>
      <c r="D89" s="1012"/>
      <c r="E89" s="1016"/>
      <c r="F89" s="1014"/>
      <c r="G89" s="1015"/>
      <c r="H89" s="1012"/>
      <c r="I89" s="1016"/>
      <c r="J89" s="1028" t="str">
        <f t="shared" si="1"/>
        <v>Freight</v>
      </c>
      <c r="K89" s="1028"/>
      <c r="L89" s="1028"/>
      <c r="M89" s="1028"/>
      <c r="N89">
        <f>VLOOKUP(A89,'PL Grouping'!A:K,3,)</f>
        <v>150750</v>
      </c>
      <c r="O89" s="657">
        <f t="shared" si="2"/>
        <v>-301500</v>
      </c>
      <c r="Q89" s="641" t="s">
        <v>1370</v>
      </c>
    </row>
    <row r="90" spans="1:17">
      <c r="A90" s="641" t="s">
        <v>1544</v>
      </c>
      <c r="B90" s="934">
        <v>109480.47</v>
      </c>
      <c r="C90" s="638"/>
      <c r="D90" s="926"/>
      <c r="E90" s="635"/>
      <c r="F90" s="925"/>
      <c r="G90" s="638"/>
      <c r="H90" s="926"/>
      <c r="I90" s="635"/>
      <c r="J90" s="1028" t="str">
        <f t="shared" si="1"/>
        <v>Goods Lost in Transit</v>
      </c>
      <c r="K90" s="1028"/>
      <c r="L90" s="1028"/>
      <c r="M90" s="1028"/>
      <c r="N90">
        <f>VLOOKUP(A90,'PL Grouping'!A:K,3,)</f>
        <v>109480.47</v>
      </c>
      <c r="O90" s="657">
        <f t="shared" si="2"/>
        <v>-218960.94</v>
      </c>
      <c r="Q90" s="641" t="s">
        <v>1422</v>
      </c>
    </row>
    <row r="91" spans="1:17">
      <c r="A91" s="641" t="s">
        <v>160</v>
      </c>
      <c r="B91" s="934">
        <v>77396.179999999993</v>
      </c>
      <c r="C91" s="638"/>
      <c r="D91" s="926"/>
      <c r="E91" s="635"/>
      <c r="F91" s="925"/>
      <c r="G91" s="638"/>
      <c r="H91" s="926"/>
      <c r="I91" s="635"/>
      <c r="J91" s="1028" t="str">
        <f t="shared" si="1"/>
        <v>Packing Material</v>
      </c>
      <c r="K91" s="1028"/>
      <c r="L91" s="1028"/>
      <c r="M91" s="1028"/>
      <c r="N91">
        <f>VLOOKUP(A91,'PL Grouping'!A:K,3,)</f>
        <v>77396.179999999993</v>
      </c>
      <c r="O91" s="657">
        <f t="shared" si="2"/>
        <v>-154792.35999999999</v>
      </c>
      <c r="Q91" s="641" t="s">
        <v>1510</v>
      </c>
    </row>
    <row r="92" spans="1:17">
      <c r="A92" s="641" t="s">
        <v>1381</v>
      </c>
      <c r="B92" s="934">
        <v>8424</v>
      </c>
      <c r="C92" s="638"/>
      <c r="D92" s="926"/>
      <c r="E92" s="635"/>
      <c r="F92" s="925"/>
      <c r="G92" s="638"/>
      <c r="H92" s="926"/>
      <c r="I92" s="635"/>
      <c r="J92" s="1028" t="str">
        <f t="shared" si="1"/>
        <v>Printing &amp; Labelling</v>
      </c>
      <c r="K92" s="1028"/>
      <c r="L92" s="1028"/>
      <c r="M92" s="1028"/>
      <c r="N92">
        <f>VLOOKUP(A92,'PL Grouping'!A:K,3,)</f>
        <v>8424</v>
      </c>
      <c r="O92" s="657">
        <f t="shared" si="2"/>
        <v>-16848</v>
      </c>
      <c r="Q92" s="641" t="s">
        <v>1371</v>
      </c>
    </row>
    <row r="93" spans="1:17">
      <c r="A93" s="633" t="s">
        <v>161</v>
      </c>
      <c r="B93" s="930">
        <v>6613.32</v>
      </c>
      <c r="C93" s="640">
        <v>51707637.829999998</v>
      </c>
      <c r="D93" s="928"/>
      <c r="E93" s="932">
        <v>474.6</v>
      </c>
      <c r="F93" s="927"/>
      <c r="G93" s="640">
        <v>1062.32</v>
      </c>
      <c r="H93" s="928"/>
      <c r="I93" s="932">
        <v>84866.6</v>
      </c>
      <c r="J93" s="1028" t="str">
        <f t="shared" si="1"/>
        <v>Indirect Incomes</v>
      </c>
      <c r="K93" s="1028"/>
      <c r="L93" s="1028"/>
      <c r="M93" s="1028"/>
      <c r="N93" t="e">
        <f>VLOOKUP(A93,'PL Grouping'!A:K,3,)</f>
        <v>#N/A</v>
      </c>
      <c r="O93" s="657" t="e">
        <f t="shared" si="2"/>
        <v>#N/A</v>
      </c>
      <c r="Q93" s="641" t="s">
        <v>1511</v>
      </c>
    </row>
    <row r="94" spans="1:17">
      <c r="A94" s="641" t="s">
        <v>982</v>
      </c>
      <c r="B94" s="1014"/>
      <c r="C94" s="1019">
        <v>48850</v>
      </c>
      <c r="D94" s="1012"/>
      <c r="E94" s="1016"/>
      <c r="F94" s="1014"/>
      <c r="G94" s="1015"/>
      <c r="H94" s="1012"/>
      <c r="I94" s="1016"/>
      <c r="J94" s="1028" t="str">
        <f t="shared" si="1"/>
        <v>Business Support Service Charges</v>
      </c>
      <c r="K94" s="1028"/>
      <c r="L94" s="1028"/>
      <c r="M94" s="1028"/>
      <c r="N94">
        <f>VLOOKUP(A94,'PL Grouping'!A:K,3,)</f>
        <v>48850</v>
      </c>
      <c r="O94" s="657">
        <f t="shared" si="2"/>
        <v>0</v>
      </c>
      <c r="Q94" s="641" t="s">
        <v>1372</v>
      </c>
    </row>
    <row r="95" spans="1:17">
      <c r="A95" s="641" t="s">
        <v>162</v>
      </c>
      <c r="B95" s="925"/>
      <c r="C95" s="639">
        <v>13136.4</v>
      </c>
      <c r="D95" s="926"/>
      <c r="E95" s="635"/>
      <c r="F95" s="925"/>
      <c r="G95" s="638"/>
      <c r="H95" s="926"/>
      <c r="I95" s="635"/>
      <c r="J95" s="1028" t="str">
        <f t="shared" si="1"/>
        <v>Discount Recieved</v>
      </c>
      <c r="K95" s="1028"/>
      <c r="L95" s="1028"/>
      <c r="M95" s="1028"/>
      <c r="N95">
        <f>VLOOKUP(A95,'PL Grouping'!A:K,3,)</f>
        <v>13136.4</v>
      </c>
      <c r="O95" s="657">
        <f t="shared" si="2"/>
        <v>0</v>
      </c>
      <c r="Q95" s="641" t="s">
        <v>1512</v>
      </c>
    </row>
    <row r="96" spans="1:17">
      <c r="A96" s="641" t="s">
        <v>163</v>
      </c>
      <c r="B96" s="925"/>
      <c r="C96" s="639">
        <v>5231</v>
      </c>
      <c r="D96" s="926"/>
      <c r="E96" s="635"/>
      <c r="F96" s="925"/>
      <c r="G96" s="638"/>
      <c r="H96" s="926"/>
      <c r="I96" s="635"/>
      <c r="J96" s="1028" t="str">
        <f t="shared" si="1"/>
        <v>Interest on FD</v>
      </c>
      <c r="K96" s="1028"/>
      <c r="L96" s="1028"/>
      <c r="M96" s="1028"/>
      <c r="N96">
        <f>VLOOKUP(A96,'PL Grouping'!A:K,3,)</f>
        <v>5231</v>
      </c>
      <c r="O96" s="657">
        <f t="shared" si="2"/>
        <v>0</v>
      </c>
      <c r="Q96" s="641" t="s">
        <v>1543</v>
      </c>
    </row>
    <row r="97" spans="1:17">
      <c r="A97" s="641" t="s">
        <v>443</v>
      </c>
      <c r="B97" s="925"/>
      <c r="C97" s="639">
        <v>5804</v>
      </c>
      <c r="D97" s="926"/>
      <c r="E97" s="635"/>
      <c r="F97" s="925"/>
      <c r="G97" s="638"/>
      <c r="H97" s="926"/>
      <c r="I97" s="635"/>
      <c r="J97" s="1028" t="str">
        <f t="shared" si="1"/>
        <v>Interest on Income Tax Refund</v>
      </c>
      <c r="K97" s="1028"/>
      <c r="L97" s="1028"/>
      <c r="M97" s="1028"/>
      <c r="N97">
        <f>VLOOKUP(A97,'PL Grouping'!A:K,3,)</f>
        <v>5804</v>
      </c>
      <c r="O97" s="657">
        <f t="shared" si="2"/>
        <v>0</v>
      </c>
      <c r="Q97" s="641" t="s">
        <v>1373</v>
      </c>
    </row>
    <row r="98" spans="1:17">
      <c r="A98" s="641" t="s">
        <v>1514</v>
      </c>
      <c r="B98" s="925"/>
      <c r="C98" s="639">
        <v>14105233.050000001</v>
      </c>
      <c r="D98" s="926"/>
      <c r="E98" s="635"/>
      <c r="F98" s="925"/>
      <c r="G98" s="638"/>
      <c r="H98" s="926"/>
      <c r="I98" s="636">
        <v>84866.6</v>
      </c>
      <c r="J98" s="1028" t="str">
        <f t="shared" si="1"/>
        <v>Liability No Longer Payable</v>
      </c>
      <c r="K98" s="1028"/>
      <c r="L98" s="1028"/>
      <c r="M98" s="1028"/>
      <c r="N98">
        <f>VLOOKUP(A98,'PL Grouping'!A:K,3,)</f>
        <v>14105233.050000001</v>
      </c>
      <c r="O98" s="657">
        <f t="shared" si="2"/>
        <v>0</v>
      </c>
      <c r="Q98" s="641" t="s">
        <v>1374</v>
      </c>
    </row>
    <row r="99" spans="1:17">
      <c r="A99" s="641" t="s">
        <v>1586</v>
      </c>
      <c r="B99" s="925"/>
      <c r="C99" s="639">
        <v>37265381</v>
      </c>
      <c r="D99" s="926"/>
      <c r="E99" s="635"/>
      <c r="F99" s="925"/>
      <c r="G99" s="638"/>
      <c r="H99" s="926"/>
      <c r="I99" s="635"/>
      <c r="J99" s="1028" t="e">
        <f t="shared" si="1"/>
        <v>#N/A</v>
      </c>
      <c r="K99" s="1028"/>
      <c r="L99" s="1028"/>
      <c r="M99" s="1028"/>
      <c r="N99">
        <f>VLOOKUP(A99,'PL Grouping'!A:K,3,)</f>
        <v>37265381</v>
      </c>
      <c r="O99" s="657">
        <f t="shared" si="2"/>
        <v>0</v>
      </c>
      <c r="Q99" s="641" t="s">
        <v>1374</v>
      </c>
    </row>
    <row r="100" spans="1:17">
      <c r="A100" s="641" t="s">
        <v>1155</v>
      </c>
      <c r="B100" s="925"/>
      <c r="C100" s="639">
        <v>40000</v>
      </c>
      <c r="D100" s="926"/>
      <c r="E100" s="635"/>
      <c r="F100" s="925"/>
      <c r="G100" s="638"/>
      <c r="H100" s="926"/>
      <c r="I100" s="635"/>
      <c r="J100" s="1028" t="str">
        <f t="shared" si="1"/>
        <v>Marketing Activities ( Advertisement )</v>
      </c>
      <c r="K100" s="1028"/>
      <c r="L100" s="1028"/>
      <c r="M100" s="1028"/>
      <c r="N100">
        <f>VLOOKUP(A100,'PL Grouping'!A:K,3,)</f>
        <v>40000</v>
      </c>
      <c r="O100" s="657">
        <f t="shared" si="2"/>
        <v>0</v>
      </c>
      <c r="Q100" s="641" t="s">
        <v>1374</v>
      </c>
    </row>
    <row r="101" spans="1:17">
      <c r="A101" s="641" t="s">
        <v>1180</v>
      </c>
      <c r="B101" s="925"/>
      <c r="C101" s="639">
        <v>33352</v>
      </c>
      <c r="D101" s="926"/>
      <c r="E101" s="635"/>
      <c r="F101" s="925"/>
      <c r="G101" s="638"/>
      <c r="H101" s="926"/>
      <c r="I101" s="635"/>
      <c r="J101" s="1028" t="e">
        <f t="shared" si="1"/>
        <v>#N/A</v>
      </c>
      <c r="K101" s="1028" t="s">
        <v>1614</v>
      </c>
      <c r="L101" s="1028"/>
      <c r="M101" s="1028"/>
      <c r="N101" t="e">
        <f>VLOOKUP(A101,'PL Grouping'!A:K,3,)</f>
        <v>#N/A</v>
      </c>
      <c r="O101" s="657" t="e">
        <f t="shared" si="2"/>
        <v>#N/A</v>
      </c>
      <c r="Q101" s="641" t="s">
        <v>1375</v>
      </c>
    </row>
    <row r="102" spans="1:17">
      <c r="A102" s="641" t="s">
        <v>1587</v>
      </c>
      <c r="B102" s="925"/>
      <c r="C102" s="639">
        <v>76.760000000000005</v>
      </c>
      <c r="D102" s="926"/>
      <c r="E102" s="635"/>
      <c r="F102" s="925"/>
      <c r="G102" s="638"/>
      <c r="H102" s="926"/>
      <c r="I102" s="635"/>
      <c r="J102" s="1028" t="e">
        <f t="shared" si="1"/>
        <v>#N/A</v>
      </c>
      <c r="K102" s="1028" t="s">
        <v>1614</v>
      </c>
      <c r="L102" s="1028"/>
      <c r="M102" s="1028"/>
      <c r="N102" t="e">
        <f>VLOOKUP(A102,'PL Grouping'!A:K,3,)</f>
        <v>#N/A</v>
      </c>
      <c r="O102" s="657" t="e">
        <f t="shared" si="2"/>
        <v>#N/A</v>
      </c>
      <c r="Q102" s="641" t="s">
        <v>1375</v>
      </c>
    </row>
    <row r="103" spans="1:17">
      <c r="A103" s="641" t="s">
        <v>446</v>
      </c>
      <c r="B103" s="925"/>
      <c r="C103" s="639">
        <v>170350.79</v>
      </c>
      <c r="D103" s="926"/>
      <c r="E103" s="636">
        <v>474.6</v>
      </c>
      <c r="F103" s="925"/>
      <c r="G103" s="639">
        <v>644.1</v>
      </c>
      <c r="H103" s="926"/>
      <c r="I103" s="635"/>
      <c r="J103" s="1028" t="str">
        <f t="shared" si="1"/>
        <v>Shipping Charges</v>
      </c>
      <c r="K103" s="1028"/>
      <c r="L103" s="1028"/>
      <c r="M103" s="1028"/>
      <c r="N103">
        <f>VLOOKUP(A103,'PL Grouping'!A:K,3,)</f>
        <v>170350.79</v>
      </c>
      <c r="O103" s="657">
        <f>B103-C103-N103</f>
        <v>-340701.58</v>
      </c>
      <c r="Q103" s="633" t="s">
        <v>154</v>
      </c>
    </row>
    <row r="104" spans="1:17">
      <c r="A104" s="641" t="s">
        <v>446</v>
      </c>
      <c r="B104" s="925"/>
      <c r="C104" s="638"/>
      <c r="D104" s="926"/>
      <c r="E104" s="635"/>
      <c r="F104" s="925"/>
      <c r="G104" s="638"/>
      <c r="H104" s="926"/>
      <c r="I104" s="635"/>
      <c r="J104" s="1028" t="str">
        <f t="shared" si="1"/>
        <v>Shipping Charges</v>
      </c>
      <c r="K104" s="1028"/>
      <c r="L104" s="1028"/>
      <c r="M104" s="1028"/>
      <c r="N104">
        <f>VLOOKUP(A104,'PL Grouping'!A:K,3,)</f>
        <v>170350.79</v>
      </c>
      <c r="O104" s="657">
        <f t="shared" ref="O104:O167" si="3">B104-C104-N104</f>
        <v>-170350.79</v>
      </c>
      <c r="Q104" s="641" t="s">
        <v>1150</v>
      </c>
    </row>
    <row r="105" spans="1:17">
      <c r="A105" s="641" t="s">
        <v>1546</v>
      </c>
      <c r="B105" s="925"/>
      <c r="C105" s="639">
        <v>159.6</v>
      </c>
      <c r="D105" s="926"/>
      <c r="E105" s="635"/>
      <c r="F105" s="925"/>
      <c r="G105" s="638"/>
      <c r="H105" s="926"/>
      <c r="I105" s="635"/>
      <c r="J105" s="1028" t="str">
        <f t="shared" si="1"/>
        <v>Shipping Charges@0.25</v>
      </c>
      <c r="K105" s="1028"/>
      <c r="L105" s="1028"/>
      <c r="M105" s="1028"/>
      <c r="N105">
        <f>VLOOKUP(A105,'PL Grouping'!A:K,3,)</f>
        <v>159.6</v>
      </c>
      <c r="O105" s="657">
        <f t="shared" si="3"/>
        <v>-319.2</v>
      </c>
      <c r="Q105" s="641" t="s">
        <v>1376</v>
      </c>
    </row>
    <row r="106" spans="1:17">
      <c r="A106" s="641" t="s">
        <v>1547</v>
      </c>
      <c r="B106" s="925"/>
      <c r="C106" s="639">
        <v>58.25</v>
      </c>
      <c r="D106" s="926"/>
      <c r="E106" s="635"/>
      <c r="F106" s="925"/>
      <c r="G106" s="638"/>
      <c r="H106" s="926"/>
      <c r="I106" s="635"/>
      <c r="J106" s="1028" t="str">
        <f t="shared" si="1"/>
        <v>Shipping Charges@3.0</v>
      </c>
      <c r="K106" s="1028"/>
      <c r="L106" s="1028"/>
      <c r="M106" s="1028"/>
      <c r="N106">
        <f>VLOOKUP(A106,'PL Grouping'!A:K,3,)</f>
        <v>58.25</v>
      </c>
      <c r="O106" s="657">
        <f t="shared" si="3"/>
        <v>-116.5</v>
      </c>
      <c r="Q106" s="641" t="s">
        <v>155</v>
      </c>
    </row>
    <row r="107" spans="1:17">
      <c r="A107" s="641" t="s">
        <v>1588</v>
      </c>
      <c r="B107" s="925"/>
      <c r="C107" s="639">
        <v>17837.98</v>
      </c>
      <c r="D107" s="926"/>
      <c r="E107" s="635"/>
      <c r="F107" s="925"/>
      <c r="G107" s="638"/>
      <c r="H107" s="926"/>
      <c r="I107" s="635"/>
      <c r="J107" s="1028" t="e">
        <f t="shared" si="1"/>
        <v>#N/A</v>
      </c>
      <c r="K107" s="1028" t="s">
        <v>1614</v>
      </c>
      <c r="L107" s="1028"/>
      <c r="M107" s="1028"/>
      <c r="N107">
        <f>VLOOKUP(A107,'PL Grouping'!A:K,3,)</f>
        <v>17837.98</v>
      </c>
      <c r="O107" s="657">
        <f t="shared" si="3"/>
        <v>-35675.96</v>
      </c>
      <c r="Q107" s="641" t="s">
        <v>1377</v>
      </c>
    </row>
    <row r="108" spans="1:17">
      <c r="A108" s="641" t="s">
        <v>512</v>
      </c>
      <c r="B108" s="934">
        <v>6613.32</v>
      </c>
      <c r="C108" s="638"/>
      <c r="D108" s="926"/>
      <c r="E108" s="635"/>
      <c r="F108" s="925"/>
      <c r="G108" s="639">
        <v>418.22</v>
      </c>
      <c r="H108" s="926"/>
      <c r="I108" s="635"/>
      <c r="J108" s="1028" t="str">
        <f t="shared" si="1"/>
        <v>Sundry Advances / Credit Balance Written Off</v>
      </c>
      <c r="K108" s="1028"/>
      <c r="L108" s="1028"/>
      <c r="M108" s="1028"/>
      <c r="N108">
        <f>VLOOKUP(A108,'PL Grouping'!A:K,3,)</f>
        <v>-6613.32</v>
      </c>
      <c r="O108" s="657">
        <f t="shared" si="3"/>
        <v>13226.64</v>
      </c>
      <c r="Q108" s="641" t="s">
        <v>156</v>
      </c>
    </row>
    <row r="109" spans="1:17">
      <c r="A109" s="641" t="s">
        <v>164</v>
      </c>
      <c r="B109" s="925"/>
      <c r="C109" s="639">
        <v>2167</v>
      </c>
      <c r="D109" s="926"/>
      <c r="E109" s="635"/>
      <c r="F109" s="925"/>
      <c r="G109" s="638"/>
      <c r="H109" s="926"/>
      <c r="I109" s="635"/>
      <c r="J109" s="1028" t="str">
        <f t="shared" si="1"/>
        <v>Sundry Receipts</v>
      </c>
      <c r="K109" s="1028"/>
      <c r="L109" s="1028"/>
      <c r="M109" s="1028"/>
      <c r="N109">
        <f>VLOOKUP(A109,'PL Grouping'!A:K,3,)</f>
        <v>2167</v>
      </c>
      <c r="O109" s="657">
        <f t="shared" si="3"/>
        <v>-4334</v>
      </c>
      <c r="Q109" s="641" t="s">
        <v>157</v>
      </c>
    </row>
    <row r="110" spans="1:17">
      <c r="A110" s="633" t="s">
        <v>165</v>
      </c>
      <c r="B110" s="930">
        <v>19880672.640000001</v>
      </c>
      <c r="C110" s="640">
        <v>855806.85</v>
      </c>
      <c r="D110" s="931">
        <v>338095.11</v>
      </c>
      <c r="E110" s="932">
        <v>0.15</v>
      </c>
      <c r="F110" s="930">
        <v>52305.9</v>
      </c>
      <c r="G110" s="646"/>
      <c r="H110" s="931">
        <v>78295.5</v>
      </c>
      <c r="I110" s="932">
        <v>1.44</v>
      </c>
      <c r="J110" s="1028" t="str">
        <f t="shared" si="1"/>
        <v>Indirect Expenses</v>
      </c>
      <c r="K110" s="1028"/>
      <c r="L110" s="1028"/>
      <c r="M110" s="1028"/>
      <c r="N110" t="e">
        <f>VLOOKUP(A110,'PL Grouping'!A:K,3,)</f>
        <v>#N/A</v>
      </c>
      <c r="O110" s="657" t="e">
        <f t="shared" si="3"/>
        <v>#N/A</v>
      </c>
      <c r="Q110" s="641" t="s">
        <v>1513</v>
      </c>
    </row>
    <row r="111" spans="1:17">
      <c r="A111" s="634" t="s">
        <v>166</v>
      </c>
      <c r="B111" s="1018">
        <v>5925799</v>
      </c>
      <c r="C111" s="1013">
        <v>852091</v>
      </c>
      <c r="D111" s="1014"/>
      <c r="E111" s="1015"/>
      <c r="F111" s="1012"/>
      <c r="G111" s="1016"/>
      <c r="H111" s="1014"/>
      <c r="I111" s="1015"/>
      <c r="J111" s="1028" t="str">
        <f t="shared" si="1"/>
        <v>Salary</v>
      </c>
      <c r="K111" s="1028"/>
      <c r="L111" s="1028"/>
      <c r="M111" s="1028"/>
      <c r="N111" t="e">
        <f>VLOOKUP(A111,'PL Grouping'!A:K,3,)</f>
        <v>#N/A</v>
      </c>
      <c r="O111" s="657" t="e">
        <f t="shared" si="3"/>
        <v>#N/A</v>
      </c>
      <c r="Q111" s="641" t="s">
        <v>1061</v>
      </c>
    </row>
    <row r="112" spans="1:17">
      <c r="A112" s="641" t="s">
        <v>177</v>
      </c>
      <c r="B112" s="934">
        <v>18914.57</v>
      </c>
      <c r="C112" s="638"/>
      <c r="D112" s="926"/>
      <c r="E112" s="635"/>
      <c r="F112" s="925"/>
      <c r="G112" s="638"/>
      <c r="H112" s="926"/>
      <c r="I112" s="635"/>
      <c r="J112" s="1028" t="str">
        <f t="shared" si="1"/>
        <v>Administrative Expenses</v>
      </c>
      <c r="K112" s="1028"/>
      <c r="L112" s="1028"/>
      <c r="M112" s="1028"/>
      <c r="N112">
        <f>VLOOKUP(A112,'PL Grouping'!A:K,3,)</f>
        <v>18914.57</v>
      </c>
      <c r="O112" s="657">
        <f t="shared" si="3"/>
        <v>0</v>
      </c>
      <c r="Q112" s="641" t="s">
        <v>1152</v>
      </c>
    </row>
    <row r="113" spans="1:17">
      <c r="A113" s="641" t="s">
        <v>178</v>
      </c>
      <c r="B113" s="934">
        <v>378416.53</v>
      </c>
      <c r="C113" s="638"/>
      <c r="D113" s="926"/>
      <c r="E113" s="635"/>
      <c r="F113" s="925"/>
      <c r="G113" s="638"/>
      <c r="H113" s="926"/>
      <c r="I113" s="635"/>
      <c r="J113" s="1028" t="str">
        <f t="shared" si="1"/>
        <v>Advertisement Expenses</v>
      </c>
      <c r="K113" s="1028"/>
      <c r="L113" s="1028"/>
      <c r="M113" s="1028"/>
      <c r="N113">
        <f>VLOOKUP(A113,'PL Grouping'!A:K,3,)</f>
        <v>378416.53</v>
      </c>
      <c r="O113" s="657">
        <f t="shared" si="3"/>
        <v>0</v>
      </c>
      <c r="Q113" s="641" t="s">
        <v>1062</v>
      </c>
    </row>
    <row r="114" spans="1:17">
      <c r="A114" s="641" t="s">
        <v>1423</v>
      </c>
      <c r="B114" s="925"/>
      <c r="C114" s="638"/>
      <c r="D114" s="926"/>
      <c r="E114" s="635"/>
      <c r="F114" s="934">
        <v>1479.68</v>
      </c>
      <c r="G114" s="638"/>
      <c r="H114" s="926"/>
      <c r="I114" s="635"/>
      <c r="J114" s="1028" t="str">
        <f t="shared" si="1"/>
        <v>Amazon Storage, Pick Pack, Transp and Shipping Fees</v>
      </c>
      <c r="K114" s="1028"/>
      <c r="L114" s="1028"/>
      <c r="M114" s="1028"/>
      <c r="N114">
        <f>VLOOKUP(A114,'PL Grouping'!A:K,3,)</f>
        <v>0</v>
      </c>
      <c r="O114" s="657">
        <f t="shared" si="3"/>
        <v>0</v>
      </c>
      <c r="Q114" s="641" t="s">
        <v>158</v>
      </c>
    </row>
    <row r="115" spans="1:17">
      <c r="A115" s="637" t="s">
        <v>179</v>
      </c>
      <c r="B115" s="934">
        <v>42500</v>
      </c>
      <c r="C115" s="638"/>
      <c r="D115" s="926"/>
      <c r="E115" s="635"/>
      <c r="F115" s="925"/>
      <c r="G115" s="638"/>
      <c r="H115" s="926"/>
      <c r="I115" s="635"/>
      <c r="J115" s="1028" t="str">
        <f t="shared" si="1"/>
        <v>Audit Fees</v>
      </c>
      <c r="K115" s="1028"/>
      <c r="L115" s="1028"/>
      <c r="M115" s="1028"/>
      <c r="N115">
        <f>VLOOKUP(A115,'PL Grouping'!A:K,3,)</f>
        <v>42500</v>
      </c>
      <c r="O115" s="657">
        <f t="shared" si="3"/>
        <v>0</v>
      </c>
      <c r="Q115" s="641" t="s">
        <v>1063</v>
      </c>
    </row>
    <row r="116" spans="1:17">
      <c r="A116" s="641" t="s">
        <v>180</v>
      </c>
      <c r="B116" s="934">
        <v>8381</v>
      </c>
      <c r="C116" s="638"/>
      <c r="D116" s="926"/>
      <c r="E116" s="635"/>
      <c r="F116" s="925"/>
      <c r="G116" s="638"/>
      <c r="H116" s="926"/>
      <c r="I116" s="635"/>
      <c r="J116" s="1028" t="str">
        <f t="shared" si="1"/>
        <v>Auditor Out Of Pocket Expenses</v>
      </c>
      <c r="K116" s="1028"/>
      <c r="L116" s="1028"/>
      <c r="M116" s="1028"/>
      <c r="N116">
        <f>VLOOKUP(A116,'PL Grouping'!A:K,3,)</f>
        <v>8381</v>
      </c>
      <c r="O116" s="657">
        <f t="shared" si="3"/>
        <v>0</v>
      </c>
      <c r="Q116" s="641" t="s">
        <v>1379</v>
      </c>
    </row>
    <row r="117" spans="1:17">
      <c r="A117" s="637" t="s">
        <v>990</v>
      </c>
      <c r="B117" s="934">
        <v>298932.14</v>
      </c>
      <c r="C117" s="638"/>
      <c r="D117" s="926"/>
      <c r="E117" s="635"/>
      <c r="F117" s="934">
        <v>46444</v>
      </c>
      <c r="G117" s="638"/>
      <c r="H117" s="926"/>
      <c r="I117" s="635"/>
      <c r="J117" s="1028" t="str">
        <f t="shared" si="1"/>
        <v>Bad Debts</v>
      </c>
      <c r="K117" s="1028"/>
      <c r="L117" s="1028"/>
      <c r="M117" s="1028"/>
      <c r="N117">
        <f>VLOOKUP(A117,'PL Grouping'!A:K,3,)</f>
        <v>298932.14</v>
      </c>
      <c r="O117" s="657">
        <f t="shared" si="3"/>
        <v>0</v>
      </c>
      <c r="Q117" s="633" t="s">
        <v>159</v>
      </c>
    </row>
    <row r="118" spans="1:17">
      <c r="A118" s="641" t="s">
        <v>181</v>
      </c>
      <c r="B118" s="934">
        <v>21720.04</v>
      </c>
      <c r="C118" s="638"/>
      <c r="D118" s="926"/>
      <c r="E118" s="635"/>
      <c r="F118" s="925"/>
      <c r="G118" s="638"/>
      <c r="H118" s="926"/>
      <c r="I118" s="635"/>
      <c r="J118" s="1028" t="str">
        <f t="shared" si="1"/>
        <v>Bank Charges</v>
      </c>
      <c r="K118" s="1028"/>
      <c r="L118" s="1028"/>
      <c r="M118" s="1028"/>
      <c r="N118">
        <f>VLOOKUP(A118,'PL Grouping'!A:K,3,)</f>
        <v>21720.04</v>
      </c>
      <c r="O118" s="657">
        <f t="shared" si="3"/>
        <v>0</v>
      </c>
      <c r="Q118" s="637" t="s">
        <v>1380</v>
      </c>
    </row>
    <row r="119" spans="1:17">
      <c r="A119" s="637" t="s">
        <v>182</v>
      </c>
      <c r="B119" s="934">
        <v>165224</v>
      </c>
      <c r="C119" s="638"/>
      <c r="D119" s="926"/>
      <c r="E119" s="635"/>
      <c r="F119" s="925"/>
      <c r="G119" s="638"/>
      <c r="H119" s="926"/>
      <c r="I119" s="635"/>
      <c r="J119" s="1028" t="str">
        <f t="shared" si="1"/>
        <v>Bonus</v>
      </c>
      <c r="K119" s="1028"/>
      <c r="L119" s="1028"/>
      <c r="M119" s="1028"/>
      <c r="N119">
        <f>VLOOKUP(A119,'PL Grouping'!A:K,3,)</f>
        <v>165224</v>
      </c>
      <c r="O119" s="657">
        <f t="shared" si="3"/>
        <v>0</v>
      </c>
      <c r="Q119" s="641" t="s">
        <v>1544</v>
      </c>
    </row>
    <row r="120" spans="1:17">
      <c r="A120" s="641" t="s">
        <v>183</v>
      </c>
      <c r="B120" s="934">
        <v>371376</v>
      </c>
      <c r="C120" s="638"/>
      <c r="D120" s="926"/>
      <c r="E120" s="635"/>
      <c r="F120" s="925"/>
      <c r="G120" s="638"/>
      <c r="H120" s="926"/>
      <c r="I120" s="635"/>
      <c r="J120" s="1028" t="str">
        <f t="shared" si="1"/>
        <v>Brand Registeration</v>
      </c>
      <c r="K120" s="1028"/>
      <c r="L120" s="1028"/>
      <c r="M120" s="1028"/>
      <c r="N120">
        <f>VLOOKUP(A120,'PL Grouping'!A:K,3,)</f>
        <v>371376</v>
      </c>
      <c r="O120" s="657">
        <f t="shared" si="3"/>
        <v>0</v>
      </c>
      <c r="Q120" s="641" t="s">
        <v>1613</v>
      </c>
    </row>
    <row r="121" spans="1:17">
      <c r="A121" s="641" t="s">
        <v>186</v>
      </c>
      <c r="B121" s="934">
        <v>891584.46</v>
      </c>
      <c r="C121" s="638"/>
      <c r="D121" s="933">
        <v>3116.66</v>
      </c>
      <c r="E121" s="635"/>
      <c r="F121" s="934">
        <v>2498.02</v>
      </c>
      <c r="G121" s="638"/>
      <c r="H121" s="926"/>
      <c r="I121" s="635"/>
      <c r="J121" s="1028" t="str">
        <f t="shared" si="1"/>
        <v>Commission</v>
      </c>
      <c r="K121" s="1028"/>
      <c r="L121" s="1028"/>
      <c r="M121" s="1028"/>
      <c r="N121">
        <f>VLOOKUP(A121,'PL Grouping'!A:K,3,)</f>
        <v>891584.46</v>
      </c>
      <c r="O121" s="657">
        <f t="shared" si="3"/>
        <v>0</v>
      </c>
      <c r="Q121" s="641" t="s">
        <v>160</v>
      </c>
    </row>
    <row r="122" spans="1:17">
      <c r="A122" s="641" t="s">
        <v>188</v>
      </c>
      <c r="B122" s="934">
        <v>32833</v>
      </c>
      <c r="C122" s="638"/>
      <c r="D122" s="926"/>
      <c r="E122" s="635"/>
      <c r="F122" s="925"/>
      <c r="G122" s="638"/>
      <c r="H122" s="933">
        <v>540</v>
      </c>
      <c r="I122" s="635"/>
      <c r="J122" s="1028" t="str">
        <f t="shared" si="1"/>
        <v>Conveyance Expenses</v>
      </c>
      <c r="K122" s="1028"/>
      <c r="L122" s="1028"/>
      <c r="M122" s="1028"/>
      <c r="N122">
        <f>VLOOKUP(A122,'PL Grouping'!A:K,3,)</f>
        <v>32833</v>
      </c>
      <c r="O122" s="657">
        <f t="shared" si="3"/>
        <v>0</v>
      </c>
      <c r="Q122" s="641" t="s">
        <v>1381</v>
      </c>
    </row>
    <row r="123" spans="1:17">
      <c r="A123" s="641" t="s">
        <v>57</v>
      </c>
      <c r="B123" s="934">
        <v>2370544</v>
      </c>
      <c r="C123" s="638"/>
      <c r="D123" s="926"/>
      <c r="E123" s="635"/>
      <c r="F123" s="925"/>
      <c r="G123" s="638"/>
      <c r="H123" s="933">
        <v>2753</v>
      </c>
      <c r="I123" s="635"/>
      <c r="J123" s="1028" t="str">
        <f t="shared" si="1"/>
        <v>Depreciation</v>
      </c>
      <c r="K123" s="1028"/>
      <c r="L123" s="1028"/>
      <c r="M123" s="1028"/>
      <c r="N123">
        <f>VLOOKUP(A123,'PL Grouping'!A:K,3,)</f>
        <v>2367791</v>
      </c>
      <c r="O123" s="657">
        <f>C123-B123-N123</f>
        <v>-4738335</v>
      </c>
      <c r="Q123" s="633" t="s">
        <v>161</v>
      </c>
    </row>
    <row r="124" spans="1:17">
      <c r="A124" s="641" t="s">
        <v>189</v>
      </c>
      <c r="B124" s="934">
        <v>114625.97</v>
      </c>
      <c r="C124" s="638"/>
      <c r="D124" s="926"/>
      <c r="E124" s="635"/>
      <c r="F124" s="925"/>
      <c r="G124" s="638"/>
      <c r="H124" s="926"/>
      <c r="I124" s="635"/>
      <c r="J124" s="1028" t="str">
        <f t="shared" si="1"/>
        <v>Discount Given</v>
      </c>
      <c r="K124" s="1028"/>
      <c r="L124" s="1028"/>
      <c r="M124" s="1028"/>
      <c r="N124">
        <f>VLOOKUP(A124,'PL Grouping'!A:K,3,)</f>
        <v>114625.97</v>
      </c>
      <c r="O124" s="657">
        <f t="shared" ref="O124:O136" si="4">C124-B124-N124</f>
        <v>-229251.94</v>
      </c>
      <c r="Q124" s="641" t="s">
        <v>982</v>
      </c>
    </row>
    <row r="125" spans="1:17">
      <c r="A125" s="641" t="s">
        <v>190</v>
      </c>
      <c r="B125" s="934">
        <v>7085</v>
      </c>
      <c r="C125" s="638"/>
      <c r="D125" s="926"/>
      <c r="E125" s="635"/>
      <c r="F125" s="925"/>
      <c r="G125" s="638"/>
      <c r="H125" s="926"/>
      <c r="I125" s="635"/>
      <c r="J125" s="1028" t="str">
        <f t="shared" si="1"/>
        <v>Electricity Charges</v>
      </c>
      <c r="K125" s="1028"/>
      <c r="L125" s="1028"/>
      <c r="M125" s="1028"/>
      <c r="N125">
        <f>VLOOKUP(A125,'PL Grouping'!A:K,3,)</f>
        <v>7085</v>
      </c>
      <c r="O125" s="657">
        <f t="shared" si="4"/>
        <v>-14170</v>
      </c>
      <c r="Q125" s="641" t="s">
        <v>162</v>
      </c>
    </row>
    <row r="126" spans="1:17">
      <c r="A126" s="641" t="s">
        <v>1425</v>
      </c>
      <c r="B126" s="925"/>
      <c r="C126" s="638"/>
      <c r="D126" s="926"/>
      <c r="E126" s="635"/>
      <c r="F126" s="925"/>
      <c r="G126" s="638"/>
      <c r="H126" s="933">
        <v>11755</v>
      </c>
      <c r="I126" s="635"/>
      <c r="J126" s="1028" t="str">
        <f t="shared" si="1"/>
        <v>Electricity Expenses</v>
      </c>
      <c r="K126" s="1028"/>
      <c r="L126" s="1028"/>
      <c r="M126" s="1028"/>
      <c r="N126">
        <f>VLOOKUP(A126,'PL Grouping'!A:K,3,)</f>
        <v>0</v>
      </c>
      <c r="O126" s="657">
        <f t="shared" si="4"/>
        <v>0</v>
      </c>
      <c r="Q126" s="641" t="s">
        <v>1545</v>
      </c>
    </row>
    <row r="127" spans="1:17">
      <c r="A127" s="637" t="s">
        <v>1589</v>
      </c>
      <c r="B127" s="934">
        <v>7682</v>
      </c>
      <c r="C127" s="638"/>
      <c r="D127" s="926"/>
      <c r="E127" s="635"/>
      <c r="F127" s="925"/>
      <c r="G127" s="638"/>
      <c r="H127" s="926"/>
      <c r="I127" s="635"/>
      <c r="J127" s="1028" t="e">
        <f t="shared" si="1"/>
        <v>#N/A</v>
      </c>
      <c r="K127" s="1028"/>
      <c r="L127" s="1028"/>
      <c r="M127" s="1028"/>
      <c r="N127">
        <f>VLOOKUP(A127,'PL Grouping'!A:K,3,)</f>
        <v>7682</v>
      </c>
      <c r="O127" s="657">
        <f t="shared" si="4"/>
        <v>-15364</v>
      </c>
      <c r="Q127" s="641" t="s">
        <v>163</v>
      </c>
    </row>
    <row r="128" spans="1:17">
      <c r="A128" s="641" t="s">
        <v>1515</v>
      </c>
      <c r="B128" s="934">
        <v>11352</v>
      </c>
      <c r="C128" s="638"/>
      <c r="D128" s="926"/>
      <c r="E128" s="635"/>
      <c r="F128" s="925"/>
      <c r="G128" s="638"/>
      <c r="H128" s="926"/>
      <c r="I128" s="635"/>
      <c r="J128" s="1028" t="str">
        <f t="shared" si="1"/>
        <v>ESIC Employer's Contribution 3.25%</v>
      </c>
      <c r="K128" s="1028"/>
      <c r="L128" s="1028"/>
      <c r="M128" s="1028"/>
      <c r="N128">
        <f>VLOOKUP(A128,'PL Grouping'!A:K,3,)</f>
        <v>11352</v>
      </c>
      <c r="O128" s="657">
        <f t="shared" si="4"/>
        <v>-22704</v>
      </c>
      <c r="Q128" s="641" t="s">
        <v>443</v>
      </c>
    </row>
    <row r="129" spans="1:17">
      <c r="A129" s="641" t="s">
        <v>1383</v>
      </c>
      <c r="B129" s="934">
        <v>548910.06999999995</v>
      </c>
      <c r="C129" s="638"/>
      <c r="D129" s="926"/>
      <c r="E129" s="635"/>
      <c r="F129" s="925"/>
      <c r="G129" s="638"/>
      <c r="H129" s="926"/>
      <c r="I129" s="635"/>
      <c r="J129" s="1028" t="str">
        <f t="shared" si="1"/>
        <v>Exchnge Rate Loss</v>
      </c>
      <c r="K129" s="1028"/>
      <c r="L129" s="1028"/>
      <c r="M129" s="1028"/>
      <c r="N129">
        <f>VLOOKUP(A129,'PL Grouping'!A:K,3,)</f>
        <v>548910.06999999995</v>
      </c>
      <c r="O129" s="657">
        <f t="shared" si="4"/>
        <v>-1097820.1399999999</v>
      </c>
      <c r="Q129" s="641" t="s">
        <v>1514</v>
      </c>
    </row>
    <row r="130" spans="1:17">
      <c r="A130" s="641" t="s">
        <v>193</v>
      </c>
      <c r="B130" s="934">
        <v>113336</v>
      </c>
      <c r="C130" s="638"/>
      <c r="D130" s="926"/>
      <c r="E130" s="635"/>
      <c r="F130" s="925"/>
      <c r="G130" s="638"/>
      <c r="H130" s="926"/>
      <c r="I130" s="635"/>
      <c r="J130" s="1028" t="str">
        <f t="shared" si="1"/>
        <v>Family Pension @ 8.33%</v>
      </c>
      <c r="K130" s="1028"/>
      <c r="L130" s="1028"/>
      <c r="M130" s="1028"/>
      <c r="N130">
        <f>VLOOKUP(A130,'PL Grouping'!A:K,3,)</f>
        <v>113336</v>
      </c>
      <c r="O130" s="657">
        <f t="shared" si="4"/>
        <v>-226672</v>
      </c>
      <c r="Q130" s="641" t="s">
        <v>1155</v>
      </c>
    </row>
    <row r="131" spans="1:17">
      <c r="A131" s="641" t="s">
        <v>302</v>
      </c>
      <c r="B131" s="934">
        <v>12657.62</v>
      </c>
      <c r="C131" s="638"/>
      <c r="D131" s="926"/>
      <c r="E131" s="635"/>
      <c r="F131" s="925"/>
      <c r="G131" s="638"/>
      <c r="H131" s="926"/>
      <c r="I131" s="635"/>
      <c r="J131" s="1028" t="str">
        <f t="shared" si="1"/>
        <v>Finance Expense</v>
      </c>
      <c r="K131" s="1028"/>
      <c r="L131" s="1028"/>
      <c r="M131" s="1028"/>
      <c r="N131">
        <f>VLOOKUP(A131,'PL Grouping'!A:K,3,)</f>
        <v>12657.62</v>
      </c>
      <c r="O131" s="657">
        <f t="shared" si="4"/>
        <v>-25315.24</v>
      </c>
      <c r="Q131" s="641" t="s">
        <v>446</v>
      </c>
    </row>
    <row r="132" spans="1:17">
      <c r="A132" s="641" t="s">
        <v>515</v>
      </c>
      <c r="B132" s="934">
        <v>24789</v>
      </c>
      <c r="C132" s="638"/>
      <c r="D132" s="926"/>
      <c r="E132" s="635"/>
      <c r="F132" s="925"/>
      <c r="G132" s="638"/>
      <c r="H132" s="926"/>
      <c r="I132" s="635"/>
      <c r="J132" s="1028" t="str">
        <f t="shared" si="1"/>
        <v>Finance/Interest Charges (Credit Card)</v>
      </c>
      <c r="K132" s="1028"/>
      <c r="L132" s="1028"/>
      <c r="M132" s="1028"/>
      <c r="O132" s="657"/>
      <c r="Q132" s="641" t="s">
        <v>446</v>
      </c>
    </row>
    <row r="133" spans="1:17">
      <c r="A133" s="641" t="s">
        <v>1159</v>
      </c>
      <c r="B133" s="934">
        <v>16433</v>
      </c>
      <c r="C133" s="638"/>
      <c r="D133" s="926"/>
      <c r="E133" s="635"/>
      <c r="F133" s="925"/>
      <c r="G133" s="638"/>
      <c r="H133" s="926"/>
      <c r="I133" s="635"/>
      <c r="J133" s="1028" t="str">
        <f t="shared" si="1"/>
        <v>Fine and Penalties</v>
      </c>
      <c r="K133" s="1028"/>
      <c r="L133" s="1028"/>
      <c r="M133" s="1028"/>
      <c r="N133">
        <f>VLOOKUP(A133,'PL Grouping'!A:K,3,)</f>
        <v>16433</v>
      </c>
      <c r="O133" s="657">
        <f t="shared" si="4"/>
        <v>-32866</v>
      </c>
      <c r="Q133" s="641" t="s">
        <v>1546</v>
      </c>
    </row>
    <row r="134" spans="1:17">
      <c r="A134" s="641" t="s">
        <v>1070</v>
      </c>
      <c r="B134" s="934">
        <v>927</v>
      </c>
      <c r="C134" s="638"/>
      <c r="D134" s="926"/>
      <c r="E134" s="635"/>
      <c r="F134" s="925"/>
      <c r="G134" s="638"/>
      <c r="H134" s="926"/>
      <c r="I134" s="635"/>
      <c r="J134" s="1028" t="e">
        <f t="shared" si="1"/>
        <v>#N/A</v>
      </c>
      <c r="K134" s="1028"/>
      <c r="L134" s="1028"/>
      <c r="M134" s="1028"/>
      <c r="N134">
        <f>VLOOKUP(A134,'PL Grouping'!A:K,3,)</f>
        <v>927</v>
      </c>
      <c r="O134" s="657">
        <f t="shared" si="4"/>
        <v>-1854</v>
      </c>
      <c r="Q134" s="641" t="s">
        <v>1547</v>
      </c>
    </row>
    <row r="135" spans="1:17">
      <c r="A135" s="641" t="s">
        <v>1549</v>
      </c>
      <c r="B135" s="934">
        <v>235.95</v>
      </c>
      <c r="C135" s="638"/>
      <c r="D135" s="926"/>
      <c r="E135" s="635"/>
      <c r="F135" s="925"/>
      <c r="G135" s="638"/>
      <c r="H135" s="926"/>
      <c r="I135" s="635"/>
      <c r="J135" s="1028" t="str">
        <f t="shared" si="1"/>
        <v>HDFC Credit Card Charges</v>
      </c>
      <c r="K135" s="1028"/>
      <c r="L135" s="1028"/>
      <c r="M135" s="1028"/>
      <c r="N135">
        <f>VLOOKUP(A135,'PL Grouping'!A:K,3,)</f>
        <v>235.95</v>
      </c>
      <c r="O135" s="657">
        <f t="shared" si="4"/>
        <v>-471.9</v>
      </c>
      <c r="Q135" s="641" t="s">
        <v>512</v>
      </c>
    </row>
    <row r="136" spans="1:17">
      <c r="A136" s="641" t="s">
        <v>196</v>
      </c>
      <c r="B136" s="934">
        <v>410699.36</v>
      </c>
      <c r="C136" s="638"/>
      <c r="D136" s="926"/>
      <c r="E136" s="635"/>
      <c r="F136" s="925"/>
      <c r="G136" s="638"/>
      <c r="H136" s="926"/>
      <c r="I136" s="635"/>
      <c r="J136" s="1028" t="str">
        <f t="shared" ref="J136:J176" si="5">VLOOKUP(A136,Q:Q,1,)</f>
        <v>Interest on OD</v>
      </c>
      <c r="K136" s="1028"/>
      <c r="L136" s="1028"/>
      <c r="M136" s="1028"/>
      <c r="N136">
        <f>VLOOKUP(A136,'PL Grouping'!A:K,3,)</f>
        <v>410699.36</v>
      </c>
      <c r="O136" s="657">
        <f t="shared" si="4"/>
        <v>-821398.72</v>
      </c>
      <c r="Q136" s="641" t="s">
        <v>164</v>
      </c>
    </row>
    <row r="137" spans="1:17">
      <c r="A137" s="641" t="s">
        <v>197</v>
      </c>
      <c r="B137" s="934">
        <v>11651</v>
      </c>
      <c r="C137" s="638"/>
      <c r="D137" s="926"/>
      <c r="E137" s="635"/>
      <c r="F137" s="925"/>
      <c r="G137" s="638"/>
      <c r="H137" s="926"/>
      <c r="I137" s="635"/>
      <c r="J137" s="1028" t="str">
        <f t="shared" si="5"/>
        <v>Interest on TDS</v>
      </c>
      <c r="K137" s="1028"/>
      <c r="L137" s="1028"/>
      <c r="M137" s="1028"/>
      <c r="N137">
        <f>VLOOKUP(A137,'PL Grouping'!A:K,3,)</f>
        <v>11651</v>
      </c>
      <c r="O137" s="657">
        <f t="shared" si="3"/>
        <v>0</v>
      </c>
      <c r="Q137" s="633" t="s">
        <v>165</v>
      </c>
    </row>
    <row r="138" spans="1:17">
      <c r="A138" s="641" t="s">
        <v>200</v>
      </c>
      <c r="B138" s="934">
        <v>1136064.8</v>
      </c>
      <c r="C138" s="638"/>
      <c r="D138" s="926"/>
      <c r="E138" s="635"/>
      <c r="F138" s="925"/>
      <c r="G138" s="638"/>
      <c r="H138" s="926"/>
      <c r="I138" s="635"/>
      <c r="J138" s="1028" t="str">
        <f t="shared" si="5"/>
        <v>Legal &amp; Professional Charges</v>
      </c>
      <c r="K138" s="1028"/>
      <c r="L138" s="1028"/>
      <c r="M138" s="1028"/>
      <c r="N138">
        <f>VLOOKUP(A138,'PL Grouping'!A:K,3,)</f>
        <v>1136064.8</v>
      </c>
      <c r="O138" s="657">
        <f t="shared" si="3"/>
        <v>0</v>
      </c>
      <c r="Q138" s="634" t="s">
        <v>166</v>
      </c>
    </row>
    <row r="139" spans="1:17">
      <c r="A139" s="641" t="s">
        <v>1385</v>
      </c>
      <c r="B139" s="934">
        <v>7924</v>
      </c>
      <c r="C139" s="638"/>
      <c r="D139" s="926"/>
      <c r="E139" s="635"/>
      <c r="F139" s="925"/>
      <c r="G139" s="638"/>
      <c r="H139" s="926"/>
      <c r="I139" s="635"/>
      <c r="J139" s="1028" t="str">
        <f t="shared" si="5"/>
        <v>Loading/Unloading Charges</v>
      </c>
      <c r="K139" s="1028"/>
      <c r="L139" s="1028"/>
      <c r="M139" s="1028"/>
      <c r="N139">
        <f>VLOOKUP(A139,'PL Grouping'!A:K,3,)</f>
        <v>7924</v>
      </c>
      <c r="O139" s="657">
        <f t="shared" si="3"/>
        <v>0</v>
      </c>
      <c r="Q139" s="645" t="s">
        <v>167</v>
      </c>
    </row>
    <row r="140" spans="1:17">
      <c r="A140" s="641" t="s">
        <v>1386</v>
      </c>
      <c r="B140" s="934">
        <v>221125.39</v>
      </c>
      <c r="C140" s="638"/>
      <c r="D140" s="926"/>
      <c r="E140" s="635"/>
      <c r="F140" s="925"/>
      <c r="G140" s="638"/>
      <c r="H140" s="933">
        <v>2016</v>
      </c>
      <c r="I140" s="635"/>
      <c r="J140" s="1028" t="str">
        <f t="shared" si="5"/>
        <v>Loss on Sale of Assets</v>
      </c>
      <c r="K140" s="1028"/>
      <c r="L140" s="1028"/>
      <c r="M140" s="1028"/>
      <c r="N140">
        <f>VLOOKUP(A140,'PL Grouping'!A:K,3,)</f>
        <v>-221125.39</v>
      </c>
      <c r="O140" s="657">
        <f t="shared" si="3"/>
        <v>442250.78</v>
      </c>
      <c r="Q140" s="938" t="s">
        <v>168</v>
      </c>
    </row>
    <row r="141" spans="1:17">
      <c r="A141" s="641" t="s">
        <v>201</v>
      </c>
      <c r="B141" s="934">
        <v>642302.02</v>
      </c>
      <c r="C141" s="638"/>
      <c r="D141" s="926"/>
      <c r="E141" s="635"/>
      <c r="F141" s="925"/>
      <c r="G141" s="638"/>
      <c r="H141" s="926"/>
      <c r="I141" s="635"/>
      <c r="J141" s="1028" t="str">
        <f t="shared" si="5"/>
        <v>Marketing Expenses</v>
      </c>
      <c r="K141" s="1028"/>
      <c r="L141" s="1028"/>
      <c r="M141" s="1028"/>
      <c r="N141">
        <f>VLOOKUP(A141,'PL Grouping'!A:K,3,)</f>
        <v>642302.02</v>
      </c>
      <c r="O141" s="657">
        <f t="shared" si="3"/>
        <v>0</v>
      </c>
      <c r="Q141" s="645" t="s">
        <v>1548</v>
      </c>
    </row>
    <row r="142" spans="1:17">
      <c r="A142" s="641" t="s">
        <v>517</v>
      </c>
      <c r="B142" s="934">
        <v>17774.189999999999</v>
      </c>
      <c r="C142" s="638"/>
      <c r="D142" s="926"/>
      <c r="E142" s="635"/>
      <c r="F142" s="925"/>
      <c r="G142" s="638"/>
      <c r="H142" s="926"/>
      <c r="I142" s="635"/>
      <c r="J142" s="1028" t="str">
        <f t="shared" si="5"/>
        <v>Miscellenous Expenses</v>
      </c>
      <c r="K142" s="1028"/>
      <c r="L142" s="1028"/>
      <c r="M142" s="1028"/>
      <c r="N142">
        <f>VLOOKUP(A142,'PL Grouping'!A:K,3,)</f>
        <v>17774.189999999999</v>
      </c>
      <c r="O142" s="657">
        <f t="shared" si="3"/>
        <v>0</v>
      </c>
      <c r="Q142" s="938" t="s">
        <v>169</v>
      </c>
    </row>
    <row r="143" spans="1:17">
      <c r="A143" s="637" t="s">
        <v>1516</v>
      </c>
      <c r="B143" s="934">
        <v>555500</v>
      </c>
      <c r="C143" s="638"/>
      <c r="D143" s="926"/>
      <c r="E143" s="635"/>
      <c r="F143" s="925"/>
      <c r="G143" s="638"/>
      <c r="H143" s="926"/>
      <c r="I143" s="635"/>
      <c r="J143" s="1028" t="str">
        <f t="shared" si="5"/>
        <v>Notice Pay</v>
      </c>
      <c r="K143" s="1028"/>
      <c r="L143" s="1028"/>
      <c r="M143" s="1028"/>
      <c r="N143">
        <f>VLOOKUP(A143,'PL Grouping'!A:K,3,)</f>
        <v>555500</v>
      </c>
      <c r="O143" s="657">
        <f t="shared" si="3"/>
        <v>0</v>
      </c>
      <c r="Q143" s="938" t="s">
        <v>170</v>
      </c>
    </row>
    <row r="144" spans="1:17">
      <c r="A144" s="641" t="s">
        <v>202</v>
      </c>
      <c r="B144" s="934">
        <v>55454</v>
      </c>
      <c r="C144" s="638"/>
      <c r="D144" s="926"/>
      <c r="E144" s="635"/>
      <c r="F144" s="925"/>
      <c r="G144" s="638"/>
      <c r="H144" s="926"/>
      <c r="I144" s="635"/>
      <c r="J144" s="1028" t="str">
        <f t="shared" si="5"/>
        <v>Office Expenses</v>
      </c>
      <c r="K144" s="1028"/>
      <c r="L144" s="1028"/>
      <c r="M144" s="1028"/>
      <c r="N144">
        <f>VLOOKUP(A144,'PL Grouping'!A:K,3,)</f>
        <v>55454</v>
      </c>
      <c r="O144" s="657">
        <f t="shared" si="3"/>
        <v>0</v>
      </c>
      <c r="Q144" s="938" t="s">
        <v>171</v>
      </c>
    </row>
    <row r="145" spans="1:17">
      <c r="A145" s="641" t="s">
        <v>203</v>
      </c>
      <c r="B145" s="934">
        <v>15000</v>
      </c>
      <c r="C145" s="638"/>
      <c r="D145" s="926"/>
      <c r="E145" s="635"/>
      <c r="F145" s="925"/>
      <c r="G145" s="638"/>
      <c r="H145" s="926"/>
      <c r="I145" s="635"/>
      <c r="J145" s="1028" t="str">
        <f t="shared" si="5"/>
        <v>Other Service Charges</v>
      </c>
      <c r="K145" s="1028"/>
      <c r="L145" s="1028"/>
      <c r="M145" s="1028"/>
      <c r="N145">
        <f>VLOOKUP(A145,'PL Grouping'!A:K,3,)</f>
        <v>15000</v>
      </c>
      <c r="O145" s="657">
        <f t="shared" si="3"/>
        <v>0</v>
      </c>
      <c r="Q145" s="938" t="s">
        <v>172</v>
      </c>
    </row>
    <row r="146" spans="1:17">
      <c r="A146" s="641" t="s">
        <v>1550</v>
      </c>
      <c r="B146" s="925"/>
      <c r="C146" s="638"/>
      <c r="D146" s="926"/>
      <c r="E146" s="635"/>
      <c r="F146" s="925"/>
      <c r="G146" s="638"/>
      <c r="H146" s="933">
        <v>4480</v>
      </c>
      <c r="I146" s="635"/>
      <c r="J146" s="1028" t="str">
        <f t="shared" si="5"/>
        <v>Packing Charges</v>
      </c>
      <c r="K146" s="1028"/>
      <c r="L146" s="1028"/>
      <c r="M146" s="1028"/>
      <c r="N146">
        <f>VLOOKUP(A146,'PL Grouping'!A:K,3,)</f>
        <v>0</v>
      </c>
      <c r="O146" s="657">
        <f t="shared" si="3"/>
        <v>0</v>
      </c>
      <c r="Q146" s="938" t="s">
        <v>513</v>
      </c>
    </row>
    <row r="147" spans="1:17">
      <c r="A147" s="641" t="s">
        <v>204</v>
      </c>
      <c r="B147" s="934">
        <v>10513.76</v>
      </c>
      <c r="C147" s="638"/>
      <c r="D147" s="926"/>
      <c r="E147" s="635"/>
      <c r="F147" s="925"/>
      <c r="G147" s="638"/>
      <c r="H147" s="926"/>
      <c r="I147" s="635"/>
      <c r="J147" s="1028" t="str">
        <f t="shared" si="5"/>
        <v>Paytm Commission</v>
      </c>
      <c r="K147" s="1028"/>
      <c r="L147" s="1028"/>
      <c r="M147" s="1028"/>
      <c r="N147">
        <f>VLOOKUP(A147,'PL Grouping'!A:K,3,)</f>
        <v>10513.76</v>
      </c>
      <c r="O147" s="657">
        <f t="shared" si="3"/>
        <v>0</v>
      </c>
      <c r="Q147" s="938" t="s">
        <v>173</v>
      </c>
    </row>
    <row r="148" spans="1:17">
      <c r="A148" s="641" t="s">
        <v>205</v>
      </c>
      <c r="B148" s="934">
        <v>18884</v>
      </c>
      <c r="C148" s="638"/>
      <c r="D148" s="926"/>
      <c r="E148" s="635"/>
      <c r="F148" s="925"/>
      <c r="G148" s="638"/>
      <c r="H148" s="926"/>
      <c r="I148" s="635"/>
      <c r="J148" s="1028" t="str">
        <f t="shared" si="5"/>
        <v>PF Administrative Expenses</v>
      </c>
      <c r="K148" s="1028"/>
      <c r="L148" s="1028"/>
      <c r="M148" s="1028"/>
      <c r="N148">
        <f>VLOOKUP(A148,'PL Grouping'!A:K,3,)</f>
        <v>18884</v>
      </c>
      <c r="O148" s="657">
        <f t="shared" si="3"/>
        <v>0</v>
      </c>
      <c r="Q148" s="938" t="s">
        <v>174</v>
      </c>
    </row>
    <row r="149" spans="1:17">
      <c r="A149" s="641" t="s">
        <v>206</v>
      </c>
      <c r="B149" s="934">
        <v>131776</v>
      </c>
      <c r="C149" s="638"/>
      <c r="D149" s="926"/>
      <c r="E149" s="635"/>
      <c r="F149" s="925"/>
      <c r="G149" s="638"/>
      <c r="H149" s="926"/>
      <c r="I149" s="635"/>
      <c r="J149" s="1028" t="str">
        <f t="shared" si="5"/>
        <v>PF Employers Contribution @ 3.67%</v>
      </c>
      <c r="K149" s="1028"/>
      <c r="L149" s="1028"/>
      <c r="M149" s="1028"/>
      <c r="N149">
        <f>VLOOKUP(A149,'PL Grouping'!A:K,3,)</f>
        <v>131776</v>
      </c>
      <c r="O149" s="657">
        <f t="shared" si="3"/>
        <v>0</v>
      </c>
      <c r="Q149" s="938" t="s">
        <v>175</v>
      </c>
    </row>
    <row r="150" spans="1:17">
      <c r="A150" s="641" t="s">
        <v>207</v>
      </c>
      <c r="B150" s="934">
        <v>1589541.17</v>
      </c>
      <c r="C150" s="638"/>
      <c r="D150" s="926"/>
      <c r="E150" s="635"/>
      <c r="F150" s="925"/>
      <c r="G150" s="638"/>
      <c r="H150" s="926"/>
      <c r="I150" s="635"/>
      <c r="J150" s="1028" t="str">
        <f t="shared" si="5"/>
        <v>Postage &amp; Courier</v>
      </c>
      <c r="K150" s="1028"/>
      <c r="L150" s="1028"/>
      <c r="M150" s="1028"/>
      <c r="N150">
        <f>VLOOKUP(A150,'PL Grouping'!A:K,3,)</f>
        <v>1589541.17</v>
      </c>
      <c r="O150" s="657">
        <f t="shared" si="3"/>
        <v>0</v>
      </c>
      <c r="Q150" s="938" t="s">
        <v>176</v>
      </c>
    </row>
    <row r="151" spans="1:17">
      <c r="A151" s="641" t="s">
        <v>518</v>
      </c>
      <c r="B151" s="934">
        <v>4295</v>
      </c>
      <c r="C151" s="638"/>
      <c r="D151" s="926"/>
      <c r="E151" s="635"/>
      <c r="F151" s="925"/>
      <c r="G151" s="638"/>
      <c r="H151" s="926"/>
      <c r="I151" s="635"/>
      <c r="J151" s="1028" t="str">
        <f t="shared" si="5"/>
        <v>Printing &amp; Stationery - Expenses</v>
      </c>
      <c r="K151" s="1028"/>
      <c r="L151" s="1028"/>
      <c r="M151" s="1028"/>
      <c r="N151">
        <f>VLOOKUP(A151,'PL Grouping'!A:K,3,)</f>
        <v>4295</v>
      </c>
      <c r="O151" s="657">
        <f t="shared" si="3"/>
        <v>0</v>
      </c>
      <c r="Q151" s="641" t="s">
        <v>177</v>
      </c>
    </row>
    <row r="152" spans="1:17">
      <c r="A152" s="641" t="s">
        <v>208</v>
      </c>
      <c r="B152" s="934">
        <v>2500</v>
      </c>
      <c r="C152" s="638"/>
      <c r="D152" s="926"/>
      <c r="E152" s="635"/>
      <c r="F152" s="925"/>
      <c r="G152" s="638"/>
      <c r="H152" s="926"/>
      <c r="I152" s="635"/>
      <c r="J152" s="1028" t="str">
        <f t="shared" si="5"/>
        <v>Profession Tax- Company</v>
      </c>
      <c r="K152" s="1028"/>
      <c r="L152" s="1028"/>
      <c r="M152" s="1028"/>
      <c r="N152">
        <f>VLOOKUP(A152,'PL Grouping'!A:K,3,)</f>
        <v>2500</v>
      </c>
      <c r="O152" s="657">
        <f t="shared" si="3"/>
        <v>0</v>
      </c>
      <c r="Q152" s="641" t="s">
        <v>178</v>
      </c>
    </row>
    <row r="153" spans="1:17">
      <c r="A153" s="641" t="s">
        <v>1590</v>
      </c>
      <c r="B153" s="934">
        <v>198158</v>
      </c>
      <c r="C153" s="638"/>
      <c r="D153" s="926"/>
      <c r="E153" s="635"/>
      <c r="F153" s="925"/>
      <c r="G153" s="638"/>
      <c r="H153" s="926"/>
      <c r="I153" s="635"/>
      <c r="J153" s="1028" t="e">
        <f t="shared" si="5"/>
        <v>#N/A</v>
      </c>
      <c r="K153" s="1028"/>
      <c r="L153" s="1028"/>
      <c r="M153" s="1028"/>
      <c r="N153">
        <f>VLOOKUP(A153,'PL Grouping'!A:K,3,)</f>
        <v>198158</v>
      </c>
      <c r="O153" s="657">
        <f t="shared" si="3"/>
        <v>0</v>
      </c>
      <c r="Q153" s="641" t="s">
        <v>1423</v>
      </c>
    </row>
    <row r="154" spans="1:17">
      <c r="A154" s="641" t="s">
        <v>984</v>
      </c>
      <c r="B154" s="934">
        <v>27191.86</v>
      </c>
      <c r="C154" s="638"/>
      <c r="D154" s="926"/>
      <c r="E154" s="635"/>
      <c r="F154" s="925"/>
      <c r="G154" s="638"/>
      <c r="H154" s="926"/>
      <c r="I154" s="635"/>
      <c r="J154" s="1028" t="str">
        <f t="shared" si="5"/>
        <v>Razorpay's Service Fees</v>
      </c>
      <c r="K154" s="1028"/>
      <c r="L154" s="1028"/>
      <c r="M154" s="1028"/>
      <c r="N154">
        <f>VLOOKUP(A154,'PL Grouping'!A:K,3,)</f>
        <v>27191.86</v>
      </c>
      <c r="O154" s="657">
        <f t="shared" si="3"/>
        <v>0</v>
      </c>
      <c r="Q154" s="637" t="s">
        <v>179</v>
      </c>
    </row>
    <row r="155" spans="1:17">
      <c r="A155" s="641" t="s">
        <v>209</v>
      </c>
      <c r="B155" s="934">
        <v>6638</v>
      </c>
      <c r="C155" s="638"/>
      <c r="D155" s="926"/>
      <c r="E155" s="635"/>
      <c r="F155" s="925"/>
      <c r="G155" s="638"/>
      <c r="H155" s="926"/>
      <c r="I155" s="635"/>
      <c r="J155" s="1028" t="str">
        <f t="shared" si="5"/>
        <v>Registration Fees</v>
      </c>
      <c r="K155" s="1028"/>
      <c r="L155" s="1028"/>
      <c r="M155" s="1028"/>
      <c r="N155">
        <f>VLOOKUP(A155,'PL Grouping'!A:K,3,)</f>
        <v>6638</v>
      </c>
      <c r="O155" s="657">
        <f t="shared" si="3"/>
        <v>0</v>
      </c>
      <c r="Q155" s="641" t="s">
        <v>180</v>
      </c>
    </row>
    <row r="156" spans="1:17">
      <c r="A156" s="641" t="s">
        <v>519</v>
      </c>
      <c r="B156" s="934">
        <v>15021</v>
      </c>
      <c r="C156" s="638"/>
      <c r="D156" s="926"/>
      <c r="E156" s="635"/>
      <c r="F156" s="925"/>
      <c r="G156" s="638"/>
      <c r="H156" s="926"/>
      <c r="I156" s="635"/>
      <c r="J156" s="1028" t="str">
        <f t="shared" si="5"/>
        <v>Renewal Fees</v>
      </c>
      <c r="K156" s="1028"/>
      <c r="L156" s="1028"/>
      <c r="M156" s="1028"/>
      <c r="N156">
        <f>VLOOKUP(A156,'PL Grouping'!A:K,3,)</f>
        <v>15021</v>
      </c>
      <c r="O156" s="657">
        <f t="shared" si="3"/>
        <v>0</v>
      </c>
      <c r="Q156" s="637" t="s">
        <v>990</v>
      </c>
    </row>
    <row r="157" spans="1:17">
      <c r="A157" s="637" t="s">
        <v>210</v>
      </c>
      <c r="B157" s="934">
        <v>130000</v>
      </c>
      <c r="C157" s="638"/>
      <c r="D157" s="933">
        <v>309850</v>
      </c>
      <c r="E157" s="635"/>
      <c r="F157" s="925"/>
      <c r="G157" s="638"/>
      <c r="H157" s="933">
        <v>50751.5</v>
      </c>
      <c r="I157" s="635"/>
      <c r="J157" s="1028" t="str">
        <f t="shared" si="5"/>
        <v>Rent</v>
      </c>
      <c r="K157" s="1028"/>
      <c r="L157" s="1028"/>
      <c r="M157" s="1028"/>
      <c r="N157">
        <f>VLOOKUP(A157,'PL Grouping'!A:K,3,)</f>
        <v>130000</v>
      </c>
      <c r="O157" s="657">
        <f t="shared" si="3"/>
        <v>0</v>
      </c>
      <c r="Q157" s="641" t="s">
        <v>181</v>
      </c>
    </row>
    <row r="158" spans="1:17">
      <c r="A158" s="641" t="s">
        <v>520</v>
      </c>
      <c r="B158" s="934">
        <v>68</v>
      </c>
      <c r="C158" s="638"/>
      <c r="D158" s="926"/>
      <c r="E158" s="635"/>
      <c r="F158" s="925"/>
      <c r="G158" s="638"/>
      <c r="H158" s="926"/>
      <c r="I158" s="635"/>
      <c r="J158" s="1028" t="str">
        <f t="shared" si="5"/>
        <v>Repairs &amp; Maintainance</v>
      </c>
      <c r="K158" s="1028"/>
      <c r="L158" s="1028"/>
      <c r="M158" s="1028"/>
      <c r="N158">
        <f>VLOOKUP(A158,'PL Grouping'!A:K,3,)</f>
        <v>68</v>
      </c>
      <c r="O158" s="657">
        <f t="shared" si="3"/>
        <v>0</v>
      </c>
      <c r="Q158" s="637" t="s">
        <v>182</v>
      </c>
    </row>
    <row r="159" spans="1:17">
      <c r="A159" s="641" t="s">
        <v>212</v>
      </c>
      <c r="B159" s="934">
        <v>469210</v>
      </c>
      <c r="C159" s="638"/>
      <c r="D159" s="926"/>
      <c r="E159" s="635"/>
      <c r="F159" s="925"/>
      <c r="G159" s="638"/>
      <c r="H159" s="926"/>
      <c r="I159" s="635"/>
      <c r="J159" s="1028" t="str">
        <f t="shared" si="5"/>
        <v>Retainership Fees</v>
      </c>
      <c r="K159" s="1028"/>
      <c r="L159" s="1028"/>
      <c r="M159" s="1028"/>
      <c r="N159">
        <f>VLOOKUP(A159,'PL Grouping'!A:K,3,)</f>
        <v>469210</v>
      </c>
      <c r="O159" s="657">
        <f t="shared" si="3"/>
        <v>0</v>
      </c>
      <c r="Q159" s="641" t="s">
        <v>183</v>
      </c>
    </row>
    <row r="160" spans="1:17">
      <c r="A160" s="641" t="s">
        <v>213</v>
      </c>
      <c r="B160" s="934">
        <v>2.72</v>
      </c>
      <c r="C160" s="638"/>
      <c r="D160" s="933">
        <v>0.53</v>
      </c>
      <c r="E160" s="635"/>
      <c r="F160" s="925"/>
      <c r="G160" s="638"/>
      <c r="H160" s="926"/>
      <c r="I160" s="636">
        <v>1.44</v>
      </c>
      <c r="J160" s="1028" t="str">
        <f t="shared" si="5"/>
        <v>Rounding Off</v>
      </c>
      <c r="K160" s="1028"/>
      <c r="L160" s="1028"/>
      <c r="M160" s="1028"/>
      <c r="N160">
        <f>VLOOKUP(A160,'PL Grouping'!A:K,3,)</f>
        <v>2.72</v>
      </c>
      <c r="O160" s="657">
        <f t="shared" si="3"/>
        <v>0</v>
      </c>
      <c r="Q160" s="641" t="s">
        <v>186</v>
      </c>
    </row>
    <row r="161" spans="1:17">
      <c r="A161" s="637" t="s">
        <v>1389</v>
      </c>
      <c r="B161" s="925"/>
      <c r="C161" s="639">
        <v>307.85000000000002</v>
      </c>
      <c r="D161" s="926"/>
      <c r="E161" s="636">
        <v>0.15</v>
      </c>
      <c r="F161" s="934">
        <v>0.96</v>
      </c>
      <c r="G161" s="638"/>
      <c r="H161" s="926"/>
      <c r="I161" s="635"/>
      <c r="J161" s="1028" t="str">
        <f t="shared" si="5"/>
        <v>RoundOff</v>
      </c>
      <c r="K161" s="1028"/>
      <c r="L161" s="1028"/>
      <c r="M161" s="1028"/>
      <c r="N161">
        <f>VLOOKUP(A161,'PL Grouping'!A:K,3,)</f>
        <v>-307.85000000000002</v>
      </c>
      <c r="O161" s="657">
        <f t="shared" si="3"/>
        <v>0</v>
      </c>
      <c r="Q161" s="641" t="s">
        <v>188</v>
      </c>
    </row>
    <row r="162" spans="1:17">
      <c r="A162" s="641" t="s">
        <v>446</v>
      </c>
      <c r="B162" s="925"/>
      <c r="C162" s="638"/>
      <c r="D162" s="926"/>
      <c r="E162" s="635"/>
      <c r="F162" s="925"/>
      <c r="G162" s="638"/>
      <c r="H162" s="926"/>
      <c r="I162" s="635"/>
      <c r="J162" s="1028" t="str">
        <f t="shared" si="5"/>
        <v>Shipping Charges</v>
      </c>
      <c r="K162" s="1028"/>
      <c r="L162" s="1028"/>
      <c r="M162" s="1028"/>
      <c r="N162">
        <f>VLOOKUP(A162,'PL Grouping'!A:K,3,)</f>
        <v>170350.79</v>
      </c>
      <c r="O162" s="657">
        <f t="shared" si="3"/>
        <v>-170350.79</v>
      </c>
      <c r="Q162" s="641" t="s">
        <v>57</v>
      </c>
    </row>
    <row r="163" spans="1:17">
      <c r="A163" s="641" t="s">
        <v>521</v>
      </c>
      <c r="B163" s="934">
        <v>953418.04</v>
      </c>
      <c r="C163" s="638"/>
      <c r="D163" s="926"/>
      <c r="E163" s="635"/>
      <c r="F163" s="925"/>
      <c r="G163" s="638"/>
      <c r="H163" s="926"/>
      <c r="I163" s="635"/>
      <c r="J163" s="1028" t="str">
        <f t="shared" si="5"/>
        <v>Software Expense</v>
      </c>
      <c r="K163" s="1028"/>
      <c r="L163" s="1028"/>
      <c r="M163" s="1028"/>
      <c r="N163">
        <f>VLOOKUP(A163,'PL Grouping'!A:K,3,)</f>
        <v>953418.04</v>
      </c>
      <c r="O163" s="657">
        <f t="shared" si="3"/>
        <v>0</v>
      </c>
      <c r="Q163" s="641" t="s">
        <v>189</v>
      </c>
    </row>
    <row r="164" spans="1:17">
      <c r="A164" s="641" t="s">
        <v>214</v>
      </c>
      <c r="B164" s="934">
        <v>85750.71</v>
      </c>
      <c r="C164" s="638"/>
      <c r="D164" s="926"/>
      <c r="E164" s="635"/>
      <c r="F164" s="925"/>
      <c r="G164" s="638"/>
      <c r="H164" s="926"/>
      <c r="I164" s="635"/>
      <c r="J164" s="1028" t="str">
        <f t="shared" si="5"/>
        <v>Staff Welfare</v>
      </c>
      <c r="K164" s="1028"/>
      <c r="L164" s="1028"/>
      <c r="M164" s="1028"/>
      <c r="N164">
        <f>VLOOKUP(A164,'PL Grouping'!A:K,3,)</f>
        <v>85750.71</v>
      </c>
      <c r="O164" s="657">
        <f t="shared" si="3"/>
        <v>0</v>
      </c>
      <c r="Q164" s="641" t="s">
        <v>190</v>
      </c>
    </row>
    <row r="165" spans="1:17">
      <c r="A165" s="637" t="s">
        <v>215</v>
      </c>
      <c r="B165" s="934">
        <v>41466</v>
      </c>
      <c r="C165" s="638"/>
      <c r="D165" s="926"/>
      <c r="E165" s="635"/>
      <c r="F165" s="925"/>
      <c r="G165" s="638"/>
      <c r="H165" s="926"/>
      <c r="I165" s="635"/>
      <c r="J165" s="1028" t="str">
        <f t="shared" si="5"/>
        <v>Stipend</v>
      </c>
      <c r="K165" s="1028"/>
      <c r="L165" s="1028"/>
      <c r="M165" s="1028"/>
      <c r="N165">
        <f>VLOOKUP(A165,'PL Grouping'!A:K,3,)</f>
        <v>41466</v>
      </c>
      <c r="O165" s="657">
        <f t="shared" si="3"/>
        <v>0</v>
      </c>
      <c r="Q165" s="641" t="s">
        <v>1425</v>
      </c>
    </row>
    <row r="166" spans="1:17">
      <c r="A166" s="641" t="s">
        <v>1517</v>
      </c>
      <c r="B166" s="934">
        <v>253934.67</v>
      </c>
      <c r="C166" s="638"/>
      <c r="D166" s="926"/>
      <c r="E166" s="635"/>
      <c r="F166" s="925"/>
      <c r="G166" s="638"/>
      <c r="H166" s="926"/>
      <c r="I166" s="635"/>
      <c r="J166" s="1028" t="str">
        <f t="shared" si="5"/>
        <v>Stock Damaged in Transit</v>
      </c>
      <c r="K166" s="1028"/>
      <c r="L166" s="1028"/>
      <c r="M166" s="1028"/>
      <c r="N166">
        <f>VLOOKUP(A166,'PL Grouping'!A:K,3,)</f>
        <v>253934.67</v>
      </c>
      <c r="O166" s="657">
        <f t="shared" si="3"/>
        <v>0</v>
      </c>
      <c r="Q166" s="641" t="s">
        <v>1515</v>
      </c>
    </row>
    <row r="167" spans="1:17">
      <c r="A167" s="641" t="s">
        <v>1428</v>
      </c>
      <c r="B167" s="925"/>
      <c r="C167" s="638"/>
      <c r="D167" s="933">
        <v>2084.92</v>
      </c>
      <c r="E167" s="635"/>
      <c r="F167" s="925"/>
      <c r="G167" s="638"/>
      <c r="H167" s="926"/>
      <c r="I167" s="635"/>
      <c r="J167" s="1028" t="str">
        <f t="shared" si="5"/>
        <v>Storage, Shipping and Pick and Pack Fees</v>
      </c>
      <c r="K167" s="1028"/>
      <c r="L167" s="1028"/>
      <c r="M167" s="1028"/>
      <c r="N167">
        <f>VLOOKUP(A167,'PL Grouping'!A:K,3,)</f>
        <v>0</v>
      </c>
      <c r="O167" s="657">
        <f t="shared" si="3"/>
        <v>0</v>
      </c>
      <c r="Q167" s="641" t="s">
        <v>1383</v>
      </c>
    </row>
    <row r="168" spans="1:17">
      <c r="A168" s="641" t="s">
        <v>1391</v>
      </c>
      <c r="B168" s="925"/>
      <c r="C168" s="639">
        <v>3408</v>
      </c>
      <c r="D168" s="926"/>
      <c r="E168" s="635"/>
      <c r="F168" s="934">
        <v>1855.7</v>
      </c>
      <c r="G168" s="638"/>
      <c r="H168" s="926"/>
      <c r="I168" s="635"/>
      <c r="J168" s="1028" t="str">
        <f t="shared" si="5"/>
        <v>Sundry Advances / Debit Balance Written Off</v>
      </c>
      <c r="K168" s="1028"/>
      <c r="L168" s="1028"/>
      <c r="M168" s="1028"/>
      <c r="N168">
        <f>VLOOKUP(A168,'PL Grouping'!A:K,3,)</f>
        <v>3408</v>
      </c>
      <c r="O168" s="657">
        <f t="shared" ref="O168:O211" si="6">B168-C168-N168</f>
        <v>-6816</v>
      </c>
      <c r="Q168" s="641" t="s">
        <v>193</v>
      </c>
    </row>
    <row r="169" spans="1:17">
      <c r="A169" s="641" t="s">
        <v>216</v>
      </c>
      <c r="B169" s="934">
        <v>6930.5</v>
      </c>
      <c r="C169" s="638"/>
      <c r="D169" s="933">
        <v>1800</v>
      </c>
      <c r="E169" s="635"/>
      <c r="F169" s="934">
        <v>27.54</v>
      </c>
      <c r="G169" s="638"/>
      <c r="H169" s="933">
        <v>6000</v>
      </c>
      <c r="I169" s="635"/>
      <c r="J169" s="1028" t="str">
        <f t="shared" si="5"/>
        <v>Sundry Expenses</v>
      </c>
      <c r="K169" s="1028"/>
      <c r="L169" s="1028"/>
      <c r="M169" s="1028"/>
      <c r="N169">
        <f>VLOOKUP(A169,'PL Grouping'!A:K,3,)</f>
        <v>6930.5</v>
      </c>
      <c r="O169" s="657">
        <f t="shared" si="6"/>
        <v>0</v>
      </c>
      <c r="Q169" s="641" t="s">
        <v>302</v>
      </c>
    </row>
    <row r="170" spans="1:17">
      <c r="A170" s="641" t="s">
        <v>217</v>
      </c>
      <c r="B170" s="934">
        <v>33544.519999999997</v>
      </c>
      <c r="C170" s="638"/>
      <c r="D170" s="926"/>
      <c r="E170" s="635"/>
      <c r="F170" s="925"/>
      <c r="G170" s="638"/>
      <c r="H170" s="926"/>
      <c r="I170" s="635"/>
      <c r="J170" s="1028" t="str">
        <f t="shared" si="5"/>
        <v>Telephone Expenses</v>
      </c>
      <c r="K170" s="1028"/>
      <c r="L170" s="1028"/>
      <c r="M170" s="1028"/>
      <c r="N170">
        <f>VLOOKUP(A170,'PL Grouping'!A:K,3,)</f>
        <v>33544.519999999997</v>
      </c>
      <c r="O170" s="657">
        <f t="shared" si="6"/>
        <v>0</v>
      </c>
      <c r="Q170" s="641" t="s">
        <v>515</v>
      </c>
    </row>
    <row r="171" spans="1:17">
      <c r="A171" s="641" t="s">
        <v>523</v>
      </c>
      <c r="B171" s="934">
        <v>16550</v>
      </c>
      <c r="C171" s="638"/>
      <c r="D171" s="926"/>
      <c r="E171" s="635"/>
      <c r="F171" s="925"/>
      <c r="G171" s="638"/>
      <c r="H171" s="926"/>
      <c r="I171" s="635"/>
      <c r="J171" s="1028" t="str">
        <f t="shared" si="5"/>
        <v>Transportation Expenses</v>
      </c>
      <c r="K171" s="1028"/>
      <c r="L171" s="1028"/>
      <c r="M171" s="1028"/>
      <c r="N171">
        <f>VLOOKUP(A171,'PL Grouping'!A:K,3,)</f>
        <v>16550</v>
      </c>
      <c r="O171" s="657">
        <f t="shared" si="6"/>
        <v>0</v>
      </c>
      <c r="Q171" s="641" t="s">
        <v>1159</v>
      </c>
    </row>
    <row r="172" spans="1:17">
      <c r="A172" s="641" t="s">
        <v>218</v>
      </c>
      <c r="B172" s="934">
        <v>8807</v>
      </c>
      <c r="C172" s="638"/>
      <c r="D172" s="933">
        <v>21243</v>
      </c>
      <c r="E172" s="635"/>
      <c r="F172" s="925"/>
      <c r="G172" s="638"/>
      <c r="H172" s="926"/>
      <c r="I172" s="635"/>
      <c r="J172" s="1028" t="str">
        <f t="shared" si="5"/>
        <v>Travelling Expenses</v>
      </c>
      <c r="K172" s="1028"/>
      <c r="L172" s="1028"/>
      <c r="M172" s="1028"/>
      <c r="N172">
        <f>VLOOKUP(A172,'PL Grouping'!A:K,3,)</f>
        <v>8807</v>
      </c>
      <c r="O172" s="657">
        <f t="shared" si="6"/>
        <v>0</v>
      </c>
      <c r="Q172" s="641" t="s">
        <v>1549</v>
      </c>
    </row>
    <row r="173" spans="1:17">
      <c r="A173" s="641" t="s">
        <v>1392</v>
      </c>
      <c r="B173" s="934">
        <v>1275000</v>
      </c>
      <c r="C173" s="638"/>
      <c r="D173" s="926"/>
      <c r="E173" s="635"/>
      <c r="F173" s="925"/>
      <c r="G173" s="638"/>
      <c r="H173" s="926"/>
      <c r="I173" s="635"/>
      <c r="J173" s="1028" t="str">
        <f t="shared" si="5"/>
        <v>Warehouse Service Charges</v>
      </c>
      <c r="K173" s="1028"/>
      <c r="L173" s="1028"/>
      <c r="M173" s="1028"/>
      <c r="N173">
        <f>VLOOKUP(A173,'PL Grouping'!A:K,3,)</f>
        <v>1275000</v>
      </c>
      <c r="O173" s="657">
        <f t="shared" si="6"/>
        <v>0</v>
      </c>
      <c r="Q173" s="641" t="s">
        <v>196</v>
      </c>
    </row>
    <row r="174" spans="1:17">
      <c r="A174" s="641" t="s">
        <v>219</v>
      </c>
      <c r="B174" s="934">
        <v>143718.57999999999</v>
      </c>
      <c r="C174" s="638"/>
      <c r="D174" s="926"/>
      <c r="E174" s="635"/>
      <c r="F174" s="925"/>
      <c r="G174" s="638"/>
      <c r="H174" s="926"/>
      <c r="I174" s="635"/>
      <c r="J174" s="1028" t="str">
        <f t="shared" si="5"/>
        <v>Website Expenses</v>
      </c>
      <c r="K174" s="1028"/>
      <c r="L174" s="1028"/>
      <c r="M174" s="1028"/>
      <c r="N174">
        <f>VLOOKUP(A174,'PL Grouping'!A:K,3,)</f>
        <v>143718.57999999999</v>
      </c>
      <c r="O174" s="657">
        <f t="shared" si="6"/>
        <v>0</v>
      </c>
      <c r="Q174" s="641" t="s">
        <v>197</v>
      </c>
    </row>
    <row r="175" spans="1:17">
      <c r="A175" s="647" t="s">
        <v>1077</v>
      </c>
      <c r="B175" s="933">
        <v>7416133</v>
      </c>
      <c r="C175" s="635"/>
      <c r="D175" s="925"/>
      <c r="E175" s="638"/>
      <c r="F175" s="926"/>
      <c r="G175" s="635"/>
      <c r="H175" s="925"/>
      <c r="I175" s="638"/>
      <c r="J175" s="1028" t="str">
        <f t="shared" si="5"/>
        <v>Profit &amp; Loss A/c</v>
      </c>
      <c r="K175" s="1028"/>
      <c r="L175" s="1028"/>
      <c r="M175" s="1028"/>
      <c r="N175" t="e">
        <f>VLOOKUP(A175,'PL Grouping'!A:K,3,)</f>
        <v>#N/A</v>
      </c>
      <c r="O175" s="657" t="e">
        <f t="shared" si="6"/>
        <v>#N/A</v>
      </c>
      <c r="Q175" s="641" t="s">
        <v>200</v>
      </c>
    </row>
    <row r="176" spans="1:17">
      <c r="A176" s="1020" t="s">
        <v>1078</v>
      </c>
      <c r="B176" s="1001">
        <v>327678100.38</v>
      </c>
      <c r="C176" s="1002">
        <v>327678100.38</v>
      </c>
      <c r="D176" s="1021">
        <v>599646.82999999996</v>
      </c>
      <c r="E176" s="1022">
        <v>599646.82999999996</v>
      </c>
      <c r="F176" s="1001">
        <v>173436.79999999999</v>
      </c>
      <c r="G176" s="1002">
        <v>173436.79999999999</v>
      </c>
      <c r="H176" s="1021">
        <v>1159134.72</v>
      </c>
      <c r="I176" s="1022">
        <v>1159134.72</v>
      </c>
      <c r="J176" s="1028" t="str">
        <f t="shared" si="5"/>
        <v>Grand Total</v>
      </c>
      <c r="K176" s="1028"/>
      <c r="L176" s="1028"/>
      <c r="M176" s="1028"/>
      <c r="N176" t="e">
        <f>VLOOKUP(A176,'PL Grouping'!A:K,3,)</f>
        <v>#N/A</v>
      </c>
      <c r="O176" s="657" t="e">
        <f t="shared" si="6"/>
        <v>#N/A</v>
      </c>
      <c r="Q176" s="641" t="s">
        <v>1385</v>
      </c>
    </row>
    <row r="177" spans="14:17">
      <c r="N177" t="e">
        <f>VLOOKUP(A177,'PL Grouping'!A:K,3,)</f>
        <v>#N/A</v>
      </c>
      <c r="O177" s="657" t="e">
        <f t="shared" si="6"/>
        <v>#N/A</v>
      </c>
      <c r="Q177" s="641" t="s">
        <v>1386</v>
      </c>
    </row>
    <row r="178" spans="14:17">
      <c r="N178" t="e">
        <f>VLOOKUP(A178,'PL Grouping'!A:K,3,)</f>
        <v>#N/A</v>
      </c>
      <c r="O178" s="657" t="e">
        <f t="shared" si="6"/>
        <v>#N/A</v>
      </c>
      <c r="Q178" s="641" t="s">
        <v>201</v>
      </c>
    </row>
    <row r="179" spans="14:17">
      <c r="N179" t="e">
        <f>VLOOKUP(A179,'PL Grouping'!A:K,3,)</f>
        <v>#N/A</v>
      </c>
      <c r="O179" s="657" t="e">
        <f t="shared" si="6"/>
        <v>#N/A</v>
      </c>
      <c r="Q179" s="641" t="s">
        <v>517</v>
      </c>
    </row>
    <row r="180" spans="14:17">
      <c r="N180" t="e">
        <f>VLOOKUP(A180,'PL Grouping'!A:K,3,)</f>
        <v>#N/A</v>
      </c>
      <c r="O180" s="657" t="e">
        <f t="shared" si="6"/>
        <v>#N/A</v>
      </c>
      <c r="Q180" s="637" t="s">
        <v>1516</v>
      </c>
    </row>
    <row r="181" spans="14:17">
      <c r="N181" t="e">
        <f>VLOOKUP(A181,'PL Grouping'!A:K,3,)</f>
        <v>#N/A</v>
      </c>
      <c r="O181" s="657" t="e">
        <f t="shared" si="6"/>
        <v>#N/A</v>
      </c>
      <c r="Q181" s="641" t="s">
        <v>202</v>
      </c>
    </row>
    <row r="182" spans="14:17">
      <c r="N182" t="e">
        <f>VLOOKUP(A182,'PL Grouping'!A:K,3,)</f>
        <v>#N/A</v>
      </c>
      <c r="O182" s="657" t="e">
        <f t="shared" si="6"/>
        <v>#N/A</v>
      </c>
      <c r="Q182" s="641" t="s">
        <v>203</v>
      </c>
    </row>
    <row r="183" spans="14:17">
      <c r="N183" t="e">
        <f>VLOOKUP(A183,'PL Grouping'!A:K,3,)</f>
        <v>#N/A</v>
      </c>
      <c r="O183" s="657" t="e">
        <f t="shared" si="6"/>
        <v>#N/A</v>
      </c>
      <c r="Q183" s="641" t="s">
        <v>1550</v>
      </c>
    </row>
    <row r="184" spans="14:17">
      <c r="N184" t="e">
        <f>VLOOKUP(A184,'PL Grouping'!A:K,3,)</f>
        <v>#N/A</v>
      </c>
      <c r="O184" s="657" t="e">
        <f t="shared" si="6"/>
        <v>#N/A</v>
      </c>
      <c r="Q184" s="641" t="s">
        <v>204</v>
      </c>
    </row>
    <row r="185" spans="14:17">
      <c r="N185" t="e">
        <f>VLOOKUP(A185,'PL Grouping'!A:K,3,)</f>
        <v>#N/A</v>
      </c>
      <c r="O185" s="657" t="e">
        <f t="shared" si="6"/>
        <v>#N/A</v>
      </c>
      <c r="Q185" s="641" t="s">
        <v>205</v>
      </c>
    </row>
    <row r="186" spans="14:17">
      <c r="N186" t="e">
        <f>VLOOKUP(A186,'PL Grouping'!A:K,3,)</f>
        <v>#N/A</v>
      </c>
      <c r="O186" s="657" t="e">
        <f t="shared" si="6"/>
        <v>#N/A</v>
      </c>
      <c r="Q186" s="641" t="s">
        <v>206</v>
      </c>
    </row>
    <row r="187" spans="14:17">
      <c r="N187" t="e">
        <f>VLOOKUP(A187,'PL Grouping'!A:K,3,)</f>
        <v>#N/A</v>
      </c>
      <c r="O187" s="657" t="e">
        <f t="shared" si="6"/>
        <v>#N/A</v>
      </c>
      <c r="Q187" s="641" t="s">
        <v>207</v>
      </c>
    </row>
    <row r="188" spans="14:17">
      <c r="N188" t="e">
        <f>VLOOKUP(A188,'PL Grouping'!A:K,3,)</f>
        <v>#N/A</v>
      </c>
      <c r="O188" s="657" t="e">
        <f t="shared" si="6"/>
        <v>#N/A</v>
      </c>
      <c r="Q188" s="641" t="s">
        <v>518</v>
      </c>
    </row>
    <row r="189" spans="14:17">
      <c r="N189" t="e">
        <f>VLOOKUP(A189,'PL Grouping'!A:K,3,)</f>
        <v>#N/A</v>
      </c>
      <c r="O189" s="657" t="e">
        <f t="shared" si="6"/>
        <v>#N/A</v>
      </c>
      <c r="Q189" s="641" t="s">
        <v>208</v>
      </c>
    </row>
    <row r="190" spans="14:17">
      <c r="N190" t="e">
        <f>VLOOKUP(A190,'PL Grouping'!A:K,3,)</f>
        <v>#N/A</v>
      </c>
      <c r="O190" s="657" t="e">
        <f t="shared" si="6"/>
        <v>#N/A</v>
      </c>
      <c r="Q190" s="641" t="s">
        <v>984</v>
      </c>
    </row>
    <row r="191" spans="14:17">
      <c r="N191" t="e">
        <f>VLOOKUP(A191,'PL Grouping'!A:K,3,)</f>
        <v>#N/A</v>
      </c>
      <c r="O191" s="657" t="e">
        <f t="shared" si="6"/>
        <v>#N/A</v>
      </c>
      <c r="Q191" s="641" t="s">
        <v>209</v>
      </c>
    </row>
    <row r="192" spans="14:17">
      <c r="N192" t="e">
        <f>VLOOKUP(A192,'PL Grouping'!A:K,3,)</f>
        <v>#N/A</v>
      </c>
      <c r="O192" s="657" t="e">
        <f t="shared" si="6"/>
        <v>#N/A</v>
      </c>
      <c r="Q192" s="641" t="s">
        <v>519</v>
      </c>
    </row>
    <row r="193" spans="14:17">
      <c r="N193" t="e">
        <f>VLOOKUP(A193,'PL Grouping'!A:K,3,)</f>
        <v>#N/A</v>
      </c>
      <c r="O193" s="657" t="e">
        <f t="shared" si="6"/>
        <v>#N/A</v>
      </c>
      <c r="Q193" s="637" t="s">
        <v>210</v>
      </c>
    </row>
    <row r="194" spans="14:17">
      <c r="N194" t="e">
        <f>VLOOKUP(A194,'PL Grouping'!A:K,3,)</f>
        <v>#N/A</v>
      </c>
      <c r="O194" s="657" t="e">
        <f t="shared" si="6"/>
        <v>#N/A</v>
      </c>
      <c r="Q194" s="641" t="s">
        <v>520</v>
      </c>
    </row>
    <row r="195" spans="14:17">
      <c r="N195" t="e">
        <f>VLOOKUP(A195,'PL Grouping'!A:K,3,)</f>
        <v>#N/A</v>
      </c>
      <c r="O195" s="657" t="e">
        <f t="shared" si="6"/>
        <v>#N/A</v>
      </c>
      <c r="Q195" s="641" t="s">
        <v>212</v>
      </c>
    </row>
    <row r="196" spans="14:17">
      <c r="N196" t="e">
        <f>VLOOKUP(A196,'PL Grouping'!A:K,3,)</f>
        <v>#N/A</v>
      </c>
      <c r="O196" s="657" t="e">
        <f t="shared" si="6"/>
        <v>#N/A</v>
      </c>
      <c r="Q196" s="641" t="s">
        <v>213</v>
      </c>
    </row>
    <row r="197" spans="14:17">
      <c r="N197" t="e">
        <f>VLOOKUP(A197,'PL Grouping'!A:K,3,)</f>
        <v>#N/A</v>
      </c>
      <c r="O197" s="657" t="e">
        <f t="shared" si="6"/>
        <v>#N/A</v>
      </c>
      <c r="Q197" s="637" t="s">
        <v>1389</v>
      </c>
    </row>
    <row r="198" spans="14:17">
      <c r="N198" t="e">
        <f>VLOOKUP(A198,'PL Grouping'!A:K,3,)</f>
        <v>#N/A</v>
      </c>
      <c r="O198" s="657" t="e">
        <f t="shared" si="6"/>
        <v>#N/A</v>
      </c>
      <c r="Q198" s="641" t="s">
        <v>446</v>
      </c>
    </row>
    <row r="199" spans="14:17">
      <c r="N199" t="e">
        <f>VLOOKUP(A199,'PL Grouping'!A:K,3,)</f>
        <v>#N/A</v>
      </c>
      <c r="O199" s="657" t="e">
        <f t="shared" si="6"/>
        <v>#N/A</v>
      </c>
      <c r="Q199" s="641" t="s">
        <v>521</v>
      </c>
    </row>
    <row r="200" spans="14:17">
      <c r="N200" t="e">
        <f>VLOOKUP(A200,'PL Grouping'!A:K,3,)</f>
        <v>#N/A</v>
      </c>
      <c r="O200" s="657" t="e">
        <f t="shared" si="6"/>
        <v>#N/A</v>
      </c>
      <c r="Q200" s="641" t="s">
        <v>214</v>
      </c>
    </row>
    <row r="201" spans="14:17">
      <c r="N201" t="e">
        <f>VLOOKUP(A201,'PL Grouping'!A:K,3,)</f>
        <v>#N/A</v>
      </c>
      <c r="O201" s="657" t="e">
        <f t="shared" si="6"/>
        <v>#N/A</v>
      </c>
      <c r="Q201" s="637" t="s">
        <v>215</v>
      </c>
    </row>
    <row r="202" spans="14:17">
      <c r="N202" t="e">
        <f>VLOOKUP(A202,'PL Grouping'!A:K,3,)</f>
        <v>#N/A</v>
      </c>
      <c r="O202" s="657" t="e">
        <f t="shared" si="6"/>
        <v>#N/A</v>
      </c>
      <c r="Q202" s="641" t="s">
        <v>1517</v>
      </c>
    </row>
    <row r="203" spans="14:17">
      <c r="N203" t="e">
        <f>VLOOKUP(A203,'PL Grouping'!A:K,3,)</f>
        <v>#N/A</v>
      </c>
      <c r="O203" s="657" t="e">
        <f t="shared" si="6"/>
        <v>#N/A</v>
      </c>
      <c r="Q203" s="641" t="s">
        <v>1428</v>
      </c>
    </row>
    <row r="204" spans="14:17">
      <c r="N204" t="e">
        <f>VLOOKUP(A204,'PL Grouping'!A:K,3,)</f>
        <v>#N/A</v>
      </c>
      <c r="O204" s="657" t="e">
        <f t="shared" si="6"/>
        <v>#N/A</v>
      </c>
      <c r="Q204" s="641" t="s">
        <v>1391</v>
      </c>
    </row>
    <row r="205" spans="14:17">
      <c r="N205" t="e">
        <f>VLOOKUP(A205,'PL Grouping'!A:K,3,)</f>
        <v>#N/A</v>
      </c>
      <c r="O205" s="657" t="e">
        <f t="shared" si="6"/>
        <v>#N/A</v>
      </c>
      <c r="Q205" s="641" t="s">
        <v>216</v>
      </c>
    </row>
    <row r="206" spans="14:17">
      <c r="N206" t="e">
        <f>VLOOKUP(A206,'PL Grouping'!A:K,3,)</f>
        <v>#N/A</v>
      </c>
      <c r="O206" s="657" t="e">
        <f t="shared" si="6"/>
        <v>#N/A</v>
      </c>
      <c r="Q206" s="641" t="s">
        <v>217</v>
      </c>
    </row>
    <row r="207" spans="14:17">
      <c r="N207" t="e">
        <f>VLOOKUP(A207,'PL Grouping'!A:K,3,)</f>
        <v>#N/A</v>
      </c>
      <c r="O207" s="657" t="e">
        <f t="shared" si="6"/>
        <v>#N/A</v>
      </c>
      <c r="Q207" s="641" t="s">
        <v>523</v>
      </c>
    </row>
    <row r="208" spans="14:17">
      <c r="N208" t="e">
        <f>VLOOKUP(A208,'PL Grouping'!A:K,3,)</f>
        <v>#N/A</v>
      </c>
      <c r="O208" s="657" t="e">
        <f t="shared" si="6"/>
        <v>#N/A</v>
      </c>
      <c r="Q208" s="641" t="s">
        <v>218</v>
      </c>
    </row>
    <row r="209" spans="14:17">
      <c r="N209" t="e">
        <f>VLOOKUP(A209,'PL Grouping'!A:K,3,)</f>
        <v>#N/A</v>
      </c>
      <c r="O209" s="657" t="e">
        <f t="shared" si="6"/>
        <v>#N/A</v>
      </c>
      <c r="Q209" s="641" t="s">
        <v>1392</v>
      </c>
    </row>
    <row r="210" spans="14:17">
      <c r="N210" t="e">
        <f>VLOOKUP(A210,'PL Grouping'!A:K,3,)</f>
        <v>#N/A</v>
      </c>
      <c r="O210" s="657" t="e">
        <f t="shared" si="6"/>
        <v>#N/A</v>
      </c>
      <c r="Q210" s="641" t="s">
        <v>219</v>
      </c>
    </row>
    <row r="211" spans="14:17">
      <c r="N211" t="e">
        <f>VLOOKUP(A211,'PL Grouping'!A:K,3,)</f>
        <v>#N/A</v>
      </c>
      <c r="O211" s="657" t="e">
        <f t="shared" si="6"/>
        <v>#N/A</v>
      </c>
      <c r="Q211" s="647" t="s">
        <v>1077</v>
      </c>
    </row>
    <row r="212" spans="14:17">
      <c r="Q212" s="1020" t="s">
        <v>1078</v>
      </c>
    </row>
  </sheetData>
  <autoFilter ref="A5:M212"/>
  <mergeCells count="14">
    <mergeCell ref="H3:I3"/>
    <mergeCell ref="A1:C1"/>
    <mergeCell ref="A2:C2"/>
    <mergeCell ref="B3:C3"/>
    <mergeCell ref="D3:E3"/>
    <mergeCell ref="F3:G3"/>
    <mergeCell ref="B4:C4"/>
    <mergeCell ref="D4:E4"/>
    <mergeCell ref="F4:G4"/>
    <mergeCell ref="H4:I4"/>
    <mergeCell ref="B5:C5"/>
    <mergeCell ref="D5:E5"/>
    <mergeCell ref="F5:G5"/>
    <mergeCell ref="H5:I5"/>
  </mergeCells>
  <conditionalFormatting sqref="A1:A1048576">
    <cfRule type="duplicateValues" dxfId="3" priority="3"/>
  </conditionalFormatting>
  <conditionalFormatting sqref="A87:A210">
    <cfRule type="duplicateValues" dxfId="2" priority="4"/>
  </conditionalFormatting>
  <conditionalFormatting sqref="Q1:Q1048576">
    <cfRule type="duplicateValues" dxfId="1" priority="1"/>
  </conditionalFormatting>
  <conditionalFormatting sqref="Q87:Q210">
    <cfRule type="duplicateValues" dxfId="0" priority="2"/>
  </conditionalFormatting>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20"/>
  <sheetViews>
    <sheetView workbookViewId="0">
      <selection activeCell="K62" sqref="K62"/>
    </sheetView>
  </sheetViews>
  <sheetFormatPr defaultColWidth="9.21875" defaultRowHeight="14.4"/>
  <cols>
    <col min="1" max="1" width="4" style="151" customWidth="1"/>
    <col min="2" max="2" width="51.44140625" style="151" bestFit="1" customWidth="1"/>
    <col min="3" max="4" width="11.21875" style="151" customWidth="1"/>
    <col min="5" max="5" width="12.5546875" style="151" bestFit="1" customWidth="1"/>
    <col min="6" max="7" width="11.21875" style="151" customWidth="1"/>
    <col min="8" max="8" width="22.21875" style="151" customWidth="1"/>
    <col min="9" max="9" width="11.21875" style="151" customWidth="1"/>
    <col min="10" max="10" width="19.21875" style="151" customWidth="1"/>
    <col min="11" max="11" width="20" style="202" customWidth="1"/>
    <col min="12" max="12" width="18.21875" style="202" bestFit="1" customWidth="1"/>
    <col min="13" max="13" width="9.21875" style="151"/>
    <col min="14" max="14" width="18.5546875" style="151" bestFit="1" customWidth="1"/>
    <col min="15" max="16384" width="9.21875" style="151"/>
  </cols>
  <sheetData>
    <row r="1" spans="1:10">
      <c r="A1" s="264"/>
      <c r="B1" s="264"/>
      <c r="C1" s="264"/>
      <c r="D1" s="264"/>
      <c r="E1" s="264"/>
      <c r="F1" s="264"/>
      <c r="G1" s="264"/>
      <c r="H1" s="264"/>
      <c r="I1" s="264"/>
      <c r="J1" s="264"/>
    </row>
    <row r="2" spans="1:10" ht="18">
      <c r="A2" s="1377" t="s">
        <v>309</v>
      </c>
      <c r="B2" s="1378"/>
      <c r="C2" s="1378"/>
      <c r="D2" s="1378"/>
      <c r="E2" s="1378"/>
      <c r="F2" s="1378"/>
      <c r="G2" s="1378"/>
      <c r="H2" s="1378"/>
      <c r="I2" s="1378"/>
      <c r="J2" s="1379"/>
    </row>
    <row r="3" spans="1:10">
      <c r="A3" s="264"/>
      <c r="B3" s="264"/>
      <c r="C3" s="264"/>
      <c r="D3" s="264"/>
      <c r="E3" s="264"/>
      <c r="F3" s="264"/>
      <c r="G3" s="264"/>
      <c r="H3" s="264"/>
      <c r="I3" s="264"/>
      <c r="J3" s="264"/>
    </row>
    <row r="4" spans="1:10">
      <c r="A4" s="264" t="s">
        <v>255</v>
      </c>
      <c r="B4" s="265" t="s">
        <v>256</v>
      </c>
      <c r="C4" s="266"/>
      <c r="D4" s="266"/>
      <c r="E4" s="266"/>
      <c r="F4" s="266"/>
      <c r="G4" s="266"/>
      <c r="H4" s="266"/>
      <c r="I4" s="266"/>
      <c r="J4" s="266"/>
    </row>
    <row r="5" spans="1:10">
      <c r="A5" s="264"/>
      <c r="B5" s="264"/>
      <c r="C5" s="264"/>
      <c r="D5" s="264"/>
      <c r="E5" s="264"/>
      <c r="F5" s="267" t="s">
        <v>333</v>
      </c>
      <c r="G5" s="267" t="s">
        <v>334</v>
      </c>
      <c r="H5" s="264"/>
      <c r="I5" s="264"/>
      <c r="J5" s="264"/>
    </row>
    <row r="6" spans="1:10">
      <c r="A6" s="264">
        <v>0</v>
      </c>
      <c r="B6" s="264" t="s">
        <v>257</v>
      </c>
      <c r="C6" s="264"/>
      <c r="D6" s="264"/>
      <c r="E6" s="268">
        <v>174000</v>
      </c>
      <c r="F6" s="269">
        <v>44607</v>
      </c>
      <c r="G6" s="269">
        <v>45702</v>
      </c>
      <c r="H6" s="264"/>
      <c r="I6" s="264"/>
      <c r="J6" s="264"/>
    </row>
    <row r="7" spans="1:10">
      <c r="A7" s="264"/>
      <c r="B7" s="264" t="s">
        <v>258</v>
      </c>
      <c r="C7" s="264"/>
      <c r="D7" s="264"/>
      <c r="E7" s="270">
        <v>0</v>
      </c>
      <c r="F7" s="264"/>
      <c r="G7" s="264"/>
      <c r="H7" s="264"/>
      <c r="I7" s="264"/>
      <c r="J7" s="264"/>
    </row>
    <row r="8" spans="1:10">
      <c r="A8" s="264"/>
      <c r="B8" s="264" t="s">
        <v>259</v>
      </c>
      <c r="C8" s="264"/>
      <c r="D8" s="264"/>
      <c r="E8" s="271">
        <v>0</v>
      </c>
      <c r="F8" s="264"/>
      <c r="G8" s="264"/>
      <c r="H8" s="264"/>
      <c r="I8" s="264"/>
      <c r="J8" s="264"/>
    </row>
    <row r="9" spans="1:10">
      <c r="A9" s="264"/>
      <c r="B9" s="264" t="s">
        <v>260</v>
      </c>
      <c r="C9" s="264"/>
      <c r="D9" s="264"/>
      <c r="E9" s="264">
        <v>3</v>
      </c>
      <c r="F9" s="264"/>
      <c r="G9" s="264"/>
      <c r="H9" s="264"/>
      <c r="I9" s="264"/>
      <c r="J9" s="264"/>
    </row>
    <row r="10" spans="1:10">
      <c r="A10" s="264"/>
      <c r="B10" s="264" t="s">
        <v>261</v>
      </c>
      <c r="C10" s="264"/>
      <c r="D10" s="264"/>
      <c r="E10" s="272">
        <v>0.1</v>
      </c>
      <c r="F10" s="264"/>
      <c r="G10" s="264"/>
      <c r="H10" s="264"/>
      <c r="I10" s="264"/>
      <c r="J10" s="264"/>
    </row>
    <row r="11" spans="1:10">
      <c r="A11" s="264"/>
      <c r="B11" s="264" t="s">
        <v>501</v>
      </c>
      <c r="C11" s="264"/>
      <c r="D11" s="264"/>
      <c r="E11" s="273">
        <f>ROUND(PV(E10,(G6-F6-1)/365,,E6,0),0)</f>
        <v>-130763</v>
      </c>
      <c r="F11" s="264"/>
      <c r="G11" s="264"/>
      <c r="H11" s="264"/>
      <c r="I11" s="264"/>
      <c r="J11" s="264"/>
    </row>
    <row r="12" spans="1:10" hidden="1">
      <c r="A12" s="264" t="s">
        <v>262</v>
      </c>
      <c r="B12" s="265" t="s">
        <v>263</v>
      </c>
      <c r="C12" s="266"/>
      <c r="D12" s="266"/>
      <c r="E12" s="266"/>
      <c r="F12" s="266"/>
      <c r="G12" s="266"/>
      <c r="H12" s="266"/>
      <c r="I12" s="266"/>
      <c r="J12" s="266"/>
    </row>
    <row r="13" spans="1:10" hidden="1">
      <c r="A13" s="264"/>
      <c r="B13" s="264"/>
      <c r="C13" s="264"/>
      <c r="D13" s="264"/>
      <c r="E13" s="264"/>
      <c r="F13" s="264"/>
      <c r="G13" s="264"/>
      <c r="H13" s="264"/>
      <c r="I13" s="264"/>
      <c r="J13" s="264"/>
    </row>
    <row r="14" spans="1:10" hidden="1">
      <c r="A14" s="264"/>
      <c r="B14" s="264"/>
      <c r="C14" s="264"/>
      <c r="D14" s="264"/>
      <c r="E14" s="267" t="s">
        <v>264</v>
      </c>
      <c r="F14" s="267" t="s">
        <v>265</v>
      </c>
      <c r="G14" s="267" t="s">
        <v>266</v>
      </c>
      <c r="H14" s="267" t="s">
        <v>310</v>
      </c>
      <c r="I14" s="267" t="s">
        <v>311</v>
      </c>
      <c r="J14" s="267"/>
    </row>
    <row r="15" spans="1:10" hidden="1">
      <c r="A15" s="264"/>
      <c r="B15" s="264"/>
      <c r="C15" s="264"/>
      <c r="D15" s="264"/>
      <c r="E15" s="264"/>
      <c r="F15" s="264"/>
      <c r="G15" s="264"/>
      <c r="H15" s="264"/>
      <c r="I15" s="264"/>
      <c r="J15" s="264"/>
    </row>
    <row r="16" spans="1:10" hidden="1">
      <c r="A16" s="264"/>
      <c r="B16" s="264" t="s">
        <v>267</v>
      </c>
      <c r="C16" s="264"/>
      <c r="D16" s="264"/>
      <c r="E16" s="274">
        <v>0</v>
      </c>
      <c r="F16" s="274">
        <v>0</v>
      </c>
      <c r="G16" s="274">
        <v>0</v>
      </c>
      <c r="H16" s="274">
        <v>0</v>
      </c>
      <c r="I16" s="274">
        <v>275000</v>
      </c>
      <c r="J16" s="274">
        <f>E6</f>
        <v>174000</v>
      </c>
    </row>
    <row r="17" spans="1:12" hidden="1">
      <c r="A17" s="264"/>
      <c r="B17" s="264" t="s">
        <v>268</v>
      </c>
      <c r="C17" s="264"/>
      <c r="D17" s="264"/>
      <c r="E17" s="274">
        <v>0</v>
      </c>
      <c r="F17" s="274">
        <v>0</v>
      </c>
      <c r="G17" s="274">
        <v>0</v>
      </c>
      <c r="H17" s="274">
        <v>0</v>
      </c>
      <c r="I17" s="274"/>
      <c r="J17" s="275"/>
    </row>
    <row r="18" spans="1:12" hidden="1">
      <c r="A18" s="264"/>
      <c r="B18" s="264"/>
      <c r="C18" s="264"/>
      <c r="D18" s="264"/>
      <c r="E18" s="276">
        <f t="shared" ref="E18:J18" si="0">E16+E17</f>
        <v>0</v>
      </c>
      <c r="F18" s="276">
        <f t="shared" si="0"/>
        <v>0</v>
      </c>
      <c r="G18" s="276">
        <f t="shared" si="0"/>
        <v>0</v>
      </c>
      <c r="H18" s="276">
        <f t="shared" si="0"/>
        <v>0</v>
      </c>
      <c r="I18" s="276">
        <f t="shared" si="0"/>
        <v>275000</v>
      </c>
      <c r="J18" s="276">
        <f t="shared" si="0"/>
        <v>174000</v>
      </c>
    </row>
    <row r="19" spans="1:12" hidden="1">
      <c r="A19" s="264"/>
      <c r="B19" s="264"/>
      <c r="C19" s="264"/>
      <c r="D19" s="264"/>
      <c r="E19" s="274"/>
      <c r="F19" s="274"/>
      <c r="G19" s="274"/>
      <c r="H19" s="274"/>
      <c r="I19" s="274"/>
      <c r="J19" s="274"/>
    </row>
    <row r="20" spans="1:12" hidden="1">
      <c r="A20" s="264"/>
      <c r="B20" s="264" t="s">
        <v>269</v>
      </c>
      <c r="C20" s="264"/>
      <c r="D20" s="264"/>
      <c r="E20" s="272">
        <f>E10</f>
        <v>0.1</v>
      </c>
      <c r="F20" s="271"/>
      <c r="G20" s="264" t="s">
        <v>270</v>
      </c>
      <c r="H20" s="264"/>
      <c r="I20" s="264"/>
      <c r="J20" s="264"/>
    </row>
    <row r="21" spans="1:12" hidden="1">
      <c r="A21" s="264"/>
      <c r="B21" s="264" t="s">
        <v>271</v>
      </c>
      <c r="C21" s="264"/>
      <c r="D21" s="264"/>
      <c r="E21" s="277">
        <f>NPV(E20,E18:I18)</f>
        <v>170753.36384126759</v>
      </c>
      <c r="F21" s="278"/>
      <c r="G21" s="279"/>
      <c r="H21" s="280"/>
      <c r="I21" s="264"/>
      <c r="J21" s="264"/>
    </row>
    <row r="22" spans="1:12">
      <c r="A22" s="264"/>
      <c r="B22" s="264"/>
      <c r="C22" s="264"/>
      <c r="D22" s="264"/>
      <c r="E22" s="264"/>
      <c r="F22" s="264"/>
      <c r="G22" s="264"/>
      <c r="H22" s="264"/>
      <c r="I22" s="264"/>
      <c r="J22" s="264"/>
    </row>
    <row r="23" spans="1:12">
      <c r="A23" s="264" t="s">
        <v>272</v>
      </c>
      <c r="B23" s="265" t="s">
        <v>273</v>
      </c>
      <c r="C23" s="266"/>
      <c r="D23" s="266"/>
      <c r="E23" s="266"/>
      <c r="F23" s="266"/>
      <c r="G23" s="266"/>
      <c r="H23" s="266"/>
      <c r="I23" s="266"/>
      <c r="J23" s="266"/>
    </row>
    <row r="24" spans="1:12">
      <c r="A24" s="264"/>
      <c r="B24" s="264"/>
      <c r="C24" s="264"/>
      <c r="D24" s="264"/>
      <c r="E24" s="264"/>
      <c r="F24" s="264"/>
      <c r="G24" s="264"/>
      <c r="H24" s="264"/>
      <c r="I24" s="264"/>
      <c r="J24" s="264"/>
    </row>
    <row r="25" spans="1:12">
      <c r="A25" s="264"/>
      <c r="B25" s="27" t="s">
        <v>274</v>
      </c>
      <c r="C25" s="266"/>
      <c r="D25" s="266"/>
      <c r="E25" s="266"/>
      <c r="F25" s="266"/>
      <c r="G25" s="266"/>
      <c r="H25" s="266"/>
      <c r="I25" s="266"/>
      <c r="J25" s="266"/>
    </row>
    <row r="26" spans="1:12">
      <c r="A26" s="264"/>
      <c r="B26" s="264"/>
      <c r="C26" s="264"/>
      <c r="D26" s="264"/>
      <c r="E26" s="264"/>
      <c r="F26" s="264"/>
      <c r="G26" s="264"/>
      <c r="H26" s="264"/>
      <c r="I26" s="264"/>
      <c r="J26" s="264"/>
    </row>
    <row r="27" spans="1:12">
      <c r="A27" s="264"/>
      <c r="B27" s="281" t="s">
        <v>1176</v>
      </c>
      <c r="C27" s="281"/>
      <c r="D27" s="281"/>
      <c r="E27" s="282"/>
      <c r="F27" s="283"/>
      <c r="G27" s="264"/>
      <c r="H27" s="264"/>
      <c r="I27" s="264"/>
      <c r="J27" s="283"/>
    </row>
    <row r="28" spans="1:12">
      <c r="A28" s="264"/>
      <c r="B28" s="281"/>
      <c r="C28" s="281"/>
      <c r="D28" s="281"/>
      <c r="E28" s="282"/>
      <c r="F28" s="283"/>
      <c r="G28" s="264"/>
      <c r="H28" s="264"/>
      <c r="I28" s="264"/>
      <c r="J28" s="283"/>
      <c r="K28" s="202" t="s">
        <v>366</v>
      </c>
      <c r="L28" s="202" t="s">
        <v>367</v>
      </c>
    </row>
    <row r="29" spans="1:12">
      <c r="A29" s="264"/>
      <c r="B29" s="284" t="s">
        <v>133</v>
      </c>
      <c r="C29" s="285"/>
      <c r="D29" s="285"/>
      <c r="E29" s="285"/>
      <c r="F29" s="285"/>
      <c r="G29" s="285" t="s">
        <v>275</v>
      </c>
      <c r="H29" s="286">
        <f>-E11</f>
        <v>130763</v>
      </c>
      <c r="I29" s="287"/>
      <c r="J29" s="288"/>
      <c r="K29" s="202">
        <f>+H29</f>
        <v>130763</v>
      </c>
    </row>
    <row r="30" spans="1:12">
      <c r="A30" s="264"/>
      <c r="B30" s="289" t="s">
        <v>276</v>
      </c>
      <c r="C30" s="264"/>
      <c r="D30" s="264"/>
      <c r="E30" s="264"/>
      <c r="F30" s="264"/>
      <c r="G30" s="264" t="s">
        <v>275</v>
      </c>
      <c r="H30" s="290">
        <f>J31-H29</f>
        <v>43237</v>
      </c>
      <c r="I30" s="291"/>
      <c r="J30" s="292"/>
      <c r="L30" s="202">
        <f>+H30</f>
        <v>43237</v>
      </c>
    </row>
    <row r="31" spans="1:12">
      <c r="A31" s="264"/>
      <c r="B31" s="289"/>
      <c r="C31" s="264" t="s">
        <v>277</v>
      </c>
      <c r="D31" s="264"/>
      <c r="E31" s="264"/>
      <c r="F31" s="264"/>
      <c r="G31" s="264" t="s">
        <v>278</v>
      </c>
      <c r="H31" s="291"/>
      <c r="I31" s="291"/>
      <c r="J31" s="293">
        <f>E6</f>
        <v>174000</v>
      </c>
    </row>
    <row r="32" spans="1:12">
      <c r="A32" s="264"/>
      <c r="B32" s="294" t="s">
        <v>279</v>
      </c>
      <c r="C32" s="266"/>
      <c r="D32" s="266"/>
      <c r="E32" s="266"/>
      <c r="F32" s="266"/>
      <c r="G32" s="266"/>
      <c r="H32" s="295"/>
      <c r="I32" s="295"/>
      <c r="J32" s="296"/>
    </row>
    <row r="33" spans="1:12">
      <c r="A33" s="264"/>
      <c r="B33" s="264"/>
      <c r="C33" s="264"/>
      <c r="D33" s="264"/>
      <c r="E33" s="264"/>
      <c r="F33" s="264"/>
      <c r="G33" s="264"/>
      <c r="H33" s="278"/>
      <c r="I33" s="278"/>
      <c r="J33" s="278"/>
    </row>
    <row r="34" spans="1:12">
      <c r="A34" s="264"/>
      <c r="B34" s="281" t="s">
        <v>1491</v>
      </c>
      <c r="C34" s="264"/>
      <c r="D34" s="264"/>
      <c r="E34" s="264"/>
      <c r="F34" s="264"/>
      <c r="G34" s="264"/>
      <c r="H34" s="278"/>
      <c r="I34" s="278"/>
      <c r="J34" s="278"/>
    </row>
    <row r="35" spans="1:12">
      <c r="A35" s="264"/>
      <c r="B35" s="281"/>
      <c r="C35" s="264"/>
      <c r="D35" s="264"/>
      <c r="E35" s="264"/>
      <c r="F35" s="264"/>
      <c r="G35" s="264"/>
      <c r="H35" s="278"/>
      <c r="I35" s="278"/>
      <c r="J35" s="278"/>
    </row>
    <row r="36" spans="1:12">
      <c r="A36" s="264"/>
      <c r="B36" s="284" t="s">
        <v>133</v>
      </c>
      <c r="C36" s="285"/>
      <c r="D36" s="285"/>
      <c r="E36" s="285"/>
      <c r="F36" s="285"/>
      <c r="G36" s="285" t="s">
        <v>275</v>
      </c>
      <c r="H36" s="297">
        <f>J37</f>
        <v>1576.3210958904112</v>
      </c>
      <c r="I36" s="287"/>
      <c r="J36" s="288"/>
      <c r="K36" s="202">
        <f>+H36+H29</f>
        <v>132339.32109589042</v>
      </c>
    </row>
    <row r="37" spans="1:12">
      <c r="A37" s="264"/>
      <c r="B37" s="289"/>
      <c r="C37" s="264" t="s">
        <v>280</v>
      </c>
      <c r="D37" s="264"/>
      <c r="E37" s="264"/>
      <c r="F37" s="264"/>
      <c r="G37" s="264" t="s">
        <v>278</v>
      </c>
      <c r="H37" s="291"/>
      <c r="I37" s="291"/>
      <c r="J37" s="293">
        <f>-E11*E10*(E40-D40)/365</f>
        <v>1576.3210958904112</v>
      </c>
    </row>
    <row r="38" spans="1:12">
      <c r="A38" s="264"/>
      <c r="B38" s="298" t="s">
        <v>281</v>
      </c>
      <c r="C38" s="266"/>
      <c r="D38" s="266"/>
      <c r="E38" s="266"/>
      <c r="F38" s="266"/>
      <c r="G38" s="266"/>
      <c r="H38" s="295"/>
      <c r="I38" s="295"/>
      <c r="J38" s="296"/>
    </row>
    <row r="39" spans="1:12">
      <c r="A39" s="264"/>
      <c r="B39" s="264"/>
      <c r="C39" s="264"/>
      <c r="D39" s="264"/>
      <c r="E39" s="264"/>
      <c r="F39" s="264"/>
      <c r="G39" s="264"/>
      <c r="H39" s="278"/>
      <c r="I39" s="278"/>
      <c r="J39" s="278"/>
    </row>
    <row r="40" spans="1:12">
      <c r="A40" s="264"/>
      <c r="B40" s="284" t="s">
        <v>282</v>
      </c>
      <c r="C40" s="285"/>
      <c r="D40" s="299">
        <f>+F6</f>
        <v>44607</v>
      </c>
      <c r="E40" s="299">
        <v>44651</v>
      </c>
      <c r="F40" s="285"/>
      <c r="G40" s="285" t="s">
        <v>275</v>
      </c>
      <c r="H40" s="300">
        <f>$H$30/($G$6-$F$6)*(E40-D40)</f>
        <v>1737.3771689497717</v>
      </c>
      <c r="I40" s="287"/>
      <c r="J40" s="288"/>
      <c r="L40" s="202">
        <f>+L30-H40</f>
        <v>41499.622831050227</v>
      </c>
    </row>
    <row r="41" spans="1:12">
      <c r="A41" s="264"/>
      <c r="B41" s="289"/>
      <c r="C41" s="264" t="s">
        <v>283</v>
      </c>
      <c r="D41" s="264"/>
      <c r="E41" s="264"/>
      <c r="F41" s="264"/>
      <c r="G41" s="264" t="s">
        <v>278</v>
      </c>
      <c r="H41" s="290"/>
      <c r="I41" s="291"/>
      <c r="J41" s="293">
        <f>H40</f>
        <v>1737.3771689497717</v>
      </c>
    </row>
    <row r="42" spans="1:12">
      <c r="A42" s="264"/>
      <c r="B42" s="298" t="s">
        <v>284</v>
      </c>
      <c r="C42" s="266"/>
      <c r="D42" s="266"/>
      <c r="E42" s="266"/>
      <c r="F42" s="266"/>
      <c r="G42" s="266"/>
      <c r="H42" s="295"/>
      <c r="I42" s="295"/>
      <c r="J42" s="296"/>
    </row>
    <row r="43" spans="1:12">
      <c r="A43" s="264"/>
      <c r="B43" s="264"/>
      <c r="C43" s="264"/>
      <c r="D43" s="264"/>
      <c r="E43" s="264"/>
      <c r="F43" s="264"/>
      <c r="G43" s="264"/>
      <c r="H43" s="264"/>
      <c r="I43" s="264"/>
      <c r="J43" s="264"/>
    </row>
    <row r="44" spans="1:12">
      <c r="A44" s="264"/>
      <c r="B44" s="281" t="s">
        <v>1173</v>
      </c>
      <c r="C44" s="264"/>
      <c r="D44" s="264"/>
      <c r="E44" s="264"/>
      <c r="F44" s="264"/>
      <c r="G44" s="264"/>
      <c r="H44" s="264"/>
      <c r="I44" s="264"/>
      <c r="J44" s="264"/>
    </row>
    <row r="45" spans="1:12">
      <c r="A45" s="264"/>
      <c r="B45" s="281"/>
      <c r="C45" s="264"/>
      <c r="D45" s="264"/>
      <c r="E45" s="264"/>
      <c r="F45" s="264"/>
      <c r="G45" s="264"/>
      <c r="H45" s="264"/>
      <c r="I45" s="264"/>
      <c r="J45" s="264"/>
    </row>
    <row r="46" spans="1:12">
      <c r="A46" s="264"/>
      <c r="B46" s="284" t="s">
        <v>133</v>
      </c>
      <c r="C46" s="285"/>
      <c r="D46" s="285"/>
      <c r="E46" s="285"/>
      <c r="F46" s="285"/>
      <c r="G46" s="285" t="s">
        <v>275</v>
      </c>
      <c r="H46" s="297">
        <f>ROUND((H29+H36)*E10,0)</f>
        <v>13234</v>
      </c>
      <c r="I46" s="287"/>
      <c r="J46" s="288"/>
      <c r="K46" s="202">
        <f>+K36+H46</f>
        <v>145573.32109589042</v>
      </c>
    </row>
    <row r="47" spans="1:12">
      <c r="A47" s="264"/>
      <c r="B47" s="289"/>
      <c r="C47" s="264" t="s">
        <v>280</v>
      </c>
      <c r="D47" s="264"/>
      <c r="E47" s="264"/>
      <c r="F47" s="264"/>
      <c r="G47" s="264" t="s">
        <v>278</v>
      </c>
      <c r="H47" s="290"/>
      <c r="I47" s="291"/>
      <c r="J47" s="293">
        <f>+H46</f>
        <v>13234</v>
      </c>
    </row>
    <row r="48" spans="1:12">
      <c r="A48" s="264"/>
      <c r="B48" s="298" t="s">
        <v>281</v>
      </c>
      <c r="C48" s="266"/>
      <c r="D48" s="266"/>
      <c r="E48" s="266"/>
      <c r="F48" s="266"/>
      <c r="G48" s="266"/>
      <c r="H48" s="295"/>
      <c r="I48" s="295"/>
      <c r="J48" s="296"/>
    </row>
    <row r="49" spans="1:14">
      <c r="A49" s="264"/>
      <c r="B49" s="264"/>
      <c r="C49" s="264"/>
      <c r="D49" s="264"/>
      <c r="E49" s="264"/>
      <c r="F49" s="264"/>
      <c r="G49" s="264"/>
      <c r="H49" s="278"/>
      <c r="I49" s="278"/>
      <c r="J49" s="278"/>
    </row>
    <row r="50" spans="1:14">
      <c r="A50" s="264"/>
      <c r="B50" s="284" t="s">
        <v>285</v>
      </c>
      <c r="C50" s="285"/>
      <c r="D50" s="299">
        <f>+E40</f>
        <v>44651</v>
      </c>
      <c r="E50" s="299">
        <v>45016</v>
      </c>
      <c r="F50" s="285"/>
      <c r="G50" s="285" t="s">
        <v>275</v>
      </c>
      <c r="H50" s="300">
        <f>$H$30/($G$6-$F$6)*(E50-D50)</f>
        <v>14412.333333333334</v>
      </c>
      <c r="I50" s="287"/>
      <c r="J50" s="288"/>
      <c r="L50" s="202">
        <f>+L40-H50</f>
        <v>27087.289497716891</v>
      </c>
    </row>
    <row r="51" spans="1:14">
      <c r="A51" s="264"/>
      <c r="B51" s="289"/>
      <c r="C51" s="264" t="s">
        <v>283</v>
      </c>
      <c r="D51" s="264"/>
      <c r="E51" s="264"/>
      <c r="F51" s="264"/>
      <c r="G51" s="264" t="s">
        <v>278</v>
      </c>
      <c r="H51" s="291"/>
      <c r="I51" s="291"/>
      <c r="J51" s="293">
        <f>H50</f>
        <v>14412.333333333334</v>
      </c>
    </row>
    <row r="52" spans="1:14">
      <c r="A52" s="264"/>
      <c r="B52" s="298" t="s">
        <v>284</v>
      </c>
      <c r="C52" s="266"/>
      <c r="D52" s="266"/>
      <c r="E52" s="266"/>
      <c r="F52" s="266"/>
      <c r="G52" s="266"/>
      <c r="H52" s="295"/>
      <c r="I52" s="295"/>
      <c r="J52" s="301"/>
    </row>
    <row r="53" spans="1:14">
      <c r="A53" s="264"/>
      <c r="B53" s="302"/>
      <c r="C53" s="264"/>
      <c r="D53" s="264"/>
      <c r="E53" s="264"/>
      <c r="F53" s="264"/>
      <c r="G53" s="264"/>
      <c r="H53" s="291"/>
      <c r="I53" s="291"/>
      <c r="J53" s="291"/>
    </row>
    <row r="54" spans="1:14">
      <c r="A54" s="264"/>
      <c r="B54" s="281" t="s">
        <v>1174</v>
      </c>
      <c r="C54" s="264"/>
      <c r="D54" s="264"/>
      <c r="E54" s="264"/>
      <c r="F54" s="264"/>
      <c r="G54" s="264"/>
      <c r="H54" s="291"/>
      <c r="I54" s="291"/>
      <c r="J54" s="291"/>
    </row>
    <row r="55" spans="1:14">
      <c r="A55" s="264"/>
      <c r="B55" s="302"/>
      <c r="C55" s="264"/>
      <c r="D55" s="264"/>
      <c r="E55" s="264"/>
      <c r="F55" s="264"/>
      <c r="G55" s="264"/>
      <c r="H55" s="291"/>
      <c r="I55" s="291"/>
      <c r="J55" s="291"/>
    </row>
    <row r="56" spans="1:14">
      <c r="A56" s="264"/>
      <c r="B56" s="284" t="s">
        <v>133</v>
      </c>
      <c r="C56" s="285"/>
      <c r="D56" s="285"/>
      <c r="E56" s="285"/>
      <c r="F56" s="285"/>
      <c r="G56" s="285" t="s">
        <v>275</v>
      </c>
      <c r="H56" s="297">
        <f>ROUND((H29+H36+H46)*E10,0)</f>
        <v>14557</v>
      </c>
      <c r="I56" s="287"/>
      <c r="J56" s="288"/>
      <c r="K56" s="202">
        <f>+H56+K46</f>
        <v>160130.32109589042</v>
      </c>
      <c r="N56" s="152" t="e">
        <f>+K56+#REF!</f>
        <v>#REF!</v>
      </c>
    </row>
    <row r="57" spans="1:14">
      <c r="A57" s="264"/>
      <c r="B57" s="289"/>
      <c r="C57" s="264" t="s">
        <v>280</v>
      </c>
      <c r="D57" s="264"/>
      <c r="E57" s="264"/>
      <c r="F57" s="264"/>
      <c r="G57" s="264" t="s">
        <v>278</v>
      </c>
      <c r="H57" s="291"/>
      <c r="I57" s="291"/>
      <c r="J57" s="303">
        <f>+H56</f>
        <v>14557</v>
      </c>
    </row>
    <row r="58" spans="1:14">
      <c r="A58" s="264"/>
      <c r="B58" s="298" t="s">
        <v>281</v>
      </c>
      <c r="C58" s="266"/>
      <c r="D58" s="266"/>
      <c r="E58" s="266"/>
      <c r="F58" s="266"/>
      <c r="G58" s="266"/>
      <c r="H58" s="295"/>
      <c r="I58" s="295"/>
      <c r="J58" s="296"/>
    </row>
    <row r="59" spans="1:14">
      <c r="A59" s="264"/>
      <c r="B59" s="302"/>
      <c r="C59" s="264"/>
      <c r="D59" s="264"/>
      <c r="E59" s="264"/>
      <c r="F59" s="264"/>
      <c r="G59" s="264"/>
      <c r="H59" s="291"/>
      <c r="I59" s="291"/>
      <c r="J59" s="291"/>
    </row>
    <row r="60" spans="1:14">
      <c r="A60" s="264"/>
      <c r="B60" s="284" t="s">
        <v>285</v>
      </c>
      <c r="C60" s="285"/>
      <c r="D60" s="299">
        <f>+E50</f>
        <v>45016</v>
      </c>
      <c r="E60" s="299">
        <v>45382</v>
      </c>
      <c r="F60" s="285"/>
      <c r="G60" s="285" t="s">
        <v>275</v>
      </c>
      <c r="H60" s="300">
        <f>$H$30/($G$6-$F$6)*(E60-D60)</f>
        <v>14451.819178082193</v>
      </c>
      <c r="I60" s="287"/>
      <c r="J60" s="288"/>
    </row>
    <row r="61" spans="1:14">
      <c r="A61" s="264"/>
      <c r="B61" s="289"/>
      <c r="C61" s="264" t="s">
        <v>283</v>
      </c>
      <c r="D61" s="264"/>
      <c r="E61" s="264"/>
      <c r="F61" s="264"/>
      <c r="G61" s="264" t="s">
        <v>278</v>
      </c>
      <c r="H61" s="291"/>
      <c r="I61" s="291"/>
      <c r="J61" s="293">
        <f>H60</f>
        <v>14451.819178082193</v>
      </c>
      <c r="L61" s="202">
        <f>+L50-H60</f>
        <v>12635.470319634698</v>
      </c>
      <c r="N61" s="152" t="e">
        <f>+L61+#REF!</f>
        <v>#REF!</v>
      </c>
    </row>
    <row r="62" spans="1:14">
      <c r="A62" s="264"/>
      <c r="B62" s="298" t="s">
        <v>284</v>
      </c>
      <c r="C62" s="266"/>
      <c r="D62" s="266"/>
      <c r="E62" s="266"/>
      <c r="F62" s="266"/>
      <c r="G62" s="266"/>
      <c r="H62" s="295"/>
      <c r="I62" s="295"/>
      <c r="J62" s="296"/>
    </row>
    <row r="63" spans="1:14">
      <c r="A63" s="264"/>
      <c r="B63" s="302"/>
      <c r="C63" s="264"/>
      <c r="D63" s="264"/>
      <c r="E63" s="264"/>
      <c r="F63" s="264"/>
      <c r="G63" s="264"/>
      <c r="H63" s="291"/>
      <c r="I63" s="291"/>
      <c r="J63" s="291"/>
    </row>
    <row r="64" spans="1:14">
      <c r="A64" s="264"/>
      <c r="B64" s="281" t="s">
        <v>1175</v>
      </c>
      <c r="C64" s="264"/>
      <c r="D64" s="264"/>
      <c r="E64" s="264"/>
      <c r="F64" s="264"/>
      <c r="G64" s="264"/>
      <c r="H64" s="291"/>
      <c r="I64" s="291"/>
      <c r="J64" s="291"/>
    </row>
    <row r="65" spans="1:12">
      <c r="A65" s="264"/>
      <c r="B65" s="302"/>
      <c r="C65" s="264"/>
      <c r="D65" s="264"/>
      <c r="E65" s="264"/>
      <c r="F65" s="264"/>
      <c r="G65" s="264"/>
      <c r="H65" s="291"/>
      <c r="I65" s="291"/>
      <c r="J65" s="291"/>
    </row>
    <row r="66" spans="1:12">
      <c r="A66" s="264"/>
      <c r="B66" s="284" t="s">
        <v>133</v>
      </c>
      <c r="C66" s="285"/>
      <c r="D66" s="285"/>
      <c r="E66" s="285"/>
      <c r="F66" s="285"/>
      <c r="G66" s="285" t="s">
        <v>275</v>
      </c>
      <c r="H66" s="297">
        <f>ROUND((H29+H36+H46+H56)*E10,0)-1756</f>
        <v>14257</v>
      </c>
      <c r="I66" s="287"/>
      <c r="J66" s="288"/>
      <c r="K66" s="202">
        <f>+K56+H66</f>
        <v>174387.32109589042</v>
      </c>
    </row>
    <row r="67" spans="1:12">
      <c r="A67" s="264"/>
      <c r="B67" s="289"/>
      <c r="C67" s="264" t="s">
        <v>280</v>
      </c>
      <c r="D67" s="264"/>
      <c r="E67" s="264"/>
      <c r="F67" s="264"/>
      <c r="G67" s="264" t="s">
        <v>278</v>
      </c>
      <c r="H67" s="291"/>
      <c r="I67" s="291"/>
      <c r="J67" s="303">
        <f>+H66</f>
        <v>14257</v>
      </c>
    </row>
    <row r="68" spans="1:12">
      <c r="A68" s="264"/>
      <c r="B68" s="298" t="s">
        <v>281</v>
      </c>
      <c r="C68" s="266"/>
      <c r="D68" s="266"/>
      <c r="E68" s="266"/>
      <c r="F68" s="266"/>
      <c r="G68" s="266"/>
      <c r="H68" s="295"/>
      <c r="I68" s="295"/>
      <c r="J68" s="296"/>
    </row>
    <row r="69" spans="1:12">
      <c r="A69" s="264"/>
      <c r="B69" s="302"/>
      <c r="C69" s="264"/>
      <c r="D69" s="264"/>
      <c r="E69" s="264"/>
      <c r="F69" s="264"/>
      <c r="G69" s="264"/>
      <c r="H69" s="291"/>
      <c r="I69" s="291"/>
      <c r="J69" s="291"/>
    </row>
    <row r="70" spans="1:12">
      <c r="A70" s="264"/>
      <c r="B70" s="284" t="s">
        <v>285</v>
      </c>
      <c r="C70" s="285"/>
      <c r="D70" s="299">
        <f>+E60</f>
        <v>45382</v>
      </c>
      <c r="E70" s="299">
        <f>+G6</f>
        <v>45702</v>
      </c>
      <c r="F70" s="285"/>
      <c r="G70" s="285" t="s">
        <v>275</v>
      </c>
      <c r="H70" s="300">
        <f>+H60-1370</f>
        <v>13081.819178082193</v>
      </c>
      <c r="I70" s="287"/>
      <c r="J70" s="288"/>
      <c r="L70" s="202">
        <f>+L61-H70</f>
        <v>-446.34885844749442</v>
      </c>
    </row>
    <row r="71" spans="1:12">
      <c r="A71" s="264"/>
      <c r="B71" s="289"/>
      <c r="C71" s="264" t="s">
        <v>283</v>
      </c>
      <c r="D71" s="264"/>
      <c r="E71" s="264"/>
      <c r="F71" s="264"/>
      <c r="G71" s="264" t="s">
        <v>278</v>
      </c>
      <c r="H71" s="291"/>
      <c r="I71" s="291"/>
      <c r="J71" s="293">
        <f>H70</f>
        <v>13081.819178082193</v>
      </c>
    </row>
    <row r="72" spans="1:12">
      <c r="A72" s="264"/>
      <c r="B72" s="298" t="s">
        <v>284</v>
      </c>
      <c r="C72" s="266"/>
      <c r="D72" s="266"/>
      <c r="E72" s="266"/>
      <c r="F72" s="266"/>
      <c r="G72" s="266"/>
      <c r="H72" s="295"/>
      <c r="I72" s="295"/>
      <c r="J72" s="296"/>
    </row>
    <row r="73" spans="1:12">
      <c r="A73" s="264"/>
      <c r="B73" s="304" t="s">
        <v>335</v>
      </c>
      <c r="C73" s="264"/>
      <c r="D73" s="264"/>
      <c r="E73" s="264"/>
      <c r="F73" s="264"/>
      <c r="G73" s="264"/>
      <c r="H73" s="264"/>
      <c r="I73" s="264"/>
      <c r="J73" s="264"/>
    </row>
    <row r="74" spans="1:12">
      <c r="A74" s="264"/>
      <c r="B74" s="284" t="s">
        <v>277</v>
      </c>
      <c r="C74" s="285"/>
      <c r="D74" s="285"/>
      <c r="E74" s="285"/>
      <c r="F74" s="285"/>
      <c r="G74" s="285" t="s">
        <v>275</v>
      </c>
      <c r="H74" s="297">
        <f>E6</f>
        <v>174000</v>
      </c>
      <c r="I74" s="287"/>
      <c r="J74" s="288"/>
    </row>
    <row r="75" spans="1:12">
      <c r="A75" s="264"/>
      <c r="B75" s="289"/>
      <c r="C75" s="264" t="s">
        <v>133</v>
      </c>
      <c r="D75" s="264"/>
      <c r="E75" s="264"/>
      <c r="F75" s="264"/>
      <c r="G75" s="264" t="s">
        <v>278</v>
      </c>
      <c r="H75" s="291"/>
      <c r="I75" s="291"/>
      <c r="J75" s="293">
        <f>H74</f>
        <v>174000</v>
      </c>
    </row>
    <row r="76" spans="1:12">
      <c r="A76" s="264"/>
      <c r="B76" s="298" t="s">
        <v>286</v>
      </c>
      <c r="C76" s="266"/>
      <c r="D76" s="266"/>
      <c r="E76" s="266"/>
      <c r="F76" s="266"/>
      <c r="G76" s="266"/>
      <c r="H76" s="295"/>
      <c r="I76" s="295"/>
      <c r="J76" s="296"/>
    </row>
    <row r="77" spans="1:12">
      <c r="A77" s="264"/>
      <c r="B77" s="264"/>
      <c r="C77" s="264"/>
      <c r="D77" s="264"/>
      <c r="E77" s="264"/>
      <c r="F77" s="264"/>
      <c r="G77" s="264"/>
      <c r="H77" s="264"/>
      <c r="I77" s="264"/>
      <c r="J77" s="264"/>
    </row>
    <row r="78" spans="1:12">
      <c r="A78" s="264"/>
      <c r="B78" s="264"/>
      <c r="C78" s="264"/>
      <c r="D78" s="264"/>
      <c r="E78" s="264"/>
      <c r="F78" s="264"/>
      <c r="G78" s="264"/>
      <c r="H78" s="264"/>
      <c r="I78" s="264"/>
      <c r="J78" s="264"/>
    </row>
    <row r="79" spans="1:12">
      <c r="A79" s="264"/>
      <c r="B79" s="27" t="s">
        <v>287</v>
      </c>
      <c r="C79" s="266"/>
      <c r="D79" s="266"/>
      <c r="E79" s="266"/>
      <c r="F79" s="266"/>
      <c r="G79" s="266"/>
      <c r="H79" s="266"/>
      <c r="I79" s="266"/>
      <c r="J79" s="266"/>
      <c r="K79" s="305"/>
    </row>
    <row r="80" spans="1:12">
      <c r="A80" s="264"/>
      <c r="B80" s="264"/>
      <c r="C80" s="264"/>
      <c r="D80" s="264"/>
      <c r="E80" s="264"/>
      <c r="F80" s="264"/>
      <c r="G80" s="264"/>
      <c r="H80" s="264"/>
      <c r="I80" s="264"/>
      <c r="J80" s="264"/>
    </row>
    <row r="81" spans="1:14">
      <c r="A81" s="264"/>
      <c r="B81" s="304" t="s">
        <v>288</v>
      </c>
      <c r="C81" s="264"/>
      <c r="D81" s="264"/>
      <c r="E81" s="264"/>
      <c r="F81" s="264"/>
      <c r="G81" s="304" t="s">
        <v>289</v>
      </c>
      <c r="H81" s="306"/>
      <c r="I81" s="264"/>
      <c r="J81" s="264"/>
    </row>
    <row r="82" spans="1:14">
      <c r="A82" s="264">
        <v>22</v>
      </c>
      <c r="B82" s="285" t="s">
        <v>290</v>
      </c>
      <c r="C82" s="307">
        <f>H29</f>
        <v>130763</v>
      </c>
      <c r="D82" s="284"/>
      <c r="E82" s="308"/>
      <c r="F82" s="264">
        <v>22</v>
      </c>
      <c r="G82" s="285" t="s">
        <v>290</v>
      </c>
      <c r="H82" s="307">
        <f>H30</f>
        <v>43237</v>
      </c>
      <c r="I82" s="285"/>
      <c r="J82" s="284" t="s">
        <v>291</v>
      </c>
      <c r="K82" s="309">
        <f>J41</f>
        <v>1737.3771689497717</v>
      </c>
      <c r="L82" s="202">
        <v>110899</v>
      </c>
      <c r="M82" s="151">
        <v>62760</v>
      </c>
      <c r="N82" s="152">
        <f>+L82+M82</f>
        <v>173659</v>
      </c>
    </row>
    <row r="83" spans="1:14">
      <c r="A83" s="264"/>
      <c r="B83" s="264" t="s">
        <v>292</v>
      </c>
      <c r="C83" s="310">
        <f>H36</f>
        <v>1576.3210958904112</v>
      </c>
      <c r="D83" s="289" t="s">
        <v>293</v>
      </c>
      <c r="E83" s="310">
        <f>C84-E82</f>
        <v>132339.32109589042</v>
      </c>
      <c r="F83" s="264"/>
      <c r="G83" s="264"/>
      <c r="H83" s="310"/>
      <c r="I83" s="264"/>
      <c r="J83" s="289" t="s">
        <v>293</v>
      </c>
      <c r="K83" s="311">
        <f>H84-K82</f>
        <v>41499.622831050227</v>
      </c>
      <c r="L83" s="202">
        <f>+E83-L82</f>
        <v>21440.321095890424</v>
      </c>
      <c r="M83" s="152">
        <f>+K83-M82</f>
        <v>-21260.377168949773</v>
      </c>
      <c r="N83" s="200">
        <f>+E83+K83</f>
        <v>173838.94392694064</v>
      </c>
    </row>
    <row r="84" spans="1:14">
      <c r="A84" s="264"/>
      <c r="B84" s="264"/>
      <c r="C84" s="312">
        <f>SUM(C82:C83)</f>
        <v>132339.32109589042</v>
      </c>
      <c r="D84" s="289"/>
      <c r="E84" s="312">
        <f>SUM(E82:E83)</f>
        <v>132339.32109589042</v>
      </c>
      <c r="F84" s="264"/>
      <c r="G84" s="264"/>
      <c r="H84" s="312">
        <f>SUM(H82:H83)</f>
        <v>43237</v>
      </c>
      <c r="I84" s="264"/>
      <c r="J84" s="289"/>
      <c r="K84" s="313">
        <f>SUM(K82:K83)</f>
        <v>43237</v>
      </c>
      <c r="N84" s="200">
        <f>+N82-N83</f>
        <v>-179.943926940643</v>
      </c>
    </row>
    <row r="85" spans="1:14">
      <c r="A85" s="264">
        <v>23</v>
      </c>
      <c r="B85" s="264" t="s">
        <v>294</v>
      </c>
      <c r="C85" s="310">
        <f>E83</f>
        <v>132339.32109589042</v>
      </c>
      <c r="D85" s="289" t="s">
        <v>295</v>
      </c>
      <c r="E85" s="310"/>
      <c r="F85" s="264">
        <v>23</v>
      </c>
      <c r="G85" s="264" t="s">
        <v>296</v>
      </c>
      <c r="H85" s="310">
        <f>K83</f>
        <v>41499.622831050227</v>
      </c>
      <c r="I85" s="264"/>
      <c r="J85" s="289" t="s">
        <v>297</v>
      </c>
      <c r="K85" s="311">
        <f>C96</f>
        <v>14412.333333333334</v>
      </c>
      <c r="L85" s="202">
        <f>+L83+M83</f>
        <v>179.94392694065027</v>
      </c>
      <c r="N85" s="314"/>
    </row>
    <row r="86" spans="1:14">
      <c r="A86" s="264"/>
      <c r="B86" s="264" t="s">
        <v>298</v>
      </c>
      <c r="C86" s="310">
        <f>H46</f>
        <v>13234</v>
      </c>
      <c r="D86" s="289" t="s">
        <v>293</v>
      </c>
      <c r="E86" s="310">
        <f>C87-E85</f>
        <v>145573.32109589042</v>
      </c>
      <c r="F86" s="264"/>
      <c r="G86" s="264"/>
      <c r="H86" s="310"/>
      <c r="I86" s="264"/>
      <c r="J86" s="289" t="s">
        <v>293</v>
      </c>
      <c r="K86" s="311">
        <f>H87-K85</f>
        <v>27087.289497716891</v>
      </c>
    </row>
    <row r="87" spans="1:14">
      <c r="A87" s="264"/>
      <c r="B87" s="264"/>
      <c r="C87" s="312">
        <f>SUM(C85:C86)</f>
        <v>145573.32109589042</v>
      </c>
      <c r="D87" s="289"/>
      <c r="E87" s="312">
        <f>SUM(E85:E86)</f>
        <v>145573.32109589042</v>
      </c>
      <c r="F87" s="264"/>
      <c r="G87" s="264"/>
      <c r="H87" s="312">
        <f>SUM(H85:H86)</f>
        <v>41499.622831050227</v>
      </c>
      <c r="I87" s="264"/>
      <c r="J87" s="289"/>
      <c r="K87" s="313">
        <f>SUM(K85:K86)</f>
        <v>41499.622831050227</v>
      </c>
    </row>
    <row r="88" spans="1:14">
      <c r="A88" s="264">
        <v>24</v>
      </c>
      <c r="B88" s="264" t="s">
        <v>299</v>
      </c>
      <c r="C88" s="315">
        <f>E86</f>
        <v>145573.32109589042</v>
      </c>
      <c r="D88" s="289"/>
      <c r="E88" s="310"/>
      <c r="F88" s="264">
        <v>24</v>
      </c>
      <c r="G88" s="264" t="s">
        <v>299</v>
      </c>
      <c r="H88" s="315">
        <f>K86</f>
        <v>27087.289497716891</v>
      </c>
      <c r="I88" s="264"/>
      <c r="J88" s="289" t="s">
        <v>300</v>
      </c>
      <c r="K88" s="311">
        <f>C99</f>
        <v>14451.819178082193</v>
      </c>
    </row>
    <row r="89" spans="1:14">
      <c r="A89" s="264"/>
      <c r="B89" s="264" t="s">
        <v>301</v>
      </c>
      <c r="C89" s="310">
        <f>H56</f>
        <v>14557</v>
      </c>
      <c r="D89" s="289" t="s">
        <v>293</v>
      </c>
      <c r="E89" s="310">
        <f>C90-E88</f>
        <v>160130.32109589042</v>
      </c>
      <c r="F89" s="264"/>
      <c r="G89" s="264"/>
      <c r="H89" s="310"/>
      <c r="I89" s="264"/>
      <c r="J89" s="289" t="s">
        <v>293</v>
      </c>
      <c r="K89" s="311">
        <f>H90-K88</f>
        <v>12635.470319634698</v>
      </c>
      <c r="M89" s="316">
        <f>+E89</f>
        <v>160130.32109589042</v>
      </c>
    </row>
    <row r="90" spans="1:14">
      <c r="A90" s="264"/>
      <c r="B90" s="264"/>
      <c r="C90" s="317">
        <f>SUM(C88:C89)</f>
        <v>160130.32109589042</v>
      </c>
      <c r="D90" s="264"/>
      <c r="E90" s="312">
        <f>SUM(E88:E89)</f>
        <v>160130.32109589042</v>
      </c>
      <c r="F90" s="264"/>
      <c r="G90" s="264"/>
      <c r="H90" s="318">
        <f>+H88</f>
        <v>27087.289497716891</v>
      </c>
      <c r="I90" s="264"/>
      <c r="J90" s="264"/>
      <c r="K90" s="313">
        <f>SUM(K88:K89)</f>
        <v>27087.289497716891</v>
      </c>
      <c r="M90" s="152">
        <f>+K89</f>
        <v>12635.470319634698</v>
      </c>
    </row>
    <row r="91" spans="1:14">
      <c r="A91" s="264"/>
      <c r="B91" s="264"/>
      <c r="C91" s="279"/>
      <c r="D91" s="264"/>
      <c r="E91" s="264"/>
      <c r="F91" s="264"/>
      <c r="G91" s="264"/>
      <c r="H91" s="264"/>
      <c r="I91" s="264"/>
      <c r="J91" s="264"/>
      <c r="K91" s="311"/>
      <c r="M91" s="316">
        <f>SUM(M89:M90)</f>
        <v>172765.79141552513</v>
      </c>
    </row>
    <row r="92" spans="1:14">
      <c r="A92" s="264"/>
      <c r="B92" s="304" t="s">
        <v>302</v>
      </c>
      <c r="C92" s="264"/>
      <c r="D92" s="264"/>
      <c r="E92" s="264"/>
      <c r="F92" s="264"/>
      <c r="G92" s="304" t="s">
        <v>280</v>
      </c>
      <c r="H92" s="306"/>
      <c r="I92" s="264"/>
      <c r="J92" s="264"/>
    </row>
    <row r="93" spans="1:14">
      <c r="A93" s="264">
        <v>22</v>
      </c>
      <c r="B93" s="285" t="s">
        <v>303</v>
      </c>
      <c r="C93" s="307">
        <f>H40</f>
        <v>1737.3771689497717</v>
      </c>
      <c r="D93" s="284"/>
      <c r="E93" s="285"/>
      <c r="F93" s="264"/>
      <c r="G93" s="285"/>
      <c r="H93" s="307"/>
      <c r="I93" s="285"/>
      <c r="J93" s="284" t="s">
        <v>304</v>
      </c>
      <c r="K93" s="309">
        <f>J37</f>
        <v>1576.3210958904112</v>
      </c>
    </row>
    <row r="94" spans="1:14" s="202" customFormat="1">
      <c r="A94" s="264"/>
      <c r="B94" s="264"/>
      <c r="C94" s="310"/>
      <c r="D94" s="289" t="s">
        <v>305</v>
      </c>
      <c r="E94" s="310">
        <f>C93</f>
        <v>1737.3771689497717</v>
      </c>
      <c r="F94" s="264">
        <v>22</v>
      </c>
      <c r="G94" s="264" t="s">
        <v>305</v>
      </c>
      <c r="H94" s="310">
        <f>K93</f>
        <v>1576.3210958904112</v>
      </c>
      <c r="I94" s="264"/>
      <c r="J94" s="289"/>
      <c r="M94" s="151"/>
      <c r="N94" s="151"/>
    </row>
    <row r="95" spans="1:14" s="202" customFormat="1">
      <c r="A95" s="264"/>
      <c r="B95" s="264"/>
      <c r="C95" s="318">
        <f>SUM(C93:C94)</f>
        <v>1737.3771689497717</v>
      </c>
      <c r="D95" s="289"/>
      <c r="E95" s="318">
        <f>SUM(E93:E94)</f>
        <v>1737.3771689497717</v>
      </c>
      <c r="F95" s="264"/>
      <c r="G95" s="264"/>
      <c r="H95" s="312">
        <f>SUM(H94)</f>
        <v>1576.3210958904112</v>
      </c>
      <c r="I95" s="264"/>
      <c r="J95" s="289"/>
      <c r="K95" s="313">
        <f>SUM(K93:K94)</f>
        <v>1576.3210958904112</v>
      </c>
      <c r="M95" s="151"/>
      <c r="N95" s="151"/>
    </row>
    <row r="96" spans="1:14" s="202" customFormat="1">
      <c r="A96" s="264">
        <v>23</v>
      </c>
      <c r="B96" s="264" t="s">
        <v>306</v>
      </c>
      <c r="C96" s="310">
        <f>H50</f>
        <v>14412.333333333334</v>
      </c>
      <c r="D96" s="289"/>
      <c r="E96" s="310"/>
      <c r="F96" s="264"/>
      <c r="G96" s="264"/>
      <c r="H96" s="310"/>
      <c r="I96" s="264"/>
      <c r="J96" s="289" t="s">
        <v>307</v>
      </c>
      <c r="K96" s="311">
        <f>J47</f>
        <v>13234</v>
      </c>
      <c r="M96" s="151"/>
      <c r="N96" s="151"/>
    </row>
    <row r="97" spans="1:14" s="202" customFormat="1">
      <c r="A97" s="264"/>
      <c r="B97" s="264"/>
      <c r="C97" s="310"/>
      <c r="D97" s="289" t="s">
        <v>305</v>
      </c>
      <c r="E97" s="310">
        <f>C96</f>
        <v>14412.333333333334</v>
      </c>
      <c r="F97" s="264">
        <v>23</v>
      </c>
      <c r="G97" s="264" t="s">
        <v>305</v>
      </c>
      <c r="H97" s="310">
        <f>K96</f>
        <v>13234</v>
      </c>
      <c r="I97" s="264"/>
      <c r="J97" s="289"/>
      <c r="M97" s="151"/>
      <c r="N97" s="151"/>
    </row>
    <row r="98" spans="1:14" s="202" customFormat="1">
      <c r="A98" s="264"/>
      <c r="B98" s="264"/>
      <c r="C98" s="318">
        <f>SUM(C96:C97)</f>
        <v>14412.333333333334</v>
      </c>
      <c r="D98" s="289"/>
      <c r="E98" s="312">
        <f>SUM(E97)</f>
        <v>14412.333333333334</v>
      </c>
      <c r="F98" s="264"/>
      <c r="G98" s="264"/>
      <c r="H98" s="312">
        <f>SUM(H97)</f>
        <v>13234</v>
      </c>
      <c r="I98" s="264"/>
      <c r="J98" s="289"/>
      <c r="K98" s="313">
        <f>SUM(K96:K97)</f>
        <v>13234</v>
      </c>
      <c r="M98" s="151"/>
      <c r="N98" s="151"/>
    </row>
    <row r="99" spans="1:14" s="202" customFormat="1">
      <c r="A99" s="264">
        <v>24</v>
      </c>
      <c r="B99" s="264" t="s">
        <v>308</v>
      </c>
      <c r="C99" s="319">
        <f>H60</f>
        <v>14451.819178082193</v>
      </c>
      <c r="D99" s="264"/>
      <c r="E99" s="310"/>
      <c r="F99" s="264"/>
      <c r="G99" s="264"/>
      <c r="H99" s="319"/>
      <c r="I99" s="264"/>
      <c r="J99" s="289" t="s">
        <v>368</v>
      </c>
      <c r="K99" s="202">
        <f>J57</f>
        <v>14557</v>
      </c>
      <c r="M99" s="151"/>
      <c r="N99" s="151"/>
    </row>
    <row r="100" spans="1:14" s="202" customFormat="1">
      <c r="A100" s="264"/>
      <c r="B100" s="264"/>
      <c r="C100" s="320"/>
      <c r="D100" s="289" t="s">
        <v>305</v>
      </c>
      <c r="E100" s="310">
        <f>C99</f>
        <v>14451.819178082193</v>
      </c>
      <c r="F100" s="264">
        <v>24</v>
      </c>
      <c r="G100" s="264" t="s">
        <v>305</v>
      </c>
      <c r="H100" s="321">
        <f>K99</f>
        <v>14557</v>
      </c>
      <c r="I100" s="264"/>
      <c r="J100" s="264"/>
      <c r="M100" s="151"/>
      <c r="N100" s="151"/>
    </row>
    <row r="101" spans="1:14" s="202" customFormat="1">
      <c r="A101" s="264"/>
      <c r="B101" s="264"/>
      <c r="C101" s="318">
        <f>SUM(C99:C100)</f>
        <v>14451.819178082193</v>
      </c>
      <c r="D101" s="264"/>
      <c r="E101" s="312">
        <f>SUM(E100)</f>
        <v>14451.819178082193</v>
      </c>
      <c r="F101" s="264"/>
      <c r="G101" s="264"/>
      <c r="H101" s="312">
        <f>SUM(H100)</f>
        <v>14557</v>
      </c>
      <c r="I101" s="264"/>
      <c r="J101" s="264"/>
      <c r="K101" s="313">
        <f>SUM(K99:K100)</f>
        <v>14557</v>
      </c>
      <c r="M101" s="151"/>
      <c r="N101" s="151"/>
    </row>
    <row r="102" spans="1:14" s="202" customFormat="1">
      <c r="A102" s="264"/>
      <c r="B102" s="264"/>
      <c r="C102" s="264"/>
      <c r="D102" s="264"/>
      <c r="E102" s="264"/>
      <c r="F102" s="264"/>
      <c r="G102" s="264"/>
      <c r="H102" s="264"/>
      <c r="I102" s="264"/>
      <c r="J102" s="264"/>
      <c r="M102" s="151"/>
      <c r="N102" s="151"/>
    </row>
    <row r="103" spans="1:14" s="202" customFormat="1">
      <c r="A103" s="264"/>
      <c r="B103" s="264"/>
      <c r="C103" s="264"/>
      <c r="D103" s="264"/>
      <c r="E103" s="264"/>
      <c r="F103" s="264"/>
      <c r="G103" s="264"/>
      <c r="H103" s="264"/>
      <c r="I103" s="264"/>
      <c r="J103" s="264"/>
      <c r="M103" s="151"/>
      <c r="N103" s="151"/>
    </row>
    <row r="104" spans="1:14" s="202" customFormat="1">
      <c r="A104" s="264"/>
      <c r="B104" s="264"/>
      <c r="C104" s="264"/>
      <c r="D104" s="264"/>
      <c r="E104" s="264"/>
      <c r="F104" s="264"/>
      <c r="G104" s="264"/>
      <c r="H104" s="310"/>
      <c r="I104" s="264"/>
      <c r="J104" s="264"/>
      <c r="M104" s="151"/>
      <c r="N104" s="151"/>
    </row>
    <row r="105" spans="1:14" s="202" customFormat="1">
      <c r="A105" s="264"/>
      <c r="B105" s="264"/>
      <c r="C105" s="264"/>
      <c r="D105" s="264"/>
      <c r="E105" s="264"/>
      <c r="F105" s="264"/>
      <c r="G105" s="264"/>
      <c r="H105" s="264"/>
      <c r="I105" s="264"/>
      <c r="J105" s="264"/>
      <c r="M105" s="151"/>
      <c r="N105" s="151"/>
    </row>
    <row r="106" spans="1:14" s="202" customFormat="1">
      <c r="A106" s="264"/>
      <c r="B106" s="264"/>
      <c r="C106" s="264"/>
      <c r="D106" s="264"/>
      <c r="E106" s="264"/>
      <c r="F106" s="264"/>
      <c r="G106" s="264"/>
      <c r="H106" s="310"/>
      <c r="I106" s="264"/>
      <c r="J106" s="264"/>
      <c r="M106" s="151"/>
      <c r="N106" s="151"/>
    </row>
    <row r="107" spans="1:14" s="202" customFormat="1">
      <c r="A107" s="264"/>
      <c r="B107" s="264"/>
      <c r="C107" s="264"/>
      <c r="D107" s="264"/>
      <c r="E107" s="264"/>
      <c r="F107" s="264"/>
      <c r="G107" s="264"/>
      <c r="H107" s="264"/>
      <c r="I107" s="264"/>
      <c r="J107" s="264"/>
      <c r="M107" s="151"/>
      <c r="N107" s="151"/>
    </row>
    <row r="108" spans="1:14" s="202" customFormat="1">
      <c r="A108" s="264"/>
      <c r="B108" s="264"/>
      <c r="C108" s="264"/>
      <c r="D108" s="264"/>
      <c r="E108" s="264"/>
      <c r="F108" s="264"/>
      <c r="G108" s="264"/>
      <c r="H108" s="310"/>
      <c r="I108" s="264"/>
      <c r="J108" s="264"/>
      <c r="M108" s="151"/>
      <c r="N108" s="151"/>
    </row>
    <row r="109" spans="1:14" s="202" customFormat="1">
      <c r="A109" s="264"/>
      <c r="B109" s="264"/>
      <c r="C109" s="264"/>
      <c r="D109" s="264"/>
      <c r="E109" s="264"/>
      <c r="F109" s="264"/>
      <c r="G109" s="264"/>
      <c r="H109" s="264"/>
      <c r="I109" s="264"/>
      <c r="J109" s="264"/>
      <c r="M109" s="151"/>
      <c r="N109" s="151"/>
    </row>
    <row r="110" spans="1:14" s="202" customFormat="1">
      <c r="A110" s="264"/>
      <c r="B110" s="264"/>
      <c r="C110" s="264"/>
      <c r="D110" s="264"/>
      <c r="E110" s="264"/>
      <c r="F110" s="264"/>
      <c r="G110" s="264"/>
      <c r="H110" s="264"/>
      <c r="I110" s="264"/>
      <c r="J110" s="264"/>
      <c r="M110" s="151"/>
      <c r="N110" s="151"/>
    </row>
    <row r="111" spans="1:14" s="202" customFormat="1">
      <c r="A111" s="264"/>
      <c r="B111" s="264"/>
      <c r="C111" s="264"/>
      <c r="D111" s="264"/>
      <c r="E111" s="264"/>
      <c r="F111" s="264"/>
      <c r="G111" s="264"/>
      <c r="H111" s="264"/>
      <c r="I111" s="264"/>
      <c r="J111" s="264"/>
      <c r="M111" s="151"/>
      <c r="N111" s="151"/>
    </row>
    <row r="112" spans="1:14" s="202" customFormat="1">
      <c r="A112" s="264"/>
      <c r="B112" s="264"/>
      <c r="C112" s="264"/>
      <c r="D112" s="264"/>
      <c r="E112" s="264"/>
      <c r="F112" s="264"/>
      <c r="G112" s="264"/>
      <c r="H112" s="264"/>
      <c r="I112" s="264"/>
      <c r="J112" s="264"/>
      <c r="M112" s="151"/>
      <c r="N112" s="151"/>
    </row>
    <row r="113" spans="1:14" s="202" customFormat="1">
      <c r="A113" s="264"/>
      <c r="B113" s="264"/>
      <c r="C113" s="264"/>
      <c r="D113" s="264"/>
      <c r="E113" s="264"/>
      <c r="F113" s="264"/>
      <c r="G113" s="264"/>
      <c r="H113" s="264"/>
      <c r="I113" s="264"/>
      <c r="J113" s="264"/>
      <c r="M113" s="151"/>
      <c r="N113" s="151"/>
    </row>
    <row r="114" spans="1:14" s="202" customFormat="1">
      <c r="A114" s="264"/>
      <c r="B114" s="264"/>
      <c r="C114" s="264"/>
      <c r="D114" s="264"/>
      <c r="E114" s="264"/>
      <c r="F114" s="264"/>
      <c r="G114" s="264"/>
      <c r="H114" s="264"/>
      <c r="I114" s="264"/>
      <c r="J114" s="264"/>
      <c r="M114" s="151"/>
      <c r="N114" s="151"/>
    </row>
    <row r="115" spans="1:14" s="202" customFormat="1">
      <c r="A115" s="264"/>
      <c r="B115" s="264"/>
      <c r="C115" s="264"/>
      <c r="D115" s="264"/>
      <c r="E115" s="264"/>
      <c r="F115" s="264"/>
      <c r="G115" s="264"/>
      <c r="H115" s="264"/>
      <c r="I115" s="264"/>
      <c r="J115" s="264"/>
      <c r="M115" s="151"/>
      <c r="N115" s="151"/>
    </row>
    <row r="116" spans="1:14" s="202" customFormat="1">
      <c r="A116" s="264"/>
      <c r="B116" s="264"/>
      <c r="C116" s="264"/>
      <c r="D116" s="264"/>
      <c r="E116" s="264"/>
      <c r="F116" s="264"/>
      <c r="G116" s="264"/>
      <c r="H116" s="264"/>
      <c r="I116" s="264"/>
      <c r="J116" s="264"/>
      <c r="M116" s="151"/>
      <c r="N116" s="151"/>
    </row>
    <row r="117" spans="1:14" s="202" customFormat="1">
      <c r="A117" s="264"/>
      <c r="B117" s="264"/>
      <c r="C117" s="264"/>
      <c r="D117" s="264"/>
      <c r="E117" s="264"/>
      <c r="F117" s="264"/>
      <c r="G117" s="264"/>
      <c r="H117" s="264"/>
      <c r="I117" s="264"/>
      <c r="J117" s="264"/>
      <c r="M117" s="151"/>
      <c r="N117" s="151"/>
    </row>
    <row r="118" spans="1:14" s="202" customFormat="1">
      <c r="A118" s="264"/>
      <c r="B118" s="264"/>
      <c r="C118" s="264"/>
      <c r="D118" s="264"/>
      <c r="E118" s="264"/>
      <c r="F118" s="264"/>
      <c r="G118" s="264"/>
      <c r="H118" s="264"/>
      <c r="I118" s="264"/>
      <c r="J118" s="264"/>
      <c r="M118" s="151"/>
      <c r="N118" s="151"/>
    </row>
    <row r="119" spans="1:14" s="202" customFormat="1">
      <c r="A119" s="264"/>
      <c r="B119" s="264"/>
      <c r="C119" s="264"/>
      <c r="D119" s="264"/>
      <c r="E119" s="264"/>
      <c r="F119" s="264"/>
      <c r="G119" s="264"/>
      <c r="H119" s="264"/>
      <c r="I119" s="264"/>
      <c r="J119" s="264"/>
      <c r="M119" s="151"/>
      <c r="N119" s="151"/>
    </row>
    <row r="120" spans="1:14" s="202" customFormat="1">
      <c r="A120" s="264"/>
      <c r="B120" s="264"/>
      <c r="C120" s="264"/>
      <c r="D120" s="264"/>
      <c r="E120" s="264"/>
      <c r="F120" s="264"/>
      <c r="G120" s="264"/>
      <c r="H120" s="264"/>
      <c r="I120" s="264"/>
      <c r="J120" s="264"/>
      <c r="M120" s="151"/>
      <c r="N120" s="151"/>
    </row>
  </sheetData>
  <mergeCells count="1">
    <mergeCell ref="A2:J2"/>
  </mergeCells>
  <printOptions horizontalCentered="1" verticalCentered="1"/>
  <pageMargins left="0.1" right="0.1" top="0.1" bottom="0.1" header="0.3" footer="0.3"/>
  <pageSetup scale="36"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7"/>
  <sheetViews>
    <sheetView topLeftCell="A42" workbookViewId="0">
      <selection activeCell="D55" sqref="D55"/>
    </sheetView>
  </sheetViews>
  <sheetFormatPr defaultColWidth="9.21875" defaultRowHeight="14.4"/>
  <cols>
    <col min="1" max="1" width="7.5546875" style="151" customWidth="1"/>
    <col min="2" max="2" width="57.21875" style="151" bestFit="1" customWidth="1"/>
    <col min="3" max="4" width="15.21875" style="151" bestFit="1" customWidth="1"/>
    <col min="5" max="5" width="15" style="151" bestFit="1" customWidth="1"/>
    <col min="6" max="6" width="15.77734375" style="151" customWidth="1"/>
    <col min="7" max="8" width="15" style="151" customWidth="1"/>
    <col min="9" max="9" width="12.77734375" style="151" bestFit="1" customWidth="1"/>
    <col min="10" max="10" width="27.44140625" style="151" customWidth="1"/>
    <col min="11" max="11" width="12.77734375" style="151" bestFit="1" customWidth="1"/>
    <col min="12" max="12" width="9.21875" style="151"/>
    <col min="13" max="13" width="12.21875" style="151" bestFit="1" customWidth="1"/>
    <col min="14" max="16384" width="9.21875" style="151"/>
  </cols>
  <sheetData>
    <row r="1" spans="1:12">
      <c r="A1" s="1380" t="s">
        <v>882</v>
      </c>
      <c r="B1" s="1380"/>
      <c r="C1" s="1380"/>
      <c r="D1" s="1380"/>
      <c r="E1" s="1380"/>
      <c r="F1" s="180"/>
      <c r="G1" s="180"/>
      <c r="H1" s="180"/>
      <c r="J1" s="151" t="s">
        <v>1021</v>
      </c>
    </row>
    <row r="2" spans="1:12">
      <c r="A2" s="1380" t="s">
        <v>1464</v>
      </c>
      <c r="B2" s="1380"/>
      <c r="C2" s="1380"/>
      <c r="D2" s="1380"/>
      <c r="E2" s="1380"/>
      <c r="F2" s="180"/>
      <c r="G2" s="180"/>
      <c r="H2" s="180"/>
      <c r="J2" s="215" t="s">
        <v>1023</v>
      </c>
      <c r="K2" s="151">
        <v>22</v>
      </c>
    </row>
    <row r="3" spans="1:12">
      <c r="A3" s="1"/>
      <c r="B3" s="1"/>
      <c r="C3" s="174"/>
      <c r="D3" s="174"/>
      <c r="E3" s="174"/>
      <c r="F3" s="174"/>
      <c r="G3" s="174"/>
      <c r="H3" s="174"/>
      <c r="J3" s="215" t="s">
        <v>1024</v>
      </c>
      <c r="K3" s="151">
        <v>0</v>
      </c>
    </row>
    <row r="4" spans="1:12" ht="43.2">
      <c r="A4" s="181" t="s">
        <v>883</v>
      </c>
      <c r="B4" s="182" t="s">
        <v>0</v>
      </c>
      <c r="C4" s="183" t="s">
        <v>884</v>
      </c>
      <c r="D4" s="184" t="s">
        <v>884</v>
      </c>
      <c r="E4" s="183" t="s">
        <v>1046</v>
      </c>
      <c r="F4" s="216" t="s">
        <v>1726</v>
      </c>
      <c r="G4" s="216" t="s">
        <v>1026</v>
      </c>
      <c r="H4" s="205"/>
      <c r="J4" s="217" t="s">
        <v>1027</v>
      </c>
      <c r="K4" s="151">
        <f>(K2+K3)*0.04</f>
        <v>0.88</v>
      </c>
    </row>
    <row r="5" spans="1:12">
      <c r="A5" s="2"/>
      <c r="B5" s="1"/>
      <c r="C5" s="185"/>
      <c r="D5" s="186"/>
      <c r="E5" s="185"/>
      <c r="F5" s="185"/>
      <c r="G5" s="218"/>
      <c r="H5" s="186"/>
      <c r="J5" s="215" t="s">
        <v>1028</v>
      </c>
      <c r="K5" s="151">
        <f>+K2+K3+K4</f>
        <v>22.88</v>
      </c>
    </row>
    <row r="6" spans="1:12">
      <c r="A6" s="187"/>
      <c r="B6" s="188" t="s">
        <v>886</v>
      </c>
      <c r="C6" s="189"/>
      <c r="D6" s="190"/>
      <c r="E6" s="189"/>
      <c r="F6" s="189"/>
      <c r="G6" s="219"/>
      <c r="H6" s="190"/>
    </row>
    <row r="7" spans="1:12">
      <c r="A7" s="2"/>
      <c r="B7" s="1"/>
      <c r="C7" s="185"/>
      <c r="D7" s="186"/>
      <c r="E7" s="185"/>
      <c r="F7" s="185"/>
      <c r="G7" s="218"/>
      <c r="H7" s="186"/>
    </row>
    <row r="8" spans="1:12">
      <c r="A8" s="191">
        <v>1</v>
      </c>
      <c r="B8" s="192" t="s">
        <v>887</v>
      </c>
      <c r="C8" s="185"/>
      <c r="D8" s="186"/>
      <c r="E8" s="185"/>
      <c r="F8" s="185"/>
      <c r="G8" s="218"/>
      <c r="H8" s="186"/>
      <c r="J8" s="151">
        <f>+L4+K4</f>
        <v>0.88</v>
      </c>
    </row>
    <row r="9" spans="1:12">
      <c r="A9" s="2"/>
      <c r="B9" s="1" t="s">
        <v>1678</v>
      </c>
      <c r="C9" s="185"/>
      <c r="D9" s="186"/>
      <c r="E9" s="185"/>
      <c r="F9" s="185"/>
      <c r="G9" s="218"/>
      <c r="H9" s="186"/>
      <c r="I9" s="201"/>
    </row>
    <row r="10" spans="1:12">
      <c r="A10" s="2"/>
      <c r="B10" s="1" t="s">
        <v>888</v>
      </c>
      <c r="C10" s="1087">
        <f>'Dep as per IT 23-24'!O71</f>
        <v>10270263</v>
      </c>
      <c r="D10" s="186"/>
      <c r="E10" s="185"/>
      <c r="F10" s="185"/>
      <c r="G10" s="218"/>
      <c r="H10" s="186"/>
      <c r="I10" s="201"/>
      <c r="L10" s="151">
        <v>392034</v>
      </c>
    </row>
    <row r="11" spans="1:12" ht="16.2">
      <c r="A11" s="2"/>
      <c r="B11" s="1"/>
      <c r="C11" s="185"/>
      <c r="D11" s="186"/>
      <c r="E11" s="185"/>
      <c r="F11" s="185"/>
      <c r="G11" s="218"/>
      <c r="H11" s="222" t="s">
        <v>1349</v>
      </c>
    </row>
    <row r="12" spans="1:12">
      <c r="A12" s="2"/>
      <c r="B12" s="5" t="s">
        <v>889</v>
      </c>
      <c r="C12" s="185"/>
      <c r="D12" s="186"/>
      <c r="E12" s="185"/>
      <c r="F12" s="185"/>
      <c r="G12" s="218"/>
      <c r="H12" s="186"/>
    </row>
    <row r="13" spans="1:12">
      <c r="A13" s="2"/>
      <c r="B13" s="1" t="s">
        <v>1678</v>
      </c>
      <c r="C13" s="185"/>
      <c r="D13" s="186"/>
      <c r="E13" s="185"/>
      <c r="F13" s="185"/>
      <c r="G13" s="218"/>
      <c r="H13" s="186"/>
    </row>
    <row r="14" spans="1:12" ht="16.2">
      <c r="A14" s="2"/>
      <c r="B14" s="1" t="s">
        <v>890</v>
      </c>
      <c r="C14" s="193">
        <f>BS!D9+BS!D10</f>
        <v>12815438.050000001</v>
      </c>
      <c r="D14" s="26">
        <f>C10-C14</f>
        <v>-2545175.0500000007</v>
      </c>
      <c r="E14" s="185">
        <f>ROUND(D14*J15%,0)</f>
        <v>-582845</v>
      </c>
      <c r="F14" s="185">
        <f>'Deferred tax 22-23'!E14</f>
        <v>-467043</v>
      </c>
      <c r="G14" s="218">
        <f>+(E14-F14)</f>
        <v>-115802</v>
      </c>
      <c r="H14" s="222"/>
      <c r="L14" s="151">
        <v>586287</v>
      </c>
    </row>
    <row r="15" spans="1:12">
      <c r="A15" s="2"/>
      <c r="B15" s="1" t="s">
        <v>891</v>
      </c>
      <c r="C15" s="185"/>
      <c r="D15" s="186"/>
      <c r="E15" s="185"/>
      <c r="F15" s="185"/>
      <c r="G15" s="218"/>
      <c r="H15" s="186"/>
      <c r="I15" s="151" t="s">
        <v>1029</v>
      </c>
      <c r="J15" s="194">
        <v>22.9</v>
      </c>
    </row>
    <row r="16" spans="1:12" ht="15" thickBot="1">
      <c r="A16" s="2"/>
      <c r="B16" s="1"/>
      <c r="C16" s="185"/>
      <c r="D16" s="186"/>
      <c r="E16" s="195">
        <f>+E14+E15</f>
        <v>-582845</v>
      </c>
      <c r="F16" s="196"/>
      <c r="G16" s="220"/>
      <c r="H16" s="205"/>
    </row>
    <row r="17" spans="1:14" ht="15" thickTop="1">
      <c r="A17" s="2"/>
      <c r="B17" s="1"/>
      <c r="C17" s="185"/>
      <c r="D17" s="186"/>
      <c r="E17" s="196"/>
      <c r="F17" s="196"/>
      <c r="G17" s="220"/>
      <c r="H17" s="205"/>
    </row>
    <row r="18" spans="1:14">
      <c r="A18" s="191">
        <v>2</v>
      </c>
      <c r="B18" s="192" t="s">
        <v>892</v>
      </c>
      <c r="C18" s="185"/>
      <c r="D18" s="186"/>
      <c r="E18" s="185"/>
      <c r="F18" s="185"/>
      <c r="G18" s="218"/>
      <c r="H18" s="186"/>
    </row>
    <row r="19" spans="1:14">
      <c r="A19" s="191"/>
      <c r="B19" s="1" t="s">
        <v>893</v>
      </c>
      <c r="C19" s="185"/>
      <c r="D19" s="186"/>
      <c r="E19" s="185">
        <f>Notes!C23</f>
        <v>7416129</v>
      </c>
      <c r="F19" s="185"/>
      <c r="G19" s="218"/>
      <c r="H19" s="186"/>
    </row>
    <row r="20" spans="1:14">
      <c r="A20" s="191"/>
      <c r="B20" s="197" t="s">
        <v>1679</v>
      </c>
      <c r="C20" s="185"/>
      <c r="D20" s="186"/>
      <c r="E20" s="185">
        <f>-E19</f>
        <v>-7416129</v>
      </c>
      <c r="F20" s="185"/>
      <c r="G20" s="218"/>
      <c r="H20" s="186"/>
    </row>
    <row r="21" spans="1:14">
      <c r="A21" s="191"/>
      <c r="B21" s="198"/>
      <c r="C21" s="185"/>
      <c r="D21" s="186"/>
      <c r="E21" s="185"/>
      <c r="F21" s="185"/>
      <c r="G21" s="218"/>
      <c r="H21" s="186"/>
      <c r="J21" s="151" t="s">
        <v>944</v>
      </c>
      <c r="L21" s="151">
        <v>228983.83199999999</v>
      </c>
    </row>
    <row r="22" spans="1:14" ht="16.2">
      <c r="A22" s="2"/>
      <c r="B22" s="1"/>
      <c r="C22" s="193"/>
      <c r="D22" s="175"/>
      <c r="E22" s="185"/>
      <c r="F22" s="185"/>
      <c r="G22" s="218">
        <f>+E22</f>
        <v>0</v>
      </c>
      <c r="H22" s="222"/>
      <c r="J22" s="151" t="s">
        <v>945</v>
      </c>
      <c r="L22" s="151" t="s">
        <v>951</v>
      </c>
      <c r="M22" s="151" t="s">
        <v>952</v>
      </c>
      <c r="N22" s="151" t="s">
        <v>953</v>
      </c>
    </row>
    <row r="23" spans="1:14">
      <c r="A23" s="2"/>
      <c r="B23" s="192" t="s">
        <v>892</v>
      </c>
      <c r="C23" s="185"/>
      <c r="D23" s="186"/>
      <c r="E23" s="196">
        <f>+E19+E20</f>
        <v>0</v>
      </c>
      <c r="F23" s="196"/>
      <c r="G23" s="220"/>
      <c r="H23" s="205"/>
      <c r="J23" s="151" t="s">
        <v>946</v>
      </c>
      <c r="L23" s="151">
        <f>L21/4</f>
        <v>57245.957999999999</v>
      </c>
      <c r="M23" s="151">
        <v>55338</v>
      </c>
      <c r="N23" s="151">
        <f>L23-M23</f>
        <v>1907.9579999999987</v>
      </c>
    </row>
    <row r="24" spans="1:14">
      <c r="A24" s="2"/>
      <c r="B24" s="1"/>
      <c r="C24" s="185"/>
      <c r="D24" s="186"/>
      <c r="E24" s="185"/>
      <c r="F24" s="185"/>
      <c r="G24" s="218"/>
      <c r="H24" s="186"/>
      <c r="J24" s="151" t="s">
        <v>947</v>
      </c>
      <c r="L24" s="151">
        <f>L23</f>
        <v>57245.957999999999</v>
      </c>
      <c r="M24" s="151">
        <v>47705</v>
      </c>
      <c r="N24" s="151">
        <f>L24-M24</f>
        <v>9540.9579999999987</v>
      </c>
    </row>
    <row r="25" spans="1:14">
      <c r="A25" s="2"/>
      <c r="B25" s="1" t="s">
        <v>895</v>
      </c>
      <c r="C25" s="185">
        <v>0</v>
      </c>
      <c r="D25" s="186"/>
      <c r="E25" s="185"/>
      <c r="F25" s="185"/>
      <c r="G25" s="218"/>
      <c r="H25" s="186"/>
      <c r="J25" s="151" t="s">
        <v>948</v>
      </c>
      <c r="L25" s="151">
        <f>L24</f>
        <v>57245.957999999999</v>
      </c>
      <c r="M25" s="199">
        <f>L25+N24+N23</f>
        <v>68694.873999999996</v>
      </c>
      <c r="N25" s="151">
        <f>L25-M25</f>
        <v>-11448.915999999997</v>
      </c>
    </row>
    <row r="26" spans="1:14">
      <c r="A26" s="2"/>
      <c r="B26" s="1" t="s">
        <v>123</v>
      </c>
      <c r="C26" s="185">
        <f>Notes!C337+Notes!C400</f>
        <v>0</v>
      </c>
      <c r="D26" s="186"/>
      <c r="E26" s="185"/>
      <c r="F26" s="185"/>
      <c r="G26" s="218"/>
      <c r="H26" s="186"/>
      <c r="I26" s="151" t="s">
        <v>1029</v>
      </c>
      <c r="J26" s="151" t="s">
        <v>949</v>
      </c>
      <c r="L26" s="151">
        <f>L25</f>
        <v>57245.957999999999</v>
      </c>
      <c r="M26" s="151">
        <f>L26</f>
        <v>57245.957999999999</v>
      </c>
      <c r="N26" s="151">
        <f>L26-M26</f>
        <v>0</v>
      </c>
    </row>
    <row r="27" spans="1:14">
      <c r="A27" s="2"/>
      <c r="B27" s="1" t="s">
        <v>896</v>
      </c>
      <c r="C27" s="185">
        <f>Notes!C338+Notes!C401</f>
        <v>0</v>
      </c>
      <c r="D27" s="186">
        <f>SUM(C25:C27)</f>
        <v>0</v>
      </c>
      <c r="E27" s="185">
        <f>ROUND(D27*J15%,0)</f>
        <v>0</v>
      </c>
      <c r="F27" s="185">
        <f>'Deferred tax 22-23'!F27</f>
        <v>409978</v>
      </c>
      <c r="G27" s="218">
        <f>+E27-F27</f>
        <v>-409978</v>
      </c>
      <c r="H27" s="186"/>
      <c r="I27" s="151">
        <f>+'Deferred tax 18-19'!E27</f>
        <v>53538</v>
      </c>
      <c r="L27" s="151">
        <f>SUM(L23:L26)</f>
        <v>228983.83199999999</v>
      </c>
      <c r="M27" s="151">
        <f>SUM(M23:M26)</f>
        <v>228983.83199999999</v>
      </c>
      <c r="N27" s="151">
        <f>SUM(N23:N26)</f>
        <v>0</v>
      </c>
    </row>
    <row r="28" spans="1:14">
      <c r="A28" s="2"/>
      <c r="B28" s="1"/>
      <c r="C28" s="185"/>
      <c r="D28" s="186"/>
      <c r="E28" s="185"/>
      <c r="F28" s="185"/>
      <c r="G28" s="218"/>
      <c r="H28" s="186"/>
    </row>
    <row r="29" spans="1:14">
      <c r="A29" s="191">
        <v>3</v>
      </c>
      <c r="B29" s="192" t="s">
        <v>887</v>
      </c>
      <c r="C29" s="185"/>
      <c r="D29" s="186"/>
      <c r="E29" s="185"/>
      <c r="F29" s="185"/>
      <c r="G29" s="218"/>
      <c r="H29" s="186"/>
    </row>
    <row r="30" spans="1:14">
      <c r="A30" s="191"/>
      <c r="B30" s="192"/>
      <c r="C30" s="185"/>
      <c r="D30" s="186"/>
      <c r="E30" s="185"/>
      <c r="F30" s="185"/>
      <c r="G30" s="218"/>
      <c r="H30" s="186"/>
    </row>
    <row r="31" spans="1:14">
      <c r="A31" s="191"/>
      <c r="B31" s="5" t="s">
        <v>57</v>
      </c>
      <c r="C31" s="185"/>
      <c r="D31" s="186"/>
      <c r="E31" s="185"/>
      <c r="F31" s="185"/>
      <c r="G31" s="218"/>
      <c r="H31" s="186"/>
      <c r="J31" s="151" t="s">
        <v>944</v>
      </c>
      <c r="L31" s="151">
        <v>209104</v>
      </c>
    </row>
    <row r="32" spans="1:14">
      <c r="A32" s="191"/>
      <c r="B32" s="1" t="s">
        <v>897</v>
      </c>
      <c r="C32" s="185">
        <v>138359</v>
      </c>
      <c r="D32" s="186"/>
      <c r="E32" s="185"/>
      <c r="F32" s="185"/>
      <c r="G32" s="218"/>
      <c r="H32" s="186"/>
    </row>
    <row r="33" spans="1:16">
      <c r="A33" s="191"/>
      <c r="B33" s="1" t="s">
        <v>898</v>
      </c>
      <c r="C33" s="185">
        <v>482066</v>
      </c>
      <c r="D33" s="186"/>
      <c r="E33" s="185"/>
      <c r="F33" s="185"/>
      <c r="G33" s="218"/>
      <c r="H33" s="186"/>
    </row>
    <row r="34" spans="1:16">
      <c r="A34" s="191"/>
      <c r="B34" s="1" t="s">
        <v>899</v>
      </c>
      <c r="C34" s="185">
        <v>470795</v>
      </c>
      <c r="D34" s="186"/>
      <c r="E34" s="185"/>
      <c r="F34" s="185"/>
      <c r="G34" s="218"/>
      <c r="H34" s="186"/>
    </row>
    <row r="35" spans="1:16">
      <c r="A35" s="191"/>
      <c r="B35" s="1" t="s">
        <v>1031</v>
      </c>
      <c r="C35" s="185">
        <v>403432</v>
      </c>
      <c r="D35" s="186"/>
      <c r="E35" s="185"/>
      <c r="F35" s="185"/>
      <c r="G35" s="218"/>
      <c r="H35" s="186"/>
      <c r="J35" s="151" t="s">
        <v>1032</v>
      </c>
    </row>
    <row r="36" spans="1:16">
      <c r="A36" s="191"/>
      <c r="B36" s="1" t="s">
        <v>1033</v>
      </c>
      <c r="C36" s="185">
        <v>392034</v>
      </c>
      <c r="D36" s="186"/>
      <c r="E36" s="185"/>
      <c r="F36" s="185"/>
      <c r="G36" s="218"/>
      <c r="H36" s="186"/>
    </row>
    <row r="37" spans="1:16">
      <c r="A37" s="191"/>
      <c r="B37" s="1" t="s">
        <v>1107</v>
      </c>
      <c r="C37" s="185">
        <v>1111286</v>
      </c>
      <c r="D37" s="186"/>
      <c r="E37" s="185"/>
      <c r="F37" s="185"/>
      <c r="G37" s="218"/>
      <c r="H37" s="186"/>
    </row>
    <row r="38" spans="1:16">
      <c r="A38" s="191"/>
      <c r="B38" s="1" t="s">
        <v>1348</v>
      </c>
      <c r="C38" s="185">
        <v>3331191</v>
      </c>
      <c r="D38" s="186"/>
      <c r="E38" s="185"/>
      <c r="F38" s="185"/>
      <c r="G38" s="218"/>
      <c r="H38" s="186"/>
    </row>
    <row r="39" spans="1:16">
      <c r="A39" s="191"/>
      <c r="B39" s="1" t="s">
        <v>1467</v>
      </c>
      <c r="C39" s="185">
        <v>4136877</v>
      </c>
      <c r="D39" s="186"/>
      <c r="E39" s="185"/>
      <c r="F39" s="185"/>
      <c r="G39" s="218"/>
      <c r="H39" s="186"/>
    </row>
    <row r="40" spans="1:16">
      <c r="A40" s="191"/>
      <c r="B40" s="1" t="s">
        <v>1653</v>
      </c>
      <c r="C40" s="185">
        <f>'Dep as per IT 23-24'!K71</f>
        <v>3059571</v>
      </c>
      <c r="D40" s="186"/>
      <c r="E40" s="185"/>
      <c r="F40" s="185"/>
      <c r="G40" s="218"/>
      <c r="H40" s="186"/>
    </row>
    <row r="41" spans="1:16">
      <c r="A41" s="191"/>
      <c r="B41" s="1"/>
      <c r="C41" s="196">
        <f>SUM(C32:C40)</f>
        <v>13525611</v>
      </c>
      <c r="D41" s="186"/>
      <c r="E41" s="185"/>
      <c r="F41" s="185"/>
      <c r="G41" s="218"/>
      <c r="H41" s="186"/>
      <c r="J41" s="151" t="s">
        <v>1034</v>
      </c>
      <c r="K41" s="151">
        <v>0</v>
      </c>
    </row>
    <row r="42" spans="1:16">
      <c r="A42" s="191"/>
      <c r="B42" s="5" t="s">
        <v>900</v>
      </c>
      <c r="C42" s="185"/>
      <c r="D42" s="186"/>
      <c r="E42" s="185"/>
      <c r="F42" s="185"/>
      <c r="G42" s="218"/>
      <c r="H42" s="186"/>
      <c r="J42" s="151" t="s">
        <v>946</v>
      </c>
      <c r="K42" s="151">
        <v>4488703</v>
      </c>
    </row>
    <row r="43" spans="1:16">
      <c r="A43" s="191"/>
      <c r="B43" s="1" t="s">
        <v>901</v>
      </c>
      <c r="C43" s="185">
        <f>4118444*0</f>
        <v>0</v>
      </c>
      <c r="D43" s="186"/>
      <c r="E43" s="185"/>
      <c r="F43" s="185"/>
      <c r="G43" s="218"/>
      <c r="H43" s="186"/>
      <c r="J43" s="151" t="s">
        <v>947</v>
      </c>
      <c r="K43" s="151">
        <v>7881410</v>
      </c>
    </row>
    <row r="44" spans="1:16">
      <c r="A44" s="191"/>
      <c r="B44" s="1" t="s">
        <v>902</v>
      </c>
      <c r="C44" s="185">
        <f>10586171</f>
        <v>10586171</v>
      </c>
      <c r="D44" s="186"/>
      <c r="E44" s="185"/>
      <c r="F44" s="185"/>
      <c r="G44" s="218"/>
      <c r="H44" s="186"/>
      <c r="J44" s="151" t="s">
        <v>948</v>
      </c>
      <c r="K44" s="151">
        <v>-4488703</v>
      </c>
    </row>
    <row r="45" spans="1:16">
      <c r="A45" s="191"/>
      <c r="B45" s="1" t="s">
        <v>903</v>
      </c>
      <c r="C45" s="185">
        <v>15265437</v>
      </c>
      <c r="D45" s="186"/>
      <c r="E45" s="185"/>
      <c r="F45" s="185"/>
      <c r="G45" s="218"/>
      <c r="H45" s="186"/>
      <c r="J45" s="151" t="s">
        <v>949</v>
      </c>
    </row>
    <row r="46" spans="1:16">
      <c r="A46" s="191"/>
      <c r="B46" s="1" t="s">
        <v>1035</v>
      </c>
      <c r="C46" s="185">
        <v>17121449</v>
      </c>
      <c r="D46" s="186"/>
      <c r="E46" s="185"/>
      <c r="F46" s="185"/>
      <c r="G46" s="218"/>
      <c r="H46" s="186"/>
      <c r="K46" s="201">
        <f>SUM(K41:K45)</f>
        <v>7881410</v>
      </c>
      <c r="M46" s="201"/>
      <c r="P46" s="151">
        <v>17121449</v>
      </c>
    </row>
    <row r="47" spans="1:16">
      <c r="A47" s="191"/>
      <c r="B47" s="1" t="s">
        <v>1036</v>
      </c>
      <c r="C47" s="185">
        <v>26734050</v>
      </c>
      <c r="D47" s="186"/>
      <c r="E47" s="185"/>
      <c r="F47" s="185"/>
      <c r="G47" s="218"/>
      <c r="H47" s="186"/>
      <c r="K47" s="201"/>
      <c r="M47" s="201"/>
    </row>
    <row r="48" spans="1:16">
      <c r="A48" s="191"/>
      <c r="B48" s="1" t="s">
        <v>1108</v>
      </c>
      <c r="C48" s="185">
        <v>29732316</v>
      </c>
      <c r="D48" s="186"/>
      <c r="E48" s="185"/>
      <c r="F48" s="185"/>
      <c r="G48" s="218"/>
      <c r="H48" s="186"/>
      <c r="K48" s="201"/>
      <c r="M48" s="201"/>
    </row>
    <row r="49" spans="1:16">
      <c r="A49" s="191"/>
      <c r="B49" s="1" t="s">
        <v>1347</v>
      </c>
      <c r="C49" s="185">
        <v>58619223</v>
      </c>
      <c r="D49" s="186"/>
      <c r="E49" s="185"/>
      <c r="F49" s="185"/>
      <c r="G49" s="218"/>
      <c r="H49" s="186"/>
      <c r="K49" s="201"/>
      <c r="M49" s="201"/>
    </row>
    <row r="50" spans="1:16">
      <c r="A50" s="191"/>
      <c r="B50" s="1" t="s">
        <v>1468</v>
      </c>
      <c r="C50" s="185">
        <v>69641889</v>
      </c>
      <c r="D50" s="186"/>
      <c r="E50" s="185"/>
      <c r="F50" s="185"/>
      <c r="G50" s="218"/>
      <c r="H50" s="186"/>
      <c r="K50" s="201"/>
      <c r="M50" s="201"/>
    </row>
    <row r="51" spans="1:16">
      <c r="A51" s="191"/>
      <c r="B51" s="1" t="s">
        <v>1627</v>
      </c>
      <c r="C51" s="1088">
        <f>-PL!D27</f>
        <v>-11743076</v>
      </c>
      <c r="D51" s="186"/>
      <c r="E51" s="185"/>
      <c r="F51" s="185"/>
      <c r="G51" s="218"/>
      <c r="H51" s="186"/>
      <c r="K51" s="201"/>
      <c r="M51" s="201"/>
    </row>
    <row r="52" spans="1:16">
      <c r="A52" s="191"/>
      <c r="B52" s="1"/>
      <c r="C52" s="196">
        <f>SUM(C43:C51)</f>
        <v>215957459</v>
      </c>
      <c r="D52" s="186">
        <f>+C41+C52</f>
        <v>229483070</v>
      </c>
      <c r="E52" s="185">
        <f>ROUND(D52*J15%,0)</f>
        <v>52551623</v>
      </c>
      <c r="F52" s="185">
        <f>'Deferred tax 21-22'!E50</f>
        <v>39313744</v>
      </c>
      <c r="G52" s="218">
        <f>+E52-F52</f>
        <v>13237879</v>
      </c>
      <c r="H52" s="186"/>
      <c r="J52" s="151" t="s">
        <v>1037</v>
      </c>
      <c r="K52" s="201">
        <f>E52-K46</f>
        <v>44670213</v>
      </c>
      <c r="P52" s="151">
        <v>403432</v>
      </c>
    </row>
    <row r="53" spans="1:16">
      <c r="A53" s="2"/>
      <c r="B53" s="1"/>
      <c r="C53" s="185"/>
      <c r="D53" s="186"/>
      <c r="E53" s="185"/>
      <c r="F53" s="185"/>
      <c r="G53" s="218"/>
      <c r="H53" s="186"/>
      <c r="P53" s="151">
        <f>+P46+P52</f>
        <v>17524881</v>
      </c>
    </row>
    <row r="54" spans="1:16">
      <c r="A54" s="2"/>
      <c r="B54" s="1"/>
      <c r="C54" s="185"/>
      <c r="D54" s="186"/>
      <c r="E54" s="185"/>
      <c r="F54" s="185"/>
      <c r="G54" s="218"/>
      <c r="H54" s="186"/>
    </row>
    <row r="55" spans="1:16">
      <c r="A55" s="2"/>
      <c r="B55" s="1"/>
      <c r="C55" s="185"/>
      <c r="D55" s="186"/>
      <c r="E55" s="185"/>
      <c r="F55" s="185"/>
      <c r="G55" s="218"/>
      <c r="H55" s="186"/>
    </row>
    <row r="56" spans="1:16">
      <c r="A56" s="2"/>
      <c r="B56" s="1" t="s">
        <v>939</v>
      </c>
      <c r="C56" s="185"/>
      <c r="D56" s="186"/>
      <c r="E56" s="185"/>
      <c r="F56" s="185"/>
      <c r="G56" s="218"/>
      <c r="H56" s="186"/>
      <c r="M56" s="201"/>
    </row>
    <row r="57" spans="1:16">
      <c r="A57" s="2"/>
      <c r="B57" s="1"/>
      <c r="C57" s="185"/>
      <c r="D57" s="186"/>
      <c r="E57" s="185"/>
      <c r="F57" s="185"/>
      <c r="G57" s="218"/>
      <c r="H57" s="186"/>
    </row>
    <row r="58" spans="1:16">
      <c r="A58" s="2"/>
      <c r="B58" s="180" t="s">
        <v>904</v>
      </c>
      <c r="C58" s="203"/>
      <c r="D58" s="204"/>
      <c r="E58" s="183">
        <f>+E16+E23+E27+E52+E56</f>
        <v>51968778</v>
      </c>
      <c r="F58" s="196"/>
      <c r="G58" s="220"/>
      <c r="H58" s="205"/>
      <c r="I58" s="201">
        <f>+K52+E27+E22+E16+I16+I27</f>
        <v>44140906</v>
      </c>
    </row>
    <row r="59" spans="1:16">
      <c r="A59" s="2"/>
      <c r="B59" s="1"/>
      <c r="C59" s="185"/>
      <c r="D59" s="186"/>
      <c r="E59" s="185"/>
      <c r="F59" s="185"/>
      <c r="G59" s="218"/>
      <c r="H59" s="186"/>
    </row>
    <row r="60" spans="1:16">
      <c r="A60" s="2"/>
      <c r="B60" s="1"/>
      <c r="C60" s="185"/>
      <c r="D60" s="186"/>
      <c r="E60" s="185"/>
      <c r="F60" s="185"/>
      <c r="G60" s="218"/>
      <c r="H60" s="186"/>
    </row>
    <row r="61" spans="1:16">
      <c r="A61" s="2"/>
      <c r="B61" s="1" t="s">
        <v>1109</v>
      </c>
      <c r="C61" s="185"/>
      <c r="D61" s="186"/>
      <c r="E61" s="1087">
        <f>E19*0</f>
        <v>0</v>
      </c>
      <c r="F61" s="185"/>
      <c r="G61" s="218"/>
      <c r="H61" s="186"/>
    </row>
    <row r="62" spans="1:16">
      <c r="A62" s="2"/>
      <c r="B62" s="1" t="s">
        <v>57</v>
      </c>
      <c r="C62" s="185"/>
      <c r="D62" s="186"/>
      <c r="E62" s="185"/>
      <c r="F62" s="185"/>
      <c r="G62" s="218"/>
      <c r="H62" s="186"/>
    </row>
    <row r="63" spans="1:16">
      <c r="A63" s="2"/>
      <c r="B63" s="5" t="s">
        <v>905</v>
      </c>
      <c r="C63" s="185"/>
      <c r="D63" s="186"/>
      <c r="E63" s="185"/>
      <c r="F63" s="185"/>
      <c r="G63" s="218"/>
      <c r="H63" s="186"/>
    </row>
    <row r="64" spans="1:16">
      <c r="A64" s="2"/>
      <c r="B64" s="1" t="s">
        <v>906</v>
      </c>
      <c r="C64" s="185"/>
      <c r="D64" s="186"/>
      <c r="E64" s="185"/>
      <c r="F64" s="185"/>
      <c r="G64" s="218"/>
      <c r="H64" s="186"/>
    </row>
    <row r="65" spans="1:8">
      <c r="A65" s="2"/>
      <c r="B65" s="1"/>
      <c r="C65" s="185"/>
      <c r="D65" s="186"/>
      <c r="E65" s="185"/>
      <c r="F65" s="185"/>
      <c r="G65" s="218"/>
      <c r="H65" s="186"/>
    </row>
    <row r="66" spans="1:8">
      <c r="A66" s="2"/>
      <c r="B66" s="1" t="s">
        <v>939</v>
      </c>
      <c r="C66" s="185"/>
      <c r="D66" s="186"/>
      <c r="E66" s="185"/>
      <c r="F66" s="185"/>
      <c r="G66" s="218"/>
      <c r="H66" s="186"/>
    </row>
    <row r="67" spans="1:8">
      <c r="A67" s="2"/>
      <c r="B67" s="1"/>
      <c r="C67" s="185"/>
      <c r="D67" s="186"/>
      <c r="E67" s="185"/>
      <c r="F67" s="185"/>
      <c r="G67" s="218"/>
      <c r="H67" s="186"/>
    </row>
    <row r="68" spans="1:8">
      <c r="A68" s="2"/>
      <c r="B68" s="5" t="s">
        <v>907</v>
      </c>
      <c r="C68" s="185"/>
      <c r="D68" s="186"/>
      <c r="E68" s="185"/>
      <c r="F68" s="185"/>
      <c r="G68" s="218"/>
      <c r="H68" s="186"/>
    </row>
    <row r="69" spans="1:8">
      <c r="A69" s="2"/>
      <c r="B69" s="1" t="s">
        <v>908</v>
      </c>
      <c r="C69" s="185"/>
      <c r="D69" s="186"/>
      <c r="E69" s="185">
        <f>E22*0</f>
        <v>0</v>
      </c>
      <c r="F69" s="185"/>
      <c r="G69" s="218"/>
      <c r="H69" s="186"/>
    </row>
    <row r="70" spans="1:8">
      <c r="A70" s="2"/>
      <c r="B70" s="1"/>
      <c r="C70" s="185"/>
      <c r="D70" s="186"/>
      <c r="E70" s="185"/>
      <c r="F70" s="185"/>
      <c r="G70" s="218"/>
      <c r="H70" s="186"/>
    </row>
    <row r="71" spans="1:8" ht="15" thickBot="1">
      <c r="A71" s="2"/>
      <c r="B71" s="5" t="s">
        <v>942</v>
      </c>
      <c r="C71" s="196"/>
      <c r="D71" s="205"/>
      <c r="E71" s="195">
        <f>SUM(E61:E70)</f>
        <v>0</v>
      </c>
      <c r="F71" s="196"/>
      <c r="G71" s="220"/>
      <c r="H71" s="205"/>
    </row>
    <row r="72" spans="1:8" ht="15" thickTop="1">
      <c r="A72" s="2"/>
      <c r="B72" s="1"/>
      <c r="C72" s="185"/>
      <c r="D72" s="186"/>
      <c r="E72" s="185"/>
      <c r="F72" s="185"/>
      <c r="G72" s="218"/>
      <c r="H72" s="186"/>
    </row>
    <row r="73" spans="1:8" s="206" customFormat="1">
      <c r="A73" s="3"/>
      <c r="B73" s="5" t="s">
        <v>941</v>
      </c>
      <c r="C73" s="196"/>
      <c r="D73" s="205"/>
      <c r="E73" s="196">
        <f>E71-E61</f>
        <v>0</v>
      </c>
      <c r="F73" s="196"/>
      <c r="G73" s="220"/>
      <c r="H73" s="205"/>
    </row>
    <row r="74" spans="1:8">
      <c r="A74" s="207"/>
      <c r="B74" s="208"/>
      <c r="C74" s="209"/>
      <c r="D74" s="210"/>
      <c r="E74" s="209"/>
      <c r="F74" s="209"/>
      <c r="G74" s="221"/>
      <c r="H74" s="212"/>
    </row>
    <row r="75" spans="1:8">
      <c r="A75" s="211"/>
      <c r="B75" s="1"/>
      <c r="C75" s="212"/>
      <c r="D75" s="212"/>
      <c r="E75" s="212"/>
      <c r="F75" s="212"/>
      <c r="G75" s="212"/>
      <c r="H75" s="212"/>
    </row>
    <row r="76" spans="1:8">
      <c r="A76" s="1"/>
      <c r="B76" s="1"/>
      <c r="C76" s="174"/>
      <c r="D76" s="174"/>
      <c r="E76" s="174"/>
      <c r="F76" s="174"/>
      <c r="G76" s="174"/>
      <c r="H76" s="174"/>
    </row>
    <row r="77" spans="1:8">
      <c r="A77" s="1"/>
      <c r="B77" s="5" t="s">
        <v>0</v>
      </c>
      <c r="C77" s="174"/>
      <c r="D77" s="213" t="s">
        <v>909</v>
      </c>
      <c r="E77" s="213" t="s">
        <v>910</v>
      </c>
      <c r="F77" s="213" t="s">
        <v>911</v>
      </c>
      <c r="G77" s="213" t="s">
        <v>1038</v>
      </c>
      <c r="H77" s="213"/>
    </row>
    <row r="78" spans="1:8">
      <c r="A78" s="1"/>
      <c r="B78" s="1"/>
      <c r="C78" s="174"/>
      <c r="D78" s="174"/>
      <c r="E78" s="174"/>
      <c r="F78" s="174"/>
      <c r="H78" s="174"/>
    </row>
    <row r="79" spans="1:8">
      <c r="A79" s="1"/>
      <c r="B79" s="1" t="s">
        <v>912</v>
      </c>
      <c r="C79" s="174"/>
      <c r="D79" s="174">
        <f>C32+C43</f>
        <v>138359</v>
      </c>
      <c r="E79" s="174">
        <v>11068237</v>
      </c>
      <c r="F79" s="174">
        <v>15736232</v>
      </c>
      <c r="G79" s="201">
        <f>+C35+C46</f>
        <v>17524881</v>
      </c>
      <c r="H79" s="174"/>
    </row>
    <row r="80" spans="1:8">
      <c r="A80" s="1"/>
      <c r="B80" s="1"/>
      <c r="C80" s="174"/>
      <c r="D80" s="174"/>
      <c r="E80" s="174"/>
      <c r="F80" s="174"/>
      <c r="H80" s="174"/>
    </row>
    <row r="81" spans="1:11">
      <c r="A81" s="1"/>
      <c r="B81" s="1" t="s">
        <v>913</v>
      </c>
      <c r="C81" s="174"/>
      <c r="D81" s="175">
        <f>+C32</f>
        <v>138359</v>
      </c>
      <c r="E81" s="175">
        <f>+C33</f>
        <v>482066</v>
      </c>
      <c r="F81" s="175">
        <v>470795</v>
      </c>
      <c r="G81" s="214">
        <f>+C35</f>
        <v>403432</v>
      </c>
      <c r="H81" s="175"/>
      <c r="K81" s="201"/>
    </row>
    <row r="82" spans="1:11">
      <c r="A82" s="1"/>
      <c r="B82" s="1" t="s">
        <v>914</v>
      </c>
      <c r="C82" s="174"/>
      <c r="D82" s="174">
        <f>+D79-D81</f>
        <v>0</v>
      </c>
      <c r="E82" s="174">
        <f>+E79-E81</f>
        <v>10586171</v>
      </c>
      <c r="F82" s="174">
        <f>+F79-F81</f>
        <v>15265437</v>
      </c>
      <c r="G82" s="174">
        <f>+G79-G81</f>
        <v>17121449</v>
      </c>
      <c r="H82" s="174"/>
    </row>
    <row r="83" spans="1:11">
      <c r="A83" s="1"/>
      <c r="B83" s="1"/>
      <c r="C83" s="174"/>
      <c r="D83" s="174"/>
      <c r="E83" s="174"/>
      <c r="F83" s="174"/>
      <c r="G83" s="174"/>
      <c r="H83" s="174"/>
    </row>
    <row r="84" spans="1:11">
      <c r="A84" s="1"/>
      <c r="B84" s="1"/>
      <c r="C84" s="174"/>
      <c r="D84" s="174"/>
      <c r="E84" s="174"/>
      <c r="F84" s="174"/>
      <c r="G84" s="174"/>
      <c r="H84" s="174"/>
    </row>
    <row r="85" spans="1:11">
      <c r="A85" s="1"/>
      <c r="B85" s="1"/>
      <c r="C85" s="174"/>
      <c r="D85" s="174"/>
      <c r="E85" s="174"/>
      <c r="F85" s="174"/>
      <c r="G85" s="174"/>
      <c r="H85" s="174"/>
    </row>
    <row r="86" spans="1:11">
      <c r="A86" s="1"/>
      <c r="B86" s="1"/>
      <c r="C86" s="174"/>
      <c r="D86" s="174"/>
      <c r="E86" s="174"/>
      <c r="F86" s="174"/>
      <c r="G86" s="174"/>
      <c r="H86" s="174"/>
    </row>
    <row r="87" spans="1:11">
      <c r="A87" s="1"/>
      <c r="B87" s="1"/>
      <c r="C87" s="174"/>
      <c r="D87" s="174"/>
      <c r="E87" s="174"/>
      <c r="F87" s="174"/>
      <c r="G87" s="174"/>
      <c r="H87" s="174"/>
    </row>
  </sheetData>
  <mergeCells count="2">
    <mergeCell ref="A1:E1"/>
    <mergeCell ref="A2:E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T55"/>
  <sheetViews>
    <sheetView topLeftCell="A26" zoomScale="80" zoomScaleNormal="80" workbookViewId="0">
      <selection activeCell="C51" sqref="C51"/>
    </sheetView>
  </sheetViews>
  <sheetFormatPr defaultColWidth="9.21875" defaultRowHeight="14.4"/>
  <cols>
    <col min="1" max="1" width="27.77734375" style="1" bestFit="1" customWidth="1"/>
    <col min="2" max="2" width="15.21875" style="1" bestFit="1" customWidth="1"/>
    <col min="3" max="3" width="18.77734375" style="1" bestFit="1" customWidth="1"/>
    <col min="4" max="5" width="11.21875" style="1" bestFit="1" customWidth="1"/>
    <col min="6" max="6" width="14.44140625" style="1" bestFit="1" customWidth="1"/>
    <col min="7" max="7" width="10.21875" style="1" bestFit="1" customWidth="1"/>
    <col min="8" max="8" width="18.77734375" style="1" bestFit="1" customWidth="1"/>
    <col min="9" max="9" width="10.21875" style="1" bestFit="1" customWidth="1"/>
    <col min="10" max="10" width="16.77734375" style="1" bestFit="1" customWidth="1"/>
    <col min="11" max="11" width="9.5546875" style="1" bestFit="1" customWidth="1"/>
    <col min="12" max="12" width="24.5546875" style="1" bestFit="1" customWidth="1"/>
    <col min="13" max="13" width="11.44140625" style="1" bestFit="1" customWidth="1"/>
    <col min="14" max="14" width="11.21875" style="1" bestFit="1" customWidth="1"/>
    <col min="15" max="15" width="11.21875" style="1" customWidth="1"/>
    <col min="16" max="20" width="11" style="1" bestFit="1" customWidth="1"/>
    <col min="21" max="16384" width="9.21875" style="1"/>
  </cols>
  <sheetData>
    <row r="1" spans="1:20" ht="15" thickBot="1">
      <c r="A1" s="1" t="s">
        <v>1160</v>
      </c>
      <c r="L1" s="223" t="s">
        <v>1161</v>
      </c>
      <c r="M1" s="1" t="s">
        <v>1163</v>
      </c>
      <c r="N1" s="1" t="s">
        <v>1164</v>
      </c>
    </row>
    <row r="2" spans="1:20">
      <c r="A2" s="224" t="s">
        <v>0</v>
      </c>
      <c r="B2" s="225"/>
      <c r="C2" s="225"/>
      <c r="D2" s="160" t="s">
        <v>470</v>
      </c>
      <c r="E2" s="160" t="s">
        <v>471</v>
      </c>
      <c r="F2" s="160" t="s">
        <v>548</v>
      </c>
      <c r="G2" s="160" t="s">
        <v>549</v>
      </c>
      <c r="H2" s="160" t="s">
        <v>556</v>
      </c>
      <c r="I2" s="1" t="s">
        <v>557</v>
      </c>
      <c r="L2" s="224" t="s">
        <v>0</v>
      </c>
      <c r="M2" s="225"/>
      <c r="N2" s="225"/>
      <c r="O2" s="225" t="s">
        <v>547</v>
      </c>
      <c r="P2" s="160" t="s">
        <v>548</v>
      </c>
      <c r="Q2" s="160" t="s">
        <v>549</v>
      </c>
      <c r="R2" s="160" t="s">
        <v>556</v>
      </c>
      <c r="S2" s="160" t="s">
        <v>1165</v>
      </c>
      <c r="T2" s="160" t="s">
        <v>1166</v>
      </c>
    </row>
    <row r="3" spans="1:20">
      <c r="A3" s="226"/>
      <c r="B3" s="227"/>
      <c r="C3" s="227"/>
      <c r="D3" s="228"/>
      <c r="E3" s="228"/>
      <c r="F3" s="228"/>
      <c r="G3" s="228"/>
      <c r="H3" s="228"/>
      <c r="L3" s="226"/>
      <c r="M3" s="227"/>
      <c r="N3" s="227"/>
      <c r="O3" s="229"/>
      <c r="P3" s="228" t="s">
        <v>1168</v>
      </c>
      <c r="Q3" s="228" t="s">
        <v>1169</v>
      </c>
      <c r="R3" s="228" t="s">
        <v>1170</v>
      </c>
      <c r="S3" s="228"/>
      <c r="T3" s="228"/>
    </row>
    <row r="4" spans="1:20">
      <c r="A4" s="157" t="s">
        <v>554</v>
      </c>
      <c r="B4" s="157">
        <v>1.5</v>
      </c>
      <c r="C4" s="157">
        <f>12-B4</f>
        <v>10.5</v>
      </c>
      <c r="D4" s="156">
        <v>25000</v>
      </c>
      <c r="E4" s="156">
        <v>26250</v>
      </c>
      <c r="F4" s="156">
        <f>+E4*1.05</f>
        <v>27562.5</v>
      </c>
      <c r="G4" s="156"/>
      <c r="H4" s="156"/>
      <c r="I4" s="1">
        <v>150000</v>
      </c>
      <c r="L4" s="157" t="s">
        <v>1162</v>
      </c>
      <c r="M4" s="230">
        <v>44607</v>
      </c>
      <c r="N4" s="230">
        <v>45702</v>
      </c>
      <c r="O4" s="231">
        <v>174000</v>
      </c>
      <c r="P4" s="156">
        <v>29000</v>
      </c>
      <c r="Q4" s="156">
        <v>30450</v>
      </c>
      <c r="R4" s="156">
        <v>31970</v>
      </c>
      <c r="S4" s="156"/>
      <c r="T4" s="156"/>
    </row>
    <row r="5" spans="1:20">
      <c r="A5" s="157" t="s">
        <v>555</v>
      </c>
      <c r="B5" s="157">
        <v>4</v>
      </c>
      <c r="C5" s="157">
        <f>12-B5</f>
        <v>8</v>
      </c>
      <c r="D5" s="156">
        <v>50000</v>
      </c>
      <c r="E5" s="156">
        <f>+D5*1.1</f>
        <v>55000.000000000007</v>
      </c>
      <c r="F5" s="156">
        <v>0</v>
      </c>
      <c r="G5" s="156"/>
      <c r="H5" s="156"/>
      <c r="I5" s="1">
        <v>250000</v>
      </c>
      <c r="L5" s="157"/>
      <c r="M5" s="157"/>
      <c r="N5" s="157"/>
      <c r="O5" s="157"/>
      <c r="P5" s="156"/>
      <c r="Q5" s="156"/>
      <c r="R5" s="156"/>
      <c r="S5" s="156"/>
      <c r="T5" s="156"/>
    </row>
    <row r="6" spans="1:20">
      <c r="A6" s="157" t="s">
        <v>551</v>
      </c>
      <c r="B6" s="157">
        <v>4</v>
      </c>
      <c r="C6" s="157">
        <f>12-B6</f>
        <v>8</v>
      </c>
      <c r="D6" s="156">
        <v>143728</v>
      </c>
      <c r="E6" s="156">
        <v>143728</v>
      </c>
      <c r="F6" s="156">
        <v>0</v>
      </c>
      <c r="G6" s="156">
        <v>0</v>
      </c>
      <c r="H6" s="156">
        <v>0</v>
      </c>
      <c r="I6" s="1">
        <v>431434</v>
      </c>
      <c r="L6" s="157"/>
      <c r="M6" s="157"/>
      <c r="N6" s="157"/>
      <c r="O6" s="157"/>
      <c r="P6" s="156"/>
      <c r="Q6" s="156"/>
      <c r="R6" s="156"/>
      <c r="S6" s="156">
        <v>0</v>
      </c>
      <c r="T6" s="156">
        <v>0</v>
      </c>
    </row>
    <row r="7" spans="1:20" ht="15" thickBot="1">
      <c r="A7" s="232" t="s">
        <v>51</v>
      </c>
      <c r="B7" s="233"/>
      <c r="C7" s="233"/>
      <c r="D7" s="25">
        <f t="shared" ref="D7:I7" si="0">SUM(D4:D6)</f>
        <v>218728</v>
      </c>
      <c r="E7" s="25">
        <f t="shared" si="0"/>
        <v>224978</v>
      </c>
      <c r="F7" s="25">
        <f t="shared" si="0"/>
        <v>27562.5</v>
      </c>
      <c r="G7" s="25">
        <f t="shared" si="0"/>
        <v>0</v>
      </c>
      <c r="H7" s="25">
        <f t="shared" si="0"/>
        <v>0</v>
      </c>
      <c r="I7" s="25">
        <f t="shared" si="0"/>
        <v>831434</v>
      </c>
      <c r="L7" s="232" t="s">
        <v>51</v>
      </c>
      <c r="M7" s="233"/>
      <c r="N7" s="233"/>
      <c r="O7" s="233"/>
      <c r="P7" s="25">
        <f>SUM(P4:P6)</f>
        <v>29000</v>
      </c>
      <c r="Q7" s="25">
        <f>SUM(Q4:Q6)</f>
        <v>30450</v>
      </c>
      <c r="R7" s="25">
        <f>SUM(R4:R6)</f>
        <v>31970</v>
      </c>
      <c r="S7" s="25">
        <f>SUM(S4:S6)</f>
        <v>0</v>
      </c>
      <c r="T7" s="25">
        <f>SUM(T4:T6)</f>
        <v>0</v>
      </c>
    </row>
    <row r="8" spans="1:20" ht="15.6" thickTop="1" thickBot="1">
      <c r="A8" s="232" t="s">
        <v>553</v>
      </c>
      <c r="B8" s="233"/>
      <c r="C8" s="233"/>
      <c r="D8" s="234"/>
      <c r="E8" s="234"/>
      <c r="F8" s="234"/>
      <c r="G8" s="234"/>
      <c r="H8" s="234"/>
      <c r="L8" s="232" t="s">
        <v>553</v>
      </c>
      <c r="M8" s="233"/>
      <c r="N8" s="233"/>
      <c r="O8" s="233"/>
      <c r="P8" s="234"/>
      <c r="Q8" s="234"/>
      <c r="R8" s="234"/>
      <c r="S8" s="234"/>
      <c r="T8" s="234"/>
    </row>
    <row r="9" spans="1:20">
      <c r="A9" s="224" t="s">
        <v>0</v>
      </c>
      <c r="B9" s="225"/>
      <c r="C9" s="225"/>
      <c r="D9" s="160" t="s">
        <v>470</v>
      </c>
      <c r="E9" s="160" t="s">
        <v>471</v>
      </c>
      <c r="F9" s="160" t="s">
        <v>548</v>
      </c>
      <c r="G9" s="160" t="s">
        <v>549</v>
      </c>
      <c r="H9" s="160" t="s">
        <v>556</v>
      </c>
      <c r="L9" s="224" t="s">
        <v>0</v>
      </c>
      <c r="M9" s="225" t="s">
        <v>1167</v>
      </c>
      <c r="N9" s="225" t="s">
        <v>1171</v>
      </c>
      <c r="O9" s="225" t="s">
        <v>1172</v>
      </c>
      <c r="P9" s="235">
        <v>44651</v>
      </c>
      <c r="Q9" s="235">
        <v>45016</v>
      </c>
      <c r="R9" s="235">
        <v>45382</v>
      </c>
      <c r="S9" s="235">
        <v>45702</v>
      </c>
      <c r="T9" s="235">
        <v>44651</v>
      </c>
    </row>
    <row r="10" spans="1:20">
      <c r="A10" s="226"/>
      <c r="B10" s="227"/>
      <c r="C10" s="227"/>
      <c r="D10" s="228"/>
      <c r="E10" s="228"/>
      <c r="F10" s="228"/>
      <c r="G10" s="228"/>
      <c r="H10" s="228"/>
      <c r="L10" s="226"/>
      <c r="M10" s="227"/>
      <c r="N10" s="227"/>
      <c r="O10" s="229"/>
      <c r="P10" s="228">
        <f>+P9-M4</f>
        <v>44</v>
      </c>
      <c r="Q10" s="228">
        <f>+Q9-P9</f>
        <v>365</v>
      </c>
      <c r="R10" s="228">
        <f>+R9-Q9</f>
        <v>366</v>
      </c>
      <c r="S10" s="228">
        <f>+S9-R9</f>
        <v>320</v>
      </c>
      <c r="T10" s="228"/>
    </row>
    <row r="11" spans="1:20">
      <c r="A11" s="157" t="s">
        <v>552</v>
      </c>
      <c r="B11" s="157"/>
      <c r="C11" s="157"/>
      <c r="D11" s="156">
        <f>+D4*$C$4+E4*$B$4</f>
        <v>301875</v>
      </c>
      <c r="E11" s="156">
        <f>+E4*$C$4+F4*$B$4</f>
        <v>316968.75</v>
      </c>
      <c r="F11" s="156">
        <f>+F4*$C$4+G4*$B$4</f>
        <v>289406.25</v>
      </c>
      <c r="G11" s="156">
        <f>+G4*$C$4+H4*$B$4</f>
        <v>0</v>
      </c>
      <c r="H11" s="156"/>
      <c r="L11" s="157" t="str">
        <f>+L4</f>
        <v>JB Advani &amp; Co. 5%</v>
      </c>
      <c r="M11" s="231">
        <f>+N4-M4</f>
        <v>1095</v>
      </c>
      <c r="N11" s="236">
        <f>P4*12+Q4*12+R4*12</f>
        <v>1097040</v>
      </c>
      <c r="O11" s="237">
        <f>+N11/M11</f>
        <v>1001.8630136986301</v>
      </c>
      <c r="P11" s="156">
        <f>ROUND($O$11*P10,0)</f>
        <v>44082</v>
      </c>
      <c r="Q11" s="156">
        <f>ROUND($O$11*Q10,0)</f>
        <v>365680</v>
      </c>
      <c r="R11" s="156">
        <f>ROUND($O$11*R10,0)</f>
        <v>366682</v>
      </c>
      <c r="S11" s="156">
        <f>ROUND($O$11*S10,0)</f>
        <v>320596</v>
      </c>
      <c r="T11" s="156"/>
    </row>
    <row r="12" spans="1:20">
      <c r="A12" s="157" t="s">
        <v>550</v>
      </c>
      <c r="B12" s="157"/>
      <c r="C12" s="157"/>
      <c r="D12" s="156">
        <f>+D5*$C$5+E5*$B$5</f>
        <v>620000</v>
      </c>
      <c r="E12" s="156">
        <f>+E5*$C$5+F5*$B$5</f>
        <v>440000.00000000006</v>
      </c>
      <c r="F12" s="156">
        <f>+F5*$C$5+G5*$B$5</f>
        <v>0</v>
      </c>
      <c r="G12" s="156">
        <f>+G5*$C$5+H5*$B$5</f>
        <v>0</v>
      </c>
      <c r="H12" s="156"/>
      <c r="L12" s="157"/>
      <c r="M12" s="157"/>
      <c r="N12" s="157"/>
      <c r="O12" s="157"/>
      <c r="P12" s="156">
        <f>+P5*$C$5+Q5*$B$5</f>
        <v>0</v>
      </c>
      <c r="Q12" s="156">
        <f>+Q5*$C$5+R5*$B$5</f>
        <v>0</v>
      </c>
      <c r="R12" s="156">
        <f>+R5*$C$5+S5*$B$5</f>
        <v>0</v>
      </c>
      <c r="S12" s="156">
        <f>+S5*$C$5+T5*$B$5</f>
        <v>0</v>
      </c>
      <c r="T12" s="156"/>
    </row>
    <row r="13" spans="1:20">
      <c r="A13" s="157" t="s">
        <v>551</v>
      </c>
      <c r="B13" s="157"/>
      <c r="C13" s="157"/>
      <c r="D13" s="156">
        <f>+D6*C6</f>
        <v>1149824</v>
      </c>
      <c r="E13" s="156">
        <v>0</v>
      </c>
      <c r="F13" s="156">
        <v>0</v>
      </c>
      <c r="G13" s="156">
        <v>0</v>
      </c>
      <c r="H13" s="156">
        <v>0</v>
      </c>
      <c r="L13" s="157"/>
      <c r="M13" s="157"/>
      <c r="N13" s="157"/>
      <c r="O13" s="157"/>
      <c r="P13" s="156">
        <f>+P6*N6</f>
        <v>0</v>
      </c>
      <c r="Q13" s="156">
        <v>0</v>
      </c>
      <c r="R13" s="156">
        <v>0</v>
      </c>
      <c r="S13" s="156">
        <v>0</v>
      </c>
      <c r="T13" s="156">
        <v>0</v>
      </c>
    </row>
    <row r="14" spans="1:20" ht="15" thickBot="1">
      <c r="A14" s="232" t="s">
        <v>51</v>
      </c>
      <c r="B14" s="233"/>
      <c r="C14" s="233"/>
      <c r="D14" s="25">
        <f>SUM(D11:D13)</f>
        <v>2071699</v>
      </c>
      <c r="E14" s="25">
        <f>SUM(E11:E13)</f>
        <v>756968.75</v>
      </c>
      <c r="F14" s="25">
        <f>SUM(F11:F13)</f>
        <v>289406.25</v>
      </c>
      <c r="G14" s="25">
        <f>SUM(G11:G13)</f>
        <v>0</v>
      </c>
      <c r="H14" s="25">
        <f>SUM(H11:H13)</f>
        <v>0</v>
      </c>
      <c r="L14" s="232" t="s">
        <v>51</v>
      </c>
      <c r="M14" s="232"/>
      <c r="N14" s="232"/>
      <c r="O14" s="232"/>
      <c r="P14" s="25">
        <f>SUM(P11:P13)</f>
        <v>44082</v>
      </c>
      <c r="Q14" s="25">
        <f>SUM(Q11:Q13)</f>
        <v>365680</v>
      </c>
      <c r="R14" s="25">
        <f>SUM(R11:R13)</f>
        <v>366682</v>
      </c>
      <c r="S14" s="25">
        <f>SUM(S11:S13)</f>
        <v>320596</v>
      </c>
      <c r="T14" s="25">
        <f>SUM(T11:T13)</f>
        <v>0</v>
      </c>
    </row>
    <row r="15" spans="1:20" ht="15" thickTop="1">
      <c r="D15" s="238">
        <f>SUM(D1:D14)</f>
        <v>4580854</v>
      </c>
      <c r="P15" s="238">
        <f>SUM(P1:P14)</f>
        <v>190859</v>
      </c>
    </row>
    <row r="16" spans="1:20" ht="15" thickBot="1"/>
    <row r="17" spans="1:20">
      <c r="A17" s="224" t="s">
        <v>0</v>
      </c>
      <c r="B17" s="225"/>
      <c r="C17" s="225"/>
      <c r="D17" s="160" t="s">
        <v>470</v>
      </c>
      <c r="E17" s="160" t="s">
        <v>471</v>
      </c>
      <c r="F17" s="160" t="s">
        <v>548</v>
      </c>
      <c r="L17" s="224" t="s">
        <v>0</v>
      </c>
      <c r="M17" s="225"/>
      <c r="N17" s="225"/>
      <c r="O17" s="225"/>
      <c r="P17" s="160" t="str">
        <f>+P2</f>
        <v>2021-22</v>
      </c>
      <c r="Q17" s="160" t="str">
        <f>+Q2</f>
        <v>2022-23</v>
      </c>
      <c r="R17" s="160" t="str">
        <f>+R2</f>
        <v>2023-24</v>
      </c>
      <c r="S17" s="160" t="str">
        <f>+S2</f>
        <v>2024-25</v>
      </c>
      <c r="T17" s="160" t="str">
        <f>+T2</f>
        <v>2025-26</v>
      </c>
    </row>
    <row r="18" spans="1:20">
      <c r="A18" s="226"/>
      <c r="B18" s="227"/>
      <c r="C18" s="227"/>
      <c r="D18" s="228"/>
      <c r="E18" s="228"/>
      <c r="L18" s="226"/>
      <c r="M18" s="227"/>
      <c r="N18" s="227"/>
      <c r="O18" s="229"/>
      <c r="P18" s="228"/>
      <c r="Q18" s="228"/>
      <c r="R18" s="228"/>
      <c r="S18" s="228"/>
      <c r="T18" s="228"/>
    </row>
    <row r="19" spans="1:20">
      <c r="A19" s="157" t="s">
        <v>460</v>
      </c>
      <c r="B19" s="157"/>
      <c r="C19" s="157"/>
      <c r="D19" s="156">
        <f>E14</f>
        <v>756968.75</v>
      </c>
      <c r="E19" s="156">
        <f>+E14</f>
        <v>756968.75</v>
      </c>
      <c r="F19" s="161">
        <f>+F14</f>
        <v>289406.25</v>
      </c>
      <c r="L19" s="157" t="s">
        <v>460</v>
      </c>
      <c r="M19" s="157"/>
      <c r="N19" s="157"/>
      <c r="O19" s="157"/>
      <c r="P19" s="156">
        <f>Q14</f>
        <v>365680</v>
      </c>
      <c r="Q19" s="156">
        <f>R14</f>
        <v>366682</v>
      </c>
      <c r="R19" s="156">
        <f>S14</f>
        <v>320596</v>
      </c>
      <c r="S19" s="156">
        <f>T14</f>
        <v>0</v>
      </c>
      <c r="T19" s="156">
        <f>U14</f>
        <v>0</v>
      </c>
    </row>
    <row r="20" spans="1:20">
      <c r="A20" s="157" t="s">
        <v>461</v>
      </c>
      <c r="B20" s="157"/>
      <c r="C20" s="157"/>
      <c r="D20" s="156">
        <f>+F14+G14</f>
        <v>289406.25</v>
      </c>
      <c r="E20" s="156">
        <f>+G14</f>
        <v>0</v>
      </c>
      <c r="F20" s="1">
        <v>0</v>
      </c>
      <c r="L20" s="157" t="s">
        <v>461</v>
      </c>
      <c r="M20" s="157"/>
      <c r="N20" s="157"/>
      <c r="O20" s="157"/>
      <c r="P20" s="156">
        <f>+R14+S14</f>
        <v>687278</v>
      </c>
      <c r="Q20" s="156">
        <f>+S14+T14</f>
        <v>320596</v>
      </c>
      <c r="R20" s="156">
        <f>+T14+U14</f>
        <v>0</v>
      </c>
      <c r="S20" s="156">
        <f>+U14+V14</f>
        <v>0</v>
      </c>
      <c r="T20" s="156">
        <f>+V14+W14</f>
        <v>0</v>
      </c>
    </row>
    <row r="21" spans="1:20">
      <c r="A21" s="157" t="s">
        <v>462</v>
      </c>
      <c r="B21" s="157"/>
      <c r="C21" s="157"/>
      <c r="D21" s="156"/>
      <c r="E21" s="156">
        <v>0</v>
      </c>
      <c r="F21" s="1">
        <v>0</v>
      </c>
      <c r="L21" s="157" t="s">
        <v>462</v>
      </c>
      <c r="M21" s="157"/>
      <c r="N21" s="157"/>
      <c r="O21" s="157"/>
      <c r="P21" s="156"/>
      <c r="Q21" s="156"/>
      <c r="R21" s="156"/>
      <c r="S21" s="156"/>
      <c r="T21" s="156"/>
    </row>
    <row r="22" spans="1:20" ht="15" thickBot="1">
      <c r="A22" s="232" t="s">
        <v>51</v>
      </c>
      <c r="B22" s="233"/>
      <c r="C22" s="233"/>
      <c r="D22" s="25">
        <f>SUM(D19:D21)</f>
        <v>1046375</v>
      </c>
      <c r="E22" s="25">
        <f>SUM(E19:E21)</f>
        <v>756968.75</v>
      </c>
      <c r="F22" s="1">
        <v>756968.75</v>
      </c>
      <c r="L22" s="232" t="s">
        <v>51</v>
      </c>
      <c r="M22" s="232"/>
      <c r="N22" s="232"/>
      <c r="O22" s="232"/>
      <c r="P22" s="25">
        <f>SUM(P19:P21)</f>
        <v>1052958</v>
      </c>
      <c r="Q22" s="25">
        <f>SUM(Q19:Q21)</f>
        <v>687278</v>
      </c>
      <c r="R22" s="25">
        <f>SUM(R19:R21)</f>
        <v>320596</v>
      </c>
      <c r="S22" s="25">
        <f>SUM(S19:S21)</f>
        <v>0</v>
      </c>
      <c r="T22" s="25">
        <f>SUM(T19:T21)</f>
        <v>0</v>
      </c>
    </row>
    <row r="23" spans="1:20" ht="15" thickTop="1"/>
    <row r="26" spans="1:20">
      <c r="A26" s="5" t="s">
        <v>1242</v>
      </c>
      <c r="B26" s="5"/>
      <c r="C26" s="5"/>
      <c r="D26" s="5"/>
      <c r="E26" s="5"/>
      <c r="F26" s="5"/>
      <c r="G26" s="5"/>
      <c r="H26" s="5"/>
    </row>
    <row r="27" spans="1:20" s="5" customFormat="1"/>
    <row r="28" spans="1:20" s="5" customFormat="1"/>
    <row r="29" spans="1:20">
      <c r="A29" s="1" t="s">
        <v>1215</v>
      </c>
      <c r="B29" s="1" t="s">
        <v>1216</v>
      </c>
    </row>
    <row r="30" spans="1:20" s="5" customFormat="1">
      <c r="A30" s="1" t="s">
        <v>1217</v>
      </c>
      <c r="B30" s="239">
        <f>+M4</f>
        <v>44607</v>
      </c>
      <c r="C30" s="239"/>
      <c r="D30" s="239"/>
      <c r="E30" s="239"/>
      <c r="F30" s="239"/>
      <c r="G30" s="239"/>
      <c r="H30" s="239"/>
    </row>
    <row r="31" spans="1:20" s="5" customFormat="1">
      <c r="A31" s="1" t="s">
        <v>1218</v>
      </c>
      <c r="B31" s="211">
        <v>3</v>
      </c>
      <c r="C31" s="211"/>
      <c r="D31" s="211"/>
      <c r="E31" s="211"/>
      <c r="F31" s="211"/>
      <c r="G31" s="211"/>
      <c r="H31" s="211"/>
    </row>
    <row r="32" spans="1:20" s="5" customFormat="1">
      <c r="A32" s="1" t="s">
        <v>1219</v>
      </c>
      <c r="B32" s="239">
        <f>+N4</f>
        <v>45702</v>
      </c>
      <c r="C32" s="239"/>
      <c r="D32" s="239"/>
      <c r="E32" s="239"/>
      <c r="F32" s="239"/>
      <c r="G32" s="239"/>
      <c r="H32" s="239"/>
    </row>
    <row r="33" spans="1:13" s="5" customFormat="1">
      <c r="A33" s="1" t="s">
        <v>1220</v>
      </c>
      <c r="B33" s="23">
        <f>+N11/3</f>
        <v>365680</v>
      </c>
      <c r="C33" s="23"/>
      <c r="D33" s="23">
        <f>+B33/12</f>
        <v>30473.333333333332</v>
      </c>
      <c r="E33" s="23"/>
      <c r="F33" s="23"/>
      <c r="G33" s="23"/>
      <c r="H33" s="23"/>
    </row>
    <row r="34" spans="1:13" s="5" customFormat="1">
      <c r="A34" s="1" t="s">
        <v>1221</v>
      </c>
      <c r="B34" s="240">
        <v>0.1</v>
      </c>
      <c r="C34" s="241"/>
      <c r="D34" s="241"/>
      <c r="E34" s="241"/>
      <c r="F34" s="241"/>
      <c r="G34" s="241"/>
      <c r="H34" s="241"/>
    </row>
    <row r="35" spans="1:13" s="5" customFormat="1">
      <c r="A35" s="1"/>
      <c r="B35" s="241"/>
      <c r="C35" s="241"/>
      <c r="D35" s="241"/>
      <c r="E35" s="241"/>
      <c r="F35" s="241"/>
      <c r="G35" s="241"/>
      <c r="H35" s="241"/>
    </row>
    <row r="36" spans="1:13" s="5" customFormat="1">
      <c r="A36" s="5" t="s">
        <v>1222</v>
      </c>
      <c r="B36" s="150">
        <f>+PV(B34,B31,-B33,0,0)</f>
        <v>909392.03606311127</v>
      </c>
      <c r="C36" s="242"/>
      <c r="D36" s="242"/>
      <c r="E36" s="242"/>
      <c r="F36" s="242"/>
      <c r="G36" s="242"/>
      <c r="H36" s="242"/>
    </row>
    <row r="37" spans="1:13" s="5" customFormat="1">
      <c r="B37" s="242"/>
      <c r="C37" s="242"/>
      <c r="D37" s="242"/>
      <c r="E37" s="242"/>
      <c r="F37" s="242"/>
      <c r="G37" s="242"/>
      <c r="H37" s="242"/>
    </row>
    <row r="38" spans="1:13" s="5" customFormat="1">
      <c r="A38" s="243" t="s">
        <v>1223</v>
      </c>
      <c r="B38" s="244" t="s">
        <v>1224</v>
      </c>
      <c r="C38" s="244" t="s">
        <v>1225</v>
      </c>
      <c r="D38" s="245" t="s">
        <v>72</v>
      </c>
      <c r="E38" s="244" t="s">
        <v>1226</v>
      </c>
      <c r="F38" s="245" t="s">
        <v>1227</v>
      </c>
      <c r="G38" s="244" t="s">
        <v>1228</v>
      </c>
      <c r="H38" s="245" t="s">
        <v>1229</v>
      </c>
      <c r="I38" s="243" t="s">
        <v>1230</v>
      </c>
      <c r="J38" s="243" t="s">
        <v>1231</v>
      </c>
      <c r="L38" s="5" t="s">
        <v>1230</v>
      </c>
    </row>
    <row r="39" spans="1:13" s="5" customFormat="1">
      <c r="A39" s="2" t="s">
        <v>1232</v>
      </c>
      <c r="B39" s="4">
        <f>+B36</f>
        <v>909392.03606311127</v>
      </c>
      <c r="C39" s="156">
        <v>0</v>
      </c>
      <c r="D39" s="37">
        <f>+B39-C39</f>
        <v>909392.03606311127</v>
      </c>
      <c r="E39" s="4">
        <v>3</v>
      </c>
      <c r="F39" s="37">
        <v>0</v>
      </c>
      <c r="G39" s="156">
        <f>+M11</f>
        <v>1095</v>
      </c>
      <c r="H39" s="37">
        <f>+P10</f>
        <v>44</v>
      </c>
      <c r="I39" s="156">
        <f>+G39-H39</f>
        <v>1051</v>
      </c>
      <c r="J39" s="4">
        <f>+ROUND((D39/G39*H39),0)</f>
        <v>36542</v>
      </c>
    </row>
    <row r="40" spans="1:13" s="5" customFormat="1">
      <c r="A40" s="2" t="s">
        <v>1233</v>
      </c>
      <c r="B40" s="4">
        <f>+B39</f>
        <v>909392.03606311127</v>
      </c>
      <c r="C40" s="156">
        <f>+C39+J39</f>
        <v>36542</v>
      </c>
      <c r="D40" s="37">
        <f>+B40-C40</f>
        <v>872850.03606311127</v>
      </c>
      <c r="E40" s="4">
        <v>3</v>
      </c>
      <c r="F40" s="37">
        <v>0</v>
      </c>
      <c r="G40" s="156">
        <f>+G39-H39</f>
        <v>1051</v>
      </c>
      <c r="H40" s="37">
        <v>365</v>
      </c>
      <c r="I40" s="156">
        <f>+G40-H40</f>
        <v>686</v>
      </c>
      <c r="J40" s="4">
        <f>+ROUND((D40/G40*H40),0)</f>
        <v>303131</v>
      </c>
      <c r="L40" s="1037"/>
    </row>
    <row r="41" spans="1:13" s="5" customFormat="1">
      <c r="A41" s="2" t="s">
        <v>1243</v>
      </c>
      <c r="B41" s="4">
        <f>+B40</f>
        <v>909392.03606311127</v>
      </c>
      <c r="C41" s="156">
        <f>+C40+J40</f>
        <v>339673</v>
      </c>
      <c r="D41" s="37">
        <f>+B41-C41</f>
        <v>569719.03606311127</v>
      </c>
      <c r="E41" s="4">
        <v>3</v>
      </c>
      <c r="F41" s="37">
        <v>0</v>
      </c>
      <c r="G41" s="156">
        <f>+G40-H40</f>
        <v>686</v>
      </c>
      <c r="H41" s="37">
        <v>366</v>
      </c>
      <c r="I41" s="156">
        <f>+G41-H41</f>
        <v>320</v>
      </c>
      <c r="J41" s="4">
        <f>+ROUND((D41/G41*H41),0)</f>
        <v>303961</v>
      </c>
    </row>
    <row r="42" spans="1:13" s="5" customFormat="1">
      <c r="A42" s="246" t="s">
        <v>1244</v>
      </c>
      <c r="B42" s="140">
        <f>+B41</f>
        <v>909392.03606311127</v>
      </c>
      <c r="C42" s="247">
        <f>+C41+J41</f>
        <v>643634</v>
      </c>
      <c r="D42" s="248">
        <f>+B42-C42</f>
        <v>265758.03606311127</v>
      </c>
      <c r="E42" s="140">
        <v>3</v>
      </c>
      <c r="F42" s="248">
        <v>0</v>
      </c>
      <c r="G42" s="247">
        <f>+G41-H41</f>
        <v>320</v>
      </c>
      <c r="H42" s="248">
        <f>+S10</f>
        <v>320</v>
      </c>
      <c r="I42" s="247">
        <f>+G42-H42</f>
        <v>0</v>
      </c>
      <c r="J42" s="140">
        <f>+ROUND((D42/G42*H42),0)</f>
        <v>265758</v>
      </c>
      <c r="M42" s="249"/>
    </row>
    <row r="43" spans="1:13" s="5" customFormat="1">
      <c r="B43" s="23"/>
      <c r="C43" s="161"/>
      <c r="D43" s="23"/>
      <c r="E43" s="23"/>
      <c r="F43" s="23"/>
      <c r="G43" s="242"/>
      <c r="H43" s="242"/>
      <c r="L43" s="250"/>
      <c r="M43" s="242"/>
    </row>
    <row r="44" spans="1:13" s="5" customFormat="1">
      <c r="B44" s="242"/>
      <c r="C44" s="151"/>
      <c r="D44" s="251"/>
      <c r="E44" s="252"/>
      <c r="F44" s="251"/>
      <c r="G44" s="251"/>
      <c r="H44" s="242"/>
      <c r="L44" s="250"/>
      <c r="M44" s="253"/>
    </row>
    <row r="45" spans="1:13" s="5" customFormat="1">
      <c r="B45" s="242"/>
      <c r="C45" s="151"/>
      <c r="D45" s="201"/>
      <c r="E45" s="252"/>
      <c r="F45" s="251"/>
      <c r="G45" s="251"/>
      <c r="H45" s="242"/>
    </row>
    <row r="46" spans="1:13" s="5" customFormat="1">
      <c r="B46" s="242"/>
      <c r="C46" s="151"/>
      <c r="D46" s="201"/>
      <c r="E46" s="252"/>
      <c r="F46" s="251"/>
      <c r="G46" s="251"/>
      <c r="K46" s="249"/>
    </row>
    <row r="47" spans="1:13" s="5" customFormat="1" ht="14.25" customHeight="1">
      <c r="A47" s="1"/>
      <c r="B47" s="241"/>
      <c r="C47" s="241"/>
      <c r="D47" s="241"/>
      <c r="E47" s="241"/>
      <c r="F47" s="241"/>
      <c r="G47" s="241"/>
      <c r="H47" s="241"/>
      <c r="K47" s="249"/>
      <c r="L47" s="249">
        <f>+J46-K46</f>
        <v>0</v>
      </c>
    </row>
    <row r="48" spans="1:13" s="5" customFormat="1">
      <c r="A48" s="5" t="s">
        <v>1234</v>
      </c>
      <c r="L48" s="249">
        <f>+K47-L47</f>
        <v>0</v>
      </c>
    </row>
    <row r="49" spans="1:12" s="257" customFormat="1" ht="57.6">
      <c r="A49" s="254" t="s">
        <v>1223</v>
      </c>
      <c r="B49" s="255" t="s">
        <v>1235</v>
      </c>
      <c r="C49" s="256" t="s">
        <v>1236</v>
      </c>
      <c r="D49" s="255" t="s">
        <v>1237</v>
      </c>
      <c r="E49" s="255" t="s">
        <v>318</v>
      </c>
      <c r="F49" s="255" t="s">
        <v>1238</v>
      </c>
      <c r="G49" s="256" t="s">
        <v>1239</v>
      </c>
      <c r="H49" s="256" t="s">
        <v>1240</v>
      </c>
      <c r="I49" s="256" t="s">
        <v>1241</v>
      </c>
      <c r="K49" s="258"/>
    </row>
    <row r="50" spans="1:12" s="5" customFormat="1">
      <c r="A50" s="2" t="s">
        <v>1232</v>
      </c>
      <c r="B50" s="259">
        <f>+B36</f>
        <v>909392.03606311127</v>
      </c>
      <c r="C50" s="260">
        <f>+P11</f>
        <v>44082</v>
      </c>
      <c r="D50" s="259">
        <f>+ROUND((B50*$B$34),0)/365*P10</f>
        <v>10962.509589041096</v>
      </c>
      <c r="E50" s="259">
        <v>0</v>
      </c>
      <c r="F50" s="259">
        <f>+C50-D50</f>
        <v>33119.490410958904</v>
      </c>
      <c r="G50" s="260">
        <f>+B50-F50</f>
        <v>876272.54565215239</v>
      </c>
      <c r="H50" s="260">
        <f>+J39</f>
        <v>36542</v>
      </c>
      <c r="I50" s="260">
        <f>+B39-H50</f>
        <v>872850.03606311127</v>
      </c>
      <c r="J50" s="249"/>
      <c r="K50" s="261"/>
      <c r="L50" s="249"/>
    </row>
    <row r="51" spans="1:12" s="5" customFormat="1">
      <c r="A51" s="2" t="s">
        <v>1233</v>
      </c>
      <c r="B51" s="259">
        <f>+G50</f>
        <v>876272.54565215239</v>
      </c>
      <c r="C51" s="260">
        <f>+Q11</f>
        <v>365680</v>
      </c>
      <c r="D51" s="259">
        <f>+ROUND((B50*$B$34),0)/365*Q10</f>
        <v>90939</v>
      </c>
      <c r="E51" s="259">
        <v>0</v>
      </c>
      <c r="F51" s="259">
        <f>+C51-D51</f>
        <v>274741</v>
      </c>
      <c r="G51" s="260">
        <f>+B51-F51</f>
        <v>601531.54565215239</v>
      </c>
      <c r="H51" s="260">
        <f>+J40</f>
        <v>303131</v>
      </c>
      <c r="I51" s="960">
        <f>+I50-H51</f>
        <v>569719.03606311127</v>
      </c>
      <c r="J51" s="249">
        <f>G51-I51</f>
        <v>31812.509589041118</v>
      </c>
      <c r="K51" s="261"/>
    </row>
    <row r="52" spans="1:12" s="5" customFormat="1">
      <c r="A52" s="2" t="s">
        <v>1243</v>
      </c>
      <c r="B52" s="259">
        <f>+G51</f>
        <v>601531.54565215239</v>
      </c>
      <c r="C52" s="260">
        <f>+R11</f>
        <v>366682</v>
      </c>
      <c r="D52" s="259">
        <f>+ROUND((B50*$B$34),0)/365*R10</f>
        <v>91188.147945205477</v>
      </c>
      <c r="E52" s="259">
        <v>0</v>
      </c>
      <c r="F52" s="259">
        <f>+C52-D52</f>
        <v>275493.85205479455</v>
      </c>
      <c r="G52" s="260">
        <f>+B52-F52</f>
        <v>326037.69359735784</v>
      </c>
      <c r="H52" s="260">
        <f>+J41</f>
        <v>303961</v>
      </c>
      <c r="I52" s="260">
        <f>+I51-H52</f>
        <v>265758.03606311127</v>
      </c>
      <c r="J52" s="249">
        <f>G52-I52</f>
        <v>60279.657534246566</v>
      </c>
      <c r="K52" s="1038"/>
      <c r="L52" s="1037"/>
    </row>
    <row r="53" spans="1:12" s="5" customFormat="1">
      <c r="A53" s="246" t="s">
        <v>1244</v>
      </c>
      <c r="B53" s="262">
        <f>+G52</f>
        <v>326037.69359735784</v>
      </c>
      <c r="C53" s="263">
        <f>+S11</f>
        <v>320596</v>
      </c>
      <c r="D53" s="262">
        <f>+ROUND((B50*$B$34),0)/365*S10</f>
        <v>79727.342465753434</v>
      </c>
      <c r="E53" s="262">
        <v>0</v>
      </c>
      <c r="F53" s="262">
        <f>+C53-D53</f>
        <v>240868.65753424657</v>
      </c>
      <c r="G53" s="263">
        <f>+B53-F53</f>
        <v>85169.036063111271</v>
      </c>
      <c r="H53" s="263">
        <f>+J42</f>
        <v>265758</v>
      </c>
      <c r="I53" s="263">
        <f>+I52-H53</f>
        <v>3.6063111270777881E-2</v>
      </c>
      <c r="J53" s="249">
        <f>G53-I53</f>
        <v>85169</v>
      </c>
      <c r="K53" s="261"/>
      <c r="L53" s="249"/>
    </row>
    <row r="54" spans="1:12" s="5" customFormat="1">
      <c r="A54" s="1"/>
      <c r="D54" s="249"/>
    </row>
    <row r="55" spans="1:12">
      <c r="J55" s="161">
        <f>SUM(J51:J54)</f>
        <v>177261.16712328768</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7"/>
  <sheetViews>
    <sheetView topLeftCell="B13" workbookViewId="0">
      <selection activeCell="G14" sqref="G14"/>
    </sheetView>
  </sheetViews>
  <sheetFormatPr defaultColWidth="9.21875" defaultRowHeight="14.4"/>
  <cols>
    <col min="1" max="1" width="7.5546875" style="151" customWidth="1"/>
    <col min="2" max="2" width="57.21875" style="151" bestFit="1" customWidth="1"/>
    <col min="3" max="4" width="15.21875" style="151" bestFit="1" customWidth="1"/>
    <col min="5" max="5" width="15" style="151" bestFit="1" customWidth="1"/>
    <col min="6" max="6" width="15.77734375" style="151" customWidth="1"/>
    <col min="7" max="8" width="15" style="151" customWidth="1"/>
    <col min="9" max="9" width="12.77734375" style="151" bestFit="1" customWidth="1"/>
    <col min="10" max="10" width="27.44140625" style="151" customWidth="1"/>
    <col min="11" max="11" width="12.77734375" style="151" bestFit="1" customWidth="1"/>
    <col min="12" max="12" width="9.21875" style="151"/>
    <col min="13" max="13" width="12.21875" style="151" bestFit="1" customWidth="1"/>
    <col min="14" max="16384" width="9.21875" style="151"/>
  </cols>
  <sheetData>
    <row r="1" spans="1:12">
      <c r="A1" s="1380" t="s">
        <v>882</v>
      </c>
      <c r="B1" s="1380"/>
      <c r="C1" s="1380"/>
      <c r="D1" s="1380"/>
      <c r="E1" s="1380"/>
      <c r="F1" s="180"/>
      <c r="G1" s="180"/>
      <c r="H1" s="180"/>
      <c r="J1" s="151" t="s">
        <v>1021</v>
      </c>
    </row>
    <row r="2" spans="1:12">
      <c r="A2" s="1380" t="s">
        <v>1464</v>
      </c>
      <c r="B2" s="1380"/>
      <c r="C2" s="1380"/>
      <c r="D2" s="1380"/>
      <c r="E2" s="1380"/>
      <c r="F2" s="180"/>
      <c r="G2" s="180"/>
      <c r="H2" s="180"/>
      <c r="J2" s="215" t="s">
        <v>1023</v>
      </c>
      <c r="K2" s="151">
        <v>22</v>
      </c>
    </row>
    <row r="3" spans="1:12">
      <c r="A3" s="1"/>
      <c r="B3" s="1"/>
      <c r="C3" s="174"/>
      <c r="D3" s="174"/>
      <c r="E3" s="174"/>
      <c r="F3" s="174"/>
      <c r="G3" s="174"/>
      <c r="H3" s="174"/>
      <c r="J3" s="215" t="s">
        <v>1024</v>
      </c>
      <c r="K3" s="151">
        <v>0</v>
      </c>
    </row>
    <row r="4" spans="1:12" ht="43.2">
      <c r="A4" s="181" t="s">
        <v>883</v>
      </c>
      <c r="B4" s="182" t="s">
        <v>0</v>
      </c>
      <c r="C4" s="183" t="s">
        <v>884</v>
      </c>
      <c r="D4" s="184" t="s">
        <v>884</v>
      </c>
      <c r="E4" s="183" t="s">
        <v>1046</v>
      </c>
      <c r="F4" s="216" t="s">
        <v>1469</v>
      </c>
      <c r="G4" s="216" t="s">
        <v>1026</v>
      </c>
      <c r="H4" s="205"/>
      <c r="J4" s="217" t="s">
        <v>1027</v>
      </c>
      <c r="K4" s="151">
        <f>(K2+K3)*0.04</f>
        <v>0.88</v>
      </c>
    </row>
    <row r="5" spans="1:12">
      <c r="A5" s="2"/>
      <c r="B5" s="1"/>
      <c r="C5" s="185"/>
      <c r="D5" s="186"/>
      <c r="E5" s="185"/>
      <c r="F5" s="185"/>
      <c r="G5" s="218"/>
      <c r="H5" s="186"/>
      <c r="J5" s="215" t="s">
        <v>1028</v>
      </c>
      <c r="K5" s="151">
        <f>+K2+K3+K4</f>
        <v>22.88</v>
      </c>
    </row>
    <row r="6" spans="1:12">
      <c r="A6" s="187"/>
      <c r="B6" s="188" t="s">
        <v>886</v>
      </c>
      <c r="C6" s="189"/>
      <c r="D6" s="190"/>
      <c r="E6" s="189"/>
      <c r="F6" s="189"/>
      <c r="G6" s="219"/>
      <c r="H6" s="190"/>
    </row>
    <row r="7" spans="1:12">
      <c r="A7" s="2"/>
      <c r="B7" s="1"/>
      <c r="C7" s="185"/>
      <c r="D7" s="186"/>
      <c r="E7" s="185"/>
      <c r="F7" s="185"/>
      <c r="G7" s="218"/>
      <c r="H7" s="186"/>
    </row>
    <row r="8" spans="1:12">
      <c r="A8" s="191">
        <v>1</v>
      </c>
      <c r="B8" s="192" t="s">
        <v>887</v>
      </c>
      <c r="C8" s="185"/>
      <c r="D8" s="186"/>
      <c r="E8" s="185"/>
      <c r="F8" s="185"/>
      <c r="G8" s="218"/>
      <c r="H8" s="186"/>
      <c r="J8" s="151">
        <f>+L4+K4</f>
        <v>0.88</v>
      </c>
    </row>
    <row r="9" spans="1:12">
      <c r="A9" s="2"/>
      <c r="B9" s="1" t="s">
        <v>1465</v>
      </c>
      <c r="C9" s="185"/>
      <c r="D9" s="186"/>
      <c r="E9" s="185"/>
      <c r="F9" s="185"/>
      <c r="G9" s="218"/>
      <c r="H9" s="186"/>
      <c r="I9" s="201"/>
    </row>
    <row r="10" spans="1:12">
      <c r="A10" s="2"/>
      <c r="B10" s="1" t="s">
        <v>888</v>
      </c>
      <c r="C10" s="185">
        <f>'Dep as per IT'!O60</f>
        <v>13595064</v>
      </c>
      <c r="D10" s="186"/>
      <c r="E10" s="185"/>
      <c r="F10" s="185"/>
      <c r="G10" s="218"/>
      <c r="H10" s="186"/>
      <c r="I10" s="201"/>
      <c r="L10" s="151">
        <v>392034</v>
      </c>
    </row>
    <row r="11" spans="1:12" ht="16.2">
      <c r="A11" s="2"/>
      <c r="B11" s="1"/>
      <c r="C11" s="185"/>
      <c r="D11" s="186"/>
      <c r="E11" s="185"/>
      <c r="F11" s="185"/>
      <c r="G11" s="218"/>
      <c r="H11" s="222" t="s">
        <v>1349</v>
      </c>
    </row>
    <row r="12" spans="1:12">
      <c r="A12" s="2"/>
      <c r="B12" s="5" t="s">
        <v>889</v>
      </c>
      <c r="C12" s="185"/>
      <c r="D12" s="186"/>
      <c r="E12" s="185"/>
      <c r="F12" s="185"/>
      <c r="G12" s="218"/>
      <c r="H12" s="186"/>
    </row>
    <row r="13" spans="1:12">
      <c r="A13" s="2"/>
      <c r="B13" s="1" t="s">
        <v>1465</v>
      </c>
      <c r="C13" s="185"/>
      <c r="D13" s="186"/>
      <c r="E13" s="185"/>
      <c r="F13" s="185"/>
      <c r="G13" s="218"/>
      <c r="H13" s="186"/>
    </row>
    <row r="14" spans="1:12" ht="16.2">
      <c r="A14" s="2"/>
      <c r="B14" s="1" t="s">
        <v>890</v>
      </c>
      <c r="C14" s="193">
        <f>BS!F9+BS!F10</f>
        <v>15634555</v>
      </c>
      <c r="D14" s="26">
        <f>C10-C14</f>
        <v>-2039491</v>
      </c>
      <c r="E14" s="185">
        <f>ROUND(D14*J15%,0)</f>
        <v>-467043</v>
      </c>
      <c r="F14" s="185">
        <f>'Deferred tax 21-22'!E14</f>
        <v>282270</v>
      </c>
      <c r="G14" s="218">
        <f>+(E14-F14)</f>
        <v>-749313</v>
      </c>
      <c r="H14" s="222"/>
      <c r="L14" s="151">
        <v>586287</v>
      </c>
    </row>
    <row r="15" spans="1:12">
      <c r="A15" s="2"/>
      <c r="B15" s="1" t="s">
        <v>891</v>
      </c>
      <c r="C15" s="185"/>
      <c r="D15" s="186"/>
      <c r="E15" s="185"/>
      <c r="F15" s="185"/>
      <c r="G15" s="218"/>
      <c r="H15" s="186"/>
      <c r="I15" s="151" t="s">
        <v>1029</v>
      </c>
      <c r="J15" s="194">
        <v>22.9</v>
      </c>
    </row>
    <row r="16" spans="1:12" ht="15" thickBot="1">
      <c r="A16" s="2"/>
      <c r="B16" s="1"/>
      <c r="C16" s="185"/>
      <c r="D16" s="186"/>
      <c r="E16" s="195">
        <f>+E14+E15</f>
        <v>-467043</v>
      </c>
      <c r="F16" s="196"/>
      <c r="G16" s="220"/>
      <c r="H16" s="205"/>
    </row>
    <row r="17" spans="1:14" ht="15" thickTop="1">
      <c r="A17" s="2"/>
      <c r="B17" s="1"/>
      <c r="C17" s="185"/>
      <c r="D17" s="186"/>
      <c r="E17" s="196"/>
      <c r="F17" s="196"/>
      <c r="G17" s="220"/>
      <c r="H17" s="205"/>
    </row>
    <row r="18" spans="1:14">
      <c r="A18" s="191">
        <v>2</v>
      </c>
      <c r="B18" s="192" t="s">
        <v>892</v>
      </c>
      <c r="C18" s="185"/>
      <c r="D18" s="186"/>
      <c r="E18" s="185"/>
      <c r="F18" s="185"/>
      <c r="G18" s="218"/>
      <c r="H18" s="186"/>
    </row>
    <row r="19" spans="1:14">
      <c r="A19" s="191"/>
      <c r="B19" s="1" t="s">
        <v>893</v>
      </c>
      <c r="C19" s="185"/>
      <c r="D19" s="186"/>
      <c r="E19" s="185">
        <f>Notes!E23</f>
        <v>8165446</v>
      </c>
      <c r="F19" s="185"/>
      <c r="G19" s="218"/>
      <c r="H19" s="186"/>
    </row>
    <row r="20" spans="1:14">
      <c r="A20" s="191"/>
      <c r="B20" s="197"/>
      <c r="C20" s="185"/>
      <c r="D20" s="186"/>
      <c r="E20" s="185"/>
      <c r="F20" s="185"/>
      <c r="G20" s="218"/>
      <c r="H20" s="186"/>
    </row>
    <row r="21" spans="1:14">
      <c r="A21" s="191"/>
      <c r="B21" s="198"/>
      <c r="C21" s="185"/>
      <c r="D21" s="186"/>
      <c r="E21" s="185"/>
      <c r="F21" s="185"/>
      <c r="G21" s="218"/>
      <c r="H21" s="186"/>
      <c r="J21" s="151" t="s">
        <v>944</v>
      </c>
      <c r="L21" s="151">
        <v>228983.83199999999</v>
      </c>
    </row>
    <row r="22" spans="1:14" ht="16.2">
      <c r="A22" s="2"/>
      <c r="B22" s="1"/>
      <c r="C22" s="193"/>
      <c r="D22" s="175"/>
      <c r="E22" s="185"/>
      <c r="F22" s="185"/>
      <c r="G22" s="218">
        <f>+E22</f>
        <v>0</v>
      </c>
      <c r="H22" s="222"/>
      <c r="J22" s="151" t="s">
        <v>945</v>
      </c>
      <c r="L22" s="151" t="s">
        <v>951</v>
      </c>
      <c r="M22" s="151" t="s">
        <v>952</v>
      </c>
      <c r="N22" s="151" t="s">
        <v>953</v>
      </c>
    </row>
    <row r="23" spans="1:14">
      <c r="A23" s="2"/>
      <c r="B23" s="192" t="s">
        <v>892</v>
      </c>
      <c r="C23" s="185"/>
      <c r="D23" s="186"/>
      <c r="E23" s="196">
        <f>+E19+E22</f>
        <v>8165446</v>
      </c>
      <c r="F23" s="196"/>
      <c r="G23" s="220"/>
      <c r="H23" s="205"/>
      <c r="J23" s="151" t="s">
        <v>946</v>
      </c>
      <c r="L23" s="151">
        <f>L21/4</f>
        <v>57245.957999999999</v>
      </c>
      <c r="M23" s="151">
        <v>55338</v>
      </c>
      <c r="N23" s="151">
        <f>L23-M23</f>
        <v>1907.9579999999987</v>
      </c>
    </row>
    <row r="24" spans="1:14">
      <c r="A24" s="2"/>
      <c r="B24" s="1"/>
      <c r="C24" s="185"/>
      <c r="D24" s="186"/>
      <c r="E24" s="185"/>
      <c r="F24" s="185"/>
      <c r="G24" s="218"/>
      <c r="H24" s="186"/>
      <c r="J24" s="151" t="s">
        <v>947</v>
      </c>
      <c r="L24" s="151">
        <f>L23</f>
        <v>57245.957999999999</v>
      </c>
      <c r="M24" s="151">
        <v>47705</v>
      </c>
      <c r="N24" s="151">
        <f>L24-M24</f>
        <v>9540.9579999999987</v>
      </c>
    </row>
    <row r="25" spans="1:14">
      <c r="A25" s="2"/>
      <c r="B25" s="1" t="s">
        <v>895</v>
      </c>
      <c r="C25" s="185">
        <v>0</v>
      </c>
      <c r="D25" s="186"/>
      <c r="E25" s="185"/>
      <c r="F25" s="185"/>
      <c r="G25" s="218"/>
      <c r="H25" s="186"/>
      <c r="J25" s="151" t="s">
        <v>948</v>
      </c>
      <c r="L25" s="151">
        <f>L24</f>
        <v>57245.957999999999</v>
      </c>
      <c r="M25" s="199">
        <f>L25+N24+N23</f>
        <v>68694.873999999996</v>
      </c>
      <c r="N25" s="151">
        <f>L25-M25</f>
        <v>-11448.915999999997</v>
      </c>
    </row>
    <row r="26" spans="1:14">
      <c r="A26" s="2"/>
      <c r="B26" s="1" t="s">
        <v>123</v>
      </c>
      <c r="C26" s="185">
        <f>Notes!E337+Notes!E400</f>
        <v>730309</v>
      </c>
      <c r="D26" s="186"/>
      <c r="E26" s="185"/>
      <c r="F26" s="185"/>
      <c r="G26" s="218"/>
      <c r="H26" s="186"/>
      <c r="I26" s="151" t="s">
        <v>1029</v>
      </c>
      <c r="J26" s="151" t="s">
        <v>949</v>
      </c>
      <c r="L26" s="151">
        <f>L25</f>
        <v>57245.957999999999</v>
      </c>
      <c r="M26" s="151">
        <f>L26</f>
        <v>57245.957999999999</v>
      </c>
      <c r="N26" s="151">
        <f>L26-M26</f>
        <v>0</v>
      </c>
    </row>
    <row r="27" spans="1:14">
      <c r="A27" s="2"/>
      <c r="B27" s="1" t="s">
        <v>896</v>
      </c>
      <c r="C27" s="185">
        <f>Notes!E338+Notes!E401</f>
        <v>1662078</v>
      </c>
      <c r="D27" s="186">
        <f>SUM(C25:C27)</f>
        <v>2392387</v>
      </c>
      <c r="E27" s="185">
        <f>ROUND(D27*J15%,0)</f>
        <v>547857</v>
      </c>
      <c r="F27" s="185">
        <f>'Deferred tax 21-22'!E27</f>
        <v>409978</v>
      </c>
      <c r="G27" s="218">
        <f>+E27-F27</f>
        <v>137879</v>
      </c>
      <c r="H27" s="186"/>
      <c r="I27" s="151">
        <f>+'Deferred tax 18-19'!E27</f>
        <v>53538</v>
      </c>
      <c r="L27" s="151">
        <f>SUM(L23:L26)</f>
        <v>228983.83199999999</v>
      </c>
      <c r="M27" s="151">
        <f>SUM(M23:M26)</f>
        <v>228983.83199999999</v>
      </c>
      <c r="N27" s="151">
        <f>SUM(N23:N26)</f>
        <v>0</v>
      </c>
    </row>
    <row r="28" spans="1:14">
      <c r="A28" s="2"/>
      <c r="B28" s="1"/>
      <c r="C28" s="185"/>
      <c r="D28" s="186"/>
      <c r="E28" s="185"/>
      <c r="F28" s="185"/>
      <c r="G28" s="218"/>
      <c r="H28" s="186"/>
    </row>
    <row r="29" spans="1:14">
      <c r="A29" s="191">
        <v>3</v>
      </c>
      <c r="B29" s="192" t="s">
        <v>887</v>
      </c>
      <c r="C29" s="185"/>
      <c r="D29" s="186"/>
      <c r="E29" s="185"/>
      <c r="F29" s="185"/>
      <c r="G29" s="218"/>
      <c r="H29" s="186"/>
    </row>
    <row r="30" spans="1:14">
      <c r="A30" s="191"/>
      <c r="B30" s="192"/>
      <c r="C30" s="185"/>
      <c r="D30" s="186"/>
      <c r="E30" s="185"/>
      <c r="F30" s="185"/>
      <c r="G30" s="218"/>
      <c r="H30" s="186"/>
    </row>
    <row r="31" spans="1:14">
      <c r="A31" s="191"/>
      <c r="B31" s="5" t="s">
        <v>57</v>
      </c>
      <c r="C31" s="185"/>
      <c r="D31" s="186"/>
      <c r="E31" s="185"/>
      <c r="F31" s="185"/>
      <c r="G31" s="218"/>
      <c r="H31" s="186"/>
      <c r="J31" s="151" t="s">
        <v>944</v>
      </c>
      <c r="L31" s="151">
        <v>209104</v>
      </c>
    </row>
    <row r="32" spans="1:14">
      <c r="A32" s="191"/>
      <c r="B32" s="1" t="s">
        <v>897</v>
      </c>
      <c r="C32" s="185">
        <v>138359</v>
      </c>
      <c r="D32" s="186"/>
      <c r="E32" s="185"/>
      <c r="F32" s="185"/>
      <c r="G32" s="218"/>
      <c r="H32" s="186"/>
    </row>
    <row r="33" spans="1:16">
      <c r="A33" s="191"/>
      <c r="B33" s="1" t="s">
        <v>898</v>
      </c>
      <c r="C33" s="185">
        <v>482066</v>
      </c>
      <c r="D33" s="186"/>
      <c r="E33" s="185"/>
      <c r="F33" s="185"/>
      <c r="G33" s="218"/>
      <c r="H33" s="186"/>
    </row>
    <row r="34" spans="1:16">
      <c r="A34" s="191"/>
      <c r="B34" s="1" t="s">
        <v>899</v>
      </c>
      <c r="C34" s="185">
        <v>470795</v>
      </c>
      <c r="D34" s="186"/>
      <c r="E34" s="185"/>
      <c r="F34" s="185"/>
      <c r="G34" s="218"/>
      <c r="H34" s="186"/>
    </row>
    <row r="35" spans="1:16">
      <c r="A35" s="191"/>
      <c r="B35" s="1" t="s">
        <v>1031</v>
      </c>
      <c r="C35" s="1039">
        <v>403432</v>
      </c>
      <c r="D35" s="186"/>
      <c r="E35" s="185"/>
      <c r="F35" s="185"/>
      <c r="G35" s="218"/>
      <c r="H35" s="186"/>
      <c r="J35" s="151" t="s">
        <v>1032</v>
      </c>
    </row>
    <row r="36" spans="1:16">
      <c r="A36" s="191"/>
      <c r="B36" s="1" t="s">
        <v>1033</v>
      </c>
      <c r="C36" s="185">
        <f>+'Dep as per IT'!K27</f>
        <v>392034</v>
      </c>
      <c r="D36" s="186"/>
      <c r="E36" s="185"/>
      <c r="F36" s="185"/>
      <c r="G36" s="218"/>
      <c r="H36" s="186"/>
    </row>
    <row r="37" spans="1:16">
      <c r="A37" s="191"/>
      <c r="B37" s="1" t="s">
        <v>1107</v>
      </c>
      <c r="C37" s="185">
        <f>'Dep as per IT'!K38</f>
        <v>1111755</v>
      </c>
      <c r="D37" s="186"/>
      <c r="E37" s="185"/>
      <c r="F37" s="185"/>
      <c r="G37" s="218"/>
      <c r="H37" s="186"/>
    </row>
    <row r="38" spans="1:16">
      <c r="A38" s="191"/>
      <c r="B38" s="1" t="s">
        <v>1348</v>
      </c>
      <c r="C38" s="185">
        <f>'Dep as per IT'!K49</f>
        <v>3247855</v>
      </c>
      <c r="D38" s="186"/>
      <c r="E38" s="185"/>
      <c r="F38" s="185"/>
      <c r="G38" s="218"/>
      <c r="H38" s="186"/>
    </row>
    <row r="39" spans="1:16">
      <c r="A39" s="191"/>
      <c r="B39" s="1" t="s">
        <v>1467</v>
      </c>
      <c r="C39" s="185">
        <f>'Dep as per IT'!K60</f>
        <v>4365955</v>
      </c>
      <c r="D39" s="186"/>
      <c r="E39" s="185"/>
      <c r="F39" s="185"/>
      <c r="G39" s="218"/>
      <c r="H39" s="186"/>
    </row>
    <row r="40" spans="1:16">
      <c r="A40" s="191"/>
      <c r="B40" s="1"/>
      <c r="C40" s="185"/>
      <c r="D40" s="186"/>
      <c r="E40" s="185"/>
      <c r="F40" s="185"/>
      <c r="G40" s="218"/>
      <c r="H40" s="186"/>
    </row>
    <row r="41" spans="1:16">
      <c r="A41" s="191"/>
      <c r="B41" s="1"/>
      <c r="C41" s="196">
        <f>SUM(C32:C40)</f>
        <v>10612251</v>
      </c>
      <c r="D41" s="186"/>
      <c r="E41" s="185"/>
      <c r="F41" s="185"/>
      <c r="G41" s="218"/>
      <c r="H41" s="186"/>
      <c r="J41" s="151" t="s">
        <v>1034</v>
      </c>
      <c r="K41" s="151">
        <v>0</v>
      </c>
    </row>
    <row r="42" spans="1:16">
      <c r="A42" s="191"/>
      <c r="B42" s="5" t="s">
        <v>900</v>
      </c>
      <c r="C42" s="185"/>
      <c r="D42" s="186"/>
      <c r="E42" s="185"/>
      <c r="F42" s="185"/>
      <c r="G42" s="218"/>
      <c r="H42" s="186"/>
      <c r="J42" s="151" t="s">
        <v>946</v>
      </c>
      <c r="K42" s="151">
        <v>4488703</v>
      </c>
    </row>
    <row r="43" spans="1:16">
      <c r="A43" s="191"/>
      <c r="B43" s="1" t="s">
        <v>901</v>
      </c>
      <c r="C43" s="185">
        <f>4118444</f>
        <v>4118444</v>
      </c>
      <c r="D43" s="186"/>
      <c r="E43" s="185"/>
      <c r="F43" s="185"/>
      <c r="G43" s="218"/>
      <c r="H43" s="186"/>
      <c r="J43" s="151" t="s">
        <v>947</v>
      </c>
      <c r="K43" s="151">
        <v>7881410</v>
      </c>
    </row>
    <row r="44" spans="1:16">
      <c r="A44" s="191"/>
      <c r="B44" s="1" t="s">
        <v>902</v>
      </c>
      <c r="C44" s="185">
        <f>10586171</f>
        <v>10586171</v>
      </c>
      <c r="D44" s="186"/>
      <c r="E44" s="185"/>
      <c r="F44" s="185"/>
      <c r="G44" s="218"/>
      <c r="H44" s="186"/>
      <c r="J44" s="151" t="s">
        <v>948</v>
      </c>
      <c r="K44" s="151">
        <v>-4488703</v>
      </c>
    </row>
    <row r="45" spans="1:16">
      <c r="A45" s="191"/>
      <c r="B45" s="1" t="s">
        <v>903</v>
      </c>
      <c r="C45" s="185">
        <v>15265437</v>
      </c>
      <c r="D45" s="186"/>
      <c r="E45" s="185"/>
      <c r="F45" s="185"/>
      <c r="G45" s="218"/>
      <c r="H45" s="186"/>
      <c r="J45" s="151" t="s">
        <v>949</v>
      </c>
    </row>
    <row r="46" spans="1:16">
      <c r="A46" s="191"/>
      <c r="B46" s="1" t="s">
        <v>1035</v>
      </c>
      <c r="C46" s="185">
        <v>17121449</v>
      </c>
      <c r="D46" s="186"/>
      <c r="E46" s="185"/>
      <c r="F46" s="185"/>
      <c r="G46" s="218"/>
      <c r="H46" s="186"/>
      <c r="K46" s="201">
        <f>SUM(K41:K45)</f>
        <v>7881410</v>
      </c>
      <c r="M46" s="201"/>
      <c r="P46" s="151">
        <v>17121449</v>
      </c>
    </row>
    <row r="47" spans="1:16">
      <c r="A47" s="191"/>
      <c r="B47" s="1" t="s">
        <v>1036</v>
      </c>
      <c r="C47" s="185">
        <v>27614014</v>
      </c>
      <c r="D47" s="186"/>
      <c r="E47" s="185"/>
      <c r="F47" s="185"/>
      <c r="G47" s="218"/>
      <c r="H47" s="186"/>
      <c r="K47" s="201"/>
      <c r="M47" s="201"/>
    </row>
    <row r="48" spans="1:16">
      <c r="A48" s="191"/>
      <c r="B48" s="1" t="s">
        <v>1108</v>
      </c>
      <c r="C48" s="185">
        <v>30606878</v>
      </c>
      <c r="D48" s="186"/>
      <c r="E48" s="185"/>
      <c r="F48" s="185"/>
      <c r="G48" s="218"/>
      <c r="H48" s="186"/>
      <c r="K48" s="201"/>
      <c r="M48" s="201"/>
    </row>
    <row r="49" spans="1:16">
      <c r="A49" s="191"/>
      <c r="B49" s="1" t="s">
        <v>1347</v>
      </c>
      <c r="C49" s="185">
        <f>-PL!G36</f>
        <v>60117060</v>
      </c>
      <c r="D49" s="186"/>
      <c r="E49" s="185"/>
      <c r="F49" s="185"/>
      <c r="G49" s="218"/>
      <c r="H49" s="186"/>
      <c r="K49" s="201"/>
      <c r="M49" s="201"/>
    </row>
    <row r="50" spans="1:16">
      <c r="A50" s="191"/>
      <c r="B50" s="1" t="s">
        <v>1468</v>
      </c>
      <c r="C50" s="185">
        <f>-PL!F36</f>
        <v>70151405</v>
      </c>
      <c r="D50" s="186"/>
      <c r="E50" s="185"/>
      <c r="F50" s="185"/>
      <c r="G50" s="218"/>
      <c r="H50" s="186"/>
      <c r="K50" s="201"/>
      <c r="M50" s="201"/>
    </row>
    <row r="51" spans="1:16">
      <c r="A51" s="191"/>
      <c r="B51" s="1" t="s">
        <v>1627</v>
      </c>
      <c r="C51" s="185">
        <f>-PL!F37</f>
        <v>0</v>
      </c>
      <c r="D51" s="186"/>
      <c r="E51" s="185"/>
      <c r="F51" s="185"/>
      <c r="G51" s="218"/>
      <c r="H51" s="186"/>
      <c r="K51" s="201"/>
      <c r="M51" s="201"/>
    </row>
    <row r="52" spans="1:16">
      <c r="A52" s="191"/>
      <c r="B52" s="1"/>
      <c r="C52" s="196">
        <f>SUM(C43:C51)</f>
        <v>235580858</v>
      </c>
      <c r="D52" s="186">
        <f>+C41+C52</f>
        <v>246193109</v>
      </c>
      <c r="E52" s="185">
        <f>ROUND(D52*J15%,0)</f>
        <v>56378222</v>
      </c>
      <c r="F52" s="185">
        <f>'Deferred tax 21-22'!E50</f>
        <v>39313744</v>
      </c>
      <c r="G52" s="218">
        <f>+E52-F52</f>
        <v>17064478</v>
      </c>
      <c r="H52" s="186"/>
      <c r="J52" s="151" t="s">
        <v>1037</v>
      </c>
      <c r="K52" s="201">
        <f>E52-K46</f>
        <v>48496812</v>
      </c>
      <c r="P52" s="151">
        <v>403432</v>
      </c>
    </row>
    <row r="53" spans="1:16">
      <c r="A53" s="2"/>
      <c r="B53" s="1"/>
      <c r="C53" s="185"/>
      <c r="D53" s="186"/>
      <c r="E53" s="185"/>
      <c r="F53" s="185"/>
      <c r="G53" s="218"/>
      <c r="H53" s="186"/>
      <c r="P53" s="151">
        <f>+P46+P52</f>
        <v>17524881</v>
      </c>
    </row>
    <row r="54" spans="1:16">
      <c r="A54" s="2"/>
      <c r="B54" s="1"/>
      <c r="C54" s="185"/>
      <c r="D54" s="186"/>
      <c r="E54" s="185"/>
      <c r="F54" s="185"/>
      <c r="G54" s="218"/>
      <c r="H54" s="186"/>
    </row>
    <row r="55" spans="1:16">
      <c r="A55" s="2"/>
      <c r="B55" s="1"/>
      <c r="C55" s="185"/>
      <c r="D55" s="186"/>
      <c r="E55" s="185"/>
      <c r="F55" s="185"/>
      <c r="G55" s="218"/>
      <c r="H55" s="186"/>
    </row>
    <row r="56" spans="1:16">
      <c r="A56" s="2"/>
      <c r="B56" s="1" t="s">
        <v>939</v>
      </c>
      <c r="C56" s="185"/>
      <c r="D56" s="186"/>
      <c r="E56" s="185"/>
      <c r="F56" s="185"/>
      <c r="G56" s="218"/>
      <c r="H56" s="186"/>
      <c r="M56" s="201"/>
    </row>
    <row r="57" spans="1:16">
      <c r="A57" s="2"/>
      <c r="B57" s="1"/>
      <c r="C57" s="185"/>
      <c r="D57" s="186"/>
      <c r="E57" s="185"/>
      <c r="F57" s="185"/>
      <c r="G57" s="218"/>
      <c r="H57" s="186"/>
    </row>
    <row r="58" spans="1:16">
      <c r="A58" s="2"/>
      <c r="B58" s="180" t="s">
        <v>904</v>
      </c>
      <c r="C58" s="203"/>
      <c r="D58" s="204"/>
      <c r="E58" s="183">
        <f>+E16+E23+E27+E52+E56</f>
        <v>64624482</v>
      </c>
      <c r="F58" s="196"/>
      <c r="G58" s="220"/>
      <c r="H58" s="205"/>
      <c r="I58" s="201">
        <f>+K52+E27+E22+E16+I16+I27</f>
        <v>48631164</v>
      </c>
    </row>
    <row r="59" spans="1:16">
      <c r="A59" s="2"/>
      <c r="B59" s="1"/>
      <c r="C59" s="185"/>
      <c r="D59" s="186"/>
      <c r="E59" s="185"/>
      <c r="F59" s="185"/>
      <c r="G59" s="218"/>
      <c r="H59" s="186"/>
    </row>
    <row r="60" spans="1:16">
      <c r="A60" s="2"/>
      <c r="B60" s="1"/>
      <c r="C60" s="185"/>
      <c r="D60" s="186"/>
      <c r="E60" s="185"/>
      <c r="F60" s="185"/>
      <c r="G60" s="218"/>
      <c r="H60" s="186"/>
    </row>
    <row r="61" spans="1:16">
      <c r="A61" s="2"/>
      <c r="B61" s="1" t="s">
        <v>1109</v>
      </c>
      <c r="C61" s="185"/>
      <c r="D61" s="186"/>
      <c r="E61" s="185">
        <f>E19</f>
        <v>8165446</v>
      </c>
      <c r="F61" s="185"/>
      <c r="G61" s="218"/>
      <c r="H61" s="186"/>
    </row>
    <row r="62" spans="1:16">
      <c r="A62" s="2"/>
      <c r="B62" s="1" t="s">
        <v>57</v>
      </c>
      <c r="C62" s="185"/>
      <c r="D62" s="186"/>
      <c r="E62" s="185"/>
      <c r="F62" s="185"/>
      <c r="G62" s="218"/>
      <c r="H62" s="186"/>
    </row>
    <row r="63" spans="1:16">
      <c r="A63" s="2"/>
      <c r="B63" s="5" t="s">
        <v>905</v>
      </c>
      <c r="C63" s="185"/>
      <c r="D63" s="186"/>
      <c r="E63" s="185"/>
      <c r="F63" s="185"/>
      <c r="G63" s="218"/>
      <c r="H63" s="186"/>
    </row>
    <row r="64" spans="1:16">
      <c r="A64" s="2"/>
      <c r="B64" s="1" t="s">
        <v>906</v>
      </c>
      <c r="C64" s="185"/>
      <c r="D64" s="186"/>
      <c r="E64" s="185"/>
      <c r="F64" s="185"/>
      <c r="G64" s="218"/>
      <c r="H64" s="186"/>
    </row>
    <row r="65" spans="1:8">
      <c r="A65" s="2"/>
      <c r="B65" s="1"/>
      <c r="C65" s="185"/>
      <c r="D65" s="186"/>
      <c r="E65" s="185"/>
      <c r="F65" s="185"/>
      <c r="G65" s="218"/>
      <c r="H65" s="186"/>
    </row>
    <row r="66" spans="1:8">
      <c r="A66" s="2"/>
      <c r="B66" s="1" t="s">
        <v>939</v>
      </c>
      <c r="C66" s="185"/>
      <c r="D66" s="186"/>
      <c r="E66" s="185"/>
      <c r="F66" s="185"/>
      <c r="G66" s="218"/>
      <c r="H66" s="186"/>
    </row>
    <row r="67" spans="1:8">
      <c r="A67" s="2"/>
      <c r="B67" s="1"/>
      <c r="C67" s="185"/>
      <c r="D67" s="186"/>
      <c r="E67" s="185"/>
      <c r="F67" s="185"/>
      <c r="G67" s="218"/>
      <c r="H67" s="186"/>
    </row>
    <row r="68" spans="1:8">
      <c r="A68" s="2"/>
      <c r="B68" s="5" t="s">
        <v>907</v>
      </c>
      <c r="C68" s="185"/>
      <c r="D68" s="186"/>
      <c r="E68" s="185"/>
      <c r="F68" s="185"/>
      <c r="G68" s="218"/>
      <c r="H68" s="186"/>
    </row>
    <row r="69" spans="1:8">
      <c r="A69" s="2"/>
      <c r="B69" s="1" t="s">
        <v>908</v>
      </c>
      <c r="C69" s="185"/>
      <c r="D69" s="186"/>
      <c r="E69" s="185">
        <f>E22*0</f>
        <v>0</v>
      </c>
      <c r="F69" s="185"/>
      <c r="G69" s="218"/>
      <c r="H69" s="186"/>
    </row>
    <row r="70" spans="1:8">
      <c r="A70" s="2"/>
      <c r="B70" s="1"/>
      <c r="C70" s="185"/>
      <c r="D70" s="186"/>
      <c r="E70" s="185"/>
      <c r="F70" s="185"/>
      <c r="G70" s="218"/>
      <c r="H70" s="186"/>
    </row>
    <row r="71" spans="1:8" ht="15" thickBot="1">
      <c r="A71" s="2"/>
      <c r="B71" s="5" t="s">
        <v>942</v>
      </c>
      <c r="C71" s="196"/>
      <c r="D71" s="205"/>
      <c r="E71" s="195">
        <f>SUM(E61:E70)</f>
        <v>8165446</v>
      </c>
      <c r="F71" s="196"/>
      <c r="G71" s="220"/>
      <c r="H71" s="205"/>
    </row>
    <row r="72" spans="1:8" ht="15" thickTop="1">
      <c r="A72" s="2"/>
      <c r="B72" s="1"/>
      <c r="C72" s="185"/>
      <c r="D72" s="186"/>
      <c r="E72" s="185"/>
      <c r="F72" s="185"/>
      <c r="G72" s="218"/>
      <c r="H72" s="186"/>
    </row>
    <row r="73" spans="1:8" s="206" customFormat="1">
      <c r="A73" s="3"/>
      <c r="B73" s="5" t="s">
        <v>941</v>
      </c>
      <c r="C73" s="196"/>
      <c r="D73" s="205"/>
      <c r="E73" s="196">
        <f>E71-E61</f>
        <v>0</v>
      </c>
      <c r="F73" s="196"/>
      <c r="G73" s="220"/>
      <c r="H73" s="205"/>
    </row>
    <row r="74" spans="1:8">
      <c r="A74" s="207"/>
      <c r="B74" s="208"/>
      <c r="C74" s="209"/>
      <c r="D74" s="210"/>
      <c r="E74" s="209"/>
      <c r="F74" s="209"/>
      <c r="G74" s="221"/>
      <c r="H74" s="212"/>
    </row>
    <row r="75" spans="1:8">
      <c r="A75" s="211"/>
      <c r="B75" s="1"/>
      <c r="C75" s="212"/>
      <c r="D75" s="212"/>
      <c r="E75" s="212"/>
      <c r="F75" s="212"/>
      <c r="G75" s="212"/>
      <c r="H75" s="212"/>
    </row>
    <row r="76" spans="1:8">
      <c r="A76" s="1"/>
      <c r="B76" s="1"/>
      <c r="C76" s="174"/>
      <c r="D76" s="174"/>
      <c r="E76" s="174"/>
      <c r="F76" s="174"/>
      <c r="G76" s="174"/>
      <c r="H76" s="174"/>
    </row>
    <row r="77" spans="1:8">
      <c r="A77" s="1"/>
      <c r="B77" s="5" t="s">
        <v>0</v>
      </c>
      <c r="C77" s="174"/>
      <c r="D77" s="213" t="s">
        <v>909</v>
      </c>
      <c r="E77" s="213" t="s">
        <v>910</v>
      </c>
      <c r="F77" s="213" t="s">
        <v>911</v>
      </c>
      <c r="G77" s="213" t="s">
        <v>1038</v>
      </c>
      <c r="H77" s="213"/>
    </row>
    <row r="78" spans="1:8">
      <c r="A78" s="1"/>
      <c r="B78" s="1"/>
      <c r="C78" s="174"/>
      <c r="D78" s="174"/>
      <c r="E78" s="174"/>
      <c r="F78" s="174"/>
      <c r="H78" s="174"/>
    </row>
    <row r="79" spans="1:8">
      <c r="A79" s="1"/>
      <c r="B79" s="1" t="s">
        <v>912</v>
      </c>
      <c r="C79" s="174"/>
      <c r="D79" s="174">
        <f>C32+C43</f>
        <v>4256803</v>
      </c>
      <c r="E79" s="174">
        <v>11068237</v>
      </c>
      <c r="F79" s="174">
        <v>15736232</v>
      </c>
      <c r="G79" s="201">
        <f>+C35+C46</f>
        <v>17524881</v>
      </c>
      <c r="H79" s="174"/>
    </row>
    <row r="80" spans="1:8">
      <c r="A80" s="1"/>
      <c r="B80" s="1"/>
      <c r="C80" s="174"/>
      <c r="D80" s="174"/>
      <c r="E80" s="174"/>
      <c r="F80" s="174"/>
      <c r="H80" s="174"/>
    </row>
    <row r="81" spans="1:11">
      <c r="A81" s="1"/>
      <c r="B81" s="1" t="s">
        <v>913</v>
      </c>
      <c r="C81" s="174"/>
      <c r="D81" s="175">
        <f>+C32</f>
        <v>138359</v>
      </c>
      <c r="E81" s="175">
        <f>+C33</f>
        <v>482066</v>
      </c>
      <c r="F81" s="175">
        <v>470795</v>
      </c>
      <c r="G81" s="214">
        <f>+C35</f>
        <v>403432</v>
      </c>
      <c r="H81" s="175"/>
      <c r="K81" s="201"/>
    </row>
    <row r="82" spans="1:11">
      <c r="A82" s="1"/>
      <c r="B82" s="1" t="s">
        <v>914</v>
      </c>
      <c r="C82" s="174"/>
      <c r="D82" s="174">
        <f>+D79-D81</f>
        <v>4118444</v>
      </c>
      <c r="E82" s="174">
        <f>+E79-E81</f>
        <v>10586171</v>
      </c>
      <c r="F82" s="174">
        <f>+F79-F81</f>
        <v>15265437</v>
      </c>
      <c r="G82" s="174">
        <f>+G79-G81</f>
        <v>17121449</v>
      </c>
      <c r="H82" s="174"/>
    </row>
    <row r="83" spans="1:11">
      <c r="A83" s="1"/>
      <c r="B83" s="1"/>
      <c r="C83" s="174"/>
      <c r="D83" s="174"/>
      <c r="E83" s="174"/>
      <c r="F83" s="174"/>
      <c r="G83" s="174"/>
      <c r="H83" s="174"/>
    </row>
    <row r="84" spans="1:11">
      <c r="A84" s="1"/>
      <c r="B84" s="1"/>
      <c r="C84" s="174"/>
      <c r="D84" s="174"/>
      <c r="E84" s="174"/>
      <c r="F84" s="174"/>
      <c r="G84" s="174"/>
      <c r="H84" s="174"/>
    </row>
    <row r="85" spans="1:11">
      <c r="A85" s="1"/>
      <c r="B85" s="1"/>
      <c r="C85" s="174"/>
      <c r="D85" s="174"/>
      <c r="E85" s="174"/>
      <c r="F85" s="174"/>
      <c r="G85" s="174"/>
      <c r="H85" s="174"/>
    </row>
    <row r="86" spans="1:11">
      <c r="A86" s="1"/>
      <c r="B86" s="1"/>
      <c r="C86" s="174"/>
      <c r="D86" s="174"/>
      <c r="E86" s="174"/>
      <c r="F86" s="174"/>
      <c r="G86" s="174"/>
      <c r="H86" s="174"/>
    </row>
    <row r="87" spans="1:11">
      <c r="A87" s="1"/>
      <c r="B87" s="1"/>
      <c r="C87" s="174"/>
      <c r="D87" s="174"/>
      <c r="E87" s="174"/>
      <c r="F87" s="174"/>
      <c r="G87" s="174"/>
      <c r="H87" s="174"/>
    </row>
  </sheetData>
  <mergeCells count="2">
    <mergeCell ref="A1:E1"/>
    <mergeCell ref="A2:E2"/>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5"/>
  <sheetViews>
    <sheetView showGridLines="0" topLeftCell="A5" zoomScale="115" zoomScaleNormal="115" workbookViewId="0">
      <selection activeCell="F14" sqref="F14"/>
    </sheetView>
  </sheetViews>
  <sheetFormatPr defaultColWidth="9.21875" defaultRowHeight="14.4"/>
  <cols>
    <col min="1" max="1" width="7.5546875" style="151" customWidth="1"/>
    <col min="2" max="2" width="57.21875" style="151" bestFit="1" customWidth="1"/>
    <col min="3" max="4" width="15.21875" style="151" bestFit="1" customWidth="1"/>
    <col min="5" max="5" width="15" style="151" bestFit="1" customWidth="1"/>
    <col min="6" max="6" width="15.77734375" style="151" customWidth="1"/>
    <col min="7" max="8" width="15" style="151" customWidth="1"/>
    <col min="9" max="9" width="12.77734375" style="151" bestFit="1" customWidth="1"/>
    <col min="10" max="10" width="27.44140625" style="151" customWidth="1"/>
    <col min="11" max="11" width="12.77734375" style="151" bestFit="1" customWidth="1"/>
    <col min="12" max="12" width="9.21875" style="151"/>
    <col min="13" max="13" width="12.21875" style="151" bestFit="1" customWidth="1"/>
    <col min="14" max="16384" width="9.21875" style="151"/>
  </cols>
  <sheetData>
    <row r="1" spans="1:12">
      <c r="A1" s="1380" t="s">
        <v>882</v>
      </c>
      <c r="B1" s="1380"/>
      <c r="C1" s="1380"/>
      <c r="D1" s="1380"/>
      <c r="E1" s="1380"/>
      <c r="F1" s="180"/>
      <c r="G1" s="180"/>
      <c r="H1" s="180"/>
      <c r="J1" s="151" t="s">
        <v>1021</v>
      </c>
    </row>
    <row r="2" spans="1:12">
      <c r="A2" s="1380" t="s">
        <v>1341</v>
      </c>
      <c r="B2" s="1380"/>
      <c r="C2" s="1380"/>
      <c r="D2" s="1380"/>
      <c r="E2" s="1380"/>
      <c r="F2" s="180"/>
      <c r="G2" s="180"/>
      <c r="H2" s="180"/>
      <c r="J2" s="215" t="s">
        <v>1023</v>
      </c>
      <c r="K2" s="151">
        <v>22</v>
      </c>
    </row>
    <row r="3" spans="1:12">
      <c r="A3" s="1"/>
      <c r="B3" s="1"/>
      <c r="C3" s="174"/>
      <c r="D3" s="174"/>
      <c r="E3" s="174"/>
      <c r="F3" s="174"/>
      <c r="G3" s="174"/>
      <c r="H3" s="174"/>
      <c r="J3" s="215" t="s">
        <v>1024</v>
      </c>
      <c r="K3" s="151">
        <v>0</v>
      </c>
    </row>
    <row r="4" spans="1:12" ht="43.2">
      <c r="A4" s="181" t="s">
        <v>883</v>
      </c>
      <c r="B4" s="182" t="s">
        <v>0</v>
      </c>
      <c r="C4" s="183" t="s">
        <v>884</v>
      </c>
      <c r="D4" s="184" t="s">
        <v>884</v>
      </c>
      <c r="E4" s="183" t="s">
        <v>1046</v>
      </c>
      <c r="F4" s="216" t="s">
        <v>1345</v>
      </c>
      <c r="G4" s="216" t="s">
        <v>1026</v>
      </c>
      <c r="H4" s="205"/>
      <c r="J4" s="217" t="s">
        <v>1027</v>
      </c>
      <c r="K4" s="151">
        <f>(K2+K3)*0.04</f>
        <v>0.88</v>
      </c>
    </row>
    <row r="5" spans="1:12">
      <c r="A5" s="2"/>
      <c r="B5" s="1"/>
      <c r="C5" s="185"/>
      <c r="D5" s="186"/>
      <c r="E5" s="185"/>
      <c r="F5" s="185"/>
      <c r="G5" s="218"/>
      <c r="H5" s="186"/>
      <c r="J5" s="215" t="s">
        <v>1028</v>
      </c>
      <c r="K5" s="151">
        <f>+K2+K3+K4</f>
        <v>22.88</v>
      </c>
    </row>
    <row r="6" spans="1:12">
      <c r="A6" s="187"/>
      <c r="B6" s="188" t="s">
        <v>886</v>
      </c>
      <c r="C6" s="189"/>
      <c r="D6" s="190"/>
      <c r="E6" s="189"/>
      <c r="F6" s="189"/>
      <c r="G6" s="219"/>
      <c r="H6" s="190"/>
    </row>
    <row r="7" spans="1:12">
      <c r="A7" s="2"/>
      <c r="B7" s="1"/>
      <c r="C7" s="185"/>
      <c r="D7" s="186"/>
      <c r="E7" s="185"/>
      <c r="F7" s="185"/>
      <c r="G7" s="218"/>
      <c r="H7" s="186"/>
    </row>
    <row r="8" spans="1:12">
      <c r="A8" s="191">
        <v>1</v>
      </c>
      <c r="B8" s="192" t="s">
        <v>887</v>
      </c>
      <c r="C8" s="185"/>
      <c r="D8" s="186"/>
      <c r="E8" s="185"/>
      <c r="F8" s="185"/>
      <c r="G8" s="218"/>
      <c r="H8" s="186"/>
      <c r="J8" s="151">
        <f>+L4+K4</f>
        <v>0.88</v>
      </c>
    </row>
    <row r="9" spans="1:12">
      <c r="A9" s="2"/>
      <c r="B9" s="1" t="s">
        <v>1342</v>
      </c>
      <c r="C9" s="185"/>
      <c r="D9" s="186"/>
      <c r="E9" s="185"/>
      <c r="F9" s="185"/>
      <c r="G9" s="218"/>
      <c r="H9" s="186"/>
      <c r="I9" s="201"/>
    </row>
    <row r="10" spans="1:12">
      <c r="A10" s="2"/>
      <c r="B10" s="1" t="s">
        <v>888</v>
      </c>
      <c r="C10" s="185">
        <f>'Dep as per IT'!O49</f>
        <v>16867176</v>
      </c>
      <c r="D10" s="186"/>
      <c r="E10" s="185"/>
      <c r="F10" s="185"/>
      <c r="G10" s="218"/>
      <c r="H10" s="186"/>
      <c r="I10" s="201"/>
      <c r="L10" s="151">
        <v>392034</v>
      </c>
    </row>
    <row r="11" spans="1:12" ht="16.2">
      <c r="A11" s="2"/>
      <c r="B11" s="1"/>
      <c r="C11" s="185"/>
      <c r="D11" s="186"/>
      <c r="E11" s="185"/>
      <c r="F11" s="185"/>
      <c r="G11" s="218"/>
      <c r="H11" s="222" t="s">
        <v>1349</v>
      </c>
    </row>
    <row r="12" spans="1:12">
      <c r="A12" s="2"/>
      <c r="B12" s="5" t="s">
        <v>889</v>
      </c>
      <c r="C12" s="185"/>
      <c r="D12" s="186"/>
      <c r="E12" s="185"/>
      <c r="F12" s="185"/>
      <c r="G12" s="218"/>
      <c r="H12" s="186"/>
    </row>
    <row r="13" spans="1:12">
      <c r="A13" s="2"/>
      <c r="B13" s="1" t="s">
        <v>1342</v>
      </c>
      <c r="C13" s="185"/>
      <c r="D13" s="186"/>
      <c r="E13" s="185"/>
      <c r="F13" s="185"/>
      <c r="G13" s="218"/>
      <c r="H13" s="186"/>
    </row>
    <row r="14" spans="1:12" ht="16.2">
      <c r="A14" s="2"/>
      <c r="B14" s="1" t="s">
        <v>890</v>
      </c>
      <c r="C14" s="193">
        <f>BS!F9+BS!F10</f>
        <v>15634555</v>
      </c>
      <c r="D14" s="26">
        <f>C10-C14</f>
        <v>1232621</v>
      </c>
      <c r="E14" s="185">
        <f>ROUND(D14*J15%,0)</f>
        <v>282270</v>
      </c>
      <c r="F14" s="185">
        <f>'Deferred tax 20-21'!F14</f>
        <v>220856</v>
      </c>
      <c r="G14" s="218">
        <f>+(E14-F14)</f>
        <v>61414</v>
      </c>
      <c r="H14" s="222" t="s">
        <v>1346</v>
      </c>
      <c r="L14" s="151">
        <v>586287</v>
      </c>
    </row>
    <row r="15" spans="1:12">
      <c r="A15" s="2"/>
      <c r="B15" s="1" t="s">
        <v>891</v>
      </c>
      <c r="C15" s="185"/>
      <c r="D15" s="186"/>
      <c r="E15" s="185"/>
      <c r="F15" s="185"/>
      <c r="G15" s="218"/>
      <c r="H15" s="186"/>
      <c r="I15" s="151" t="s">
        <v>1029</v>
      </c>
      <c r="J15" s="194">
        <v>22.9</v>
      </c>
    </row>
    <row r="16" spans="1:12" ht="15" thickBot="1">
      <c r="A16" s="2"/>
      <c r="B16" s="1"/>
      <c r="C16" s="185"/>
      <c r="D16" s="186"/>
      <c r="E16" s="195">
        <f>+E14+E15</f>
        <v>282270</v>
      </c>
      <c r="F16" s="196"/>
      <c r="G16" s="220"/>
      <c r="H16" s="205"/>
    </row>
    <row r="17" spans="1:14" ht="15" thickTop="1">
      <c r="A17" s="2"/>
      <c r="B17" s="1"/>
      <c r="C17" s="185"/>
      <c r="D17" s="186"/>
      <c r="E17" s="196"/>
      <c r="F17" s="196"/>
      <c r="G17" s="220"/>
      <c r="H17" s="205"/>
    </row>
    <row r="18" spans="1:14">
      <c r="A18" s="191">
        <v>2</v>
      </c>
      <c r="B18" s="192" t="s">
        <v>892</v>
      </c>
      <c r="C18" s="185"/>
      <c r="D18" s="186"/>
      <c r="E18" s="185"/>
      <c r="F18" s="185"/>
      <c r="G18" s="218"/>
      <c r="H18" s="186"/>
    </row>
    <row r="19" spans="1:14">
      <c r="A19" s="191"/>
      <c r="B19" s="1" t="s">
        <v>893</v>
      </c>
      <c r="C19" s="185"/>
      <c r="D19" s="186"/>
      <c r="E19" s="185">
        <f>Notes!E23</f>
        <v>8165446</v>
      </c>
      <c r="F19" s="185"/>
      <c r="G19" s="218"/>
      <c r="H19" s="186"/>
    </row>
    <row r="20" spans="1:14">
      <c r="A20" s="191"/>
      <c r="B20" s="197" t="s">
        <v>894</v>
      </c>
      <c r="C20" s="185"/>
      <c r="D20" s="186"/>
      <c r="E20" s="185"/>
      <c r="F20" s="185"/>
      <c r="G20" s="218"/>
      <c r="H20" s="186"/>
    </row>
    <row r="21" spans="1:14">
      <c r="A21" s="191"/>
      <c r="B21" s="198" t="s">
        <v>1102</v>
      </c>
      <c r="C21" s="185">
        <f>926310/5</f>
        <v>185262</v>
      </c>
      <c r="D21" s="186"/>
      <c r="E21" s="185"/>
      <c r="F21" s="185"/>
      <c r="G21" s="218"/>
      <c r="H21" s="186"/>
      <c r="J21" s="151" t="s">
        <v>944</v>
      </c>
      <c r="L21" s="151">
        <v>228983.83199999999</v>
      </c>
    </row>
    <row r="22" spans="1:14" ht="16.2">
      <c r="A22" s="2"/>
      <c r="B22" s="1"/>
      <c r="C22" s="193"/>
      <c r="D22" s="175">
        <f>+SUM(C19:C22)</f>
        <v>185262</v>
      </c>
      <c r="E22" s="185">
        <f>-ROUND(M25,0)</f>
        <v>-68695</v>
      </c>
      <c r="F22" s="185"/>
      <c r="G22" s="218">
        <f>+E22</f>
        <v>-68695</v>
      </c>
      <c r="H22" s="222" t="s">
        <v>1346</v>
      </c>
      <c r="J22" s="151" t="s">
        <v>945</v>
      </c>
      <c r="L22" s="151" t="s">
        <v>951</v>
      </c>
      <c r="M22" s="151" t="s">
        <v>952</v>
      </c>
      <c r="N22" s="151" t="s">
        <v>953</v>
      </c>
    </row>
    <row r="23" spans="1:14">
      <c r="A23" s="2"/>
      <c r="B23" s="192" t="s">
        <v>892</v>
      </c>
      <c r="C23" s="185"/>
      <c r="D23" s="186"/>
      <c r="E23" s="196">
        <f>+E19+E22</f>
        <v>8096751</v>
      </c>
      <c r="F23" s="196"/>
      <c r="G23" s="220"/>
      <c r="H23" s="205"/>
      <c r="J23" s="151" t="s">
        <v>946</v>
      </c>
      <c r="L23" s="151">
        <f>L21/4</f>
        <v>57245.957999999999</v>
      </c>
      <c r="M23" s="151">
        <v>55338</v>
      </c>
      <c r="N23" s="151">
        <f>L23-M23</f>
        <v>1907.9579999999987</v>
      </c>
    </row>
    <row r="24" spans="1:14">
      <c r="A24" s="2"/>
      <c r="B24" s="1"/>
      <c r="C24" s="185"/>
      <c r="D24" s="186"/>
      <c r="E24" s="185"/>
      <c r="F24" s="185"/>
      <c r="G24" s="218"/>
      <c r="H24" s="186"/>
      <c r="J24" s="151" t="s">
        <v>947</v>
      </c>
      <c r="L24" s="151">
        <f>L23</f>
        <v>57245.957999999999</v>
      </c>
      <c r="M24" s="151">
        <v>47705</v>
      </c>
      <c r="N24" s="151">
        <f>L24-M24</f>
        <v>9540.9579999999987</v>
      </c>
    </row>
    <row r="25" spans="1:14">
      <c r="A25" s="2"/>
      <c r="B25" s="1" t="s">
        <v>895</v>
      </c>
      <c r="C25" s="185">
        <v>0</v>
      </c>
      <c r="D25" s="186"/>
      <c r="E25" s="185"/>
      <c r="F25" s="185"/>
      <c r="G25" s="218"/>
      <c r="H25" s="186"/>
      <c r="J25" s="151" t="s">
        <v>948</v>
      </c>
      <c r="L25" s="151">
        <f>L24</f>
        <v>57245.957999999999</v>
      </c>
      <c r="M25" s="199">
        <f>L25+N24+N23</f>
        <v>68694.873999999996</v>
      </c>
      <c r="N25" s="151">
        <f>L25-M25</f>
        <v>-11448.915999999997</v>
      </c>
    </row>
    <row r="26" spans="1:14">
      <c r="A26" s="2"/>
      <c r="B26" s="1" t="s">
        <v>123</v>
      </c>
      <c r="C26" s="185">
        <f>Notes!F337+Notes!F400</f>
        <v>477450</v>
      </c>
      <c r="D26" s="186"/>
      <c r="E26" s="185"/>
      <c r="F26" s="185"/>
      <c r="G26" s="218"/>
      <c r="H26" s="186"/>
      <c r="I26" s="151" t="s">
        <v>1029</v>
      </c>
      <c r="J26" s="151" t="s">
        <v>949</v>
      </c>
      <c r="L26" s="151">
        <f>L25</f>
        <v>57245.957999999999</v>
      </c>
      <c r="M26" s="151">
        <f>L26</f>
        <v>57245.957999999999</v>
      </c>
      <c r="N26" s="151">
        <f>L26-M26</f>
        <v>0</v>
      </c>
    </row>
    <row r="27" spans="1:14">
      <c r="A27" s="2"/>
      <c r="B27" s="1" t="s">
        <v>896</v>
      </c>
      <c r="C27" s="185">
        <f>Notes!F338+Notes!F401</f>
        <v>1312847</v>
      </c>
      <c r="D27" s="186">
        <f>SUM(C25:C27)</f>
        <v>1790297</v>
      </c>
      <c r="E27" s="185">
        <f>ROUND(D27*J15%,0)</f>
        <v>409978</v>
      </c>
      <c r="F27" s="185">
        <f>'Deferred tax 20-21'!E27</f>
        <v>304114</v>
      </c>
      <c r="G27" s="218">
        <f>+E27-F27</f>
        <v>105864</v>
      </c>
      <c r="H27" s="186"/>
      <c r="I27" s="151">
        <f>+'Deferred tax 18-19'!E27</f>
        <v>53538</v>
      </c>
      <c r="L27" s="151">
        <f>SUM(L23:L26)</f>
        <v>228983.83199999999</v>
      </c>
      <c r="M27" s="151">
        <f>SUM(M23:M26)</f>
        <v>228983.83199999999</v>
      </c>
      <c r="N27" s="151">
        <f>SUM(N23:N26)</f>
        <v>0</v>
      </c>
    </row>
    <row r="28" spans="1:14">
      <c r="A28" s="2"/>
      <c r="B28" s="1"/>
      <c r="C28" s="185"/>
      <c r="D28" s="186"/>
      <c r="E28" s="185"/>
      <c r="F28" s="185"/>
      <c r="G28" s="218"/>
      <c r="H28" s="186"/>
    </row>
    <row r="29" spans="1:14">
      <c r="A29" s="191">
        <v>3</v>
      </c>
      <c r="B29" s="192" t="s">
        <v>887</v>
      </c>
      <c r="C29" s="185"/>
      <c r="D29" s="186"/>
      <c r="E29" s="185"/>
      <c r="F29" s="185"/>
      <c r="G29" s="218"/>
      <c r="H29" s="186"/>
    </row>
    <row r="30" spans="1:14">
      <c r="A30" s="191"/>
      <c r="B30" s="192"/>
      <c r="C30" s="185"/>
      <c r="D30" s="186"/>
      <c r="E30" s="185"/>
      <c r="F30" s="185"/>
      <c r="G30" s="218"/>
      <c r="H30" s="186"/>
    </row>
    <row r="31" spans="1:14">
      <c r="A31" s="191"/>
      <c r="B31" s="5" t="s">
        <v>57</v>
      </c>
      <c r="C31" s="185"/>
      <c r="D31" s="186"/>
      <c r="E31" s="185"/>
      <c r="F31" s="185"/>
      <c r="G31" s="218"/>
      <c r="H31" s="186"/>
      <c r="J31" s="151" t="s">
        <v>944</v>
      </c>
      <c r="L31" s="151">
        <v>209104</v>
      </c>
    </row>
    <row r="32" spans="1:14">
      <c r="A32" s="191"/>
      <c r="B32" s="1" t="s">
        <v>897</v>
      </c>
      <c r="C32" s="185">
        <v>138359</v>
      </c>
      <c r="D32" s="186"/>
      <c r="E32" s="185"/>
      <c r="F32" s="185"/>
      <c r="G32" s="218"/>
      <c r="H32" s="186"/>
    </row>
    <row r="33" spans="1:16">
      <c r="A33" s="191"/>
      <c r="B33" s="1" t="s">
        <v>898</v>
      </c>
      <c r="C33" s="185">
        <v>482066</v>
      </c>
      <c r="D33" s="186"/>
      <c r="E33" s="185"/>
      <c r="F33" s="185"/>
      <c r="G33" s="218"/>
      <c r="H33" s="186"/>
    </row>
    <row r="34" spans="1:16">
      <c r="A34" s="191"/>
      <c r="B34" s="1" t="s">
        <v>899</v>
      </c>
      <c r="C34" s="185">
        <v>470795</v>
      </c>
      <c r="D34" s="186"/>
      <c r="E34" s="185"/>
      <c r="F34" s="185"/>
      <c r="G34" s="218"/>
      <c r="H34" s="186"/>
    </row>
    <row r="35" spans="1:16">
      <c r="A35" s="191"/>
      <c r="B35" s="1" t="s">
        <v>1031</v>
      </c>
      <c r="C35" s="193">
        <v>403432</v>
      </c>
      <c r="D35" s="186"/>
      <c r="E35" s="185"/>
      <c r="F35" s="185"/>
      <c r="G35" s="218"/>
      <c r="H35" s="186"/>
      <c r="J35" s="151" t="s">
        <v>1032</v>
      </c>
    </row>
    <row r="36" spans="1:16">
      <c r="A36" s="191"/>
      <c r="B36" s="1" t="s">
        <v>1033</v>
      </c>
      <c r="C36" s="185">
        <f>+'Dep as per IT'!K27</f>
        <v>392034</v>
      </c>
      <c r="D36" s="186"/>
      <c r="E36" s="185"/>
      <c r="F36" s="185"/>
      <c r="G36" s="218"/>
      <c r="H36" s="186"/>
    </row>
    <row r="37" spans="1:16">
      <c r="A37" s="191"/>
      <c r="B37" s="1" t="s">
        <v>1107</v>
      </c>
      <c r="C37" s="185">
        <f>'Dep as per IT'!K38</f>
        <v>1111755</v>
      </c>
      <c r="D37" s="186"/>
      <c r="E37" s="185"/>
      <c r="F37" s="185"/>
      <c r="G37" s="218"/>
      <c r="H37" s="186"/>
    </row>
    <row r="38" spans="1:16">
      <c r="A38" s="191"/>
      <c r="B38" s="1" t="s">
        <v>1348</v>
      </c>
      <c r="C38" s="185">
        <f>'Dep as per IT'!K49</f>
        <v>3247855</v>
      </c>
      <c r="D38" s="186"/>
      <c r="E38" s="185"/>
      <c r="F38" s="185"/>
      <c r="G38" s="218"/>
      <c r="H38" s="186"/>
    </row>
    <row r="39" spans="1:16">
      <c r="A39" s="191"/>
      <c r="B39" s="1"/>
      <c r="C39" s="185"/>
      <c r="D39" s="186"/>
      <c r="E39" s="185"/>
      <c r="F39" s="185"/>
      <c r="G39" s="218"/>
      <c r="H39" s="186"/>
    </row>
    <row r="40" spans="1:16">
      <c r="A40" s="191"/>
      <c r="B40" s="1"/>
      <c r="C40" s="196">
        <f>SUM(C32:C39)</f>
        <v>6246296</v>
      </c>
      <c r="D40" s="186"/>
      <c r="E40" s="185"/>
      <c r="F40" s="185"/>
      <c r="G40" s="218"/>
      <c r="H40" s="186"/>
      <c r="J40" s="151" t="s">
        <v>1034</v>
      </c>
      <c r="K40" s="151">
        <v>0</v>
      </c>
    </row>
    <row r="41" spans="1:16">
      <c r="A41" s="191"/>
      <c r="B41" s="5" t="s">
        <v>900</v>
      </c>
      <c r="C41" s="185"/>
      <c r="D41" s="186"/>
      <c r="E41" s="185"/>
      <c r="F41" s="185"/>
      <c r="G41" s="218"/>
      <c r="H41" s="186"/>
      <c r="J41" s="151" t="s">
        <v>946</v>
      </c>
      <c r="K41" s="151">
        <v>4488703</v>
      </c>
    </row>
    <row r="42" spans="1:16">
      <c r="A42" s="191"/>
      <c r="B42" s="1" t="s">
        <v>901</v>
      </c>
      <c r="C42" s="185">
        <f>4118444</f>
        <v>4118444</v>
      </c>
      <c r="D42" s="186"/>
      <c r="E42" s="185"/>
      <c r="F42" s="185"/>
      <c r="G42" s="218"/>
      <c r="H42" s="186"/>
      <c r="J42" s="151" t="s">
        <v>947</v>
      </c>
      <c r="K42" s="151">
        <v>7881410</v>
      </c>
    </row>
    <row r="43" spans="1:16">
      <c r="A43" s="191"/>
      <c r="B43" s="1" t="s">
        <v>902</v>
      </c>
      <c r="C43" s="185">
        <f>10586171</f>
        <v>10586171</v>
      </c>
      <c r="D43" s="186"/>
      <c r="E43" s="185"/>
      <c r="F43" s="185"/>
      <c r="G43" s="218"/>
      <c r="H43" s="186"/>
      <c r="J43" s="151" t="s">
        <v>948</v>
      </c>
      <c r="K43" s="151">
        <v>-4488703</v>
      </c>
    </row>
    <row r="44" spans="1:16">
      <c r="A44" s="191"/>
      <c r="B44" s="1" t="s">
        <v>903</v>
      </c>
      <c r="C44" s="185">
        <v>15265437</v>
      </c>
      <c r="D44" s="186"/>
      <c r="E44" s="185"/>
      <c r="F44" s="185"/>
      <c r="G44" s="218"/>
      <c r="H44" s="186"/>
      <c r="J44" s="151" t="s">
        <v>949</v>
      </c>
    </row>
    <row r="45" spans="1:16">
      <c r="A45" s="191"/>
      <c r="B45" s="1" t="s">
        <v>1035</v>
      </c>
      <c r="C45" s="185">
        <v>17121449</v>
      </c>
      <c r="D45" s="186"/>
      <c r="E45" s="185"/>
      <c r="F45" s="185"/>
      <c r="G45" s="218"/>
      <c r="H45" s="186"/>
      <c r="K45" s="201">
        <f>SUM(K40:K44)</f>
        <v>7881410</v>
      </c>
      <c r="M45" s="201"/>
      <c r="P45" s="151">
        <v>17121449</v>
      </c>
    </row>
    <row r="46" spans="1:16">
      <c r="A46" s="191"/>
      <c r="B46" s="1" t="s">
        <v>1036</v>
      </c>
      <c r="C46" s="185">
        <v>27614014</v>
      </c>
      <c r="D46" s="186"/>
      <c r="E46" s="185"/>
      <c r="F46" s="185"/>
      <c r="G46" s="218"/>
      <c r="H46" s="186"/>
      <c r="K46" s="201"/>
      <c r="M46" s="201"/>
    </row>
    <row r="47" spans="1:16">
      <c r="A47" s="191"/>
      <c r="B47" s="1" t="s">
        <v>1108</v>
      </c>
      <c r="C47" s="185">
        <v>30606878</v>
      </c>
      <c r="D47" s="186"/>
      <c r="E47" s="185"/>
      <c r="F47" s="185"/>
      <c r="G47" s="218"/>
      <c r="H47" s="186"/>
      <c r="K47" s="201"/>
      <c r="M47" s="201"/>
    </row>
    <row r="48" spans="1:16">
      <c r="A48" s="191"/>
      <c r="B48" s="1" t="s">
        <v>1347</v>
      </c>
      <c r="C48" s="185">
        <v>60117048</v>
      </c>
      <c r="D48" s="186"/>
      <c r="E48" s="185"/>
      <c r="F48" s="185"/>
      <c r="G48" s="218"/>
      <c r="H48" s="186"/>
      <c r="K48" s="201"/>
      <c r="M48" s="201"/>
    </row>
    <row r="49" spans="1:16">
      <c r="A49" s="191"/>
      <c r="B49" s="1"/>
      <c r="C49" s="185"/>
      <c r="D49" s="186"/>
      <c r="E49" s="185"/>
      <c r="F49" s="185"/>
      <c r="G49" s="218"/>
      <c r="H49" s="186"/>
      <c r="K49" s="201"/>
      <c r="M49" s="201"/>
    </row>
    <row r="50" spans="1:16">
      <c r="A50" s="191"/>
      <c r="B50" s="1"/>
      <c r="C50" s="196">
        <f>SUM(C42:C49)</f>
        <v>165429441</v>
      </c>
      <c r="D50" s="186">
        <f>+C40+C50</f>
        <v>171675737</v>
      </c>
      <c r="E50" s="185">
        <f>ROUND(D50*J15%,0)</f>
        <v>39313744</v>
      </c>
      <c r="F50" s="185">
        <f>'Deferred tax 20-21'!E46</f>
        <v>24803181</v>
      </c>
      <c r="G50" s="218">
        <f>+E50-F50</f>
        <v>14510563</v>
      </c>
      <c r="H50" s="186"/>
      <c r="J50" s="151" t="s">
        <v>1037</v>
      </c>
      <c r="K50" s="201">
        <f>E50-K45</f>
        <v>31432334</v>
      </c>
      <c r="P50" s="151">
        <v>403432</v>
      </c>
    </row>
    <row r="51" spans="1:16">
      <c r="A51" s="2"/>
      <c r="B51" s="1"/>
      <c r="C51" s="185"/>
      <c r="D51" s="186"/>
      <c r="E51" s="185"/>
      <c r="F51" s="185"/>
      <c r="G51" s="218"/>
      <c r="H51" s="186"/>
      <c r="P51" s="151">
        <f>+P45+P50</f>
        <v>17524881</v>
      </c>
    </row>
    <row r="52" spans="1:16">
      <c r="A52" s="2"/>
      <c r="B52" s="1"/>
      <c r="C52" s="185"/>
      <c r="D52" s="186"/>
      <c r="E52" s="185"/>
      <c r="F52" s="185"/>
      <c r="G52" s="218"/>
      <c r="H52" s="186"/>
    </row>
    <row r="53" spans="1:16">
      <c r="A53" s="2"/>
      <c r="B53" s="1"/>
      <c r="C53" s="185"/>
      <c r="D53" s="186"/>
      <c r="E53" s="185"/>
      <c r="F53" s="185"/>
      <c r="G53" s="218"/>
      <c r="H53" s="186"/>
    </row>
    <row r="54" spans="1:16">
      <c r="A54" s="2"/>
      <c r="B54" s="1" t="s">
        <v>939</v>
      </c>
      <c r="C54" s="185"/>
      <c r="D54" s="186"/>
      <c r="E54" s="185"/>
      <c r="F54" s="185"/>
      <c r="G54" s="218"/>
      <c r="H54" s="186"/>
      <c r="M54" s="201"/>
    </row>
    <row r="55" spans="1:16">
      <c r="A55" s="2"/>
      <c r="B55" s="1"/>
      <c r="C55" s="185"/>
      <c r="D55" s="186"/>
      <c r="E55" s="185"/>
      <c r="F55" s="185"/>
      <c r="G55" s="218"/>
      <c r="H55" s="186"/>
    </row>
    <row r="56" spans="1:16">
      <c r="A56" s="2"/>
      <c r="B56" s="180" t="s">
        <v>904</v>
      </c>
      <c r="C56" s="203"/>
      <c r="D56" s="204"/>
      <c r="E56" s="183">
        <f>+E16+E23+E27+E50+E54</f>
        <v>48102743</v>
      </c>
      <c r="F56" s="196"/>
      <c r="G56" s="220"/>
      <c r="H56" s="205"/>
      <c r="I56" s="201">
        <f>+K50+E27+E22+E16+I16+I27</f>
        <v>32109425</v>
      </c>
    </row>
    <row r="57" spans="1:16">
      <c r="A57" s="2"/>
      <c r="B57" s="1"/>
      <c r="C57" s="185"/>
      <c r="D57" s="186"/>
      <c r="E57" s="185"/>
      <c r="F57" s="185"/>
      <c r="G57" s="218"/>
      <c r="H57" s="186"/>
    </row>
    <row r="58" spans="1:16">
      <c r="A58" s="2"/>
      <c r="B58" s="1"/>
      <c r="C58" s="185"/>
      <c r="D58" s="186"/>
      <c r="E58" s="185"/>
      <c r="F58" s="185"/>
      <c r="G58" s="218"/>
      <c r="H58" s="186"/>
    </row>
    <row r="59" spans="1:16">
      <c r="A59" s="2"/>
      <c r="B59" s="1" t="s">
        <v>1109</v>
      </c>
      <c r="C59" s="185"/>
      <c r="D59" s="186"/>
      <c r="E59" s="185">
        <f>E19</f>
        <v>8165446</v>
      </c>
      <c r="F59" s="185"/>
      <c r="G59" s="218"/>
      <c r="H59" s="186"/>
    </row>
    <row r="60" spans="1:16">
      <c r="A60" s="2"/>
      <c r="B60" s="1" t="s">
        <v>57</v>
      </c>
      <c r="C60" s="185"/>
      <c r="D60" s="186"/>
      <c r="E60" s="185"/>
      <c r="F60" s="185"/>
      <c r="G60" s="218"/>
      <c r="H60" s="186"/>
    </row>
    <row r="61" spans="1:16">
      <c r="A61" s="2"/>
      <c r="B61" s="5" t="s">
        <v>905</v>
      </c>
      <c r="C61" s="185"/>
      <c r="D61" s="186"/>
      <c r="E61" s="185"/>
      <c r="F61" s="185"/>
      <c r="G61" s="218"/>
      <c r="H61" s="186"/>
    </row>
    <row r="62" spans="1:16">
      <c r="A62" s="2"/>
      <c r="B62" s="1" t="s">
        <v>906</v>
      </c>
      <c r="C62" s="185"/>
      <c r="D62" s="186"/>
      <c r="E62" s="185"/>
      <c r="F62" s="185"/>
      <c r="G62" s="218"/>
      <c r="H62" s="186"/>
    </row>
    <row r="63" spans="1:16">
      <c r="A63" s="2"/>
      <c r="B63" s="1"/>
      <c r="C63" s="185"/>
      <c r="D63" s="186"/>
      <c r="E63" s="185"/>
      <c r="F63" s="185"/>
      <c r="G63" s="218"/>
      <c r="H63" s="186"/>
    </row>
    <row r="64" spans="1:16">
      <c r="A64" s="2"/>
      <c r="B64" s="1" t="s">
        <v>939</v>
      </c>
      <c r="C64" s="185"/>
      <c r="D64" s="186"/>
      <c r="E64" s="185"/>
      <c r="F64" s="185"/>
      <c r="G64" s="218"/>
      <c r="H64" s="186"/>
    </row>
    <row r="65" spans="1:11">
      <c r="A65" s="2"/>
      <c r="B65" s="1"/>
      <c r="C65" s="185"/>
      <c r="D65" s="186"/>
      <c r="E65" s="185"/>
      <c r="F65" s="185"/>
      <c r="G65" s="218"/>
      <c r="H65" s="186"/>
    </row>
    <row r="66" spans="1:11">
      <c r="A66" s="2"/>
      <c r="B66" s="5" t="s">
        <v>907</v>
      </c>
      <c r="C66" s="185"/>
      <c r="D66" s="186"/>
      <c r="E66" s="185"/>
      <c r="F66" s="185"/>
      <c r="G66" s="218"/>
      <c r="H66" s="186"/>
    </row>
    <row r="67" spans="1:11">
      <c r="A67" s="2"/>
      <c r="B67" s="1" t="s">
        <v>908</v>
      </c>
      <c r="C67" s="185"/>
      <c r="D67" s="186"/>
      <c r="E67" s="185">
        <f>E22*0</f>
        <v>0</v>
      </c>
      <c r="F67" s="185"/>
      <c r="G67" s="218"/>
      <c r="H67" s="186"/>
    </row>
    <row r="68" spans="1:11">
      <c r="A68" s="2"/>
      <c r="B68" s="1"/>
      <c r="C68" s="185"/>
      <c r="D68" s="186"/>
      <c r="E68" s="185"/>
      <c r="F68" s="185"/>
      <c r="G68" s="218"/>
      <c r="H68" s="186"/>
    </row>
    <row r="69" spans="1:11" ht="15" thickBot="1">
      <c r="A69" s="2"/>
      <c r="B69" s="5" t="s">
        <v>942</v>
      </c>
      <c r="C69" s="196"/>
      <c r="D69" s="205"/>
      <c r="E69" s="195">
        <f>SUM(E59:E68)</f>
        <v>8165446</v>
      </c>
      <c r="F69" s="196"/>
      <c r="G69" s="220"/>
      <c r="H69" s="205"/>
    </row>
    <row r="70" spans="1:11" ht="15" thickTop="1">
      <c r="A70" s="2"/>
      <c r="B70" s="1"/>
      <c r="C70" s="185"/>
      <c r="D70" s="186"/>
      <c r="E70" s="185"/>
      <c r="F70" s="185"/>
      <c r="G70" s="218"/>
      <c r="H70" s="186"/>
    </row>
    <row r="71" spans="1:11" s="206" customFormat="1">
      <c r="A71" s="3"/>
      <c r="B71" s="5" t="s">
        <v>941</v>
      </c>
      <c r="C71" s="196"/>
      <c r="D71" s="205"/>
      <c r="E71" s="196">
        <f>E69-E59</f>
        <v>0</v>
      </c>
      <c r="F71" s="196"/>
      <c r="G71" s="220"/>
      <c r="H71" s="205"/>
    </row>
    <row r="72" spans="1:11">
      <c r="A72" s="207"/>
      <c r="B72" s="208"/>
      <c r="C72" s="209"/>
      <c r="D72" s="210"/>
      <c r="E72" s="209"/>
      <c r="F72" s="209"/>
      <c r="G72" s="221"/>
      <c r="H72" s="212"/>
    </row>
    <row r="73" spans="1:11">
      <c r="A73" s="211"/>
      <c r="B73" s="1"/>
      <c r="C73" s="212"/>
      <c r="D73" s="212"/>
      <c r="E73" s="212"/>
      <c r="F73" s="212"/>
      <c r="G73" s="212"/>
      <c r="H73" s="212"/>
    </row>
    <row r="74" spans="1:11">
      <c r="A74" s="1"/>
      <c r="B74" s="1"/>
      <c r="C74" s="174"/>
      <c r="D74" s="174"/>
      <c r="E74" s="174"/>
      <c r="F74" s="174"/>
      <c r="G74" s="174"/>
      <c r="H74" s="174"/>
    </row>
    <row r="75" spans="1:11">
      <c r="A75" s="1"/>
      <c r="B75" s="5" t="s">
        <v>0</v>
      </c>
      <c r="C75" s="174"/>
      <c r="D75" s="213" t="s">
        <v>909</v>
      </c>
      <c r="E75" s="213" t="s">
        <v>910</v>
      </c>
      <c r="F75" s="213" t="s">
        <v>911</v>
      </c>
      <c r="G75" s="213" t="s">
        <v>1038</v>
      </c>
      <c r="H75" s="213"/>
    </row>
    <row r="76" spans="1:11">
      <c r="A76" s="1"/>
      <c r="B76" s="1"/>
      <c r="C76" s="174"/>
      <c r="D76" s="174"/>
      <c r="E76" s="174"/>
      <c r="F76" s="174"/>
      <c r="H76" s="174"/>
    </row>
    <row r="77" spans="1:11">
      <c r="A77" s="1"/>
      <c r="B77" s="1" t="s">
        <v>912</v>
      </c>
      <c r="C77" s="174"/>
      <c r="D77" s="174">
        <f>C32+C42</f>
        <v>4256803</v>
      </c>
      <c r="E77" s="174">
        <v>11068237</v>
      </c>
      <c r="F77" s="174">
        <v>15736232</v>
      </c>
      <c r="G77" s="201">
        <f>+C35+C45</f>
        <v>17524881</v>
      </c>
      <c r="H77" s="174"/>
    </row>
    <row r="78" spans="1:11">
      <c r="A78" s="1"/>
      <c r="B78" s="1"/>
      <c r="C78" s="174"/>
      <c r="D78" s="174"/>
      <c r="E78" s="174"/>
      <c r="F78" s="174"/>
      <c r="H78" s="174"/>
    </row>
    <row r="79" spans="1:11">
      <c r="A79" s="1"/>
      <c r="B79" s="1" t="s">
        <v>913</v>
      </c>
      <c r="C79" s="174"/>
      <c r="D79" s="175">
        <f>+C32</f>
        <v>138359</v>
      </c>
      <c r="E79" s="175">
        <f>+C33</f>
        <v>482066</v>
      </c>
      <c r="F79" s="175">
        <v>470795</v>
      </c>
      <c r="G79" s="214">
        <f>+C35</f>
        <v>403432</v>
      </c>
      <c r="H79" s="175"/>
      <c r="K79" s="201"/>
    </row>
    <row r="80" spans="1:11">
      <c r="A80" s="1"/>
      <c r="B80" s="1" t="s">
        <v>914</v>
      </c>
      <c r="C80" s="174"/>
      <c r="D80" s="174">
        <f>+D77-D79</f>
        <v>4118444</v>
      </c>
      <c r="E80" s="174">
        <f>+E77-E79</f>
        <v>10586171</v>
      </c>
      <c r="F80" s="174">
        <f>+F77-F79</f>
        <v>15265437</v>
      </c>
      <c r="G80" s="174">
        <f>+G77-G79</f>
        <v>17121449</v>
      </c>
      <c r="H80" s="174"/>
    </row>
    <row r="81" spans="1:8">
      <c r="A81" s="1"/>
      <c r="B81" s="1"/>
      <c r="C81" s="174"/>
      <c r="D81" s="174"/>
      <c r="E81" s="174"/>
      <c r="F81" s="174"/>
      <c r="G81" s="174"/>
      <c r="H81" s="174"/>
    </row>
    <row r="82" spans="1:8">
      <c r="A82" s="1"/>
      <c r="B82" s="1"/>
      <c r="C82" s="174"/>
      <c r="D82" s="174"/>
      <c r="E82" s="174"/>
      <c r="F82" s="174"/>
      <c r="G82" s="174"/>
      <c r="H82" s="174"/>
    </row>
    <row r="83" spans="1:8">
      <c r="A83" s="1"/>
      <c r="B83" s="1"/>
      <c r="C83" s="174"/>
      <c r="D83" s="174"/>
      <c r="E83" s="174"/>
      <c r="F83" s="174"/>
      <c r="G83" s="174"/>
      <c r="H83" s="174"/>
    </row>
    <row r="84" spans="1:8">
      <c r="A84" s="1"/>
      <c r="B84" s="1"/>
      <c r="C84" s="174"/>
      <c r="D84" s="174"/>
      <c r="E84" s="174"/>
      <c r="F84" s="174"/>
      <c r="G84" s="174"/>
      <c r="H84" s="174"/>
    </row>
    <row r="85" spans="1:8">
      <c r="A85" s="1"/>
      <c r="B85" s="1"/>
      <c r="C85" s="174"/>
      <c r="D85" s="174"/>
      <c r="E85" s="174"/>
      <c r="F85" s="174"/>
      <c r="G85" s="174"/>
      <c r="H85" s="174"/>
    </row>
  </sheetData>
  <mergeCells count="2">
    <mergeCell ref="A1:E1"/>
    <mergeCell ref="A2:E2"/>
  </mergeCells>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1"/>
  <sheetViews>
    <sheetView showGridLines="0" topLeftCell="C5" zoomScale="115" zoomScaleNormal="115" workbookViewId="0">
      <selection activeCell="F14" sqref="F14"/>
    </sheetView>
  </sheetViews>
  <sheetFormatPr defaultColWidth="9.21875" defaultRowHeight="14.4"/>
  <cols>
    <col min="1" max="1" width="7.5546875" style="151" customWidth="1"/>
    <col min="2" max="2" width="57.21875" style="151" bestFit="1" customWidth="1"/>
    <col min="3" max="4" width="15.21875" style="151" bestFit="1" customWidth="1"/>
    <col min="5" max="5" width="15" style="151" bestFit="1" customWidth="1"/>
    <col min="6" max="6" width="15.77734375" style="151" customWidth="1"/>
    <col min="7" max="8" width="15" style="151" customWidth="1"/>
    <col min="9" max="9" width="12.77734375" style="151" bestFit="1" customWidth="1"/>
    <col min="10" max="10" width="27.44140625" style="151" customWidth="1"/>
    <col min="11" max="11" width="12.77734375" style="151" bestFit="1" customWidth="1"/>
    <col min="12" max="12" width="9.21875" style="151"/>
    <col min="13" max="13" width="12.21875" style="151" bestFit="1" customWidth="1"/>
    <col min="14" max="16384" width="9.21875" style="151"/>
  </cols>
  <sheetData>
    <row r="1" spans="1:12">
      <c r="A1" s="1380" t="s">
        <v>882</v>
      </c>
      <c r="B1" s="1380"/>
      <c r="C1" s="1380"/>
      <c r="D1" s="1380"/>
      <c r="E1" s="1380"/>
      <c r="F1" s="180"/>
      <c r="G1" s="180"/>
      <c r="H1" s="180"/>
      <c r="J1" s="151" t="s">
        <v>1021</v>
      </c>
    </row>
    <row r="2" spans="1:12">
      <c r="A2" s="1380" t="s">
        <v>1022</v>
      </c>
      <c r="B2" s="1380"/>
      <c r="C2" s="1380"/>
      <c r="D2" s="1380"/>
      <c r="E2" s="1380"/>
      <c r="F2" s="180"/>
      <c r="G2" s="180"/>
      <c r="H2" s="180"/>
      <c r="J2" s="215" t="s">
        <v>1023</v>
      </c>
      <c r="K2" s="151">
        <v>22</v>
      </c>
    </row>
    <row r="3" spans="1:12">
      <c r="A3" s="1"/>
      <c r="B3" s="1"/>
      <c r="C3" s="174"/>
      <c r="D3" s="174"/>
      <c r="E3" s="174"/>
      <c r="F3" s="174"/>
      <c r="G3" s="174"/>
      <c r="H3" s="174"/>
      <c r="J3" s="215" t="s">
        <v>1024</v>
      </c>
      <c r="K3" s="151">
        <v>0</v>
      </c>
    </row>
    <row r="4" spans="1:12" ht="43.2">
      <c r="A4" s="181" t="s">
        <v>883</v>
      </c>
      <c r="B4" s="182" t="s">
        <v>0</v>
      </c>
      <c r="C4" s="183" t="s">
        <v>884</v>
      </c>
      <c r="D4" s="184" t="s">
        <v>884</v>
      </c>
      <c r="E4" s="183" t="s">
        <v>1046</v>
      </c>
      <c r="F4" s="216" t="s">
        <v>1106</v>
      </c>
      <c r="G4" s="216" t="s">
        <v>1026</v>
      </c>
      <c r="H4" s="205"/>
      <c r="J4" s="217" t="s">
        <v>1027</v>
      </c>
      <c r="K4" s="151">
        <f>(K2+K3)*0.04</f>
        <v>0.88</v>
      </c>
    </row>
    <row r="5" spans="1:12">
      <c r="A5" s="2"/>
      <c r="B5" s="1"/>
      <c r="C5" s="185"/>
      <c r="D5" s="186"/>
      <c r="E5" s="185"/>
      <c r="F5" s="185"/>
      <c r="G5" s="218"/>
      <c r="H5" s="186"/>
      <c r="J5" s="215" t="s">
        <v>1028</v>
      </c>
      <c r="K5" s="151">
        <f>+K2+K3+K4</f>
        <v>22.88</v>
      </c>
    </row>
    <row r="6" spans="1:12">
      <c r="A6" s="187"/>
      <c r="B6" s="188" t="s">
        <v>886</v>
      </c>
      <c r="C6" s="189"/>
      <c r="D6" s="190"/>
      <c r="E6" s="189"/>
      <c r="F6" s="189"/>
      <c r="G6" s="219"/>
      <c r="H6" s="190"/>
    </row>
    <row r="7" spans="1:12">
      <c r="A7" s="2"/>
      <c r="B7" s="1"/>
      <c r="C7" s="185"/>
      <c r="D7" s="186"/>
      <c r="E7" s="185"/>
      <c r="F7" s="185"/>
      <c r="G7" s="218"/>
      <c r="H7" s="186"/>
    </row>
    <row r="8" spans="1:12">
      <c r="A8" s="191">
        <v>1</v>
      </c>
      <c r="B8" s="192" t="s">
        <v>887</v>
      </c>
      <c r="C8" s="185"/>
      <c r="D8" s="186"/>
      <c r="E8" s="185"/>
      <c r="F8" s="185"/>
      <c r="G8" s="218"/>
      <c r="H8" s="186"/>
      <c r="J8" s="151">
        <f>+L4+K4</f>
        <v>0.88</v>
      </c>
    </row>
    <row r="9" spans="1:12">
      <c r="A9" s="2"/>
      <c r="B9" s="1" t="s">
        <v>1105</v>
      </c>
      <c r="C9" s="185"/>
      <c r="D9" s="186"/>
      <c r="E9" s="185"/>
      <c r="F9" s="185"/>
      <c r="G9" s="218"/>
      <c r="H9" s="186"/>
    </row>
    <row r="10" spans="1:12">
      <c r="A10" s="2"/>
      <c r="B10" s="1" t="s">
        <v>888</v>
      </c>
      <c r="C10" s="185">
        <f>'Dep as per IT'!O38</f>
        <v>6963904</v>
      </c>
      <c r="D10" s="186"/>
      <c r="E10" s="185"/>
      <c r="F10" s="185"/>
      <c r="G10" s="218"/>
      <c r="H10" s="186"/>
      <c r="L10" s="151">
        <v>392034</v>
      </c>
    </row>
    <row r="11" spans="1:12">
      <c r="A11" s="2"/>
      <c r="B11" s="1"/>
      <c r="C11" s="185"/>
      <c r="D11" s="186"/>
      <c r="E11" s="185"/>
      <c r="F11" s="185"/>
      <c r="G11" s="218"/>
      <c r="H11" s="186"/>
    </row>
    <row r="12" spans="1:12">
      <c r="A12" s="2"/>
      <c r="B12" s="5" t="s">
        <v>889</v>
      </c>
      <c r="C12" s="185"/>
      <c r="D12" s="186"/>
      <c r="E12" s="185"/>
      <c r="F12" s="185"/>
      <c r="G12" s="218"/>
      <c r="H12" s="186"/>
    </row>
    <row r="13" spans="1:12">
      <c r="A13" s="2"/>
      <c r="B13" s="1" t="s">
        <v>1105</v>
      </c>
      <c r="C13" s="185"/>
      <c r="D13" s="186"/>
      <c r="E13" s="185"/>
      <c r="F13" s="185"/>
      <c r="G13" s="218"/>
      <c r="H13" s="186"/>
    </row>
    <row r="14" spans="1:12" ht="16.2">
      <c r="A14" s="2"/>
      <c r="B14" s="1" t="s">
        <v>890</v>
      </c>
      <c r="C14" s="193">
        <f>BS!G9+BS!G10</f>
        <v>18134972</v>
      </c>
      <c r="D14" s="26">
        <f>C10-C14</f>
        <v>-11171068</v>
      </c>
      <c r="E14" s="185">
        <f>ROUND(D14*J15%,0)</f>
        <v>-2558175</v>
      </c>
      <c r="F14" s="185">
        <f>'Deferred tax 19-20'!E14</f>
        <v>220856</v>
      </c>
      <c r="G14" s="218">
        <f>+(E14-F14)*0</f>
        <v>0</v>
      </c>
      <c r="H14" s="222" t="s">
        <v>1103</v>
      </c>
      <c r="L14" s="151">
        <v>586287</v>
      </c>
    </row>
    <row r="15" spans="1:12">
      <c r="A15" s="2"/>
      <c r="B15" s="1" t="s">
        <v>891</v>
      </c>
      <c r="C15" s="185"/>
      <c r="D15" s="186"/>
      <c r="E15" s="185"/>
      <c r="F15" s="185"/>
      <c r="G15" s="218"/>
      <c r="H15" s="186"/>
      <c r="I15" s="151" t="s">
        <v>1029</v>
      </c>
      <c r="J15" s="194">
        <v>22.9</v>
      </c>
    </row>
    <row r="16" spans="1:12" ht="15" thickBot="1">
      <c r="A16" s="2"/>
      <c r="B16" s="1"/>
      <c r="C16" s="185"/>
      <c r="D16" s="186"/>
      <c r="E16" s="195">
        <f>+E14+E15</f>
        <v>-2558175</v>
      </c>
      <c r="F16" s="196"/>
      <c r="G16" s="220"/>
      <c r="H16" s="205"/>
      <c r="I16" s="151">
        <f>+'Deferred tax 18-19'!E16</f>
        <v>198322</v>
      </c>
    </row>
    <row r="17" spans="1:14" ht="15" thickTop="1">
      <c r="A17" s="2"/>
      <c r="B17" s="1"/>
      <c r="C17" s="185"/>
      <c r="D17" s="186"/>
      <c r="E17" s="196"/>
      <c r="F17" s="196"/>
      <c r="G17" s="220"/>
      <c r="H17" s="205"/>
    </row>
    <row r="18" spans="1:14">
      <c r="A18" s="191">
        <v>2</v>
      </c>
      <c r="B18" s="192" t="s">
        <v>892</v>
      </c>
      <c r="C18" s="185"/>
      <c r="D18" s="186"/>
      <c r="E18" s="185"/>
      <c r="F18" s="185"/>
      <c r="G18" s="218"/>
      <c r="H18" s="186"/>
    </row>
    <row r="19" spans="1:14">
      <c r="A19" s="191"/>
      <c r="B19" s="1" t="s">
        <v>893</v>
      </c>
      <c r="C19" s="185"/>
      <c r="D19" s="186"/>
      <c r="E19" s="185">
        <f>Notes!E23</f>
        <v>8165446</v>
      </c>
      <c r="F19" s="185"/>
      <c r="G19" s="218"/>
      <c r="H19" s="186"/>
    </row>
    <row r="20" spans="1:14">
      <c r="A20" s="191"/>
      <c r="B20" s="197" t="s">
        <v>894</v>
      </c>
      <c r="C20" s="185"/>
      <c r="D20" s="186"/>
      <c r="E20" s="185"/>
      <c r="F20" s="185"/>
      <c r="G20" s="218"/>
      <c r="H20" s="186"/>
    </row>
    <row r="21" spans="1:14">
      <c r="A21" s="191"/>
      <c r="B21" s="198" t="s">
        <v>1102</v>
      </c>
      <c r="C21" s="185">
        <f>926310/5</f>
        <v>185262</v>
      </c>
      <c r="D21" s="186"/>
      <c r="E21" s="185"/>
      <c r="F21" s="185"/>
      <c r="G21" s="218"/>
      <c r="H21" s="186"/>
      <c r="J21" s="151" t="s">
        <v>944</v>
      </c>
      <c r="L21" s="151">
        <v>228983.83199999999</v>
      </c>
    </row>
    <row r="22" spans="1:14" ht="16.2">
      <c r="A22" s="2"/>
      <c r="B22" s="1"/>
      <c r="C22" s="193"/>
      <c r="D22" s="175">
        <f>+SUM(C19:C22)</f>
        <v>185262</v>
      </c>
      <c r="E22" s="185">
        <f>-ROUND(M25,0)</f>
        <v>-68695</v>
      </c>
      <c r="F22" s="185"/>
      <c r="G22" s="218">
        <f>+E22*0</f>
        <v>0</v>
      </c>
      <c r="H22" s="222" t="s">
        <v>1103</v>
      </c>
      <c r="J22" s="151" t="s">
        <v>945</v>
      </c>
      <c r="L22" s="151" t="s">
        <v>951</v>
      </c>
      <c r="M22" s="151" t="s">
        <v>952</v>
      </c>
      <c r="N22" s="151" t="s">
        <v>953</v>
      </c>
    </row>
    <row r="23" spans="1:14">
      <c r="A23" s="2"/>
      <c r="B23" s="192" t="s">
        <v>892</v>
      </c>
      <c r="C23" s="185"/>
      <c r="D23" s="186"/>
      <c r="E23" s="196">
        <f>+E19+E22</f>
        <v>8096751</v>
      </c>
      <c r="F23" s="196"/>
      <c r="G23" s="220"/>
      <c r="H23" s="205"/>
      <c r="J23" s="151" t="s">
        <v>946</v>
      </c>
      <c r="L23" s="151">
        <f>L21/4</f>
        <v>57245.957999999999</v>
      </c>
      <c r="M23" s="151">
        <v>55338</v>
      </c>
      <c r="N23" s="151">
        <f>L23-M23</f>
        <v>1907.9579999999987</v>
      </c>
    </row>
    <row r="24" spans="1:14">
      <c r="A24" s="2"/>
      <c r="B24" s="1"/>
      <c r="C24" s="185"/>
      <c r="D24" s="186"/>
      <c r="E24" s="185"/>
      <c r="F24" s="185"/>
      <c r="G24" s="218"/>
      <c r="H24" s="186"/>
      <c r="J24" s="151" t="s">
        <v>947</v>
      </c>
      <c r="L24" s="151">
        <f>L23</f>
        <v>57245.957999999999</v>
      </c>
      <c r="M24" s="151">
        <v>47705</v>
      </c>
      <c r="N24" s="151">
        <f>L24-M24</f>
        <v>9540.9579999999987</v>
      </c>
    </row>
    <row r="25" spans="1:14">
      <c r="A25" s="2"/>
      <c r="B25" s="1" t="s">
        <v>895</v>
      </c>
      <c r="C25" s="185">
        <v>0</v>
      </c>
      <c r="D25" s="186"/>
      <c r="E25" s="185"/>
      <c r="F25" s="185"/>
      <c r="G25" s="218"/>
      <c r="H25" s="186"/>
      <c r="J25" s="151" t="s">
        <v>948</v>
      </c>
      <c r="L25" s="151">
        <f>L24</f>
        <v>57245.957999999999</v>
      </c>
      <c r="M25" s="199">
        <f>L25+N24+N23</f>
        <v>68694.873999999996</v>
      </c>
      <c r="N25" s="151">
        <f>L25-M25</f>
        <v>-11448.915999999997</v>
      </c>
    </row>
    <row r="26" spans="1:14">
      <c r="A26" s="2"/>
      <c r="B26" s="1" t="s">
        <v>123</v>
      </c>
      <c r="C26" s="185">
        <v>403919</v>
      </c>
      <c r="D26" s="186"/>
      <c r="E26" s="185"/>
      <c r="F26" s="185"/>
      <c r="G26" s="218"/>
      <c r="H26" s="186"/>
      <c r="I26" s="151" t="s">
        <v>1029</v>
      </c>
      <c r="J26" s="151" t="s">
        <v>949</v>
      </c>
      <c r="L26" s="151">
        <f>L25</f>
        <v>57245.957999999999</v>
      </c>
      <c r="M26" s="151">
        <f>L26</f>
        <v>57245.957999999999</v>
      </c>
      <c r="N26" s="151">
        <f>L26-M26</f>
        <v>0</v>
      </c>
    </row>
    <row r="27" spans="1:14">
      <c r="A27" s="2"/>
      <c r="B27" s="1" t="s">
        <v>896</v>
      </c>
      <c r="C27" s="185">
        <v>924090</v>
      </c>
      <c r="D27" s="186">
        <f>SUM(C25:C27)</f>
        <v>1328009</v>
      </c>
      <c r="E27" s="185">
        <f>ROUND(D27*J15%,0)</f>
        <v>304114</v>
      </c>
      <c r="F27" s="185">
        <f>'Deferred tax 19-20'!E27</f>
        <v>250872</v>
      </c>
      <c r="G27" s="218">
        <f>+E27-F27</f>
        <v>53242</v>
      </c>
      <c r="H27" s="186"/>
      <c r="I27" s="151">
        <f>+'Deferred tax 18-19'!E27</f>
        <v>53538</v>
      </c>
      <c r="L27" s="151">
        <f>SUM(L23:L26)</f>
        <v>228983.83199999999</v>
      </c>
      <c r="M27" s="151">
        <f>SUM(M23:M26)</f>
        <v>228983.83199999999</v>
      </c>
      <c r="N27" s="151">
        <f>SUM(N23:N26)</f>
        <v>0</v>
      </c>
    </row>
    <row r="28" spans="1:14">
      <c r="A28" s="2"/>
      <c r="B28" s="1"/>
      <c r="C28" s="185"/>
      <c r="D28" s="186"/>
      <c r="E28" s="185"/>
      <c r="F28" s="185"/>
      <c r="G28" s="218"/>
      <c r="H28" s="186"/>
    </row>
    <row r="29" spans="1:14">
      <c r="A29" s="191">
        <v>3</v>
      </c>
      <c r="B29" s="192" t="s">
        <v>887</v>
      </c>
      <c r="C29" s="185"/>
      <c r="D29" s="186"/>
      <c r="E29" s="185"/>
      <c r="F29" s="185"/>
      <c r="G29" s="218"/>
      <c r="H29" s="186"/>
    </row>
    <row r="30" spans="1:14">
      <c r="A30" s="191"/>
      <c r="B30" s="192"/>
      <c r="C30" s="185"/>
      <c r="D30" s="186"/>
      <c r="E30" s="185"/>
      <c r="F30" s="185"/>
      <c r="G30" s="218"/>
      <c r="H30" s="186"/>
    </row>
    <row r="31" spans="1:14">
      <c r="A31" s="191"/>
      <c r="B31" s="5" t="s">
        <v>57</v>
      </c>
      <c r="C31" s="185"/>
      <c r="D31" s="186"/>
      <c r="E31" s="185"/>
      <c r="F31" s="185"/>
      <c r="G31" s="218"/>
      <c r="H31" s="186"/>
      <c r="J31" s="151" t="s">
        <v>944</v>
      </c>
      <c r="L31" s="151">
        <v>209104</v>
      </c>
    </row>
    <row r="32" spans="1:14">
      <c r="A32" s="191"/>
      <c r="B32" s="1" t="s">
        <v>897</v>
      </c>
      <c r="C32" s="185">
        <v>138359</v>
      </c>
      <c r="D32" s="186"/>
      <c r="E32" s="185"/>
      <c r="F32" s="185"/>
      <c r="G32" s="218"/>
      <c r="H32" s="186"/>
    </row>
    <row r="33" spans="1:16">
      <c r="A33" s="191"/>
      <c r="B33" s="1" t="s">
        <v>898</v>
      </c>
      <c r="C33" s="185">
        <v>482066</v>
      </c>
      <c r="D33" s="186"/>
      <c r="E33" s="185"/>
      <c r="F33" s="185"/>
      <c r="G33" s="218"/>
      <c r="H33" s="186"/>
    </row>
    <row r="34" spans="1:16">
      <c r="A34" s="191"/>
      <c r="B34" s="1" t="s">
        <v>899</v>
      </c>
      <c r="C34" s="185">
        <v>470795</v>
      </c>
      <c r="D34" s="186"/>
      <c r="E34" s="185"/>
      <c r="F34" s="185"/>
      <c r="G34" s="218"/>
      <c r="H34" s="186"/>
    </row>
    <row r="35" spans="1:16">
      <c r="A35" s="191"/>
      <c r="B35" s="1" t="s">
        <v>1031</v>
      </c>
      <c r="C35" s="193">
        <v>403432</v>
      </c>
      <c r="D35" s="186"/>
      <c r="E35" s="185"/>
      <c r="F35" s="185"/>
      <c r="G35" s="218"/>
      <c r="H35" s="186"/>
      <c r="J35" s="151" t="s">
        <v>1032</v>
      </c>
    </row>
    <row r="36" spans="1:16">
      <c r="A36" s="191"/>
      <c r="B36" s="1" t="s">
        <v>1033</v>
      </c>
      <c r="C36" s="185">
        <f>+'Dep as per IT'!K27</f>
        <v>392034</v>
      </c>
      <c r="D36" s="186"/>
      <c r="E36" s="185"/>
      <c r="F36" s="185"/>
      <c r="G36" s="218"/>
      <c r="H36" s="186"/>
    </row>
    <row r="37" spans="1:16">
      <c r="A37" s="191"/>
      <c r="B37" s="1" t="s">
        <v>1107</v>
      </c>
      <c r="C37" s="185">
        <f>'Dep as per IT'!K38</f>
        <v>1111755</v>
      </c>
      <c r="D37" s="186"/>
      <c r="E37" s="185"/>
      <c r="F37" s="185"/>
      <c r="G37" s="218"/>
      <c r="H37" s="186"/>
    </row>
    <row r="38" spans="1:16">
      <c r="A38" s="191"/>
      <c r="B38" s="1"/>
      <c r="C38" s="196">
        <f>SUM(C32:C37)</f>
        <v>2998441</v>
      </c>
      <c r="D38" s="186"/>
      <c r="E38" s="185"/>
      <c r="F38" s="185"/>
      <c r="G38" s="218"/>
      <c r="H38" s="186"/>
      <c r="J38" s="151" t="s">
        <v>1034</v>
      </c>
      <c r="K38" s="151">
        <v>0</v>
      </c>
    </row>
    <row r="39" spans="1:16">
      <c r="A39" s="191"/>
      <c r="B39" s="5" t="s">
        <v>900</v>
      </c>
      <c r="C39" s="185"/>
      <c r="D39" s="186"/>
      <c r="E39" s="185"/>
      <c r="F39" s="185"/>
      <c r="G39" s="218"/>
      <c r="H39" s="186"/>
      <c r="J39" s="151" t="s">
        <v>946</v>
      </c>
      <c r="K39" s="151">
        <v>4488703</v>
      </c>
    </row>
    <row r="40" spans="1:16">
      <c r="A40" s="191"/>
      <c r="B40" s="1" t="s">
        <v>901</v>
      </c>
      <c r="C40" s="185">
        <f>4118444</f>
        <v>4118444</v>
      </c>
      <c r="D40" s="186"/>
      <c r="E40" s="185"/>
      <c r="F40" s="185"/>
      <c r="G40" s="218"/>
      <c r="H40" s="186"/>
      <c r="J40" s="151" t="s">
        <v>947</v>
      </c>
      <c r="K40" s="151">
        <v>7881410</v>
      </c>
    </row>
    <row r="41" spans="1:16">
      <c r="A41" s="191"/>
      <c r="B41" s="1" t="s">
        <v>902</v>
      </c>
      <c r="C41" s="185">
        <f>10586171</f>
        <v>10586171</v>
      </c>
      <c r="D41" s="186"/>
      <c r="E41" s="185"/>
      <c r="F41" s="185"/>
      <c r="G41" s="218"/>
      <c r="H41" s="186"/>
      <c r="J41" s="151" t="s">
        <v>948</v>
      </c>
      <c r="K41" s="151">
        <v>-4488703</v>
      </c>
    </row>
    <row r="42" spans="1:16">
      <c r="A42" s="191"/>
      <c r="B42" s="1" t="s">
        <v>903</v>
      </c>
      <c r="C42" s="185">
        <v>15265437</v>
      </c>
      <c r="D42" s="186"/>
      <c r="E42" s="185"/>
      <c r="F42" s="185"/>
      <c r="G42" s="218"/>
      <c r="H42" s="186"/>
      <c r="J42" s="151" t="s">
        <v>949</v>
      </c>
    </row>
    <row r="43" spans="1:16">
      <c r="A43" s="191"/>
      <c r="B43" s="1" t="s">
        <v>1035</v>
      </c>
      <c r="C43" s="185">
        <v>17121449</v>
      </c>
      <c r="D43" s="186"/>
      <c r="E43" s="185"/>
      <c r="F43" s="185"/>
      <c r="G43" s="218"/>
      <c r="H43" s="186"/>
      <c r="K43" s="201">
        <f>SUM(K38:K42)</f>
        <v>7881410</v>
      </c>
      <c r="M43" s="201"/>
      <c r="P43" s="151">
        <v>17121449</v>
      </c>
    </row>
    <row r="44" spans="1:16">
      <c r="A44" s="191"/>
      <c r="B44" s="1" t="s">
        <v>1036</v>
      </c>
      <c r="C44" s="185">
        <v>27614014</v>
      </c>
      <c r="D44" s="186"/>
      <c r="E44" s="185"/>
      <c r="F44" s="185"/>
      <c r="G44" s="218"/>
      <c r="H44" s="186"/>
      <c r="K44" s="201"/>
      <c r="M44" s="201"/>
    </row>
    <row r="45" spans="1:16">
      <c r="A45" s="191"/>
      <c r="B45" s="1" t="s">
        <v>1108</v>
      </c>
      <c r="C45" s="185">
        <v>30606878</v>
      </c>
      <c r="D45" s="186"/>
      <c r="E45" s="185"/>
      <c r="F45" s="185"/>
      <c r="G45" s="218"/>
      <c r="H45" s="186"/>
      <c r="K45" s="201"/>
      <c r="M45" s="201"/>
    </row>
    <row r="46" spans="1:16">
      <c r="A46" s="191"/>
      <c r="B46" s="1"/>
      <c r="C46" s="196">
        <f>SUM(C40:C45)</f>
        <v>105312393</v>
      </c>
      <c r="D46" s="186">
        <f>+C38+C46</f>
        <v>108310834</v>
      </c>
      <c r="E46" s="185">
        <f>ROUND(D46*J15%,0)</f>
        <v>24803181</v>
      </c>
      <c r="F46" s="185">
        <f>'Deferred tax 19-20'!E44</f>
        <v>17539614</v>
      </c>
      <c r="G46" s="218">
        <f>+E46-F46</f>
        <v>7263567</v>
      </c>
      <c r="H46" s="186"/>
      <c r="J46" s="151" t="s">
        <v>1037</v>
      </c>
      <c r="K46" s="201">
        <f>E46-K43</f>
        <v>16921771</v>
      </c>
      <c r="P46" s="151">
        <v>403432</v>
      </c>
    </row>
    <row r="47" spans="1:16">
      <c r="A47" s="2"/>
      <c r="B47" s="1"/>
      <c r="C47" s="185"/>
      <c r="D47" s="186"/>
      <c r="E47" s="185"/>
      <c r="F47" s="185"/>
      <c r="G47" s="218"/>
      <c r="H47" s="186"/>
      <c r="P47" s="151">
        <f>+P43+P46</f>
        <v>17524881</v>
      </c>
    </row>
    <row r="48" spans="1:16">
      <c r="A48" s="2"/>
      <c r="B48" s="1"/>
      <c r="C48" s="185"/>
      <c r="D48" s="186"/>
      <c r="E48" s="185"/>
      <c r="F48" s="185"/>
      <c r="G48" s="218"/>
      <c r="H48" s="186"/>
    </row>
    <row r="49" spans="1:13">
      <c r="A49" s="2"/>
      <c r="B49" s="1"/>
      <c r="C49" s="185"/>
      <c r="D49" s="186"/>
      <c r="E49" s="185"/>
      <c r="F49" s="185"/>
      <c r="G49" s="218"/>
      <c r="H49" s="186"/>
    </row>
    <row r="50" spans="1:13">
      <c r="A50" s="2"/>
      <c r="B50" s="1" t="s">
        <v>939</v>
      </c>
      <c r="C50" s="185"/>
      <c r="D50" s="186"/>
      <c r="E50" s="185"/>
      <c r="F50" s="185"/>
      <c r="G50" s="218"/>
      <c r="H50" s="186"/>
      <c r="M50" s="201"/>
    </row>
    <row r="51" spans="1:13">
      <c r="A51" s="2"/>
      <c r="B51" s="1"/>
      <c r="C51" s="185"/>
      <c r="D51" s="186"/>
      <c r="E51" s="185"/>
      <c r="F51" s="185"/>
      <c r="G51" s="218"/>
      <c r="H51" s="186"/>
    </row>
    <row r="52" spans="1:13">
      <c r="A52" s="2"/>
      <c r="B52" s="180" t="s">
        <v>904</v>
      </c>
      <c r="C52" s="203"/>
      <c r="D52" s="204"/>
      <c r="E52" s="183">
        <f>+E16+E23+E27+E46+E50</f>
        <v>30645871</v>
      </c>
      <c r="F52" s="196"/>
      <c r="G52" s="220"/>
      <c r="H52" s="205"/>
      <c r="I52" s="201">
        <f>+K46+E27+E22+E16+I16+I27</f>
        <v>14850875</v>
      </c>
    </row>
    <row r="53" spans="1:13">
      <c r="A53" s="2"/>
      <c r="B53" s="1"/>
      <c r="C53" s="185"/>
      <c r="D53" s="186"/>
      <c r="E53" s="185"/>
      <c r="F53" s="185"/>
      <c r="G53" s="218"/>
      <c r="H53" s="186"/>
    </row>
    <row r="54" spans="1:13">
      <c r="A54" s="2"/>
      <c r="B54" s="1"/>
      <c r="C54" s="185"/>
      <c r="D54" s="186"/>
      <c r="E54" s="185"/>
      <c r="F54" s="185"/>
      <c r="G54" s="218"/>
      <c r="H54" s="186"/>
    </row>
    <row r="55" spans="1:13">
      <c r="A55" s="2"/>
      <c r="B55" s="1" t="s">
        <v>1109</v>
      </c>
      <c r="C55" s="185"/>
      <c r="D55" s="186"/>
      <c r="E55" s="185">
        <f>E19</f>
        <v>8165446</v>
      </c>
      <c r="F55" s="185"/>
      <c r="G55" s="218"/>
      <c r="H55" s="186"/>
    </row>
    <row r="56" spans="1:13">
      <c r="A56" s="2"/>
      <c r="B56" s="1" t="s">
        <v>57</v>
      </c>
      <c r="C56" s="185"/>
      <c r="D56" s="186"/>
      <c r="E56" s="185"/>
      <c r="F56" s="185"/>
      <c r="G56" s="218"/>
      <c r="H56" s="186"/>
    </row>
    <row r="57" spans="1:13">
      <c r="A57" s="2"/>
      <c r="B57" s="5" t="s">
        <v>905</v>
      </c>
      <c r="C57" s="185"/>
      <c r="D57" s="186"/>
      <c r="E57" s="185"/>
      <c r="F57" s="185"/>
      <c r="G57" s="218"/>
      <c r="H57" s="186"/>
    </row>
    <row r="58" spans="1:13">
      <c r="A58" s="2"/>
      <c r="B58" s="1" t="s">
        <v>906</v>
      </c>
      <c r="C58" s="185"/>
      <c r="D58" s="186"/>
      <c r="E58" s="185"/>
      <c r="F58" s="185"/>
      <c r="G58" s="218"/>
      <c r="H58" s="186"/>
    </row>
    <row r="59" spans="1:13">
      <c r="A59" s="2"/>
      <c r="B59" s="1"/>
      <c r="C59" s="185"/>
      <c r="D59" s="186"/>
      <c r="E59" s="185"/>
      <c r="F59" s="185"/>
      <c r="G59" s="218"/>
      <c r="H59" s="186"/>
    </row>
    <row r="60" spans="1:13">
      <c r="A60" s="2"/>
      <c r="B60" s="1" t="s">
        <v>939</v>
      </c>
      <c r="C60" s="185"/>
      <c r="D60" s="186"/>
      <c r="E60" s="185"/>
      <c r="F60" s="185"/>
      <c r="G60" s="218"/>
      <c r="H60" s="186"/>
    </row>
    <row r="61" spans="1:13">
      <c r="A61" s="2"/>
      <c r="B61" s="1"/>
      <c r="C61" s="185"/>
      <c r="D61" s="186"/>
      <c r="E61" s="185"/>
      <c r="F61" s="185"/>
      <c r="G61" s="218"/>
      <c r="H61" s="186"/>
    </row>
    <row r="62" spans="1:13">
      <c r="A62" s="2"/>
      <c r="B62" s="5" t="s">
        <v>907</v>
      </c>
      <c r="C62" s="185"/>
      <c r="D62" s="186"/>
      <c r="E62" s="185"/>
      <c r="F62" s="185"/>
      <c r="G62" s="218"/>
      <c r="H62" s="186"/>
    </row>
    <row r="63" spans="1:13">
      <c r="A63" s="2"/>
      <c r="B63" s="1" t="s">
        <v>908</v>
      </c>
      <c r="C63" s="185"/>
      <c r="D63" s="186"/>
      <c r="E63" s="185">
        <f>E22*0</f>
        <v>0</v>
      </c>
      <c r="F63" s="185"/>
      <c r="G63" s="218"/>
      <c r="H63" s="186"/>
    </row>
    <row r="64" spans="1:13">
      <c r="A64" s="2"/>
      <c r="B64" s="1"/>
      <c r="C64" s="185"/>
      <c r="D64" s="186"/>
      <c r="E64" s="185"/>
      <c r="F64" s="185"/>
      <c r="G64" s="218"/>
      <c r="H64" s="186"/>
    </row>
    <row r="65" spans="1:11" ht="15" thickBot="1">
      <c r="A65" s="2"/>
      <c r="B65" s="5" t="s">
        <v>942</v>
      </c>
      <c r="C65" s="196"/>
      <c r="D65" s="205"/>
      <c r="E65" s="195">
        <f>SUM(E55:E64)</f>
        <v>8165446</v>
      </c>
      <c r="F65" s="196"/>
      <c r="G65" s="220"/>
      <c r="H65" s="205"/>
    </row>
    <row r="66" spans="1:11" ht="15" thickTop="1">
      <c r="A66" s="2"/>
      <c r="B66" s="1"/>
      <c r="C66" s="185"/>
      <c r="D66" s="186"/>
      <c r="E66" s="185"/>
      <c r="F66" s="185"/>
      <c r="G66" s="218"/>
      <c r="H66" s="186"/>
    </row>
    <row r="67" spans="1:11" s="206" customFormat="1">
      <c r="A67" s="3"/>
      <c r="B67" s="5" t="s">
        <v>941</v>
      </c>
      <c r="C67" s="196"/>
      <c r="D67" s="205"/>
      <c r="E67" s="196">
        <f>E65-E55</f>
        <v>0</v>
      </c>
      <c r="F67" s="196"/>
      <c r="G67" s="220"/>
      <c r="H67" s="205"/>
    </row>
    <row r="68" spans="1:11">
      <c r="A68" s="207"/>
      <c r="B68" s="208"/>
      <c r="C68" s="209"/>
      <c r="D68" s="210"/>
      <c r="E68" s="209"/>
      <c r="F68" s="209"/>
      <c r="G68" s="221"/>
      <c r="H68" s="212"/>
    </row>
    <row r="69" spans="1:11">
      <c r="A69" s="211"/>
      <c r="B69" s="1"/>
      <c r="C69" s="212"/>
      <c r="D69" s="212"/>
      <c r="E69" s="212"/>
      <c r="F69" s="212"/>
      <c r="G69" s="212"/>
      <c r="H69" s="212"/>
    </row>
    <row r="70" spans="1:11">
      <c r="A70" s="1"/>
      <c r="B70" s="1"/>
      <c r="C70" s="174"/>
      <c r="D70" s="174"/>
      <c r="E70" s="174"/>
      <c r="F70" s="174"/>
      <c r="G70" s="174"/>
      <c r="H70" s="174"/>
    </row>
    <row r="71" spans="1:11">
      <c r="A71" s="1"/>
      <c r="B71" s="5" t="s">
        <v>0</v>
      </c>
      <c r="C71" s="174"/>
      <c r="D71" s="213" t="s">
        <v>909</v>
      </c>
      <c r="E71" s="213" t="s">
        <v>910</v>
      </c>
      <c r="F71" s="213" t="s">
        <v>911</v>
      </c>
      <c r="G71" s="213" t="s">
        <v>1038</v>
      </c>
      <c r="H71" s="213"/>
    </row>
    <row r="72" spans="1:11">
      <c r="A72" s="1"/>
      <c r="B72" s="1"/>
      <c r="C72" s="174"/>
      <c r="D72" s="174"/>
      <c r="E72" s="174"/>
      <c r="F72" s="174"/>
      <c r="H72" s="174"/>
    </row>
    <row r="73" spans="1:11">
      <c r="A73" s="1"/>
      <c r="B73" s="1" t="s">
        <v>912</v>
      </c>
      <c r="C73" s="174"/>
      <c r="D73" s="174">
        <f>C32+C40</f>
        <v>4256803</v>
      </c>
      <c r="E73" s="174">
        <v>11068237</v>
      </c>
      <c r="F73" s="174">
        <v>15736232</v>
      </c>
      <c r="G73" s="201">
        <f>+C35+C43</f>
        <v>17524881</v>
      </c>
      <c r="H73" s="174"/>
    </row>
    <row r="74" spans="1:11">
      <c r="A74" s="1"/>
      <c r="B74" s="1"/>
      <c r="C74" s="174"/>
      <c r="D74" s="174"/>
      <c r="E74" s="174"/>
      <c r="F74" s="174"/>
      <c r="H74" s="174"/>
    </row>
    <row r="75" spans="1:11">
      <c r="A75" s="1"/>
      <c r="B75" s="1" t="s">
        <v>913</v>
      </c>
      <c r="C75" s="174"/>
      <c r="D75" s="175">
        <f>+C32</f>
        <v>138359</v>
      </c>
      <c r="E75" s="175">
        <f>+C33</f>
        <v>482066</v>
      </c>
      <c r="F75" s="175">
        <v>470795</v>
      </c>
      <c r="G75" s="214">
        <f>+C35</f>
        <v>403432</v>
      </c>
      <c r="H75" s="175"/>
      <c r="K75" s="201"/>
    </row>
    <row r="76" spans="1:11">
      <c r="A76" s="1"/>
      <c r="B76" s="1" t="s">
        <v>914</v>
      </c>
      <c r="C76" s="174"/>
      <c r="D76" s="174">
        <f>+D73-D75</f>
        <v>4118444</v>
      </c>
      <c r="E76" s="174">
        <f>+E73-E75</f>
        <v>10586171</v>
      </c>
      <c r="F76" s="174">
        <f>+F73-F75</f>
        <v>15265437</v>
      </c>
      <c r="G76" s="174">
        <f>+G73-G75</f>
        <v>17121449</v>
      </c>
      <c r="H76" s="174"/>
    </row>
    <row r="77" spans="1:11">
      <c r="A77" s="1"/>
      <c r="B77" s="1"/>
      <c r="C77" s="174"/>
      <c r="D77" s="174"/>
      <c r="E77" s="174"/>
      <c r="F77" s="174"/>
      <c r="G77" s="174"/>
      <c r="H77" s="174"/>
    </row>
    <row r="78" spans="1:11">
      <c r="A78" s="1"/>
      <c r="B78" s="1"/>
      <c r="C78" s="174"/>
      <c r="D78" s="174"/>
      <c r="E78" s="174"/>
      <c r="F78" s="174"/>
      <c r="G78" s="174"/>
      <c r="H78" s="174"/>
    </row>
    <row r="79" spans="1:11">
      <c r="A79" s="1"/>
      <c r="B79" s="1"/>
      <c r="C79" s="174"/>
      <c r="D79" s="174"/>
      <c r="E79" s="174"/>
      <c r="F79" s="174"/>
      <c r="G79" s="174"/>
      <c r="H79" s="174"/>
    </row>
    <row r="80" spans="1:11">
      <c r="A80" s="1"/>
      <c r="B80" s="1"/>
      <c r="C80" s="174"/>
      <c r="D80" s="174"/>
      <c r="E80" s="174"/>
      <c r="F80" s="174"/>
      <c r="G80" s="174"/>
      <c r="H80" s="174"/>
    </row>
    <row r="81" spans="1:8">
      <c r="A81" s="1"/>
      <c r="B81" s="1"/>
      <c r="C81" s="174"/>
      <c r="D81" s="174"/>
      <c r="E81" s="174"/>
      <c r="F81" s="174"/>
      <c r="G81" s="174"/>
      <c r="H81" s="174"/>
    </row>
  </sheetData>
  <mergeCells count="2">
    <mergeCell ref="A1:E1"/>
    <mergeCell ref="A2:E2"/>
  </mergeCells>
  <pageMargins left="0.7" right="0.7" top="0.75" bottom="0.75" header="0.3" footer="0.3"/>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showGridLines="0" topLeftCell="A3" zoomScale="115" zoomScaleNormal="115" workbookViewId="0">
      <selection activeCell="B25" sqref="B25"/>
    </sheetView>
  </sheetViews>
  <sheetFormatPr defaultColWidth="9.21875" defaultRowHeight="14.4"/>
  <cols>
    <col min="1" max="1" width="7.5546875" style="151" customWidth="1"/>
    <col min="2" max="2" width="57.21875" style="151" bestFit="1" customWidth="1"/>
    <col min="3" max="4" width="15.21875" style="151" bestFit="1" customWidth="1"/>
    <col min="5" max="5" width="15" style="151" bestFit="1" customWidth="1"/>
    <col min="6" max="6" width="15.77734375" style="151" customWidth="1"/>
    <col min="7" max="8" width="15" style="151" customWidth="1"/>
    <col min="9" max="9" width="12.77734375" style="151" bestFit="1" customWidth="1"/>
    <col min="10" max="10" width="27.44140625" style="151" customWidth="1"/>
    <col min="11" max="11" width="12.77734375" style="151" bestFit="1" customWidth="1"/>
    <col min="12" max="12" width="9.21875" style="151"/>
    <col min="13" max="13" width="12.21875" style="151" bestFit="1" customWidth="1"/>
    <col min="14" max="16384" width="9.21875" style="151"/>
  </cols>
  <sheetData>
    <row r="1" spans="1:12">
      <c r="A1" s="1380" t="s">
        <v>882</v>
      </c>
      <c r="B1" s="1380"/>
      <c r="C1" s="1380"/>
      <c r="D1" s="1380"/>
      <c r="E1" s="1380"/>
      <c r="F1" s="180"/>
      <c r="G1" s="180"/>
      <c r="H1" s="180"/>
      <c r="J1" s="151" t="s">
        <v>1021</v>
      </c>
    </row>
    <row r="2" spans="1:12">
      <c r="A2" s="1380" t="s">
        <v>1022</v>
      </c>
      <c r="B2" s="1380"/>
      <c r="C2" s="1380"/>
      <c r="D2" s="1380"/>
      <c r="E2" s="1380"/>
      <c r="F2" s="180"/>
      <c r="G2" s="180"/>
      <c r="H2" s="180"/>
      <c r="J2" s="215" t="s">
        <v>1023</v>
      </c>
      <c r="K2" s="151">
        <v>22</v>
      </c>
    </row>
    <row r="3" spans="1:12">
      <c r="A3" s="1"/>
      <c r="B3" s="1"/>
      <c r="C3" s="174"/>
      <c r="D3" s="174"/>
      <c r="E3" s="174"/>
      <c r="F3" s="174"/>
      <c r="G3" s="174"/>
      <c r="H3" s="174"/>
      <c r="J3" s="215" t="s">
        <v>1024</v>
      </c>
      <c r="K3" s="151">
        <f>+(K2*0.1)</f>
        <v>2.2000000000000002</v>
      </c>
    </row>
    <row r="4" spans="1:12" ht="43.2">
      <c r="A4" s="181" t="s">
        <v>883</v>
      </c>
      <c r="B4" s="182" t="s">
        <v>0</v>
      </c>
      <c r="C4" s="183" t="s">
        <v>884</v>
      </c>
      <c r="D4" s="184" t="s">
        <v>884</v>
      </c>
      <c r="E4" s="183" t="s">
        <v>1046</v>
      </c>
      <c r="F4" s="216" t="s">
        <v>1025</v>
      </c>
      <c r="G4" s="216" t="s">
        <v>1026</v>
      </c>
      <c r="H4" s="205"/>
      <c r="J4" s="217" t="s">
        <v>1027</v>
      </c>
      <c r="K4" s="151">
        <f>(K2+K3)*0.04</f>
        <v>0.96799999999999997</v>
      </c>
    </row>
    <row r="5" spans="1:12">
      <c r="A5" s="2"/>
      <c r="B5" s="1"/>
      <c r="C5" s="185"/>
      <c r="D5" s="186"/>
      <c r="E5" s="185"/>
      <c r="F5" s="185"/>
      <c r="G5" s="218"/>
      <c r="H5" s="186"/>
      <c r="J5" s="215" t="s">
        <v>1028</v>
      </c>
      <c r="K5" s="151">
        <f>+K2+K3+K4</f>
        <v>25.167999999999999</v>
      </c>
    </row>
    <row r="6" spans="1:12">
      <c r="A6" s="187"/>
      <c r="B6" s="188" t="s">
        <v>886</v>
      </c>
      <c r="C6" s="189"/>
      <c r="D6" s="190"/>
      <c r="E6" s="189"/>
      <c r="F6" s="189"/>
      <c r="G6" s="219"/>
      <c r="H6" s="190"/>
    </row>
    <row r="7" spans="1:12">
      <c r="A7" s="2"/>
      <c r="B7" s="1"/>
      <c r="C7" s="185"/>
      <c r="D7" s="186"/>
      <c r="E7" s="185"/>
      <c r="F7" s="185"/>
      <c r="G7" s="218"/>
      <c r="H7" s="186"/>
    </row>
    <row r="8" spans="1:12">
      <c r="A8" s="191">
        <v>1</v>
      </c>
      <c r="B8" s="192" t="s">
        <v>887</v>
      </c>
      <c r="C8" s="185"/>
      <c r="D8" s="186"/>
      <c r="E8" s="185"/>
      <c r="F8" s="185"/>
      <c r="G8" s="218"/>
      <c r="H8" s="186"/>
      <c r="J8" s="151">
        <f>+L4+K4</f>
        <v>0.96799999999999997</v>
      </c>
    </row>
    <row r="9" spans="1:12">
      <c r="A9" s="2"/>
      <c r="B9" s="1" t="s">
        <v>1047</v>
      </c>
      <c r="C9" s="185"/>
      <c r="D9" s="186"/>
      <c r="E9" s="185"/>
      <c r="F9" s="185"/>
      <c r="G9" s="218"/>
      <c r="H9" s="186"/>
    </row>
    <row r="10" spans="1:12">
      <c r="A10" s="2"/>
      <c r="B10" s="1" t="s">
        <v>888</v>
      </c>
      <c r="C10" s="185">
        <f>+'Dep as per IT'!O27</f>
        <v>1763665</v>
      </c>
      <c r="D10" s="186"/>
      <c r="E10" s="185"/>
      <c r="F10" s="185"/>
      <c r="G10" s="218"/>
      <c r="H10" s="186"/>
      <c r="L10" s="151">
        <v>392034</v>
      </c>
    </row>
    <row r="11" spans="1:12">
      <c r="A11" s="2"/>
      <c r="B11" s="1"/>
      <c r="C11" s="185"/>
      <c r="D11" s="186"/>
      <c r="E11" s="185"/>
      <c r="F11" s="185"/>
      <c r="G11" s="218"/>
      <c r="H11" s="186"/>
    </row>
    <row r="12" spans="1:12">
      <c r="A12" s="2"/>
      <c r="B12" s="5" t="s">
        <v>889</v>
      </c>
      <c r="C12" s="185"/>
      <c r="D12" s="186"/>
      <c r="E12" s="185"/>
      <c r="F12" s="185"/>
      <c r="G12" s="218"/>
      <c r="H12" s="186"/>
    </row>
    <row r="13" spans="1:12">
      <c r="A13" s="2"/>
      <c r="B13" s="1" t="s">
        <v>1047</v>
      </c>
      <c r="C13" s="185"/>
      <c r="D13" s="186"/>
      <c r="E13" s="185"/>
      <c r="F13" s="185"/>
      <c r="G13" s="218"/>
      <c r="H13" s="186"/>
    </row>
    <row r="14" spans="1:12">
      <c r="A14" s="2"/>
      <c r="B14" s="1" t="s">
        <v>890</v>
      </c>
      <c r="C14" s="193">
        <v>799228</v>
      </c>
      <c r="D14" s="26">
        <f>C10-C14</f>
        <v>964437</v>
      </c>
      <c r="E14" s="185">
        <f>ROUND(D14*J15%,0)</f>
        <v>220856</v>
      </c>
      <c r="F14" s="185">
        <f>+'Deferred tax 18-19'!F14</f>
        <v>200468</v>
      </c>
      <c r="G14" s="218">
        <f>+E14-F14</f>
        <v>20388</v>
      </c>
      <c r="H14" s="186"/>
      <c r="L14" s="151">
        <v>586287</v>
      </c>
    </row>
    <row r="15" spans="1:12">
      <c r="A15" s="2"/>
      <c r="B15" s="1" t="s">
        <v>891</v>
      </c>
      <c r="C15" s="185"/>
      <c r="D15" s="186"/>
      <c r="E15" s="185">
        <v>0</v>
      </c>
      <c r="F15" s="185"/>
      <c r="G15" s="218"/>
      <c r="H15" s="186"/>
      <c r="I15" s="151" t="s">
        <v>1029</v>
      </c>
      <c r="J15" s="194">
        <v>22.9</v>
      </c>
    </row>
    <row r="16" spans="1:12" ht="15" thickBot="1">
      <c r="A16" s="2"/>
      <c r="B16" s="1"/>
      <c r="C16" s="185"/>
      <c r="D16" s="186"/>
      <c r="E16" s="195">
        <f>+E14+E15</f>
        <v>220856</v>
      </c>
      <c r="F16" s="196"/>
      <c r="G16" s="220"/>
      <c r="H16" s="205"/>
      <c r="I16" s="151">
        <f>+'Deferred tax 18-19'!E16</f>
        <v>198322</v>
      </c>
    </row>
    <row r="17" spans="1:14" ht="15" thickTop="1">
      <c r="A17" s="2"/>
      <c r="B17" s="1"/>
      <c r="C17" s="185"/>
      <c r="D17" s="186"/>
      <c r="E17" s="196"/>
      <c r="F17" s="196"/>
      <c r="G17" s="220"/>
      <c r="H17" s="205"/>
    </row>
    <row r="18" spans="1:14">
      <c r="A18" s="191">
        <v>2</v>
      </c>
      <c r="B18" s="192" t="s">
        <v>892</v>
      </c>
      <c r="C18" s="185"/>
      <c r="D18" s="186"/>
      <c r="E18" s="185"/>
      <c r="F18" s="185"/>
      <c r="G18" s="218"/>
      <c r="H18" s="186"/>
    </row>
    <row r="19" spans="1:14">
      <c r="A19" s="191"/>
      <c r="B19" s="1" t="s">
        <v>893</v>
      </c>
      <c r="C19" s="185"/>
      <c r="D19" s="186"/>
      <c r="E19" s="185">
        <v>8234141</v>
      </c>
      <c r="F19" s="185"/>
      <c r="G19" s="218"/>
      <c r="H19" s="186"/>
    </row>
    <row r="20" spans="1:14">
      <c r="A20" s="191"/>
      <c r="B20" s="197" t="s">
        <v>894</v>
      </c>
      <c r="C20" s="185"/>
      <c r="D20" s="186"/>
      <c r="E20" s="185"/>
      <c r="F20" s="185"/>
      <c r="G20" s="218"/>
      <c r="H20" s="186"/>
    </row>
    <row r="21" spans="1:14">
      <c r="A21" s="191"/>
      <c r="B21" s="198" t="s">
        <v>1030</v>
      </c>
      <c r="C21" s="185">
        <f>926310/5</f>
        <v>185262</v>
      </c>
      <c r="D21" s="186"/>
      <c r="E21" s="185"/>
      <c r="F21" s="185"/>
      <c r="G21" s="218"/>
      <c r="H21" s="186"/>
      <c r="J21" s="151" t="s">
        <v>944</v>
      </c>
      <c r="L21" s="151">
        <v>228983.83199999999</v>
      </c>
    </row>
    <row r="22" spans="1:14">
      <c r="A22" s="2"/>
      <c r="B22" s="1"/>
      <c r="C22" s="193"/>
      <c r="D22" s="175">
        <f>+SUM(C19:C22)</f>
        <v>185262</v>
      </c>
      <c r="E22" s="185">
        <f>-ROUND(M25,0)</f>
        <v>-68695</v>
      </c>
      <c r="F22" s="185"/>
      <c r="G22" s="218">
        <f>+E22</f>
        <v>-68695</v>
      </c>
      <c r="H22" s="186"/>
      <c r="J22" s="151" t="s">
        <v>945</v>
      </c>
      <c r="L22" s="151" t="s">
        <v>951</v>
      </c>
      <c r="M22" s="151" t="s">
        <v>952</v>
      </c>
      <c r="N22" s="151" t="s">
        <v>953</v>
      </c>
    </row>
    <row r="23" spans="1:14">
      <c r="A23" s="2"/>
      <c r="B23" s="192" t="s">
        <v>892</v>
      </c>
      <c r="C23" s="185"/>
      <c r="D23" s="186"/>
      <c r="E23" s="196">
        <f>+E19+E22</f>
        <v>8165446</v>
      </c>
      <c r="F23" s="196"/>
      <c r="G23" s="220"/>
      <c r="H23" s="205"/>
      <c r="J23" s="151" t="s">
        <v>946</v>
      </c>
      <c r="L23" s="151">
        <f>L21/4</f>
        <v>57245.957999999999</v>
      </c>
      <c r="M23" s="151">
        <v>55338</v>
      </c>
      <c r="N23" s="151">
        <f>L23-M23</f>
        <v>1907.9579999999987</v>
      </c>
    </row>
    <row r="24" spans="1:14">
      <c r="A24" s="2"/>
      <c r="B24" s="1"/>
      <c r="C24" s="185"/>
      <c r="D24" s="186"/>
      <c r="E24" s="185"/>
      <c r="F24" s="185"/>
      <c r="G24" s="218"/>
      <c r="H24" s="186"/>
      <c r="J24" s="151" t="s">
        <v>947</v>
      </c>
      <c r="L24" s="151">
        <f>L23</f>
        <v>57245.957999999999</v>
      </c>
      <c r="M24" s="151">
        <v>47705</v>
      </c>
      <c r="N24" s="151">
        <f>L24-M24</f>
        <v>9540.9579999999987</v>
      </c>
    </row>
    <row r="25" spans="1:14">
      <c r="A25" s="2"/>
      <c r="B25" s="1" t="s">
        <v>895</v>
      </c>
      <c r="C25" s="185">
        <v>0</v>
      </c>
      <c r="D25" s="186"/>
      <c r="E25" s="185"/>
      <c r="F25" s="185"/>
      <c r="G25" s="218"/>
      <c r="H25" s="186"/>
      <c r="J25" s="151" t="s">
        <v>948</v>
      </c>
      <c r="L25" s="151">
        <f>L24</f>
        <v>57245.957999999999</v>
      </c>
      <c r="M25" s="199">
        <f>L25+N24+N23</f>
        <v>68694.873999999996</v>
      </c>
      <c r="N25" s="151">
        <f>L25-M25</f>
        <v>-11448.915999999997</v>
      </c>
    </row>
    <row r="26" spans="1:14">
      <c r="A26" s="2"/>
      <c r="B26" s="1" t="s">
        <v>123</v>
      </c>
      <c r="C26" s="185">
        <v>303312</v>
      </c>
      <c r="D26" s="186"/>
      <c r="E26" s="185"/>
      <c r="F26" s="185"/>
      <c r="G26" s="218"/>
      <c r="H26" s="186"/>
      <c r="I26" s="151" t="s">
        <v>1029</v>
      </c>
      <c r="J26" s="151" t="s">
        <v>949</v>
      </c>
      <c r="L26" s="151">
        <f>L25</f>
        <v>57245.957999999999</v>
      </c>
      <c r="M26" s="151">
        <f>L26</f>
        <v>57245.957999999999</v>
      </c>
      <c r="N26" s="151">
        <f>L26-M26</f>
        <v>0</v>
      </c>
    </row>
    <row r="27" spans="1:14">
      <c r="A27" s="2"/>
      <c r="B27" s="1" t="s">
        <v>896</v>
      </c>
      <c r="C27" s="185">
        <v>792201</v>
      </c>
      <c r="D27" s="186">
        <f>SUM(C25:C27)</f>
        <v>1095513</v>
      </c>
      <c r="E27" s="185">
        <f>ROUND(D27*J15%,0)</f>
        <v>250872</v>
      </c>
      <c r="F27" s="185">
        <f>+'Deferred tax 18-19'!E27+36848+74207</f>
        <v>164593</v>
      </c>
      <c r="G27" s="218">
        <f>+E27-F27</f>
        <v>86279</v>
      </c>
      <c r="H27" s="186"/>
      <c r="I27" s="151">
        <f>+'Deferred tax 18-19'!E27</f>
        <v>53538</v>
      </c>
      <c r="L27" s="151">
        <f>SUM(L23:L26)</f>
        <v>228983.83199999999</v>
      </c>
      <c r="M27" s="151">
        <f>SUM(M23:M26)</f>
        <v>228983.83199999999</v>
      </c>
      <c r="N27" s="151">
        <f>SUM(N23:N26)</f>
        <v>0</v>
      </c>
    </row>
    <row r="28" spans="1:14">
      <c r="A28" s="2"/>
      <c r="B28" s="1"/>
      <c r="C28" s="185"/>
      <c r="D28" s="186"/>
      <c r="E28" s="185"/>
      <c r="F28" s="185"/>
      <c r="G28" s="218"/>
      <c r="H28" s="186"/>
    </row>
    <row r="29" spans="1:14">
      <c r="A29" s="191">
        <v>3</v>
      </c>
      <c r="B29" s="192" t="s">
        <v>887</v>
      </c>
      <c r="C29" s="185"/>
      <c r="D29" s="186"/>
      <c r="E29" s="185"/>
      <c r="F29" s="185"/>
      <c r="G29" s="218"/>
      <c r="H29" s="186"/>
    </row>
    <row r="30" spans="1:14">
      <c r="A30" s="191"/>
      <c r="B30" s="192"/>
      <c r="C30" s="185"/>
      <c r="D30" s="186"/>
      <c r="E30" s="185"/>
      <c r="F30" s="185"/>
      <c r="G30" s="218"/>
      <c r="H30" s="186"/>
    </row>
    <row r="31" spans="1:14">
      <c r="A31" s="191"/>
      <c r="B31" s="5" t="s">
        <v>57</v>
      </c>
      <c r="C31" s="185"/>
      <c r="D31" s="186"/>
      <c r="E31" s="185"/>
      <c r="F31" s="185"/>
      <c r="G31" s="218"/>
      <c r="H31" s="186"/>
      <c r="J31" s="151" t="s">
        <v>944</v>
      </c>
      <c r="L31" s="151">
        <v>209104</v>
      </c>
    </row>
    <row r="32" spans="1:14">
      <c r="A32" s="191"/>
      <c r="B32" s="1" t="s">
        <v>897</v>
      </c>
      <c r="C32" s="185">
        <v>138359</v>
      </c>
      <c r="D32" s="186"/>
      <c r="E32" s="185"/>
      <c r="F32" s="185"/>
      <c r="G32" s="218"/>
      <c r="H32" s="186"/>
    </row>
    <row r="33" spans="1:16">
      <c r="A33" s="191"/>
      <c r="B33" s="1" t="s">
        <v>898</v>
      </c>
      <c r="C33" s="185">
        <v>482066</v>
      </c>
      <c r="D33" s="186"/>
      <c r="E33" s="185"/>
      <c r="F33" s="185"/>
      <c r="G33" s="218"/>
      <c r="H33" s="186"/>
    </row>
    <row r="34" spans="1:16">
      <c r="A34" s="191"/>
      <c r="B34" s="1" t="s">
        <v>899</v>
      </c>
      <c r="C34" s="185">
        <v>470795</v>
      </c>
      <c r="D34" s="186"/>
      <c r="E34" s="185"/>
      <c r="F34" s="185"/>
      <c r="G34" s="218"/>
      <c r="H34" s="186"/>
    </row>
    <row r="35" spans="1:16">
      <c r="A35" s="191"/>
      <c r="B35" s="1" t="s">
        <v>1031</v>
      </c>
      <c r="C35" s="193">
        <v>403432</v>
      </c>
      <c r="D35" s="186"/>
      <c r="E35" s="185"/>
      <c r="F35" s="185"/>
      <c r="G35" s="218"/>
      <c r="H35" s="186"/>
      <c r="J35" s="151" t="s">
        <v>1032</v>
      </c>
    </row>
    <row r="36" spans="1:16">
      <c r="A36" s="191"/>
      <c r="B36" s="1" t="s">
        <v>1033</v>
      </c>
      <c r="C36" s="185">
        <f>+'Dep as per IT'!K27</f>
        <v>392034</v>
      </c>
      <c r="D36" s="186"/>
      <c r="E36" s="185"/>
      <c r="F36" s="185"/>
      <c r="G36" s="218"/>
      <c r="H36" s="186"/>
    </row>
    <row r="37" spans="1:16">
      <c r="A37" s="191"/>
      <c r="B37" s="1"/>
      <c r="C37" s="196">
        <f>SUM(C32:C36)</f>
        <v>1886686</v>
      </c>
      <c r="D37" s="186"/>
      <c r="E37" s="185"/>
      <c r="F37" s="185"/>
      <c r="G37" s="218"/>
      <c r="H37" s="186"/>
      <c r="J37" s="151" t="s">
        <v>1034</v>
      </c>
      <c r="K37" s="151">
        <v>0</v>
      </c>
    </row>
    <row r="38" spans="1:16">
      <c r="A38" s="191"/>
      <c r="B38" s="5" t="s">
        <v>900</v>
      </c>
      <c r="C38" s="185"/>
      <c r="D38" s="186"/>
      <c r="E38" s="185"/>
      <c r="F38" s="185"/>
      <c r="G38" s="218"/>
      <c r="H38" s="186"/>
      <c r="J38" s="151" t="s">
        <v>946</v>
      </c>
      <c r="K38" s="151">
        <v>4488703</v>
      </c>
    </row>
    <row r="39" spans="1:16">
      <c r="A39" s="191"/>
      <c r="B39" s="1" t="s">
        <v>901</v>
      </c>
      <c r="C39" s="185">
        <f>4118444</f>
        <v>4118444</v>
      </c>
      <c r="D39" s="186"/>
      <c r="E39" s="185"/>
      <c r="F39" s="185"/>
      <c r="G39" s="218"/>
      <c r="H39" s="186"/>
      <c r="J39" s="151" t="s">
        <v>947</v>
      </c>
      <c r="K39" s="151">
        <v>7881410</v>
      </c>
    </row>
    <row r="40" spans="1:16">
      <c r="A40" s="191"/>
      <c r="B40" s="1" t="s">
        <v>902</v>
      </c>
      <c r="C40" s="185">
        <f>10586171</f>
        <v>10586171</v>
      </c>
      <c r="D40" s="186"/>
      <c r="E40" s="185"/>
      <c r="F40" s="185"/>
      <c r="G40" s="218"/>
      <c r="H40" s="186"/>
      <c r="J40" s="151" t="s">
        <v>948</v>
      </c>
      <c r="K40" s="151">
        <v>-4488703</v>
      </c>
    </row>
    <row r="41" spans="1:16">
      <c r="A41" s="191"/>
      <c r="B41" s="1" t="s">
        <v>903</v>
      </c>
      <c r="C41" s="185">
        <v>15265437</v>
      </c>
      <c r="D41" s="186"/>
      <c r="E41" s="185"/>
      <c r="F41" s="185"/>
      <c r="G41" s="218"/>
      <c r="H41" s="186"/>
      <c r="J41" s="151" t="s">
        <v>949</v>
      </c>
    </row>
    <row r="42" spans="1:16">
      <c r="A42" s="191"/>
      <c r="B42" s="1" t="s">
        <v>1035</v>
      </c>
      <c r="C42" s="185">
        <v>17121449</v>
      </c>
      <c r="D42" s="186"/>
      <c r="E42" s="185"/>
      <c r="F42" s="185"/>
      <c r="G42" s="218"/>
      <c r="H42" s="186"/>
      <c r="K42" s="201">
        <f>SUM(K37:K41)</f>
        <v>7881410</v>
      </c>
      <c r="M42" s="201"/>
      <c r="P42" s="151">
        <v>17121449</v>
      </c>
    </row>
    <row r="43" spans="1:16">
      <c r="A43" s="191"/>
      <c r="B43" s="1" t="s">
        <v>1036</v>
      </c>
      <c r="C43" s="185">
        <v>27614014</v>
      </c>
      <c r="D43" s="186"/>
      <c r="E43" s="185"/>
      <c r="F43" s="185"/>
      <c r="G43" s="218"/>
      <c r="H43" s="186"/>
      <c r="K43" s="201"/>
      <c r="M43" s="201"/>
    </row>
    <row r="44" spans="1:16">
      <c r="A44" s="191"/>
      <c r="B44" s="1"/>
      <c r="C44" s="196">
        <f>SUM(C39:C43)</f>
        <v>74705515</v>
      </c>
      <c r="D44" s="186">
        <f>+C37+C44</f>
        <v>76592201</v>
      </c>
      <c r="E44" s="185">
        <f>ROUND(D44*J15%,0)</f>
        <v>17539614</v>
      </c>
      <c r="F44" s="185">
        <f>+'Deferred tax 18-19'!E42</f>
        <v>12126062</v>
      </c>
      <c r="G44" s="218">
        <f>+E44-F44</f>
        <v>5413552</v>
      </c>
      <c r="H44" s="186"/>
      <c r="J44" s="151" t="s">
        <v>1037</v>
      </c>
      <c r="K44" s="201">
        <f>E44-K42</f>
        <v>9658204</v>
      </c>
      <c r="P44" s="151">
        <v>403432</v>
      </c>
    </row>
    <row r="45" spans="1:16">
      <c r="A45" s="2"/>
      <c r="B45" s="1"/>
      <c r="C45" s="185"/>
      <c r="D45" s="186"/>
      <c r="E45" s="185"/>
      <c r="F45" s="185"/>
      <c r="G45" s="218"/>
      <c r="H45" s="186"/>
      <c r="P45" s="151">
        <f>+P42+P44</f>
        <v>17524881</v>
      </c>
    </row>
    <row r="46" spans="1:16">
      <c r="A46" s="2"/>
      <c r="B46" s="1" t="s">
        <v>939</v>
      </c>
      <c r="C46" s="185"/>
      <c r="D46" s="186"/>
      <c r="E46" s="185"/>
      <c r="F46" s="185"/>
      <c r="G46" s="218"/>
      <c r="H46" s="186"/>
      <c r="M46" s="201"/>
    </row>
    <row r="47" spans="1:16">
      <c r="A47" s="2"/>
      <c r="B47" s="1"/>
      <c r="C47" s="185"/>
      <c r="D47" s="186"/>
      <c r="E47" s="185"/>
      <c r="F47" s="185"/>
      <c r="G47" s="218"/>
      <c r="H47" s="186"/>
    </row>
    <row r="48" spans="1:16">
      <c r="A48" s="2"/>
      <c r="B48" s="180" t="s">
        <v>904</v>
      </c>
      <c r="C48" s="203"/>
      <c r="D48" s="204"/>
      <c r="E48" s="183">
        <f>+E16+E23+E27+E44+E46</f>
        <v>26176788</v>
      </c>
      <c r="F48" s="196"/>
      <c r="G48" s="220"/>
      <c r="H48" s="205"/>
      <c r="I48" s="201">
        <f>+K44+E27+E22+E16+I16+I27</f>
        <v>10313097</v>
      </c>
    </row>
    <row r="49" spans="1:8">
      <c r="A49" s="2"/>
      <c r="B49" s="1"/>
      <c r="C49" s="185"/>
      <c r="D49" s="186"/>
      <c r="E49" s="185"/>
      <c r="F49" s="185"/>
      <c r="G49" s="218"/>
      <c r="H49" s="186"/>
    </row>
    <row r="50" spans="1:8">
      <c r="A50" s="2"/>
      <c r="B50" s="1"/>
      <c r="C50" s="185"/>
      <c r="D50" s="186"/>
      <c r="E50" s="185"/>
      <c r="F50" s="185"/>
      <c r="G50" s="218"/>
      <c r="H50" s="186"/>
    </row>
    <row r="51" spans="1:8">
      <c r="A51" s="2"/>
      <c r="B51" s="1" t="s">
        <v>940</v>
      </c>
      <c r="C51" s="185"/>
      <c r="D51" s="186"/>
      <c r="E51" s="185">
        <f>E19</f>
        <v>8234141</v>
      </c>
      <c r="F51" s="185"/>
      <c r="G51" s="218"/>
      <c r="H51" s="186"/>
    </row>
    <row r="52" spans="1:8">
      <c r="A52" s="2"/>
      <c r="B52" s="1" t="s">
        <v>57</v>
      </c>
      <c r="C52" s="185"/>
      <c r="D52" s="186"/>
      <c r="E52" s="185"/>
      <c r="F52" s="185"/>
      <c r="G52" s="218"/>
      <c r="H52" s="186"/>
    </row>
    <row r="53" spans="1:8">
      <c r="A53" s="2"/>
      <c r="B53" s="5" t="s">
        <v>905</v>
      </c>
      <c r="C53" s="185"/>
      <c r="D53" s="186"/>
      <c r="E53" s="185"/>
      <c r="F53" s="185"/>
      <c r="G53" s="218"/>
      <c r="H53" s="186"/>
    </row>
    <row r="54" spans="1:8">
      <c r="A54" s="2"/>
      <c r="B54" s="1" t="s">
        <v>906</v>
      </c>
      <c r="C54" s="185"/>
      <c r="D54" s="186"/>
      <c r="E54" s="185"/>
      <c r="F54" s="185"/>
      <c r="G54" s="218"/>
      <c r="H54" s="186"/>
    </row>
    <row r="55" spans="1:8">
      <c r="A55" s="2"/>
      <c r="B55" s="1"/>
      <c r="C55" s="185"/>
      <c r="D55" s="186"/>
      <c r="E55" s="185"/>
      <c r="F55" s="185"/>
      <c r="G55" s="218"/>
      <c r="H55" s="186"/>
    </row>
    <row r="56" spans="1:8">
      <c r="A56" s="2"/>
      <c r="B56" s="1" t="s">
        <v>939</v>
      </c>
      <c r="C56" s="185"/>
      <c r="D56" s="186"/>
      <c r="E56" s="185"/>
      <c r="F56" s="185"/>
      <c r="G56" s="218"/>
      <c r="H56" s="186"/>
    </row>
    <row r="57" spans="1:8">
      <c r="A57" s="2"/>
      <c r="B57" s="1"/>
      <c r="C57" s="185"/>
      <c r="D57" s="186"/>
      <c r="E57" s="185"/>
      <c r="F57" s="185"/>
      <c r="G57" s="218"/>
      <c r="H57" s="186"/>
    </row>
    <row r="58" spans="1:8">
      <c r="A58" s="2"/>
      <c r="B58" s="5" t="s">
        <v>907</v>
      </c>
      <c r="C58" s="185"/>
      <c r="D58" s="186"/>
      <c r="E58" s="185"/>
      <c r="F58" s="185"/>
      <c r="G58" s="218"/>
      <c r="H58" s="186"/>
    </row>
    <row r="59" spans="1:8">
      <c r="A59" s="2"/>
      <c r="B59" s="1" t="s">
        <v>908</v>
      </c>
      <c r="C59" s="185"/>
      <c r="D59" s="186"/>
      <c r="E59" s="185">
        <f>E22</f>
        <v>-68695</v>
      </c>
      <c r="F59" s="185"/>
      <c r="G59" s="218"/>
      <c r="H59" s="186"/>
    </row>
    <row r="60" spans="1:8">
      <c r="A60" s="2"/>
      <c r="B60" s="1"/>
      <c r="C60" s="185"/>
      <c r="D60" s="186"/>
      <c r="E60" s="185"/>
      <c r="F60" s="185"/>
      <c r="G60" s="218"/>
      <c r="H60" s="186"/>
    </row>
    <row r="61" spans="1:8" ht="15" thickBot="1">
      <c r="A61" s="2"/>
      <c r="B61" s="5" t="s">
        <v>942</v>
      </c>
      <c r="C61" s="196"/>
      <c r="D61" s="205"/>
      <c r="E61" s="195">
        <f>SUM(E51:E60)</f>
        <v>8165446</v>
      </c>
      <c r="F61" s="196"/>
      <c r="G61" s="220"/>
      <c r="H61" s="205"/>
    </row>
    <row r="62" spans="1:8" ht="15" thickTop="1">
      <c r="A62" s="2"/>
      <c r="B62" s="1"/>
      <c r="C62" s="185"/>
      <c r="D62" s="186"/>
      <c r="E62" s="185"/>
      <c r="F62" s="185"/>
      <c r="G62" s="218"/>
      <c r="H62" s="186"/>
    </row>
    <row r="63" spans="1:8" s="206" customFormat="1">
      <c r="A63" s="3"/>
      <c r="B63" s="5" t="s">
        <v>941</v>
      </c>
      <c r="C63" s="196"/>
      <c r="D63" s="205"/>
      <c r="E63" s="196">
        <f>E61-E51</f>
        <v>-68695</v>
      </c>
      <c r="F63" s="196"/>
      <c r="G63" s="220"/>
      <c r="H63" s="205"/>
    </row>
    <row r="64" spans="1:8">
      <c r="A64" s="207"/>
      <c r="B64" s="208"/>
      <c r="C64" s="209"/>
      <c r="D64" s="210"/>
      <c r="E64" s="209"/>
      <c r="F64" s="209"/>
      <c r="G64" s="221"/>
      <c r="H64" s="212"/>
    </row>
    <row r="65" spans="1:11">
      <c r="A65" s="211"/>
      <c r="B65" s="1"/>
      <c r="C65" s="212"/>
      <c r="D65" s="212"/>
      <c r="E65" s="212"/>
      <c r="F65" s="212"/>
      <c r="G65" s="212"/>
      <c r="H65" s="212"/>
    </row>
    <row r="66" spans="1:11">
      <c r="A66" s="1"/>
      <c r="B66" s="1"/>
      <c r="C66" s="174"/>
      <c r="D66" s="174"/>
      <c r="E66" s="174"/>
      <c r="F66" s="174"/>
      <c r="G66" s="174"/>
      <c r="H66" s="174"/>
    </row>
    <row r="67" spans="1:11">
      <c r="A67" s="1"/>
      <c r="B67" s="5" t="s">
        <v>0</v>
      </c>
      <c r="C67" s="174"/>
      <c r="D67" s="213" t="s">
        <v>909</v>
      </c>
      <c r="E67" s="213" t="s">
        <v>910</v>
      </c>
      <c r="F67" s="213" t="s">
        <v>911</v>
      </c>
      <c r="G67" s="213" t="s">
        <v>1038</v>
      </c>
      <c r="H67" s="213"/>
    </row>
    <row r="68" spans="1:11">
      <c r="A68" s="1"/>
      <c r="B68" s="1"/>
      <c r="C68" s="174"/>
      <c r="D68" s="174"/>
      <c r="E68" s="174"/>
      <c r="F68" s="174"/>
      <c r="H68" s="174"/>
    </row>
    <row r="69" spans="1:11">
      <c r="A69" s="1"/>
      <c r="B69" s="1" t="s">
        <v>912</v>
      </c>
      <c r="C69" s="174"/>
      <c r="D69" s="174">
        <f>C32+C39</f>
        <v>4256803</v>
      </c>
      <c r="E69" s="174">
        <v>11068237</v>
      </c>
      <c r="F69" s="174">
        <v>15736232</v>
      </c>
      <c r="G69" s="201">
        <f>+C35+C42</f>
        <v>17524881</v>
      </c>
      <c r="H69" s="174"/>
    </row>
    <row r="70" spans="1:11">
      <c r="A70" s="1"/>
      <c r="B70" s="1"/>
      <c r="C70" s="174"/>
      <c r="D70" s="174"/>
      <c r="E70" s="174"/>
      <c r="F70" s="174"/>
      <c r="H70" s="174"/>
    </row>
    <row r="71" spans="1:11">
      <c r="A71" s="1"/>
      <c r="B71" s="1" t="s">
        <v>913</v>
      </c>
      <c r="C71" s="174"/>
      <c r="D71" s="175">
        <f>+C32</f>
        <v>138359</v>
      </c>
      <c r="E71" s="175">
        <f>+C33</f>
        <v>482066</v>
      </c>
      <c r="F71" s="175">
        <v>470795</v>
      </c>
      <c r="G71" s="214">
        <f>+C35</f>
        <v>403432</v>
      </c>
      <c r="H71" s="175"/>
      <c r="K71" s="201"/>
    </row>
    <row r="72" spans="1:11">
      <c r="A72" s="1"/>
      <c r="B72" s="1" t="s">
        <v>914</v>
      </c>
      <c r="C72" s="174"/>
      <c r="D72" s="174">
        <f>+D69-D71</f>
        <v>4118444</v>
      </c>
      <c r="E72" s="174">
        <f>+E69-E71</f>
        <v>10586171</v>
      </c>
      <c r="F72" s="174">
        <f>+F69-F71</f>
        <v>15265437</v>
      </c>
      <c r="G72" s="174">
        <f>+G69-G71</f>
        <v>17121449</v>
      </c>
      <c r="H72" s="174"/>
    </row>
    <row r="73" spans="1:11">
      <c r="A73" s="1"/>
      <c r="B73" s="1"/>
      <c r="C73" s="174"/>
      <c r="D73" s="174"/>
      <c r="E73" s="174"/>
      <c r="F73" s="174"/>
      <c r="G73" s="174"/>
      <c r="H73" s="174"/>
    </row>
    <row r="74" spans="1:11">
      <c r="A74" s="1"/>
      <c r="B74" s="1"/>
      <c r="C74" s="174"/>
      <c r="D74" s="174"/>
      <c r="E74" s="174"/>
      <c r="F74" s="174"/>
      <c r="G74" s="174"/>
      <c r="H74" s="174"/>
    </row>
    <row r="75" spans="1:11">
      <c r="A75" s="1"/>
      <c r="B75" s="1"/>
      <c r="C75" s="174"/>
      <c r="D75" s="174"/>
      <c r="E75" s="174"/>
      <c r="F75" s="174"/>
      <c r="G75" s="174"/>
      <c r="H75" s="174"/>
    </row>
    <row r="76" spans="1:11">
      <c r="A76" s="1"/>
      <c r="B76" s="1"/>
      <c r="C76" s="174"/>
      <c r="D76" s="174"/>
      <c r="E76" s="174"/>
      <c r="F76" s="174"/>
      <c r="G76" s="174"/>
      <c r="H76" s="174"/>
    </row>
    <row r="77" spans="1:11">
      <c r="A77" s="1"/>
      <c r="B77" s="1"/>
      <c r="C77" s="174"/>
      <c r="D77" s="174"/>
      <c r="E77" s="174"/>
      <c r="F77" s="174"/>
      <c r="G77" s="174"/>
      <c r="H77" s="174"/>
    </row>
  </sheetData>
  <mergeCells count="2">
    <mergeCell ref="A1:E1"/>
    <mergeCell ref="A2:E2"/>
  </mergeCells>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5"/>
  <sheetViews>
    <sheetView showGridLines="0" topLeftCell="A37" zoomScale="115" zoomScaleNormal="115" workbookViewId="0">
      <selection activeCell="B25" sqref="B25"/>
    </sheetView>
  </sheetViews>
  <sheetFormatPr defaultColWidth="9.21875" defaultRowHeight="14.4"/>
  <cols>
    <col min="1" max="1" width="7.5546875" style="151" customWidth="1"/>
    <col min="2" max="2" width="57.21875" style="151" bestFit="1" customWidth="1"/>
    <col min="3" max="4" width="15.21875" style="151" bestFit="1" customWidth="1"/>
    <col min="5" max="5" width="15" style="151" bestFit="1" customWidth="1"/>
    <col min="6" max="6" width="14" style="151" bestFit="1" customWidth="1"/>
    <col min="7" max="7" width="18.5546875" style="151" customWidth="1"/>
    <col min="8" max="8" width="12.77734375" style="151" bestFit="1" customWidth="1"/>
    <col min="9" max="9" width="11.21875" style="151" bestFit="1" customWidth="1"/>
    <col min="10" max="10" width="12.21875" style="151" bestFit="1" customWidth="1"/>
    <col min="11" max="16384" width="9.21875" style="151"/>
  </cols>
  <sheetData>
    <row r="1" spans="1:9">
      <c r="A1" s="1380" t="s">
        <v>882</v>
      </c>
      <c r="B1" s="1380"/>
      <c r="C1" s="1380"/>
      <c r="D1" s="1380"/>
      <c r="E1" s="1380"/>
    </row>
    <row r="2" spans="1:9">
      <c r="A2" s="1380" t="s">
        <v>915</v>
      </c>
      <c r="B2" s="1380"/>
      <c r="C2" s="1380"/>
      <c r="D2" s="1380"/>
      <c r="E2" s="1380"/>
      <c r="F2" s="151" t="s">
        <v>947</v>
      </c>
      <c r="G2" s="151" t="s">
        <v>1039</v>
      </c>
    </row>
    <row r="3" spans="1:9">
      <c r="A3" s="1"/>
      <c r="B3" s="1"/>
      <c r="C3" s="174"/>
      <c r="D3" s="174"/>
      <c r="E3" s="174"/>
    </row>
    <row r="4" spans="1:9">
      <c r="A4" s="181" t="s">
        <v>883</v>
      </c>
      <c r="B4" s="182" t="s">
        <v>0</v>
      </c>
      <c r="C4" s="183" t="s">
        <v>884</v>
      </c>
      <c r="D4" s="184" t="s">
        <v>884</v>
      </c>
      <c r="E4" s="183" t="s">
        <v>885</v>
      </c>
    </row>
    <row r="5" spans="1:9">
      <c r="A5" s="2"/>
      <c r="B5" s="1"/>
      <c r="C5" s="185"/>
      <c r="D5" s="186"/>
      <c r="E5" s="185"/>
    </row>
    <row r="6" spans="1:9">
      <c r="A6" s="187"/>
      <c r="B6" s="188" t="s">
        <v>886</v>
      </c>
      <c r="C6" s="189"/>
      <c r="D6" s="190"/>
      <c r="E6" s="189"/>
    </row>
    <row r="7" spans="1:9">
      <c r="A7" s="2"/>
      <c r="B7" s="1"/>
      <c r="C7" s="185"/>
      <c r="D7" s="186"/>
      <c r="E7" s="185"/>
    </row>
    <row r="8" spans="1:9">
      <c r="A8" s="191">
        <v>1</v>
      </c>
      <c r="B8" s="192" t="s">
        <v>887</v>
      </c>
      <c r="C8" s="185"/>
      <c r="D8" s="186"/>
      <c r="E8" s="185"/>
    </row>
    <row r="9" spans="1:9">
      <c r="A9" s="2"/>
      <c r="B9" s="1" t="s">
        <v>938</v>
      </c>
      <c r="C9" s="185"/>
      <c r="D9" s="186"/>
      <c r="E9" s="185"/>
    </row>
    <row r="10" spans="1:9">
      <c r="A10" s="2"/>
      <c r="B10" s="1" t="s">
        <v>888</v>
      </c>
      <c r="C10" s="185">
        <f>+'Dep as per IT'!O13</f>
        <v>1891368</v>
      </c>
      <c r="D10" s="186"/>
      <c r="E10" s="185"/>
      <c r="I10" s="151">
        <v>392034</v>
      </c>
    </row>
    <row r="11" spans="1:9">
      <c r="A11" s="2"/>
      <c r="B11" s="1"/>
      <c r="C11" s="185"/>
      <c r="D11" s="186"/>
      <c r="E11" s="185"/>
    </row>
    <row r="12" spans="1:9">
      <c r="A12" s="2"/>
      <c r="B12" s="5" t="s">
        <v>889</v>
      </c>
      <c r="C12" s="185"/>
      <c r="D12" s="186"/>
      <c r="E12" s="185"/>
    </row>
    <row r="13" spans="1:9">
      <c r="A13" s="2"/>
      <c r="B13" s="1" t="s">
        <v>938</v>
      </c>
      <c r="C13" s="185"/>
      <c r="D13" s="186"/>
      <c r="E13" s="185"/>
    </row>
    <row r="14" spans="1:9">
      <c r="A14" s="2"/>
      <c r="B14" s="1" t="s">
        <v>890</v>
      </c>
      <c r="C14" s="193">
        <v>1121184</v>
      </c>
      <c r="D14" s="26">
        <f>C10-C14</f>
        <v>770184</v>
      </c>
      <c r="E14" s="185">
        <f>ROUND(D14*I15%,0)</f>
        <v>198322</v>
      </c>
      <c r="F14" s="151">
        <v>200468</v>
      </c>
      <c r="I14" s="151">
        <v>586287</v>
      </c>
    </row>
    <row r="15" spans="1:9">
      <c r="A15" s="2"/>
      <c r="B15" s="1" t="s">
        <v>891</v>
      </c>
      <c r="C15" s="185"/>
      <c r="D15" s="186"/>
      <c r="E15" s="185">
        <v>0</v>
      </c>
      <c r="I15" s="194">
        <v>25.75</v>
      </c>
    </row>
    <row r="16" spans="1:9" ht="15" thickBot="1">
      <c r="A16" s="2"/>
      <c r="B16" s="1"/>
      <c r="C16" s="185"/>
      <c r="D16" s="186"/>
      <c r="E16" s="195">
        <f>+E14+E15</f>
        <v>198322</v>
      </c>
    </row>
    <row r="17" spans="1:11" ht="15" thickTop="1">
      <c r="A17" s="2"/>
      <c r="B17" s="1"/>
      <c r="C17" s="185"/>
      <c r="D17" s="186"/>
      <c r="E17" s="196"/>
    </row>
    <row r="18" spans="1:11">
      <c r="A18" s="191">
        <v>2</v>
      </c>
      <c r="B18" s="192" t="s">
        <v>892</v>
      </c>
      <c r="C18" s="185"/>
      <c r="D18" s="186"/>
      <c r="E18" s="185"/>
    </row>
    <row r="19" spans="1:11">
      <c r="A19" s="191"/>
      <c r="B19" s="1" t="s">
        <v>893</v>
      </c>
      <c r="C19" s="185"/>
      <c r="D19" s="186"/>
      <c r="E19" s="185"/>
      <c r="F19" s="185">
        <v>8234141</v>
      </c>
    </row>
    <row r="20" spans="1:11">
      <c r="A20" s="191"/>
      <c r="B20" s="197" t="s">
        <v>894</v>
      </c>
      <c r="C20" s="185"/>
      <c r="D20" s="186"/>
      <c r="E20" s="185"/>
    </row>
    <row r="21" spans="1:11">
      <c r="A21" s="191"/>
      <c r="B21" s="198" t="s">
        <v>950</v>
      </c>
      <c r="C21" s="185">
        <f>926310/5</f>
        <v>185262</v>
      </c>
      <c r="D21" s="186"/>
      <c r="E21" s="185"/>
      <c r="G21" s="151" t="s">
        <v>944</v>
      </c>
      <c r="I21" s="151">
        <v>228983.83199999999</v>
      </c>
    </row>
    <row r="22" spans="1:11">
      <c r="A22" s="2"/>
      <c r="B22" s="1"/>
      <c r="C22" s="193"/>
      <c r="D22" s="175">
        <f>+SUM(C19:C22)</f>
        <v>185262</v>
      </c>
      <c r="E22" s="185">
        <f>-ROUND(J25,0)</f>
        <v>-68695</v>
      </c>
      <c r="G22" s="151" t="s">
        <v>945</v>
      </c>
      <c r="I22" s="151" t="s">
        <v>951</v>
      </c>
      <c r="J22" s="151" t="s">
        <v>952</v>
      </c>
      <c r="K22" s="151" t="s">
        <v>953</v>
      </c>
    </row>
    <row r="23" spans="1:11">
      <c r="A23" s="2"/>
      <c r="B23" s="192" t="s">
        <v>892</v>
      </c>
      <c r="C23" s="185"/>
      <c r="D23" s="186"/>
      <c r="E23" s="196">
        <f>+E19+E22</f>
        <v>-68695</v>
      </c>
      <c r="G23" s="151" t="s">
        <v>946</v>
      </c>
      <c r="I23" s="151">
        <f>I21/4</f>
        <v>57245.957999999999</v>
      </c>
      <c r="J23" s="151">
        <v>55338</v>
      </c>
      <c r="K23" s="151">
        <f>I23-J23</f>
        <v>1907.9579999999987</v>
      </c>
    </row>
    <row r="24" spans="1:11">
      <c r="A24" s="2"/>
      <c r="B24" s="1"/>
      <c r="C24" s="185"/>
      <c r="D24" s="186"/>
      <c r="E24" s="185"/>
      <c r="G24" s="151" t="s">
        <v>947</v>
      </c>
      <c r="I24" s="151">
        <f>I23</f>
        <v>57245.957999999999</v>
      </c>
      <c r="J24" s="151">
        <v>47705</v>
      </c>
      <c r="K24" s="151">
        <f>I24-J24</f>
        <v>9540.9579999999987</v>
      </c>
    </row>
    <row r="25" spans="1:11">
      <c r="A25" s="2"/>
      <c r="B25" s="1" t="s">
        <v>895</v>
      </c>
      <c r="C25" s="185">
        <v>0</v>
      </c>
      <c r="D25" s="186"/>
      <c r="E25" s="185"/>
      <c r="G25" s="151" t="s">
        <v>948</v>
      </c>
      <c r="I25" s="151">
        <f>I24</f>
        <v>57245.957999999999</v>
      </c>
      <c r="J25" s="199">
        <f>I25+K24+K23</f>
        <v>68694.873999999996</v>
      </c>
      <c r="K25" s="151">
        <f>I25-J25</f>
        <v>-11448.915999999997</v>
      </c>
    </row>
    <row r="26" spans="1:11">
      <c r="A26" s="2"/>
      <c r="B26" s="1" t="s">
        <v>123</v>
      </c>
      <c r="C26" s="185">
        <v>30414</v>
      </c>
      <c r="D26" s="186"/>
      <c r="E26" s="185"/>
      <c r="G26" s="151" t="s">
        <v>949</v>
      </c>
      <c r="I26" s="151">
        <f>I25</f>
        <v>57245.957999999999</v>
      </c>
      <c r="J26" s="151">
        <f>I26</f>
        <v>57245.957999999999</v>
      </c>
      <c r="K26" s="151">
        <f>I26-J26</f>
        <v>0</v>
      </c>
    </row>
    <row r="27" spans="1:11">
      <c r="A27" s="2"/>
      <c r="B27" s="1" t="s">
        <v>896</v>
      </c>
      <c r="C27" s="185">
        <v>177502</v>
      </c>
      <c r="D27" s="186">
        <f>SUM(C25:C27)</f>
        <v>207916</v>
      </c>
      <c r="E27" s="185">
        <f>ROUND(D27*I15%,0)</f>
        <v>53538</v>
      </c>
      <c r="F27" s="151">
        <v>1</v>
      </c>
      <c r="I27" s="151">
        <f>SUM(I23:I26)</f>
        <v>228983.83199999999</v>
      </c>
      <c r="J27" s="151">
        <f>SUM(J23:J26)</f>
        <v>228983.83199999999</v>
      </c>
      <c r="K27" s="151">
        <f>SUM(K23:K26)</f>
        <v>0</v>
      </c>
    </row>
    <row r="28" spans="1:11">
      <c r="A28" s="2"/>
      <c r="B28" s="1"/>
      <c r="C28" s="185"/>
      <c r="D28" s="186"/>
      <c r="E28" s="185"/>
    </row>
    <row r="29" spans="1:11">
      <c r="A29" s="191">
        <v>3</v>
      </c>
      <c r="B29" s="192" t="s">
        <v>887</v>
      </c>
      <c r="C29" s="185"/>
      <c r="D29" s="186"/>
      <c r="E29" s="185"/>
    </row>
    <row r="30" spans="1:11">
      <c r="A30" s="191"/>
      <c r="B30" s="192"/>
      <c r="C30" s="185"/>
      <c r="D30" s="186"/>
      <c r="E30" s="185"/>
    </row>
    <row r="31" spans="1:11">
      <c r="A31" s="191"/>
      <c r="B31" s="5" t="s">
        <v>57</v>
      </c>
      <c r="C31" s="185"/>
      <c r="D31" s="186"/>
      <c r="E31" s="185"/>
      <c r="G31" s="151" t="s">
        <v>944</v>
      </c>
      <c r="I31" s="151">
        <v>209104</v>
      </c>
    </row>
    <row r="32" spans="1:11">
      <c r="A32" s="191"/>
      <c r="B32" s="1" t="s">
        <v>897</v>
      </c>
      <c r="C32" s="185">
        <v>138359</v>
      </c>
      <c r="D32" s="186"/>
      <c r="E32" s="185"/>
    </row>
    <row r="33" spans="1:13">
      <c r="A33" s="191"/>
      <c r="B33" s="1" t="s">
        <v>898</v>
      </c>
      <c r="C33" s="185">
        <v>482066</v>
      </c>
      <c r="D33" s="186"/>
      <c r="E33" s="185"/>
    </row>
    <row r="34" spans="1:13">
      <c r="A34" s="191"/>
      <c r="B34" s="1" t="s">
        <v>899</v>
      </c>
      <c r="C34" s="185">
        <v>470795</v>
      </c>
      <c r="D34" s="186"/>
      <c r="E34" s="185"/>
    </row>
    <row r="35" spans="1:13">
      <c r="A35" s="191"/>
      <c r="B35" s="1" t="s">
        <v>1031</v>
      </c>
      <c r="C35" s="193">
        <f>403432</f>
        <v>403432</v>
      </c>
      <c r="D35" s="186"/>
      <c r="E35" s="185"/>
      <c r="F35" s="151">
        <f>+C35*25.75%</f>
        <v>103883.74</v>
      </c>
    </row>
    <row r="36" spans="1:13">
      <c r="A36" s="191"/>
      <c r="B36" s="1"/>
      <c r="C36" s="196">
        <f>SUM(C32:C35)</f>
        <v>1494652</v>
      </c>
      <c r="D36" s="186">
        <f>+C36</f>
        <v>1494652</v>
      </c>
      <c r="E36" s="185">
        <f>ROUND(D36*I15%,0)</f>
        <v>384873</v>
      </c>
      <c r="F36" s="200">
        <f>+F42-F39</f>
        <v>242455.25301905908</v>
      </c>
      <c r="G36" s="201">
        <f>+E36-F36</f>
        <v>142417.74698094092</v>
      </c>
    </row>
    <row r="37" spans="1:13">
      <c r="A37" s="191"/>
      <c r="B37" s="5" t="s">
        <v>900</v>
      </c>
      <c r="C37" s="185"/>
      <c r="D37" s="186"/>
      <c r="E37" s="185"/>
    </row>
    <row r="38" spans="1:13">
      <c r="A38" s="191"/>
      <c r="B38" s="1" t="s">
        <v>901</v>
      </c>
      <c r="C38" s="185">
        <f>4118444</f>
        <v>4118444</v>
      </c>
      <c r="D38" s="186"/>
      <c r="E38" s="185"/>
    </row>
    <row r="39" spans="1:13">
      <c r="A39" s="191"/>
      <c r="B39" s="1" t="s">
        <v>902</v>
      </c>
      <c r="C39" s="185">
        <f>10586171</f>
        <v>10586171</v>
      </c>
      <c r="D39" s="186"/>
      <c r="E39" s="185"/>
      <c r="F39" s="200">
        <v>7638954.7469809409</v>
      </c>
    </row>
    <row r="40" spans="1:13">
      <c r="A40" s="191"/>
      <c r="B40" s="1" t="s">
        <v>903</v>
      </c>
      <c r="C40" s="185">
        <v>15265437</v>
      </c>
      <c r="D40" s="186"/>
      <c r="E40" s="185"/>
    </row>
    <row r="41" spans="1:13">
      <c r="A41" s="191"/>
      <c r="B41" s="1" t="s">
        <v>1035</v>
      </c>
      <c r="C41" s="185">
        <f>17121449</f>
        <v>17121449</v>
      </c>
      <c r="D41" s="186"/>
      <c r="E41" s="185"/>
      <c r="F41" s="200">
        <v>7638954.7469809409</v>
      </c>
      <c r="G41" s="201">
        <f>+E42-F39</f>
        <v>4487107.2530190591</v>
      </c>
      <c r="H41" s="201"/>
      <c r="J41" s="201"/>
      <c r="M41" s="151">
        <v>17121449</v>
      </c>
    </row>
    <row r="42" spans="1:13">
      <c r="A42" s="191"/>
      <c r="B42" s="1"/>
      <c r="C42" s="196">
        <f>SUM(C38:C41)</f>
        <v>47091501</v>
      </c>
      <c r="D42" s="186">
        <f>+C42</f>
        <v>47091501</v>
      </c>
      <c r="E42" s="185">
        <f>ROUND(D42*I15%,0)</f>
        <v>12126062</v>
      </c>
      <c r="F42" s="151">
        <v>7881410</v>
      </c>
      <c r="G42" s="201">
        <f>+E42+E36-F42</f>
        <v>4629525</v>
      </c>
      <c r="H42" s="201"/>
      <c r="I42" s="201">
        <f>+G41-G36</f>
        <v>4344689.5060381182</v>
      </c>
      <c r="M42" s="151">
        <v>403432</v>
      </c>
    </row>
    <row r="43" spans="1:13">
      <c r="A43" s="2"/>
      <c r="B43" s="1"/>
      <c r="C43" s="185"/>
      <c r="D43" s="186"/>
      <c r="E43" s="185"/>
      <c r="G43" s="201">
        <f>+G42-G49</f>
        <v>4487389.6320000011</v>
      </c>
      <c r="M43" s="151">
        <f>+M41+M42</f>
        <v>17524881</v>
      </c>
    </row>
    <row r="44" spans="1:13">
      <c r="A44" s="2"/>
      <c r="B44" s="1" t="s">
        <v>939</v>
      </c>
      <c r="C44" s="185"/>
      <c r="D44" s="186"/>
      <c r="E44" s="185"/>
      <c r="F44" s="202">
        <f>+E42/(E42+E36)*F42</f>
        <v>7638954.7469809409</v>
      </c>
      <c r="J44" s="201"/>
    </row>
    <row r="45" spans="1:13">
      <c r="A45" s="2"/>
      <c r="B45" s="1"/>
      <c r="C45" s="185"/>
      <c r="D45" s="186"/>
      <c r="E45" s="185"/>
    </row>
    <row r="46" spans="1:13">
      <c r="A46" s="2"/>
      <c r="B46" s="180" t="s">
        <v>904</v>
      </c>
      <c r="C46" s="203"/>
      <c r="D46" s="204"/>
      <c r="E46" s="183">
        <f>+E16+E23+E27+E42+E44+E36</f>
        <v>12694100</v>
      </c>
      <c r="F46" s="201"/>
    </row>
    <row r="47" spans="1:13">
      <c r="A47" s="2"/>
      <c r="B47" s="1"/>
      <c r="C47" s="185"/>
      <c r="D47" s="186"/>
      <c r="E47" s="185"/>
    </row>
    <row r="48" spans="1:13">
      <c r="A48" s="2"/>
      <c r="B48" s="1"/>
      <c r="C48" s="185"/>
      <c r="D48" s="186"/>
      <c r="E48" s="185"/>
    </row>
    <row r="49" spans="1:7">
      <c r="A49" s="2"/>
      <c r="B49" s="1" t="s">
        <v>940</v>
      </c>
      <c r="C49" s="185"/>
      <c r="D49" s="186"/>
      <c r="E49" s="185">
        <v>12791539.2358</v>
      </c>
      <c r="F49" s="151">
        <v>12649403.867800001</v>
      </c>
      <c r="G49" s="201">
        <f>+E49-F49</f>
        <v>142135.36799999885</v>
      </c>
    </row>
    <row r="50" spans="1:7">
      <c r="A50" s="2"/>
      <c r="B50" s="1" t="s">
        <v>57</v>
      </c>
      <c r="C50" s="185"/>
      <c r="D50" s="186"/>
      <c r="E50" s="185"/>
    </row>
    <row r="51" spans="1:7">
      <c r="A51" s="2"/>
      <c r="B51" s="5" t="s">
        <v>905</v>
      </c>
      <c r="C51" s="185"/>
      <c r="D51" s="186"/>
      <c r="E51" s="185"/>
    </row>
    <row r="52" spans="1:7">
      <c r="A52" s="2"/>
      <c r="B52" s="1" t="s">
        <v>906</v>
      </c>
      <c r="C52" s="185"/>
      <c r="D52" s="186"/>
      <c r="E52" s="185"/>
    </row>
    <row r="53" spans="1:7">
      <c r="A53" s="2"/>
      <c r="B53" s="1"/>
      <c r="C53" s="185"/>
      <c r="D53" s="186"/>
      <c r="E53" s="185"/>
    </row>
    <row r="54" spans="1:7">
      <c r="A54" s="2"/>
      <c r="B54" s="1" t="s">
        <v>939</v>
      </c>
      <c r="C54" s="185"/>
      <c r="D54" s="186"/>
      <c r="E54" s="185">
        <v>-4488703</v>
      </c>
      <c r="G54" s="201">
        <f>+E49+E54</f>
        <v>8302836.2357999999</v>
      </c>
    </row>
    <row r="55" spans="1:7">
      <c r="A55" s="2"/>
      <c r="B55" s="1"/>
      <c r="C55" s="185"/>
      <c r="D55" s="186"/>
      <c r="E55" s="185"/>
    </row>
    <row r="56" spans="1:7">
      <c r="A56" s="2"/>
      <c r="B56" s="5" t="s">
        <v>907</v>
      </c>
      <c r="C56" s="185"/>
      <c r="D56" s="186"/>
      <c r="E56" s="185"/>
    </row>
    <row r="57" spans="1:7">
      <c r="A57" s="2"/>
      <c r="B57" s="1" t="s">
        <v>908</v>
      </c>
      <c r="C57" s="185"/>
      <c r="D57" s="186"/>
      <c r="E57" s="185">
        <f>E22</f>
        <v>-68695</v>
      </c>
    </row>
    <row r="58" spans="1:7">
      <c r="A58" s="2"/>
      <c r="B58" s="1"/>
      <c r="C58" s="185"/>
      <c r="D58" s="186"/>
      <c r="E58" s="185"/>
    </row>
    <row r="59" spans="1:7" ht="15" thickBot="1">
      <c r="A59" s="2"/>
      <c r="B59" s="5" t="s">
        <v>942</v>
      </c>
      <c r="C59" s="196"/>
      <c r="D59" s="205"/>
      <c r="E59" s="195">
        <f>SUM(E49:E58)</f>
        <v>8234141.2357999999</v>
      </c>
    </row>
    <row r="60" spans="1:7" ht="15" thickTop="1">
      <c r="A60" s="2"/>
      <c r="B60" s="1"/>
      <c r="C60" s="185"/>
      <c r="D60" s="186"/>
      <c r="E60" s="185"/>
    </row>
    <row r="61" spans="1:7" s="206" customFormat="1">
      <c r="A61" s="3"/>
      <c r="B61" s="5" t="s">
        <v>941</v>
      </c>
      <c r="C61" s="196"/>
      <c r="D61" s="205"/>
      <c r="E61" s="196">
        <f>E59-E49</f>
        <v>-4557398</v>
      </c>
    </row>
    <row r="62" spans="1:7">
      <c r="A62" s="207"/>
      <c r="B62" s="208"/>
      <c r="C62" s="209"/>
      <c r="D62" s="210"/>
      <c r="E62" s="209"/>
    </row>
    <row r="63" spans="1:7">
      <c r="A63" s="211"/>
      <c r="B63" s="1"/>
      <c r="C63" s="212"/>
      <c r="D63" s="212"/>
      <c r="E63" s="212"/>
    </row>
    <row r="64" spans="1:7">
      <c r="A64" s="1"/>
      <c r="B64" s="1"/>
      <c r="C64" s="174"/>
      <c r="D64" s="174"/>
      <c r="E64" s="174"/>
    </row>
    <row r="65" spans="1:8">
      <c r="A65" s="1"/>
      <c r="B65" s="5" t="s">
        <v>0</v>
      </c>
      <c r="C65" s="174"/>
      <c r="D65" s="213" t="s">
        <v>909</v>
      </c>
      <c r="E65" s="213" t="s">
        <v>910</v>
      </c>
      <c r="F65" s="213" t="s">
        <v>911</v>
      </c>
      <c r="G65" s="213" t="s">
        <v>1038</v>
      </c>
    </row>
    <row r="66" spans="1:8">
      <c r="A66" s="1"/>
      <c r="B66" s="1"/>
      <c r="C66" s="174"/>
      <c r="D66" s="174"/>
      <c r="E66" s="174"/>
      <c r="F66" s="174"/>
    </row>
    <row r="67" spans="1:8">
      <c r="A67" s="1"/>
      <c r="B67" s="1" t="s">
        <v>912</v>
      </c>
      <c r="C67" s="174"/>
      <c r="D67" s="174">
        <f>C32+C38</f>
        <v>4256803</v>
      </c>
      <c r="E67" s="174">
        <v>11068237</v>
      </c>
      <c r="F67" s="174">
        <v>15736232</v>
      </c>
      <c r="G67" s="201">
        <f>+C35+C41</f>
        <v>17524881</v>
      </c>
    </row>
    <row r="68" spans="1:8">
      <c r="A68" s="1"/>
      <c r="B68" s="1"/>
      <c r="C68" s="174"/>
      <c r="D68" s="174"/>
      <c r="E68" s="174"/>
      <c r="F68" s="174"/>
    </row>
    <row r="69" spans="1:8">
      <c r="A69" s="1"/>
      <c r="B69" s="1" t="s">
        <v>913</v>
      </c>
      <c r="C69" s="174"/>
      <c r="D69" s="175">
        <f>+C32</f>
        <v>138359</v>
      </c>
      <c r="E69" s="175">
        <f>+C33</f>
        <v>482066</v>
      </c>
      <c r="F69" s="175">
        <v>470795</v>
      </c>
      <c r="G69" s="214">
        <f>+C35</f>
        <v>403432</v>
      </c>
      <c r="H69" s="201"/>
    </row>
    <row r="70" spans="1:8">
      <c r="A70" s="1"/>
      <c r="B70" s="1" t="s">
        <v>914</v>
      </c>
      <c r="C70" s="174"/>
      <c r="D70" s="174">
        <f>+D67-D69</f>
        <v>4118444</v>
      </c>
      <c r="E70" s="174">
        <f>+E67-E69</f>
        <v>10586171</v>
      </c>
      <c r="F70" s="174">
        <f>+F67-F69</f>
        <v>15265437</v>
      </c>
      <c r="G70" s="174">
        <f>+G67-G69</f>
        <v>17121449</v>
      </c>
    </row>
    <row r="71" spans="1:8">
      <c r="A71" s="1"/>
      <c r="B71" s="1"/>
      <c r="C71" s="174"/>
      <c r="D71" s="174"/>
      <c r="E71" s="174"/>
    </row>
    <row r="72" spans="1:8">
      <c r="A72" s="1"/>
      <c r="B72" s="1"/>
      <c r="C72" s="174"/>
      <c r="D72" s="174"/>
      <c r="E72" s="174"/>
    </row>
    <row r="73" spans="1:8">
      <c r="A73" s="1"/>
      <c r="B73" s="1"/>
      <c r="C73" s="174"/>
      <c r="D73" s="174"/>
      <c r="E73" s="174"/>
    </row>
    <row r="74" spans="1:8">
      <c r="A74" s="1"/>
      <c r="B74" s="1"/>
      <c r="C74" s="174"/>
      <c r="D74" s="174"/>
      <c r="E74" s="174"/>
    </row>
    <row r="75" spans="1:8">
      <c r="A75" s="1"/>
      <c r="B75" s="1"/>
      <c r="C75" s="174"/>
      <c r="D75" s="174"/>
      <c r="E75" s="174"/>
    </row>
  </sheetData>
  <mergeCells count="2">
    <mergeCell ref="A1:E1"/>
    <mergeCell ref="A2:E2"/>
  </mergeCell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71"/>
  <sheetViews>
    <sheetView showGridLines="0" topLeftCell="A31" workbookViewId="0">
      <selection activeCell="C31" sqref="A1:XFD1048576"/>
    </sheetView>
  </sheetViews>
  <sheetFormatPr defaultColWidth="9.21875" defaultRowHeight="14.4"/>
  <cols>
    <col min="1" max="1" width="6.21875" style="179" customWidth="1"/>
    <col min="2" max="2" width="21.5546875" style="179" customWidth="1"/>
    <col min="3" max="3" width="16.44140625" style="173" customWidth="1"/>
    <col min="4" max="4" width="6.44140625" style="173" customWidth="1"/>
    <col min="5" max="5" width="17.21875" style="173" customWidth="1"/>
    <col min="6" max="6" width="16" style="173" customWidth="1"/>
    <col min="7" max="7" width="19.21875" style="173" customWidth="1"/>
    <col min="8" max="8" width="17.21875" style="173" customWidth="1"/>
    <col min="9" max="9" width="13.21875" style="173" customWidth="1"/>
    <col min="10" max="10" width="12.77734375" style="173" bestFit="1" customWidth="1"/>
    <col min="11" max="11" width="14.77734375" style="173" customWidth="1"/>
    <col min="12" max="12" width="17.5546875" style="173" customWidth="1"/>
    <col min="13" max="13" width="16.44140625" style="173" customWidth="1"/>
    <col min="14" max="14" width="13.77734375" style="173" customWidth="1"/>
    <col min="15" max="15" width="12.77734375" style="173" bestFit="1" customWidth="1"/>
    <col min="16" max="16" width="11.77734375" style="173" customWidth="1"/>
    <col min="17" max="16384" width="9.21875" style="164"/>
  </cols>
  <sheetData>
    <row r="1" spans="1:16">
      <c r="A1" s="164"/>
      <c r="B1" s="164"/>
      <c r="C1" s="164"/>
      <c r="D1" s="164"/>
      <c r="E1" s="164"/>
      <c r="F1" s="164"/>
      <c r="G1" s="164"/>
      <c r="H1" s="164"/>
      <c r="I1" s="164"/>
      <c r="J1" s="164"/>
      <c r="K1" s="164"/>
      <c r="L1" s="164"/>
      <c r="M1" s="164"/>
      <c r="N1" s="164"/>
      <c r="O1" s="164"/>
      <c r="P1" s="164"/>
    </row>
    <row r="2" spans="1:16">
      <c r="A2" s="1387"/>
      <c r="B2" s="1387"/>
      <c r="C2" s="1387"/>
      <c r="D2" s="1387"/>
      <c r="E2" s="1387"/>
      <c r="F2" s="1387"/>
      <c r="G2" s="1387"/>
      <c r="H2" s="1387"/>
      <c r="I2" s="1387"/>
      <c r="J2" s="1387"/>
      <c r="K2" s="1387"/>
      <c r="L2" s="1387"/>
      <c r="M2" s="1387"/>
      <c r="N2" s="1387"/>
      <c r="O2" s="1387"/>
      <c r="P2" s="1387"/>
    </row>
    <row r="3" spans="1:16" ht="15.6">
      <c r="A3" s="1388" t="s">
        <v>94</v>
      </c>
      <c r="B3" s="1388"/>
      <c r="C3" s="1388"/>
      <c r="D3" s="1388"/>
      <c r="E3" s="1388"/>
      <c r="F3" s="1388"/>
      <c r="G3" s="1388"/>
      <c r="H3" s="1388"/>
      <c r="I3" s="1388"/>
      <c r="J3" s="1388"/>
      <c r="K3" s="1388"/>
      <c r="L3" s="1388"/>
      <c r="M3" s="1388"/>
      <c r="N3" s="1388"/>
      <c r="O3" s="1388"/>
      <c r="P3" s="1388"/>
    </row>
    <row r="4" spans="1:16">
      <c r="A4" s="1385" t="s">
        <v>1040</v>
      </c>
      <c r="B4" s="1385"/>
      <c r="C4" s="1385"/>
      <c r="D4" s="1385"/>
      <c r="E4" s="1385"/>
      <c r="F4" s="1385"/>
      <c r="G4" s="1385"/>
      <c r="H4" s="1385"/>
      <c r="I4" s="1385"/>
      <c r="J4" s="1385"/>
      <c r="K4" s="1385"/>
      <c r="L4" s="1385"/>
      <c r="M4" s="1385"/>
      <c r="N4" s="1385"/>
      <c r="O4" s="1385"/>
      <c r="P4" s="1385"/>
    </row>
    <row r="5" spans="1:16">
      <c r="A5" s="1385"/>
      <c r="B5" s="1385"/>
      <c r="C5" s="1385"/>
      <c r="D5" s="1385"/>
      <c r="E5" s="1385"/>
      <c r="F5" s="1385"/>
      <c r="G5" s="1385"/>
      <c r="H5" s="1385"/>
      <c r="I5" s="1385"/>
      <c r="J5" s="1385"/>
      <c r="K5" s="1385"/>
      <c r="L5" s="1385"/>
      <c r="M5" s="1385"/>
      <c r="N5" s="1385"/>
      <c r="O5" s="1385"/>
      <c r="P5" s="1385"/>
    </row>
    <row r="6" spans="1:16">
      <c r="A6" s="1385"/>
      <c r="B6" s="1385"/>
      <c r="C6" s="1385"/>
      <c r="D6" s="1385"/>
      <c r="E6" s="1385"/>
      <c r="F6" s="1385"/>
      <c r="G6" s="1385"/>
      <c r="H6" s="1385"/>
      <c r="I6" s="1385"/>
      <c r="J6" s="1385"/>
      <c r="K6" s="1385"/>
      <c r="L6" s="1385"/>
      <c r="M6" s="1385"/>
      <c r="N6" s="1385"/>
      <c r="O6" s="1385"/>
      <c r="P6" s="1385"/>
    </row>
    <row r="7" spans="1:16">
      <c r="A7" s="1384"/>
      <c r="B7" s="1384"/>
      <c r="C7" s="1384"/>
      <c r="D7" s="1384"/>
      <c r="E7" s="1386" t="s">
        <v>916</v>
      </c>
      <c r="F7" s="1386"/>
      <c r="G7" s="1386" t="s">
        <v>917</v>
      </c>
      <c r="H7" s="1386"/>
      <c r="I7" s="1386"/>
      <c r="J7" s="1386"/>
      <c r="K7" s="1386"/>
      <c r="L7" s="1386"/>
      <c r="M7" s="1386"/>
      <c r="N7" s="1386"/>
      <c r="O7" s="1386"/>
      <c r="P7" s="1386"/>
    </row>
    <row r="8" spans="1:16" ht="41.4">
      <c r="A8" s="165" t="s">
        <v>918</v>
      </c>
      <c r="B8" s="165" t="s">
        <v>919</v>
      </c>
      <c r="C8" s="166" t="s">
        <v>920</v>
      </c>
      <c r="D8" s="166" t="s">
        <v>921</v>
      </c>
      <c r="E8" s="166" t="s">
        <v>922</v>
      </c>
      <c r="F8" s="166" t="s">
        <v>923</v>
      </c>
      <c r="G8" s="166" t="s">
        <v>922</v>
      </c>
      <c r="H8" s="166" t="s">
        <v>923</v>
      </c>
      <c r="I8" s="166" t="s">
        <v>924</v>
      </c>
      <c r="J8" s="166" t="s">
        <v>51</v>
      </c>
      <c r="K8" s="166" t="s">
        <v>57</v>
      </c>
      <c r="L8" s="166" t="s">
        <v>925</v>
      </c>
      <c r="M8" s="166" t="s">
        <v>926</v>
      </c>
      <c r="N8" s="166" t="s">
        <v>927</v>
      </c>
      <c r="O8" s="166" t="s">
        <v>928</v>
      </c>
      <c r="P8" s="166" t="s">
        <v>929</v>
      </c>
    </row>
    <row r="9" spans="1:16">
      <c r="A9" s="167">
        <v>1</v>
      </c>
      <c r="B9" s="168" t="s">
        <v>930</v>
      </c>
      <c r="C9" s="169">
        <v>644693</v>
      </c>
      <c r="D9" s="170" t="s">
        <v>931</v>
      </c>
      <c r="E9" s="169">
        <v>15678</v>
      </c>
      <c r="F9" s="169">
        <v>0</v>
      </c>
      <c r="G9" s="169">
        <v>0</v>
      </c>
      <c r="H9" s="171">
        <v>0</v>
      </c>
      <c r="I9" s="169">
        <v>0</v>
      </c>
      <c r="J9" s="169">
        <f>C9+E9+F9-G9-H9+I9</f>
        <v>660371</v>
      </c>
      <c r="K9" s="172">
        <f>ROUND((E9+C9)*D9+(F9/2)*D9,0)</f>
        <v>165093</v>
      </c>
      <c r="L9" s="169">
        <v>0</v>
      </c>
      <c r="M9" s="169">
        <v>0</v>
      </c>
      <c r="N9" s="169">
        <f>+K9</f>
        <v>165093</v>
      </c>
      <c r="O9" s="169">
        <f>J9-M9-N9</f>
        <v>495278</v>
      </c>
      <c r="P9" s="169" t="s">
        <v>932</v>
      </c>
    </row>
    <row r="10" spans="1:16">
      <c r="A10" s="167">
        <v>2</v>
      </c>
      <c r="B10" s="168" t="s">
        <v>933</v>
      </c>
      <c r="C10" s="169">
        <v>833616</v>
      </c>
      <c r="D10" s="170" t="s">
        <v>934</v>
      </c>
      <c r="E10" s="169">
        <v>0</v>
      </c>
      <c r="F10" s="169">
        <v>171948</v>
      </c>
      <c r="G10" s="169">
        <v>0</v>
      </c>
      <c r="H10" s="171">
        <v>0</v>
      </c>
      <c r="I10" s="169">
        <v>0</v>
      </c>
      <c r="J10" s="169">
        <f>C10+E10+F10-G10-H10+I10</f>
        <v>1005564</v>
      </c>
      <c r="K10" s="173">
        <f>(E10+C10)*D10+(F10/2)*D10</f>
        <v>91959</v>
      </c>
      <c r="L10" s="169">
        <v>0</v>
      </c>
      <c r="M10" s="169">
        <v>0</v>
      </c>
      <c r="N10" s="169">
        <f>+K10</f>
        <v>91959</v>
      </c>
      <c r="O10" s="169">
        <f>J10-M10-N10</f>
        <v>913605</v>
      </c>
      <c r="P10" s="169" t="s">
        <v>932</v>
      </c>
    </row>
    <row r="11" spans="1:16" ht="27.6">
      <c r="A11" s="167">
        <v>3</v>
      </c>
      <c r="B11" s="168" t="s">
        <v>1041</v>
      </c>
      <c r="C11" s="169">
        <v>218076</v>
      </c>
      <c r="D11" s="170" t="s">
        <v>935</v>
      </c>
      <c r="E11" s="169">
        <v>0</v>
      </c>
      <c r="F11" s="169">
        <v>0</v>
      </c>
      <c r="G11" s="169">
        <v>0</v>
      </c>
      <c r="H11" s="171">
        <v>0</v>
      </c>
      <c r="I11" s="169">
        <v>0</v>
      </c>
      <c r="J11" s="169">
        <f>C11+E11+F11-G11-H11+I11</f>
        <v>218076</v>
      </c>
      <c r="K11" s="173">
        <f>ROUND((E11+C11)*D11+(F11/2)*D11,0)</f>
        <v>87230</v>
      </c>
      <c r="L11" s="169">
        <v>0</v>
      </c>
      <c r="M11" s="169">
        <v>0</v>
      </c>
      <c r="N11" s="169">
        <f>+K11</f>
        <v>87230</v>
      </c>
      <c r="O11" s="169">
        <f>J11-M11-N11</f>
        <v>130846</v>
      </c>
      <c r="P11" s="169" t="s">
        <v>932</v>
      </c>
    </row>
    <row r="12" spans="1:16">
      <c r="A12" s="167">
        <v>4</v>
      </c>
      <c r="B12" s="168" t="s">
        <v>936</v>
      </c>
      <c r="C12" s="174">
        <v>324806</v>
      </c>
      <c r="D12" s="174" t="s">
        <v>937</v>
      </c>
      <c r="E12" s="174">
        <v>53074</v>
      </c>
      <c r="F12" s="174">
        <v>32909</v>
      </c>
      <c r="G12" s="174">
        <v>0</v>
      </c>
      <c r="H12" s="174">
        <v>0</v>
      </c>
      <c r="I12" s="26">
        <v>0</v>
      </c>
      <c r="J12" s="175">
        <f>C12+E12+F12-G12-H12+I12</f>
        <v>410789</v>
      </c>
      <c r="K12" s="176">
        <f>ROUND((E12+C12)*D12+(F12/2)*D12,0)</f>
        <v>59150</v>
      </c>
      <c r="L12" s="169">
        <v>0</v>
      </c>
      <c r="M12" s="169">
        <v>0</v>
      </c>
      <c r="N12" s="169">
        <f>+K12</f>
        <v>59150</v>
      </c>
      <c r="O12" s="169">
        <f>J12-M12-N12</f>
        <v>351639</v>
      </c>
      <c r="P12" s="169" t="s">
        <v>932</v>
      </c>
    </row>
    <row r="13" spans="1:16">
      <c r="A13" s="1384" t="s">
        <v>51</v>
      </c>
      <c r="B13" s="1384"/>
      <c r="C13" s="177">
        <f>SUM(C9:C12)</f>
        <v>2021191</v>
      </c>
      <c r="D13" s="178"/>
      <c r="E13" s="177">
        <f t="shared" ref="E13:O13" si="0">SUM(E9:E12)</f>
        <v>68752</v>
      </c>
      <c r="F13" s="177">
        <f t="shared" si="0"/>
        <v>204857</v>
      </c>
      <c r="G13" s="177">
        <f t="shared" si="0"/>
        <v>0</v>
      </c>
      <c r="H13" s="177">
        <f t="shared" si="0"/>
        <v>0</v>
      </c>
      <c r="I13" s="177">
        <f t="shared" si="0"/>
        <v>0</v>
      </c>
      <c r="J13" s="177">
        <f t="shared" si="0"/>
        <v>2294800</v>
      </c>
      <c r="K13" s="177">
        <f>SUM(K9:K12)</f>
        <v>403432</v>
      </c>
      <c r="L13" s="177">
        <f t="shared" si="0"/>
        <v>0</v>
      </c>
      <c r="M13" s="177">
        <f t="shared" si="0"/>
        <v>0</v>
      </c>
      <c r="N13" s="177">
        <f t="shared" si="0"/>
        <v>403432</v>
      </c>
      <c r="O13" s="177">
        <f t="shared" si="0"/>
        <v>1891368</v>
      </c>
      <c r="P13" s="166"/>
    </row>
    <row r="14" spans="1:16">
      <c r="A14" s="1389"/>
      <c r="B14" s="1389"/>
      <c r="C14" s="1389"/>
      <c r="D14" s="1389"/>
      <c r="E14" s="1389"/>
      <c r="F14" s="1389"/>
      <c r="G14" s="1389"/>
      <c r="H14" s="1389"/>
      <c r="I14" s="1389"/>
      <c r="J14" s="1389"/>
      <c r="K14" s="1389"/>
      <c r="L14" s="1389"/>
      <c r="M14" s="1389"/>
      <c r="N14" s="1389"/>
      <c r="O14" s="1389"/>
      <c r="P14" s="1389"/>
    </row>
    <row r="17" spans="1:16" ht="15.6">
      <c r="A17" s="1388" t="s">
        <v>94</v>
      </c>
      <c r="B17" s="1388"/>
      <c r="C17" s="1388"/>
      <c r="D17" s="1388"/>
      <c r="E17" s="1388"/>
      <c r="F17" s="1388"/>
      <c r="G17" s="1388"/>
      <c r="H17" s="1388"/>
      <c r="I17" s="1388"/>
      <c r="J17" s="1388"/>
      <c r="K17" s="1388"/>
      <c r="L17" s="1388"/>
      <c r="M17" s="1388"/>
      <c r="N17" s="1388"/>
      <c r="O17" s="1388"/>
      <c r="P17" s="1388"/>
    </row>
    <row r="18" spans="1:16">
      <c r="A18" s="1385" t="s">
        <v>1104</v>
      </c>
      <c r="B18" s="1385"/>
      <c r="C18" s="1385"/>
      <c r="D18" s="1385"/>
      <c r="E18" s="1385"/>
      <c r="F18" s="1385"/>
      <c r="G18" s="1385"/>
      <c r="H18" s="1385"/>
      <c r="I18" s="1385"/>
      <c r="J18" s="1385"/>
      <c r="K18" s="1385"/>
      <c r="L18" s="1385"/>
      <c r="M18" s="1385"/>
      <c r="N18" s="1385"/>
      <c r="O18" s="1385"/>
      <c r="P18" s="1385"/>
    </row>
    <row r="19" spans="1:16">
      <c r="A19" s="1385"/>
      <c r="B19" s="1385"/>
      <c r="C19" s="1385"/>
      <c r="D19" s="1385"/>
      <c r="E19" s="1385"/>
      <c r="F19" s="1385"/>
      <c r="G19" s="1385"/>
      <c r="H19" s="1385"/>
      <c r="I19" s="1385"/>
      <c r="J19" s="1385"/>
      <c r="K19" s="1385"/>
      <c r="L19" s="1385"/>
      <c r="M19" s="1385"/>
      <c r="N19" s="1385"/>
      <c r="O19" s="1385"/>
      <c r="P19" s="1385"/>
    </row>
    <row r="20" spans="1:16">
      <c r="A20" s="1385"/>
      <c r="B20" s="1385"/>
      <c r="C20" s="1385"/>
      <c r="D20" s="1385"/>
      <c r="E20" s="1385"/>
      <c r="F20" s="1385"/>
      <c r="G20" s="1385"/>
      <c r="H20" s="1385"/>
      <c r="I20" s="1385"/>
      <c r="J20" s="1385"/>
      <c r="K20" s="1385"/>
      <c r="L20" s="1385"/>
      <c r="M20" s="1385"/>
      <c r="N20" s="1385"/>
      <c r="O20" s="1385"/>
      <c r="P20" s="1385"/>
    </row>
    <row r="21" spans="1:16">
      <c r="A21" s="1384"/>
      <c r="B21" s="1384"/>
      <c r="C21" s="1384"/>
      <c r="D21" s="1384"/>
      <c r="E21" s="1386" t="s">
        <v>916</v>
      </c>
      <c r="F21" s="1386"/>
      <c r="G21" s="1386" t="s">
        <v>917</v>
      </c>
      <c r="H21" s="1386"/>
      <c r="I21" s="1386"/>
      <c r="J21" s="1386"/>
      <c r="K21" s="1386"/>
      <c r="L21" s="1386"/>
      <c r="M21" s="1386"/>
      <c r="N21" s="1386"/>
      <c r="O21" s="1386"/>
      <c r="P21" s="1386"/>
    </row>
    <row r="22" spans="1:16" ht="41.4">
      <c r="A22" s="165" t="s">
        <v>918</v>
      </c>
      <c r="B22" s="165" t="s">
        <v>919</v>
      </c>
      <c r="C22" s="166" t="s">
        <v>920</v>
      </c>
      <c r="D22" s="166" t="s">
        <v>921</v>
      </c>
      <c r="E22" s="166" t="s">
        <v>922</v>
      </c>
      <c r="F22" s="166" t="s">
        <v>923</v>
      </c>
      <c r="G22" s="166" t="s">
        <v>922</v>
      </c>
      <c r="H22" s="166" t="s">
        <v>923</v>
      </c>
      <c r="I22" s="166" t="s">
        <v>924</v>
      </c>
      <c r="J22" s="166" t="s">
        <v>51</v>
      </c>
      <c r="K22" s="166" t="s">
        <v>57</v>
      </c>
      <c r="L22" s="166" t="s">
        <v>925</v>
      </c>
      <c r="M22" s="166" t="s">
        <v>926</v>
      </c>
      <c r="N22" s="166" t="s">
        <v>927</v>
      </c>
      <c r="O22" s="166" t="s">
        <v>928</v>
      </c>
      <c r="P22" s="166" t="s">
        <v>929</v>
      </c>
    </row>
    <row r="23" spans="1:16">
      <c r="A23" s="167">
        <v>1</v>
      </c>
      <c r="B23" s="168" t="s">
        <v>930</v>
      </c>
      <c r="C23" s="169">
        <f>+O9</f>
        <v>495278</v>
      </c>
      <c r="D23" s="170" t="s">
        <v>931</v>
      </c>
      <c r="E23" s="169">
        <v>0</v>
      </c>
      <c r="F23" s="169">
        <v>25000</v>
      </c>
      <c r="G23" s="169">
        <v>0</v>
      </c>
      <c r="H23" s="169">
        <v>0</v>
      </c>
      <c r="I23" s="169">
        <v>0</v>
      </c>
      <c r="J23" s="169">
        <f>C23+E23+F23-G23-H23+I23</f>
        <v>520278</v>
      </c>
      <c r="K23" s="178">
        <f>ROUND((E23+C23)*D23+(F23/2)*D23,0)</f>
        <v>126945</v>
      </c>
      <c r="L23" s="169">
        <v>0</v>
      </c>
      <c r="M23" s="169">
        <v>0</v>
      </c>
      <c r="N23" s="169">
        <f>+K23+L23+M23</f>
        <v>126945</v>
      </c>
      <c r="O23" s="169">
        <f>J23-M23-N23</f>
        <v>393333</v>
      </c>
      <c r="P23" s="169" t="s">
        <v>932</v>
      </c>
    </row>
    <row r="24" spans="1:16">
      <c r="A24" s="167">
        <v>2</v>
      </c>
      <c r="B24" s="168" t="s">
        <v>933</v>
      </c>
      <c r="C24" s="169">
        <f>+O10</f>
        <v>913605</v>
      </c>
      <c r="D24" s="170" t="s">
        <v>934</v>
      </c>
      <c r="E24" s="169">
        <v>0</v>
      </c>
      <c r="F24" s="169">
        <v>0</v>
      </c>
      <c r="G24" s="169">
        <v>0</v>
      </c>
      <c r="H24" s="169">
        <v>0</v>
      </c>
      <c r="I24" s="169">
        <v>0</v>
      </c>
      <c r="J24" s="169">
        <f>C24+E24+F24-G24-H24+I24</f>
        <v>913605</v>
      </c>
      <c r="K24" s="178">
        <f>ROUND((E24+C24)*D24+(F24/2)*D24,0)</f>
        <v>91361</v>
      </c>
      <c r="L24" s="169">
        <v>0</v>
      </c>
      <c r="M24" s="169">
        <v>0</v>
      </c>
      <c r="N24" s="169">
        <f>+K24+L24+M24</f>
        <v>91361</v>
      </c>
      <c r="O24" s="169">
        <f>J24-M24-N24</f>
        <v>822244</v>
      </c>
      <c r="P24" s="169" t="s">
        <v>932</v>
      </c>
    </row>
    <row r="25" spans="1:16" ht="27.6">
      <c r="A25" s="167">
        <v>3</v>
      </c>
      <c r="B25" s="168" t="s">
        <v>1041</v>
      </c>
      <c r="C25" s="169">
        <f>+O11</f>
        <v>130846</v>
      </c>
      <c r="D25" s="170" t="s">
        <v>935</v>
      </c>
      <c r="E25" s="169">
        <v>130977</v>
      </c>
      <c r="F25" s="169">
        <v>0</v>
      </c>
      <c r="G25" s="169">
        <v>0</v>
      </c>
      <c r="H25" s="169">
        <v>0</v>
      </c>
      <c r="I25" s="169">
        <v>0</v>
      </c>
      <c r="J25" s="169">
        <f>C25+E25+F25-G25-H25+I25</f>
        <v>261823</v>
      </c>
      <c r="K25" s="178">
        <f>ROUND((E25+C25)*D25+(F25/2)*D25,0)</f>
        <v>104729</v>
      </c>
      <c r="L25" s="169">
        <v>0</v>
      </c>
      <c r="M25" s="169">
        <v>0</v>
      </c>
      <c r="N25" s="169">
        <f>+K25+L25+M25</f>
        <v>104729</v>
      </c>
      <c r="O25" s="169">
        <f>J25-M25-N25</f>
        <v>157094</v>
      </c>
      <c r="P25" s="169" t="s">
        <v>932</v>
      </c>
    </row>
    <row r="26" spans="1:16">
      <c r="A26" s="167">
        <v>4</v>
      </c>
      <c r="B26" s="168" t="s">
        <v>936</v>
      </c>
      <c r="C26" s="169">
        <f>+O12</f>
        <v>351639</v>
      </c>
      <c r="D26" s="170" t="s">
        <v>937</v>
      </c>
      <c r="E26" s="169">
        <v>108354</v>
      </c>
      <c r="F26" s="169">
        <v>0</v>
      </c>
      <c r="G26" s="169">
        <v>0</v>
      </c>
      <c r="H26" s="169">
        <v>0</v>
      </c>
      <c r="I26" s="169">
        <v>0</v>
      </c>
      <c r="J26" s="169">
        <f>C26+E26+F26-G26-H26+I26</f>
        <v>459993</v>
      </c>
      <c r="K26" s="178">
        <f>ROUND((E26+C26)*D26+(F26/2)*D26,0)</f>
        <v>68999</v>
      </c>
      <c r="L26" s="169">
        <v>0</v>
      </c>
      <c r="M26" s="169">
        <v>0</v>
      </c>
      <c r="N26" s="169">
        <f>+K26+L26+M26</f>
        <v>68999</v>
      </c>
      <c r="O26" s="169">
        <f>J26-M26-N26</f>
        <v>390994</v>
      </c>
      <c r="P26" s="169" t="s">
        <v>932</v>
      </c>
    </row>
    <row r="27" spans="1:16">
      <c r="A27" s="1384" t="s">
        <v>51</v>
      </c>
      <c r="B27" s="1384"/>
      <c r="C27" s="177">
        <f>SUM(C23:C26)</f>
        <v>1891368</v>
      </c>
      <c r="D27" s="178"/>
      <c r="E27" s="177">
        <f t="shared" ref="E27:O27" si="1">SUM(E23:E26)</f>
        <v>239331</v>
      </c>
      <c r="F27" s="177">
        <f t="shared" si="1"/>
        <v>25000</v>
      </c>
      <c r="G27" s="177">
        <f t="shared" si="1"/>
        <v>0</v>
      </c>
      <c r="H27" s="177">
        <f t="shared" si="1"/>
        <v>0</v>
      </c>
      <c r="I27" s="177">
        <f t="shared" si="1"/>
        <v>0</v>
      </c>
      <c r="J27" s="177">
        <f t="shared" si="1"/>
        <v>2155699</v>
      </c>
      <c r="K27" s="177">
        <f t="shared" si="1"/>
        <v>392034</v>
      </c>
      <c r="L27" s="177">
        <f t="shared" si="1"/>
        <v>0</v>
      </c>
      <c r="M27" s="177">
        <f t="shared" si="1"/>
        <v>0</v>
      </c>
      <c r="N27" s="177">
        <f t="shared" si="1"/>
        <v>392034</v>
      </c>
      <c r="O27" s="177">
        <f t="shared" si="1"/>
        <v>1763665</v>
      </c>
      <c r="P27" s="166"/>
    </row>
    <row r="29" spans="1:16">
      <c r="A29" s="1385" t="s">
        <v>1343</v>
      </c>
      <c r="B29" s="1385"/>
      <c r="C29" s="1385"/>
      <c r="D29" s="1385"/>
      <c r="E29" s="1385"/>
      <c r="F29" s="1385"/>
      <c r="G29" s="1385"/>
      <c r="H29" s="1385"/>
      <c r="I29" s="1385"/>
      <c r="J29" s="1385"/>
      <c r="K29" s="1385"/>
      <c r="L29" s="1385"/>
      <c r="M29" s="1385"/>
      <c r="N29" s="1385"/>
      <c r="O29" s="1385"/>
      <c r="P29" s="1385"/>
    </row>
    <row r="32" spans="1:16">
      <c r="A32" s="1384"/>
      <c r="B32" s="1384"/>
      <c r="C32" s="1384"/>
      <c r="D32" s="1384"/>
      <c r="E32" s="1386" t="s">
        <v>916</v>
      </c>
      <c r="F32" s="1386"/>
      <c r="G32" s="1386" t="s">
        <v>917</v>
      </c>
      <c r="H32" s="1386"/>
      <c r="I32" s="1386"/>
      <c r="J32" s="1386"/>
      <c r="K32" s="1386"/>
      <c r="L32" s="1386"/>
      <c r="M32" s="1386"/>
      <c r="N32" s="1386"/>
      <c r="O32" s="1386"/>
      <c r="P32" s="1386"/>
    </row>
    <row r="33" spans="1:16" ht="41.4">
      <c r="A33" s="165" t="s">
        <v>918</v>
      </c>
      <c r="B33" s="165" t="s">
        <v>919</v>
      </c>
      <c r="C33" s="166" t="s">
        <v>920</v>
      </c>
      <c r="D33" s="166" t="s">
        <v>921</v>
      </c>
      <c r="E33" s="166" t="s">
        <v>922</v>
      </c>
      <c r="F33" s="166" t="s">
        <v>923</v>
      </c>
      <c r="G33" s="166" t="s">
        <v>922</v>
      </c>
      <c r="H33" s="166" t="s">
        <v>923</v>
      </c>
      <c r="I33" s="166" t="s">
        <v>924</v>
      </c>
      <c r="J33" s="166" t="s">
        <v>51</v>
      </c>
      <c r="K33" s="166" t="s">
        <v>57</v>
      </c>
      <c r="L33" s="166" t="s">
        <v>925</v>
      </c>
      <c r="M33" s="166" t="s">
        <v>926</v>
      </c>
      <c r="N33" s="166" t="s">
        <v>927</v>
      </c>
      <c r="O33" s="166" t="s">
        <v>928</v>
      </c>
      <c r="P33" s="166" t="s">
        <v>929</v>
      </c>
    </row>
    <row r="34" spans="1:16">
      <c r="A34" s="167">
        <v>1</v>
      </c>
      <c r="B34" s="168" t="s">
        <v>930</v>
      </c>
      <c r="C34" s="169">
        <f>+O23</f>
        <v>393333</v>
      </c>
      <c r="D34" s="170" t="s">
        <v>931</v>
      </c>
      <c r="E34" s="169">
        <v>0</v>
      </c>
      <c r="F34" s="169">
        <v>6000000</v>
      </c>
      <c r="G34" s="169">
        <v>0</v>
      </c>
      <c r="H34" s="169">
        <v>0</v>
      </c>
      <c r="I34" s="169">
        <v>0</v>
      </c>
      <c r="J34" s="169">
        <f>C34+E34+F34-G34-H34+I34</f>
        <v>6393333</v>
      </c>
      <c r="K34" s="178">
        <f>ROUND((E34+C34)*D34+(F34/2)*D34,0)</f>
        <v>848333</v>
      </c>
      <c r="L34" s="169">
        <v>0</v>
      </c>
      <c r="M34" s="169">
        <v>0</v>
      </c>
      <c r="N34" s="169">
        <f>+K34+L34+M34</f>
        <v>848333</v>
      </c>
      <c r="O34" s="169">
        <f>J34-M34-N34</f>
        <v>5545000</v>
      </c>
      <c r="P34" s="169" t="s">
        <v>932</v>
      </c>
    </row>
    <row r="35" spans="1:16">
      <c r="A35" s="167">
        <v>2</v>
      </c>
      <c r="B35" s="168" t="s">
        <v>933</v>
      </c>
      <c r="C35" s="169">
        <f>+O24</f>
        <v>822244</v>
      </c>
      <c r="D35" s="170" t="s">
        <v>934</v>
      </c>
      <c r="E35" s="169">
        <v>0</v>
      </c>
      <c r="F35" s="169">
        <v>0</v>
      </c>
      <c r="G35" s="169">
        <v>0</v>
      </c>
      <c r="H35" s="169">
        <v>0</v>
      </c>
      <c r="I35" s="169">
        <v>0</v>
      </c>
      <c r="J35" s="169">
        <f>C35+E35+F35-G35-H35+I35</f>
        <v>822244</v>
      </c>
      <c r="K35" s="178">
        <f>ROUND((E35+C35)*D35+(F35/2)*D35,0)</f>
        <v>82224</v>
      </c>
      <c r="L35" s="169">
        <v>0</v>
      </c>
      <c r="M35" s="169">
        <v>0</v>
      </c>
      <c r="N35" s="169">
        <f>+K35+L35+M35</f>
        <v>82224</v>
      </c>
      <c r="O35" s="169">
        <f>J35-M35-N35</f>
        <v>740020</v>
      </c>
      <c r="P35" s="169" t="s">
        <v>932</v>
      </c>
    </row>
    <row r="36" spans="1:16" ht="27.6">
      <c r="A36" s="167">
        <v>3</v>
      </c>
      <c r="B36" s="168" t="s">
        <v>1041</v>
      </c>
      <c r="C36" s="169">
        <f>+O25</f>
        <v>157094</v>
      </c>
      <c r="D36" s="170" t="s">
        <v>935</v>
      </c>
      <c r="E36" s="169">
        <v>0</v>
      </c>
      <c r="F36" s="169">
        <v>290491</v>
      </c>
      <c r="G36" s="169">
        <v>0</v>
      </c>
      <c r="H36" s="169">
        <v>0</v>
      </c>
      <c r="I36" s="169">
        <v>0</v>
      </c>
      <c r="J36" s="169">
        <f>C36+E36+F36-G36-H36+I36</f>
        <v>447585</v>
      </c>
      <c r="K36" s="178">
        <f>ROUND((E36+C36)*D36+(F36/2)*D36,0)</f>
        <v>120936</v>
      </c>
      <c r="L36" s="169">
        <v>0</v>
      </c>
      <c r="M36" s="169">
        <v>0</v>
      </c>
      <c r="N36" s="169">
        <f>+K36+L36+M36</f>
        <v>120936</v>
      </c>
      <c r="O36" s="169">
        <f>J36-M36-N36</f>
        <v>326649</v>
      </c>
      <c r="P36" s="169" t="s">
        <v>932</v>
      </c>
    </row>
    <row r="37" spans="1:16">
      <c r="A37" s="167">
        <v>4</v>
      </c>
      <c r="B37" s="168" t="s">
        <v>936</v>
      </c>
      <c r="C37" s="169">
        <f>+O26</f>
        <v>390994</v>
      </c>
      <c r="D37" s="170" t="s">
        <v>937</v>
      </c>
      <c r="E37" s="169">
        <v>0</v>
      </c>
      <c r="F37" s="169">
        <f>27753-6250</f>
        <v>21503</v>
      </c>
      <c r="G37" s="169">
        <v>0</v>
      </c>
      <c r="H37" s="169">
        <v>0</v>
      </c>
      <c r="I37" s="169">
        <v>0</v>
      </c>
      <c r="J37" s="169">
        <f>C37+E37+F37-G37-H37+I37</f>
        <v>412497</v>
      </c>
      <c r="K37" s="178">
        <f>ROUND((E37+C37)*D37+(F37/2)*D37,0)</f>
        <v>60262</v>
      </c>
      <c r="L37" s="169">
        <v>0</v>
      </c>
      <c r="M37" s="169">
        <v>0</v>
      </c>
      <c r="N37" s="169">
        <f>+K37+L37+M37</f>
        <v>60262</v>
      </c>
      <c r="O37" s="169">
        <f>J37-M37-N37</f>
        <v>352235</v>
      </c>
      <c r="P37" s="169" t="s">
        <v>932</v>
      </c>
    </row>
    <row r="38" spans="1:16">
      <c r="A38" s="1384" t="s">
        <v>51</v>
      </c>
      <c r="B38" s="1384"/>
      <c r="C38" s="177">
        <f>SUM(C34:C37)</f>
        <v>1763665</v>
      </c>
      <c r="D38" s="178"/>
      <c r="E38" s="177">
        <f t="shared" ref="E38:O38" si="2">SUM(E34:E37)</f>
        <v>0</v>
      </c>
      <c r="F38" s="177">
        <f t="shared" si="2"/>
        <v>6311994</v>
      </c>
      <c r="G38" s="177">
        <f t="shared" si="2"/>
        <v>0</v>
      </c>
      <c r="H38" s="177">
        <f t="shared" si="2"/>
        <v>0</v>
      </c>
      <c r="I38" s="177">
        <f t="shared" si="2"/>
        <v>0</v>
      </c>
      <c r="J38" s="177">
        <f t="shared" si="2"/>
        <v>8075659</v>
      </c>
      <c r="K38" s="177">
        <f t="shared" si="2"/>
        <v>1111755</v>
      </c>
      <c r="L38" s="177">
        <f t="shared" si="2"/>
        <v>0</v>
      </c>
      <c r="M38" s="177">
        <f t="shared" si="2"/>
        <v>0</v>
      </c>
      <c r="N38" s="177">
        <f t="shared" si="2"/>
        <v>1111755</v>
      </c>
      <c r="O38" s="177">
        <f t="shared" si="2"/>
        <v>6963904</v>
      </c>
      <c r="P38" s="166"/>
    </row>
    <row r="40" spans="1:16">
      <c r="A40" s="1385" t="s">
        <v>1344</v>
      </c>
      <c r="B40" s="1385"/>
      <c r="C40" s="1385"/>
      <c r="D40" s="1385"/>
      <c r="E40" s="1385"/>
      <c r="F40" s="1385"/>
      <c r="G40" s="1385"/>
      <c r="H40" s="1385"/>
      <c r="I40" s="1385"/>
      <c r="J40" s="1385"/>
      <c r="K40" s="1385"/>
      <c r="L40" s="1385"/>
      <c r="M40" s="1385"/>
      <c r="N40" s="1385"/>
      <c r="O40" s="1385"/>
      <c r="P40" s="1385"/>
    </row>
    <row r="43" spans="1:16">
      <c r="A43" s="1384"/>
      <c r="B43" s="1384"/>
      <c r="C43" s="1384"/>
      <c r="D43" s="1384"/>
      <c r="E43" s="1386" t="s">
        <v>916</v>
      </c>
      <c r="F43" s="1386"/>
      <c r="G43" s="1386" t="s">
        <v>917</v>
      </c>
      <c r="H43" s="1386"/>
      <c r="I43" s="1386"/>
      <c r="J43" s="1386"/>
      <c r="K43" s="1386"/>
      <c r="L43" s="1386"/>
      <c r="M43" s="1386"/>
      <c r="N43" s="1386"/>
      <c r="O43" s="1386"/>
      <c r="P43" s="1386"/>
    </row>
    <row r="44" spans="1:16" ht="41.4">
      <c r="A44" s="165" t="s">
        <v>918</v>
      </c>
      <c r="B44" s="165" t="s">
        <v>919</v>
      </c>
      <c r="C44" s="166" t="s">
        <v>920</v>
      </c>
      <c r="D44" s="166" t="s">
        <v>921</v>
      </c>
      <c r="E44" s="166" t="s">
        <v>922</v>
      </c>
      <c r="F44" s="166" t="s">
        <v>923</v>
      </c>
      <c r="G44" s="166" t="s">
        <v>922</v>
      </c>
      <c r="H44" s="166" t="s">
        <v>923</v>
      </c>
      <c r="I44" s="166" t="s">
        <v>924</v>
      </c>
      <c r="J44" s="166" t="s">
        <v>51</v>
      </c>
      <c r="K44" s="166" t="s">
        <v>57</v>
      </c>
      <c r="L44" s="166" t="s">
        <v>925</v>
      </c>
      <c r="M44" s="166" t="s">
        <v>926</v>
      </c>
      <c r="N44" s="166" t="s">
        <v>927</v>
      </c>
      <c r="O44" s="166" t="s">
        <v>928</v>
      </c>
      <c r="P44" s="166" t="s">
        <v>929</v>
      </c>
    </row>
    <row r="45" spans="1:16">
      <c r="A45" s="167">
        <v>1</v>
      </c>
      <c r="B45" s="168" t="s">
        <v>930</v>
      </c>
      <c r="C45" s="169">
        <f>+O34</f>
        <v>5545000</v>
      </c>
      <c r="D45" s="170" t="s">
        <v>931</v>
      </c>
      <c r="E45" s="169">
        <v>0</v>
      </c>
      <c r="F45" s="169">
        <v>12525600</v>
      </c>
      <c r="G45" s="169">
        <v>0</v>
      </c>
      <c r="H45" s="169">
        <v>0</v>
      </c>
      <c r="I45" s="169">
        <v>0</v>
      </c>
      <c r="J45" s="169">
        <f>C45+E45+F45-G45-H45+I45</f>
        <v>18070600</v>
      </c>
      <c r="K45" s="178">
        <f>ROUND((E45+C45)*D45+(F45/2)*D45,0)</f>
        <v>2951950</v>
      </c>
      <c r="L45" s="169">
        <v>0</v>
      </c>
      <c r="M45" s="169">
        <v>0</v>
      </c>
      <c r="N45" s="169">
        <f>+K45+L45+M45</f>
        <v>2951950</v>
      </c>
      <c r="O45" s="169">
        <f>J45-M45-N45</f>
        <v>15118650</v>
      </c>
      <c r="P45" s="169" t="s">
        <v>932</v>
      </c>
    </row>
    <row r="46" spans="1:16">
      <c r="A46" s="167">
        <v>2</v>
      </c>
      <c r="B46" s="168" t="s">
        <v>933</v>
      </c>
      <c r="C46" s="169">
        <f>+O35</f>
        <v>740020</v>
      </c>
      <c r="D46" s="170" t="s">
        <v>934</v>
      </c>
      <c r="E46" s="169">
        <v>70160</v>
      </c>
      <c r="F46" s="169">
        <v>436121</v>
      </c>
      <c r="G46" s="169">
        <v>0</v>
      </c>
      <c r="H46" s="169">
        <v>0</v>
      </c>
      <c r="I46" s="169">
        <v>0</v>
      </c>
      <c r="J46" s="169">
        <f>C46+E46+F46-G46-H46+I46</f>
        <v>1246301</v>
      </c>
      <c r="K46" s="178">
        <f>ROUND((E46+C46)*D46+(F46/2)*D46,0)</f>
        <v>102824</v>
      </c>
      <c r="L46" s="169">
        <v>0</v>
      </c>
      <c r="M46" s="169">
        <v>0</v>
      </c>
      <c r="N46" s="169">
        <f>+K46+L46+M46</f>
        <v>102824</v>
      </c>
      <c r="O46" s="169">
        <f>J46-M46-N46</f>
        <v>1143477</v>
      </c>
      <c r="P46" s="169" t="s">
        <v>932</v>
      </c>
    </row>
    <row r="47" spans="1:16" ht="27.6">
      <c r="A47" s="167">
        <v>3</v>
      </c>
      <c r="B47" s="168" t="s">
        <v>1041</v>
      </c>
      <c r="C47" s="169">
        <f>+O36</f>
        <v>326649</v>
      </c>
      <c r="D47" s="170" t="s">
        <v>935</v>
      </c>
      <c r="E47" s="169">
        <v>0</v>
      </c>
      <c r="F47" s="169">
        <v>0</v>
      </c>
      <c r="G47" s="169">
        <v>0</v>
      </c>
      <c r="H47" s="169">
        <v>0</v>
      </c>
      <c r="I47" s="169">
        <v>0</v>
      </c>
      <c r="J47" s="169">
        <f>C47+E47+F47-G47-H47+I47</f>
        <v>326649</v>
      </c>
      <c r="K47" s="178">
        <f>ROUND((E47+C47)*D47+(F47/2)*D47,0)</f>
        <v>130660</v>
      </c>
      <c r="L47" s="169">
        <v>0</v>
      </c>
      <c r="M47" s="169">
        <v>0</v>
      </c>
      <c r="N47" s="169">
        <f>+K47+L47+M47</f>
        <v>130660</v>
      </c>
      <c r="O47" s="169">
        <f>J47-M47-N47</f>
        <v>195989</v>
      </c>
      <c r="P47" s="169" t="s">
        <v>932</v>
      </c>
    </row>
    <row r="48" spans="1:16">
      <c r="A48" s="167">
        <v>4</v>
      </c>
      <c r="B48" s="168" t="s">
        <v>936</v>
      </c>
      <c r="C48" s="169">
        <f>+O37</f>
        <v>352235</v>
      </c>
      <c r="D48" s="170" t="s">
        <v>937</v>
      </c>
      <c r="E48" s="169">
        <v>8558</v>
      </c>
      <c r="F48" s="169">
        <v>110688</v>
      </c>
      <c r="G48" s="169">
        <v>0</v>
      </c>
      <c r="H48" s="169">
        <v>0</v>
      </c>
      <c r="I48" s="169">
        <v>0</v>
      </c>
      <c r="J48" s="169">
        <f>C48+E48+F48-G48-H48+I48</f>
        <v>471481</v>
      </c>
      <c r="K48" s="178">
        <f>ROUND((E48+C48)*D48+(F48/2)*D48,0)</f>
        <v>62421</v>
      </c>
      <c r="L48" s="169">
        <v>0</v>
      </c>
      <c r="M48" s="169">
        <v>0</v>
      </c>
      <c r="N48" s="169">
        <f>+K48+L48+M48</f>
        <v>62421</v>
      </c>
      <c r="O48" s="169">
        <f>J48-M48-N48</f>
        <v>409060</v>
      </c>
      <c r="P48" s="169" t="s">
        <v>932</v>
      </c>
    </row>
    <row r="49" spans="1:16">
      <c r="A49" s="1384" t="s">
        <v>51</v>
      </c>
      <c r="B49" s="1384"/>
      <c r="C49" s="177">
        <f>SUM(C45:C48)</f>
        <v>6963904</v>
      </c>
      <c r="D49" s="178"/>
      <c r="E49" s="177">
        <f t="shared" ref="E49:O49" si="3">SUM(E45:E48)</f>
        <v>78718</v>
      </c>
      <c r="F49" s="177">
        <f t="shared" si="3"/>
        <v>13072409</v>
      </c>
      <c r="G49" s="177">
        <f t="shared" si="3"/>
        <v>0</v>
      </c>
      <c r="H49" s="177">
        <f t="shared" si="3"/>
        <v>0</v>
      </c>
      <c r="I49" s="177">
        <f t="shared" si="3"/>
        <v>0</v>
      </c>
      <c r="J49" s="177">
        <f t="shared" si="3"/>
        <v>20115031</v>
      </c>
      <c r="K49" s="177">
        <f t="shared" si="3"/>
        <v>3247855</v>
      </c>
      <c r="L49" s="177">
        <f t="shared" si="3"/>
        <v>0</v>
      </c>
      <c r="M49" s="177">
        <f t="shared" si="3"/>
        <v>0</v>
      </c>
      <c r="N49" s="177">
        <f t="shared" si="3"/>
        <v>3247855</v>
      </c>
      <c r="O49" s="177">
        <f t="shared" si="3"/>
        <v>16867176</v>
      </c>
      <c r="P49" s="166"/>
    </row>
    <row r="51" spans="1:16">
      <c r="A51" s="1385" t="s">
        <v>1466</v>
      </c>
      <c r="B51" s="1385"/>
      <c r="C51" s="1385"/>
      <c r="D51" s="1385"/>
      <c r="E51" s="1385"/>
      <c r="F51" s="1385"/>
      <c r="G51" s="1385"/>
      <c r="H51" s="1385"/>
      <c r="I51" s="1385"/>
      <c r="J51" s="1385"/>
      <c r="K51" s="1385"/>
      <c r="L51" s="1385"/>
      <c r="M51" s="1385"/>
      <c r="N51" s="1385"/>
      <c r="O51" s="1385"/>
      <c r="P51" s="1385"/>
    </row>
    <row r="54" spans="1:16">
      <c r="A54" s="1384"/>
      <c r="B54" s="1384"/>
      <c r="C54" s="1384"/>
      <c r="D54" s="1384"/>
      <c r="E54" s="1386" t="s">
        <v>916</v>
      </c>
      <c r="F54" s="1386"/>
      <c r="G54" s="1386" t="s">
        <v>917</v>
      </c>
      <c r="H54" s="1386"/>
      <c r="I54" s="1386"/>
      <c r="J54" s="1386"/>
      <c r="K54" s="1386"/>
      <c r="L54" s="1386"/>
      <c r="M54" s="1386"/>
      <c r="N54" s="1386"/>
      <c r="O54" s="1386"/>
      <c r="P54" s="1386"/>
    </row>
    <row r="55" spans="1:16" ht="41.4">
      <c r="A55" s="165" t="s">
        <v>918</v>
      </c>
      <c r="B55" s="165" t="s">
        <v>919</v>
      </c>
      <c r="C55" s="166" t="s">
        <v>920</v>
      </c>
      <c r="D55" s="166" t="s">
        <v>921</v>
      </c>
      <c r="E55" s="166" t="s">
        <v>922</v>
      </c>
      <c r="F55" s="166" t="s">
        <v>923</v>
      </c>
      <c r="G55" s="166" t="s">
        <v>922</v>
      </c>
      <c r="H55" s="166" t="s">
        <v>923</v>
      </c>
      <c r="I55" s="166" t="s">
        <v>924</v>
      </c>
      <c r="J55" s="166" t="s">
        <v>51</v>
      </c>
      <c r="K55" s="166" t="s">
        <v>57</v>
      </c>
      <c r="L55" s="166" t="s">
        <v>925</v>
      </c>
      <c r="M55" s="166" t="s">
        <v>926</v>
      </c>
      <c r="N55" s="166" t="s">
        <v>927</v>
      </c>
      <c r="O55" s="166" t="s">
        <v>928</v>
      </c>
      <c r="P55" s="166" t="s">
        <v>929</v>
      </c>
    </row>
    <row r="56" spans="1:16">
      <c r="A56" s="167">
        <v>1</v>
      </c>
      <c r="B56" s="168" t="s">
        <v>930</v>
      </c>
      <c r="C56" s="169">
        <f>+O45</f>
        <v>15118650</v>
      </c>
      <c r="D56" s="170" t="s">
        <v>931</v>
      </c>
      <c r="E56" s="169">
        <v>136500</v>
      </c>
      <c r="F56" s="169">
        <v>0</v>
      </c>
      <c r="G56" s="169">
        <v>0</v>
      </c>
      <c r="H56" s="169">
        <v>0</v>
      </c>
      <c r="I56" s="169">
        <v>0</v>
      </c>
      <c r="J56" s="169">
        <f>C56+E56+F56-G56-H56+I56</f>
        <v>15255150</v>
      </c>
      <c r="K56" s="178">
        <f>ROUND((E56+C56)*D56+(F56/2)*D56,0)</f>
        <v>3813788</v>
      </c>
      <c r="L56" s="169">
        <v>0</v>
      </c>
      <c r="M56" s="169">
        <v>0</v>
      </c>
      <c r="N56" s="169">
        <f>+K56+L56+M56</f>
        <v>3813788</v>
      </c>
      <c r="O56" s="169">
        <f>J56-M56-N56</f>
        <v>11441362</v>
      </c>
      <c r="P56" s="169" t="s">
        <v>932</v>
      </c>
    </row>
    <row r="57" spans="1:16">
      <c r="A57" s="167">
        <v>2</v>
      </c>
      <c r="B57" s="168" t="s">
        <v>933</v>
      </c>
      <c r="C57" s="169">
        <f>+O46</f>
        <v>1143477</v>
      </c>
      <c r="D57" s="170" t="s">
        <v>934</v>
      </c>
      <c r="E57" s="169">
        <v>111300</v>
      </c>
      <c r="F57" s="169">
        <v>0</v>
      </c>
      <c r="G57" s="169">
        <v>0</v>
      </c>
      <c r="H57" s="169">
        <v>0</v>
      </c>
      <c r="I57" s="169">
        <v>0</v>
      </c>
      <c r="J57" s="169">
        <f>C57+E57+F57-G57-H57+I57</f>
        <v>1254777</v>
      </c>
      <c r="K57" s="178">
        <f>ROUND((E57+C57)*D57+(F57/2)*D57,0)</f>
        <v>125478</v>
      </c>
      <c r="L57" s="169">
        <v>0</v>
      </c>
      <c r="M57" s="169">
        <v>0</v>
      </c>
      <c r="N57" s="169">
        <f>+K57+L57+M57</f>
        <v>125478</v>
      </c>
      <c r="O57" s="169">
        <f>J57-M57-N57</f>
        <v>1129299</v>
      </c>
      <c r="P57" s="169" t="s">
        <v>932</v>
      </c>
    </row>
    <row r="58" spans="1:16" ht="27.6">
      <c r="A58" s="167">
        <v>3</v>
      </c>
      <c r="B58" s="168" t="s">
        <v>1041</v>
      </c>
      <c r="C58" s="169">
        <f>+O47</f>
        <v>195989</v>
      </c>
      <c r="D58" s="170" t="s">
        <v>935</v>
      </c>
      <c r="E58" s="169">
        <v>629707</v>
      </c>
      <c r="F58" s="169">
        <v>76167</v>
      </c>
      <c r="G58" s="169">
        <v>0</v>
      </c>
      <c r="H58" s="169">
        <v>0</v>
      </c>
      <c r="I58" s="169">
        <v>0</v>
      </c>
      <c r="J58" s="169">
        <f>C58+E58+F58-G58-H58+I58</f>
        <v>901863</v>
      </c>
      <c r="K58" s="178">
        <f>ROUND((E58+C58)*D58+(F58/2)*D58,0)</f>
        <v>345512</v>
      </c>
      <c r="L58" s="169">
        <v>0</v>
      </c>
      <c r="M58" s="169">
        <v>0</v>
      </c>
      <c r="N58" s="169">
        <f>+K58+L58+M58</f>
        <v>345512</v>
      </c>
      <c r="O58" s="169">
        <f>J58-M58-N58</f>
        <v>556351</v>
      </c>
      <c r="P58" s="169" t="s">
        <v>932</v>
      </c>
    </row>
    <row r="59" spans="1:16">
      <c r="A59" s="167">
        <v>4</v>
      </c>
      <c r="B59" s="168" t="s">
        <v>936</v>
      </c>
      <c r="C59" s="169">
        <f>+O48</f>
        <v>409060</v>
      </c>
      <c r="D59" s="170" t="s">
        <v>937</v>
      </c>
      <c r="E59" s="169">
        <v>124068</v>
      </c>
      <c r="F59" s="169">
        <v>16101</v>
      </c>
      <c r="G59" s="169">
        <v>0</v>
      </c>
      <c r="H59" s="169">
        <v>0</v>
      </c>
      <c r="I59" s="169">
        <v>0</v>
      </c>
      <c r="J59" s="169">
        <f>C59+E59+F59-G59-H59+I59</f>
        <v>549229</v>
      </c>
      <c r="K59" s="178">
        <f>ROUND((E59+C59)*D59+(F59/2)*D59,0)</f>
        <v>81177</v>
      </c>
      <c r="L59" s="169">
        <v>0</v>
      </c>
      <c r="M59" s="169">
        <v>0</v>
      </c>
      <c r="N59" s="169">
        <f>+K59+L59+M59</f>
        <v>81177</v>
      </c>
      <c r="O59" s="169">
        <f>J59-M59-N59</f>
        <v>468052</v>
      </c>
      <c r="P59" s="169" t="s">
        <v>932</v>
      </c>
    </row>
    <row r="60" spans="1:16">
      <c r="A60" s="1384" t="s">
        <v>51</v>
      </c>
      <c r="B60" s="1384"/>
      <c r="C60" s="177">
        <f>SUM(C56:C59)</f>
        <v>16867176</v>
      </c>
      <c r="D60" s="178"/>
      <c r="E60" s="177">
        <f t="shared" ref="E60:O60" si="4">SUM(E56:E59)</f>
        <v>1001575</v>
      </c>
      <c r="F60" s="177">
        <f t="shared" si="4"/>
        <v>92268</v>
      </c>
      <c r="G60" s="177">
        <f t="shared" si="4"/>
        <v>0</v>
      </c>
      <c r="H60" s="177">
        <f t="shared" si="4"/>
        <v>0</v>
      </c>
      <c r="I60" s="177">
        <f t="shared" si="4"/>
        <v>0</v>
      </c>
      <c r="J60" s="177">
        <f t="shared" si="4"/>
        <v>17961019</v>
      </c>
      <c r="K60" s="177">
        <f t="shared" si="4"/>
        <v>4365955</v>
      </c>
      <c r="L60" s="177">
        <f t="shared" si="4"/>
        <v>0</v>
      </c>
      <c r="M60" s="177">
        <f t="shared" si="4"/>
        <v>0</v>
      </c>
      <c r="N60" s="177">
        <f t="shared" si="4"/>
        <v>4365955</v>
      </c>
      <c r="O60" s="177">
        <f t="shared" si="4"/>
        <v>13595064</v>
      </c>
      <c r="P60" s="166"/>
    </row>
    <row r="62" spans="1:16">
      <c r="A62" s="1382" t="s">
        <v>1628</v>
      </c>
      <c r="B62" s="1382"/>
      <c r="C62" s="1382"/>
      <c r="D62" s="1382"/>
      <c r="E62" s="1382"/>
      <c r="F62" s="1382"/>
      <c r="G62" s="1382"/>
      <c r="H62" s="1382"/>
      <c r="I62" s="1382"/>
      <c r="J62" s="1382"/>
      <c r="K62" s="1382"/>
      <c r="L62" s="1382"/>
      <c r="M62" s="1382"/>
      <c r="N62" s="1382"/>
      <c r="O62" s="1382"/>
      <c r="P62" s="1382"/>
    </row>
    <row r="63" spans="1:16">
      <c r="A63" s="1089"/>
      <c r="B63" s="1089"/>
      <c r="C63" s="1090"/>
      <c r="D63" s="1090"/>
      <c r="E63" s="1090"/>
      <c r="F63" s="1090"/>
      <c r="G63" s="1090"/>
      <c r="H63" s="1090"/>
      <c r="I63" s="1090"/>
      <c r="J63" s="1090"/>
      <c r="K63" s="1090"/>
      <c r="L63" s="1090"/>
      <c r="M63" s="1090"/>
      <c r="N63" s="1090"/>
      <c r="O63" s="1090"/>
      <c r="P63" s="1090"/>
    </row>
    <row r="64" spans="1:16">
      <c r="A64" s="1089"/>
      <c r="B64" s="1089"/>
      <c r="C64" s="1090"/>
      <c r="D64" s="1090"/>
      <c r="E64" s="1090"/>
      <c r="F64" s="1090"/>
      <c r="G64" s="1090"/>
      <c r="H64" s="1090"/>
      <c r="I64" s="1090"/>
      <c r="J64" s="1090"/>
      <c r="K64" s="1090"/>
      <c r="L64" s="1090"/>
      <c r="M64" s="1090"/>
      <c r="N64" s="1090"/>
      <c r="O64" s="1090"/>
      <c r="P64" s="1090"/>
    </row>
    <row r="65" spans="1:16">
      <c r="A65" s="1381"/>
      <c r="B65" s="1381"/>
      <c r="C65" s="1381"/>
      <c r="D65" s="1381"/>
      <c r="E65" s="1383" t="s">
        <v>916</v>
      </c>
      <c r="F65" s="1383"/>
      <c r="G65" s="1383" t="s">
        <v>917</v>
      </c>
      <c r="H65" s="1383"/>
      <c r="I65" s="1383"/>
      <c r="J65" s="1383"/>
      <c r="K65" s="1383"/>
      <c r="L65" s="1383"/>
      <c r="M65" s="1383"/>
      <c r="N65" s="1383"/>
      <c r="O65" s="1383"/>
      <c r="P65" s="1383"/>
    </row>
    <row r="66" spans="1:16" ht="41.4">
      <c r="A66" s="1091" t="s">
        <v>918</v>
      </c>
      <c r="B66" s="1091" t="s">
        <v>919</v>
      </c>
      <c r="C66" s="1092" t="s">
        <v>920</v>
      </c>
      <c r="D66" s="1092" t="s">
        <v>921</v>
      </c>
      <c r="E66" s="1092" t="s">
        <v>922</v>
      </c>
      <c r="F66" s="1092" t="s">
        <v>923</v>
      </c>
      <c r="G66" s="1092" t="s">
        <v>922</v>
      </c>
      <c r="H66" s="1092" t="s">
        <v>923</v>
      </c>
      <c r="I66" s="1092" t="s">
        <v>924</v>
      </c>
      <c r="J66" s="1092" t="s">
        <v>51</v>
      </c>
      <c r="K66" s="1092" t="s">
        <v>57</v>
      </c>
      <c r="L66" s="1092" t="s">
        <v>925</v>
      </c>
      <c r="M66" s="1092" t="s">
        <v>926</v>
      </c>
      <c r="N66" s="1092" t="s">
        <v>927</v>
      </c>
      <c r="O66" s="1092" t="s">
        <v>928</v>
      </c>
      <c r="P66" s="1092" t="s">
        <v>929</v>
      </c>
    </row>
    <row r="67" spans="1:16">
      <c r="A67" s="1093">
        <v>1</v>
      </c>
      <c r="B67" s="1094" t="s">
        <v>930</v>
      </c>
      <c r="C67" s="1095">
        <f>O56</f>
        <v>11441362</v>
      </c>
      <c r="D67" s="1096" t="s">
        <v>931</v>
      </c>
      <c r="E67" s="1095"/>
      <c r="F67" s="1095"/>
      <c r="G67" s="1095">
        <v>0</v>
      </c>
      <c r="H67" s="1095">
        <v>0</v>
      </c>
      <c r="I67" s="1095">
        <v>0</v>
      </c>
      <c r="J67" s="1095">
        <f>C67+E67+F67-G67-H67+I67</f>
        <v>11441362</v>
      </c>
      <c r="K67" s="1097">
        <f>ROUND((E67+C67)*D67+(F67/2)*D67,0)</f>
        <v>2860341</v>
      </c>
      <c r="L67" s="1095">
        <v>0</v>
      </c>
      <c r="M67" s="1095">
        <v>0</v>
      </c>
      <c r="N67" s="1095">
        <f>+K67+L67+M67</f>
        <v>2860341</v>
      </c>
      <c r="O67" s="1095">
        <f>J67-M67-N67</f>
        <v>8581021</v>
      </c>
      <c r="P67" s="1095" t="s">
        <v>932</v>
      </c>
    </row>
    <row r="68" spans="1:16">
      <c r="A68" s="1093">
        <v>2</v>
      </c>
      <c r="B68" s="1094" t="s">
        <v>933</v>
      </c>
      <c r="C68" s="1095">
        <f t="shared" ref="C68:C70" si="5">O57</f>
        <v>1129299</v>
      </c>
      <c r="D68" s="1096" t="s">
        <v>934</v>
      </c>
      <c r="E68" s="1095"/>
      <c r="F68" s="1095"/>
      <c r="G68" s="1095">
        <v>0</v>
      </c>
      <c r="H68" s="1095">
        <v>0</v>
      </c>
      <c r="I68" s="1095">
        <v>0</v>
      </c>
      <c r="J68" s="1095">
        <f>C68+E68+F68-G68-H68+I68</f>
        <v>1129299</v>
      </c>
      <c r="K68" s="1097">
        <f>ROUND((E68+C68)*D68+(F68/2)*D68,0)</f>
        <v>112930</v>
      </c>
      <c r="L68" s="1095">
        <v>0</v>
      </c>
      <c r="M68" s="1095">
        <v>0</v>
      </c>
      <c r="N68" s="1095">
        <f>+K68+L68+M68</f>
        <v>112930</v>
      </c>
      <c r="O68" s="1095">
        <f>J68-M68-N68</f>
        <v>1016369</v>
      </c>
      <c r="P68" s="1095" t="s">
        <v>932</v>
      </c>
    </row>
    <row r="69" spans="1:16" ht="27.6">
      <c r="A69" s="1093">
        <v>3</v>
      </c>
      <c r="B69" s="1094" t="s">
        <v>1041</v>
      </c>
      <c r="C69" s="1095">
        <f t="shared" si="5"/>
        <v>556351</v>
      </c>
      <c r="D69" s="1096" t="s">
        <v>935</v>
      </c>
      <c r="E69" s="1095"/>
      <c r="F69" s="1095"/>
      <c r="G69" s="1095">
        <v>0</v>
      </c>
      <c r="H69" s="1095">
        <v>0</v>
      </c>
      <c r="I69" s="1095">
        <v>0</v>
      </c>
      <c r="J69" s="1095">
        <f>C69+E69+F69-G69-H69+I69</f>
        <v>556351</v>
      </c>
      <c r="K69" s="1097">
        <f>ROUND((E69+C69)*D69+(F69/2)*D69,0)</f>
        <v>222540</v>
      </c>
      <c r="L69" s="1095">
        <v>0</v>
      </c>
      <c r="M69" s="1095">
        <v>0</v>
      </c>
      <c r="N69" s="1095">
        <f>+K69+L69+M69</f>
        <v>222540</v>
      </c>
      <c r="O69" s="1095">
        <f>J69-M69-N69</f>
        <v>333811</v>
      </c>
      <c r="P69" s="1095" t="s">
        <v>932</v>
      </c>
    </row>
    <row r="70" spans="1:16">
      <c r="A70" s="1093">
        <v>4</v>
      </c>
      <c r="B70" s="1094" t="s">
        <v>936</v>
      </c>
      <c r="C70" s="1095">
        <f t="shared" si="5"/>
        <v>468052</v>
      </c>
      <c r="D70" s="1096" t="s">
        <v>937</v>
      </c>
      <c r="E70" s="1095"/>
      <c r="F70" s="1095"/>
      <c r="G70" s="1095">
        <v>0</v>
      </c>
      <c r="H70" s="1095">
        <v>0</v>
      </c>
      <c r="I70" s="1095">
        <v>0</v>
      </c>
      <c r="J70" s="1095">
        <f>C70+E70+F70-G70-H70+I70</f>
        <v>468052</v>
      </c>
      <c r="K70" s="1097">
        <f>ROUND((E70+C70)*D70+(F70/2)*D70,0)</f>
        <v>70208</v>
      </c>
      <c r="L70" s="1095">
        <v>0</v>
      </c>
      <c r="M70" s="1095">
        <v>0</v>
      </c>
      <c r="N70" s="1095">
        <f>+K70+L70+M70</f>
        <v>70208</v>
      </c>
      <c r="O70" s="1095">
        <f>J70-M70-N70</f>
        <v>397844</v>
      </c>
      <c r="P70" s="1095" t="s">
        <v>932</v>
      </c>
    </row>
    <row r="71" spans="1:16">
      <c r="A71" s="1381" t="s">
        <v>51</v>
      </c>
      <c r="B71" s="1381"/>
      <c r="C71" s="1098">
        <f>SUM(C67:C70)</f>
        <v>13595064</v>
      </c>
      <c r="D71" s="1097"/>
      <c r="E71" s="1098">
        <f t="shared" ref="E71:O71" si="6">SUM(E67:E70)</f>
        <v>0</v>
      </c>
      <c r="F71" s="1098">
        <f t="shared" si="6"/>
        <v>0</v>
      </c>
      <c r="G71" s="1098">
        <f t="shared" si="6"/>
        <v>0</v>
      </c>
      <c r="H71" s="1098">
        <f t="shared" si="6"/>
        <v>0</v>
      </c>
      <c r="I71" s="1098">
        <f t="shared" si="6"/>
        <v>0</v>
      </c>
      <c r="J71" s="1098">
        <f t="shared" si="6"/>
        <v>13595064</v>
      </c>
      <c r="K71" s="1098">
        <f t="shared" si="6"/>
        <v>3266019</v>
      </c>
      <c r="L71" s="1098">
        <f t="shared" si="6"/>
        <v>0</v>
      </c>
      <c r="M71" s="1098">
        <f t="shared" si="6"/>
        <v>0</v>
      </c>
      <c r="N71" s="1098">
        <f t="shared" si="6"/>
        <v>3266019</v>
      </c>
      <c r="O71" s="1098">
        <f t="shared" si="6"/>
        <v>10329045</v>
      </c>
      <c r="P71" s="1092"/>
    </row>
  </sheetData>
  <mergeCells count="44">
    <mergeCell ref="A49:B49"/>
    <mergeCell ref="A40:P40"/>
    <mergeCell ref="A43:D43"/>
    <mergeCell ref="E43:F43"/>
    <mergeCell ref="G43:H43"/>
    <mergeCell ref="I43:P43"/>
    <mergeCell ref="A38:B38"/>
    <mergeCell ref="A32:D32"/>
    <mergeCell ref="E32:F32"/>
    <mergeCell ref="G32:H32"/>
    <mergeCell ref="I32:P32"/>
    <mergeCell ref="A29:P29"/>
    <mergeCell ref="A20:P20"/>
    <mergeCell ref="A2:P2"/>
    <mergeCell ref="A3:P3"/>
    <mergeCell ref="A4:P4"/>
    <mergeCell ref="A5:P5"/>
    <mergeCell ref="A6:P6"/>
    <mergeCell ref="A7:D7"/>
    <mergeCell ref="E7:F7"/>
    <mergeCell ref="G7:H7"/>
    <mergeCell ref="I7:P7"/>
    <mergeCell ref="A13:B13"/>
    <mergeCell ref="A14:P14"/>
    <mergeCell ref="A17:P17"/>
    <mergeCell ref="A18:P18"/>
    <mergeCell ref="A19:P19"/>
    <mergeCell ref="A21:D21"/>
    <mergeCell ref="E21:F21"/>
    <mergeCell ref="G21:H21"/>
    <mergeCell ref="I21:P21"/>
    <mergeCell ref="A27:B27"/>
    <mergeCell ref="A60:B60"/>
    <mergeCell ref="A51:P51"/>
    <mergeCell ref="A54:D54"/>
    <mergeCell ref="E54:F54"/>
    <mergeCell ref="G54:H54"/>
    <mergeCell ref="I54:P54"/>
    <mergeCell ref="A71:B71"/>
    <mergeCell ref="A62:P62"/>
    <mergeCell ref="A65:D65"/>
    <mergeCell ref="E65:F65"/>
    <mergeCell ref="G65:H65"/>
    <mergeCell ref="I65:P65"/>
  </mergeCells>
  <pageMargins left="0.5" right="0.25" top="0.5" bottom="0.5" header="0.25" footer="0.25"/>
  <pageSetup paperSize="9" orientation="landscape" r:id="rId1"/>
  <legacy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1"/>
  <sheetViews>
    <sheetView topLeftCell="F64" workbookViewId="0">
      <selection activeCell="F75" sqref="F75"/>
    </sheetView>
  </sheetViews>
  <sheetFormatPr defaultColWidth="9.21875" defaultRowHeight="14.4"/>
  <cols>
    <col min="1" max="1" width="6.21875" style="179" customWidth="1"/>
    <col min="2" max="2" width="21.5546875" style="179" customWidth="1"/>
    <col min="3" max="3" width="16.44140625" style="173" customWidth="1"/>
    <col min="4" max="4" width="6.44140625" style="173" customWidth="1"/>
    <col min="5" max="5" width="17.21875" style="173" customWidth="1"/>
    <col min="6" max="6" width="16" style="173" customWidth="1"/>
    <col min="7" max="7" width="19.21875" style="173" customWidth="1"/>
    <col min="8" max="8" width="17.21875" style="173" customWidth="1"/>
    <col min="9" max="9" width="13.21875" style="173" customWidth="1"/>
    <col min="10" max="10" width="12.77734375" style="173" bestFit="1" customWidth="1"/>
    <col min="11" max="11" width="14.77734375" style="173" customWidth="1"/>
    <col min="12" max="12" width="17.5546875" style="173" customWidth="1"/>
    <col min="13" max="13" width="16.44140625" style="173" customWidth="1"/>
    <col min="14" max="14" width="13.77734375" style="173" customWidth="1"/>
    <col min="15" max="15" width="12.77734375" style="173" bestFit="1" customWidth="1"/>
    <col min="16" max="16" width="11.77734375" style="173" customWidth="1"/>
    <col min="17" max="16384" width="9.21875" style="164"/>
  </cols>
  <sheetData>
    <row r="1" spans="1:16">
      <c r="A1" s="164"/>
      <c r="B1" s="164"/>
      <c r="C1" s="164"/>
      <c r="D1" s="164"/>
      <c r="E1" s="164"/>
      <c r="F1" s="164"/>
      <c r="G1" s="164"/>
      <c r="H1" s="164"/>
      <c r="I1" s="164"/>
      <c r="J1" s="164"/>
      <c r="K1" s="164"/>
      <c r="L1" s="164"/>
      <c r="M1" s="164"/>
      <c r="N1" s="164"/>
      <c r="O1" s="164"/>
      <c r="P1" s="164"/>
    </row>
    <row r="2" spans="1:16">
      <c r="A2" s="1387"/>
      <c r="B2" s="1387"/>
      <c r="C2" s="1387"/>
      <c r="D2" s="1387"/>
      <c r="E2" s="1387"/>
      <c r="F2" s="1387"/>
      <c r="G2" s="1387"/>
      <c r="H2" s="1387"/>
      <c r="I2" s="1387"/>
      <c r="J2" s="1387"/>
      <c r="K2" s="1387"/>
      <c r="L2" s="1387"/>
      <c r="M2" s="1387"/>
      <c r="N2" s="1387"/>
      <c r="O2" s="1387"/>
      <c r="P2" s="1387"/>
    </row>
    <row r="3" spans="1:16" ht="15.6">
      <c r="A3" s="1388" t="s">
        <v>94</v>
      </c>
      <c r="B3" s="1388"/>
      <c r="C3" s="1388"/>
      <c r="D3" s="1388"/>
      <c r="E3" s="1388"/>
      <c r="F3" s="1388"/>
      <c r="G3" s="1388"/>
      <c r="H3" s="1388"/>
      <c r="I3" s="1388"/>
      <c r="J3" s="1388"/>
      <c r="K3" s="1388"/>
      <c r="L3" s="1388"/>
      <c r="M3" s="1388"/>
      <c r="N3" s="1388"/>
      <c r="O3" s="1388"/>
      <c r="P3" s="1388"/>
    </row>
    <row r="4" spans="1:16">
      <c r="A4" s="1385" t="s">
        <v>1040</v>
      </c>
      <c r="B4" s="1385"/>
      <c r="C4" s="1385"/>
      <c r="D4" s="1385"/>
      <c r="E4" s="1385"/>
      <c r="F4" s="1385"/>
      <c r="G4" s="1385"/>
      <c r="H4" s="1385"/>
      <c r="I4" s="1385"/>
      <c r="J4" s="1385"/>
      <c r="K4" s="1385"/>
      <c r="L4" s="1385"/>
      <c r="M4" s="1385"/>
      <c r="N4" s="1385"/>
      <c r="O4" s="1385"/>
      <c r="P4" s="1385"/>
    </row>
    <row r="5" spans="1:16">
      <c r="A5" s="1385"/>
      <c r="B5" s="1385"/>
      <c r="C5" s="1385"/>
      <c r="D5" s="1385"/>
      <c r="E5" s="1385"/>
      <c r="F5" s="1385"/>
      <c r="G5" s="1385"/>
      <c r="H5" s="1385"/>
      <c r="I5" s="1385"/>
      <c r="J5" s="1385"/>
      <c r="K5" s="1385"/>
      <c r="L5" s="1385"/>
      <c r="M5" s="1385"/>
      <c r="N5" s="1385"/>
      <c r="O5" s="1385"/>
      <c r="P5" s="1385"/>
    </row>
    <row r="6" spans="1:16">
      <c r="A6" s="1385"/>
      <c r="B6" s="1385"/>
      <c r="C6" s="1385"/>
      <c r="D6" s="1385"/>
      <c r="E6" s="1385"/>
      <c r="F6" s="1385"/>
      <c r="G6" s="1385"/>
      <c r="H6" s="1385"/>
      <c r="I6" s="1385"/>
      <c r="J6" s="1385"/>
      <c r="K6" s="1385"/>
      <c r="L6" s="1385"/>
      <c r="M6" s="1385"/>
      <c r="N6" s="1385"/>
      <c r="O6" s="1385"/>
      <c r="P6" s="1385"/>
    </row>
    <row r="7" spans="1:16">
      <c r="A7" s="1384"/>
      <c r="B7" s="1384"/>
      <c r="C7" s="1384"/>
      <c r="D7" s="1384"/>
      <c r="E7" s="1386" t="s">
        <v>916</v>
      </c>
      <c r="F7" s="1386"/>
      <c r="G7" s="1386" t="s">
        <v>917</v>
      </c>
      <c r="H7" s="1386"/>
      <c r="I7" s="1386"/>
      <c r="J7" s="1386"/>
      <c r="K7" s="1386"/>
      <c r="L7" s="1386"/>
      <c r="M7" s="1386"/>
      <c r="N7" s="1386"/>
      <c r="O7" s="1386"/>
      <c r="P7" s="1386"/>
    </row>
    <row r="8" spans="1:16" ht="41.4">
      <c r="A8" s="165" t="s">
        <v>918</v>
      </c>
      <c r="B8" s="165" t="s">
        <v>919</v>
      </c>
      <c r="C8" s="166" t="s">
        <v>920</v>
      </c>
      <c r="D8" s="166" t="s">
        <v>921</v>
      </c>
      <c r="E8" s="166" t="s">
        <v>922</v>
      </c>
      <c r="F8" s="166" t="s">
        <v>923</v>
      </c>
      <c r="G8" s="166" t="s">
        <v>922</v>
      </c>
      <c r="H8" s="166" t="s">
        <v>923</v>
      </c>
      <c r="I8" s="166" t="s">
        <v>924</v>
      </c>
      <c r="J8" s="166" t="s">
        <v>51</v>
      </c>
      <c r="K8" s="166" t="s">
        <v>57</v>
      </c>
      <c r="L8" s="166" t="s">
        <v>925</v>
      </c>
      <c r="M8" s="166" t="s">
        <v>926</v>
      </c>
      <c r="N8" s="166" t="s">
        <v>927</v>
      </c>
      <c r="O8" s="166" t="s">
        <v>928</v>
      </c>
      <c r="P8" s="166" t="s">
        <v>929</v>
      </c>
    </row>
    <row r="9" spans="1:16">
      <c r="A9" s="167">
        <v>1</v>
      </c>
      <c r="B9" s="168" t="s">
        <v>930</v>
      </c>
      <c r="C9" s="169">
        <v>644693</v>
      </c>
      <c r="D9" s="170" t="s">
        <v>931</v>
      </c>
      <c r="E9" s="169">
        <v>15678</v>
      </c>
      <c r="F9" s="169">
        <v>0</v>
      </c>
      <c r="G9" s="169">
        <v>0</v>
      </c>
      <c r="H9" s="171">
        <v>0</v>
      </c>
      <c r="I9" s="169">
        <v>0</v>
      </c>
      <c r="J9" s="169">
        <f>C9+E9+F9-G9-H9+I9</f>
        <v>660371</v>
      </c>
      <c r="K9" s="178">
        <f t="shared" ref="K9:K12" si="0">ROUND((E9+C9-H9-G9)*D9+(F9/2)*D9,0)</f>
        <v>165093</v>
      </c>
      <c r="L9" s="169">
        <v>0</v>
      </c>
      <c r="M9" s="169">
        <v>0</v>
      </c>
      <c r="N9" s="169">
        <f>+K9</f>
        <v>165093</v>
      </c>
      <c r="O9" s="169">
        <f>J9-M9-N9</f>
        <v>495278</v>
      </c>
      <c r="P9" s="169" t="s">
        <v>932</v>
      </c>
    </row>
    <row r="10" spans="1:16">
      <c r="A10" s="167">
        <v>2</v>
      </c>
      <c r="B10" s="168" t="s">
        <v>933</v>
      </c>
      <c r="C10" s="169">
        <v>833616</v>
      </c>
      <c r="D10" s="170" t="s">
        <v>934</v>
      </c>
      <c r="E10" s="169">
        <v>0</v>
      </c>
      <c r="F10" s="169">
        <v>171948</v>
      </c>
      <c r="G10" s="169">
        <v>0</v>
      </c>
      <c r="H10" s="171">
        <v>0</v>
      </c>
      <c r="I10" s="169">
        <v>0</v>
      </c>
      <c r="J10" s="169">
        <f>C10+E10+F10-G10-H10+I10</f>
        <v>1005564</v>
      </c>
      <c r="K10" s="178">
        <f t="shared" si="0"/>
        <v>91959</v>
      </c>
      <c r="L10" s="169">
        <v>0</v>
      </c>
      <c r="M10" s="169">
        <v>0</v>
      </c>
      <c r="N10" s="169">
        <f>+K10</f>
        <v>91959</v>
      </c>
      <c r="O10" s="169">
        <f>J10-M10-N10</f>
        <v>913605</v>
      </c>
      <c r="P10" s="169" t="s">
        <v>932</v>
      </c>
    </row>
    <row r="11" spans="1:16" ht="27.6">
      <c r="A11" s="167">
        <v>3</v>
      </c>
      <c r="B11" s="168" t="s">
        <v>1041</v>
      </c>
      <c r="C11" s="169">
        <v>218076</v>
      </c>
      <c r="D11" s="170" t="s">
        <v>935</v>
      </c>
      <c r="E11" s="169">
        <v>0</v>
      </c>
      <c r="F11" s="169">
        <v>0</v>
      </c>
      <c r="G11" s="169">
        <v>0</v>
      </c>
      <c r="H11" s="171">
        <v>0</v>
      </c>
      <c r="I11" s="169">
        <v>0</v>
      </c>
      <c r="J11" s="169">
        <f>C11+E11+F11-G11-H11+I11</f>
        <v>218076</v>
      </c>
      <c r="K11" s="178">
        <f t="shared" si="0"/>
        <v>87230</v>
      </c>
      <c r="L11" s="169">
        <v>0</v>
      </c>
      <c r="M11" s="169">
        <v>0</v>
      </c>
      <c r="N11" s="169">
        <f>+K11</f>
        <v>87230</v>
      </c>
      <c r="O11" s="169">
        <f>J11-M11-N11</f>
        <v>130846</v>
      </c>
      <c r="P11" s="169" t="s">
        <v>932</v>
      </c>
    </row>
    <row r="12" spans="1:16">
      <c r="A12" s="167">
        <v>4</v>
      </c>
      <c r="B12" s="168" t="s">
        <v>936</v>
      </c>
      <c r="C12" s="174">
        <v>324806</v>
      </c>
      <c r="D12" s="174" t="s">
        <v>937</v>
      </c>
      <c r="E12" s="174">
        <v>53074</v>
      </c>
      <c r="F12" s="174">
        <v>32909</v>
      </c>
      <c r="G12" s="174">
        <v>0</v>
      </c>
      <c r="H12" s="174">
        <v>0</v>
      </c>
      <c r="I12" s="26">
        <v>0</v>
      </c>
      <c r="J12" s="175">
        <f>C12+E12+F12-G12-H12+I12</f>
        <v>410789</v>
      </c>
      <c r="K12" s="178">
        <f t="shared" si="0"/>
        <v>59150</v>
      </c>
      <c r="L12" s="169">
        <v>0</v>
      </c>
      <c r="M12" s="169">
        <v>0</v>
      </c>
      <c r="N12" s="169">
        <f>+K12</f>
        <v>59150</v>
      </c>
      <c r="O12" s="169">
        <f>J12-M12-N12</f>
        <v>351639</v>
      </c>
      <c r="P12" s="169" t="s">
        <v>932</v>
      </c>
    </row>
    <row r="13" spans="1:16">
      <c r="A13" s="1384" t="s">
        <v>51</v>
      </c>
      <c r="B13" s="1384"/>
      <c r="C13" s="177">
        <f>SUM(C9:C12)</f>
        <v>2021191</v>
      </c>
      <c r="D13" s="178"/>
      <c r="E13" s="177">
        <f t="shared" ref="E13:O13" si="1">SUM(E9:E12)</f>
        <v>68752</v>
      </c>
      <c r="F13" s="177">
        <f t="shared" si="1"/>
        <v>204857</v>
      </c>
      <c r="G13" s="177">
        <f t="shared" si="1"/>
        <v>0</v>
      </c>
      <c r="H13" s="177">
        <f t="shared" si="1"/>
        <v>0</v>
      </c>
      <c r="I13" s="177">
        <f t="shared" si="1"/>
        <v>0</v>
      </c>
      <c r="J13" s="177">
        <f t="shared" si="1"/>
        <v>2294800</v>
      </c>
      <c r="K13" s="177">
        <f>SUM(K9:K12)</f>
        <v>403432</v>
      </c>
      <c r="L13" s="177">
        <f t="shared" si="1"/>
        <v>0</v>
      </c>
      <c r="M13" s="177">
        <f t="shared" si="1"/>
        <v>0</v>
      </c>
      <c r="N13" s="177">
        <f t="shared" si="1"/>
        <v>403432</v>
      </c>
      <c r="O13" s="177">
        <f t="shared" si="1"/>
        <v>1891368</v>
      </c>
      <c r="P13" s="166"/>
    </row>
    <row r="14" spans="1:16">
      <c r="A14" s="1389"/>
      <c r="B14" s="1389"/>
      <c r="C14" s="1389"/>
      <c r="D14" s="1389"/>
      <c r="E14" s="1389"/>
      <c r="F14" s="1389"/>
      <c r="G14" s="1389"/>
      <c r="H14" s="1389"/>
      <c r="I14" s="1389"/>
      <c r="J14" s="1389"/>
      <c r="K14" s="1389"/>
      <c r="L14" s="1389"/>
      <c r="M14" s="1389"/>
      <c r="N14" s="1389"/>
      <c r="O14" s="1389"/>
      <c r="P14" s="1389"/>
    </row>
    <row r="17" spans="1:16" ht="15.6">
      <c r="A17" s="1388" t="s">
        <v>94</v>
      </c>
      <c r="B17" s="1388"/>
      <c r="C17" s="1388"/>
      <c r="D17" s="1388"/>
      <c r="E17" s="1388"/>
      <c r="F17" s="1388"/>
      <c r="G17" s="1388"/>
      <c r="H17" s="1388"/>
      <c r="I17" s="1388"/>
      <c r="J17" s="1388"/>
      <c r="K17" s="1388"/>
      <c r="L17" s="1388"/>
      <c r="M17" s="1388"/>
      <c r="N17" s="1388"/>
      <c r="O17" s="1388"/>
      <c r="P17" s="1388"/>
    </row>
    <row r="18" spans="1:16">
      <c r="A18" s="1385" t="s">
        <v>1104</v>
      </c>
      <c r="B18" s="1385"/>
      <c r="C18" s="1385"/>
      <c r="D18" s="1385"/>
      <c r="E18" s="1385"/>
      <c r="F18" s="1385"/>
      <c r="G18" s="1385"/>
      <c r="H18" s="1385"/>
      <c r="I18" s="1385"/>
      <c r="J18" s="1385"/>
      <c r="K18" s="1385"/>
      <c r="L18" s="1385"/>
      <c r="M18" s="1385"/>
      <c r="N18" s="1385"/>
      <c r="O18" s="1385"/>
      <c r="P18" s="1385"/>
    </row>
    <row r="19" spans="1:16">
      <c r="A19" s="1385"/>
      <c r="B19" s="1385"/>
      <c r="C19" s="1385"/>
      <c r="D19" s="1385"/>
      <c r="E19" s="1385"/>
      <c r="F19" s="1385"/>
      <c r="G19" s="1385"/>
      <c r="H19" s="1385"/>
      <c r="I19" s="1385"/>
      <c r="J19" s="1385"/>
      <c r="K19" s="1385"/>
      <c r="L19" s="1385"/>
      <c r="M19" s="1385"/>
      <c r="N19" s="1385"/>
      <c r="O19" s="1385"/>
      <c r="P19" s="1385"/>
    </row>
    <row r="20" spans="1:16">
      <c r="A20" s="1385"/>
      <c r="B20" s="1385"/>
      <c r="C20" s="1385"/>
      <c r="D20" s="1385"/>
      <c r="E20" s="1385"/>
      <c r="F20" s="1385"/>
      <c r="G20" s="1385"/>
      <c r="H20" s="1385"/>
      <c r="I20" s="1385"/>
      <c r="J20" s="1385"/>
      <c r="K20" s="1385"/>
      <c r="L20" s="1385"/>
      <c r="M20" s="1385"/>
      <c r="N20" s="1385"/>
      <c r="O20" s="1385"/>
      <c r="P20" s="1385"/>
    </row>
    <row r="21" spans="1:16">
      <c r="A21" s="1384"/>
      <c r="B21" s="1384"/>
      <c r="C21" s="1384"/>
      <c r="D21" s="1384"/>
      <c r="E21" s="1386" t="s">
        <v>916</v>
      </c>
      <c r="F21" s="1386"/>
      <c r="G21" s="1386" t="s">
        <v>917</v>
      </c>
      <c r="H21" s="1386"/>
      <c r="I21" s="1386"/>
      <c r="J21" s="1386"/>
      <c r="K21" s="1386"/>
      <c r="L21" s="1386"/>
      <c r="M21" s="1386"/>
      <c r="N21" s="1386"/>
      <c r="O21" s="1386"/>
      <c r="P21" s="1386"/>
    </row>
    <row r="22" spans="1:16" ht="41.4">
      <c r="A22" s="165" t="s">
        <v>918</v>
      </c>
      <c r="B22" s="165" t="s">
        <v>919</v>
      </c>
      <c r="C22" s="166" t="s">
        <v>920</v>
      </c>
      <c r="D22" s="166" t="s">
        <v>921</v>
      </c>
      <c r="E22" s="166" t="s">
        <v>922</v>
      </c>
      <c r="F22" s="166" t="s">
        <v>923</v>
      </c>
      <c r="G22" s="166" t="s">
        <v>922</v>
      </c>
      <c r="H22" s="166" t="s">
        <v>923</v>
      </c>
      <c r="I22" s="166" t="s">
        <v>924</v>
      </c>
      <c r="J22" s="166" t="s">
        <v>51</v>
      </c>
      <c r="K22" s="166" t="s">
        <v>57</v>
      </c>
      <c r="L22" s="166" t="s">
        <v>925</v>
      </c>
      <c r="M22" s="166" t="s">
        <v>926</v>
      </c>
      <c r="N22" s="166" t="s">
        <v>927</v>
      </c>
      <c r="O22" s="166" t="s">
        <v>928</v>
      </c>
      <c r="P22" s="166" t="s">
        <v>929</v>
      </c>
    </row>
    <row r="23" spans="1:16">
      <c r="A23" s="167">
        <v>1</v>
      </c>
      <c r="B23" s="168" t="s">
        <v>930</v>
      </c>
      <c r="C23" s="169">
        <f>+O9</f>
        <v>495278</v>
      </c>
      <c r="D23" s="170" t="s">
        <v>931</v>
      </c>
      <c r="E23" s="169">
        <v>0</v>
      </c>
      <c r="F23" s="169">
        <v>25000</v>
      </c>
      <c r="G23" s="169">
        <v>0</v>
      </c>
      <c r="H23" s="169">
        <v>0</v>
      </c>
      <c r="I23" s="169">
        <v>0</v>
      </c>
      <c r="J23" s="169">
        <f>C23+E23+F23-G23-H23+I23</f>
        <v>520278</v>
      </c>
      <c r="K23" s="178">
        <f t="shared" ref="K23:K26" si="2">ROUND((E23+C23-H23-G23)*D23+(F23/2)*D23,0)</f>
        <v>126945</v>
      </c>
      <c r="L23" s="169">
        <v>0</v>
      </c>
      <c r="M23" s="169">
        <v>0</v>
      </c>
      <c r="N23" s="169">
        <f>+K23+L23+M23</f>
        <v>126945</v>
      </c>
      <c r="O23" s="169">
        <f>J23-M23-N23</f>
        <v>393333</v>
      </c>
      <c r="P23" s="169" t="s">
        <v>932</v>
      </c>
    </row>
    <row r="24" spans="1:16">
      <c r="A24" s="167">
        <v>2</v>
      </c>
      <c r="B24" s="168" t="s">
        <v>933</v>
      </c>
      <c r="C24" s="169">
        <f>+O10</f>
        <v>913605</v>
      </c>
      <c r="D24" s="170" t="s">
        <v>934</v>
      </c>
      <c r="E24" s="169">
        <v>0</v>
      </c>
      <c r="F24" s="169">
        <v>0</v>
      </c>
      <c r="G24" s="169">
        <v>0</v>
      </c>
      <c r="H24" s="169">
        <v>0</v>
      </c>
      <c r="I24" s="169">
        <v>0</v>
      </c>
      <c r="J24" s="169">
        <f>C24+E24+F24-G24-H24+I24</f>
        <v>913605</v>
      </c>
      <c r="K24" s="178">
        <f t="shared" si="2"/>
        <v>91361</v>
      </c>
      <c r="L24" s="169">
        <v>0</v>
      </c>
      <c r="M24" s="169">
        <v>0</v>
      </c>
      <c r="N24" s="169">
        <f>+K24+L24+M24</f>
        <v>91361</v>
      </c>
      <c r="O24" s="169">
        <f>J24-M24-N24</f>
        <v>822244</v>
      </c>
      <c r="P24" s="169" t="s">
        <v>932</v>
      </c>
    </row>
    <row r="25" spans="1:16" ht="27.6">
      <c r="A25" s="167">
        <v>3</v>
      </c>
      <c r="B25" s="168" t="s">
        <v>1041</v>
      </c>
      <c r="C25" s="169">
        <f>+O11</f>
        <v>130846</v>
      </c>
      <c r="D25" s="170" t="s">
        <v>935</v>
      </c>
      <c r="E25" s="169">
        <v>130977</v>
      </c>
      <c r="F25" s="169">
        <v>0</v>
      </c>
      <c r="G25" s="169">
        <v>0</v>
      </c>
      <c r="H25" s="169">
        <v>0</v>
      </c>
      <c r="I25" s="169">
        <v>0</v>
      </c>
      <c r="J25" s="169">
        <f>C25+E25+F25-G25-H25+I25</f>
        <v>261823</v>
      </c>
      <c r="K25" s="178">
        <f t="shared" si="2"/>
        <v>104729</v>
      </c>
      <c r="L25" s="169">
        <v>0</v>
      </c>
      <c r="M25" s="169">
        <v>0</v>
      </c>
      <c r="N25" s="169">
        <f>+K25+L25+M25</f>
        <v>104729</v>
      </c>
      <c r="O25" s="169">
        <f>J25-M25-N25</f>
        <v>157094</v>
      </c>
      <c r="P25" s="169" t="s">
        <v>932</v>
      </c>
    </row>
    <row r="26" spans="1:16">
      <c r="A26" s="167">
        <v>4</v>
      </c>
      <c r="B26" s="168" t="s">
        <v>936</v>
      </c>
      <c r="C26" s="169">
        <f>+O12</f>
        <v>351639</v>
      </c>
      <c r="D26" s="170" t="s">
        <v>937</v>
      </c>
      <c r="E26" s="169">
        <v>108354</v>
      </c>
      <c r="F26" s="169">
        <v>0</v>
      </c>
      <c r="G26" s="169">
        <v>0</v>
      </c>
      <c r="H26" s="169">
        <v>0</v>
      </c>
      <c r="I26" s="169">
        <v>0</v>
      </c>
      <c r="J26" s="169">
        <f>C26+E26+F26-G26-H26+I26</f>
        <v>459993</v>
      </c>
      <c r="K26" s="178">
        <f t="shared" si="2"/>
        <v>68999</v>
      </c>
      <c r="L26" s="169">
        <v>0</v>
      </c>
      <c r="M26" s="169">
        <v>0</v>
      </c>
      <c r="N26" s="169">
        <f>+K26+L26+M26</f>
        <v>68999</v>
      </c>
      <c r="O26" s="169">
        <f>J26-M26-N26</f>
        <v>390994</v>
      </c>
      <c r="P26" s="169" t="s">
        <v>932</v>
      </c>
    </row>
    <row r="27" spans="1:16">
      <c r="A27" s="1384" t="s">
        <v>51</v>
      </c>
      <c r="B27" s="1384"/>
      <c r="C27" s="177">
        <f>SUM(C23:C26)</f>
        <v>1891368</v>
      </c>
      <c r="D27" s="178"/>
      <c r="E27" s="177">
        <f t="shared" ref="E27:O27" si="3">SUM(E23:E26)</f>
        <v>239331</v>
      </c>
      <c r="F27" s="177">
        <f t="shared" si="3"/>
        <v>25000</v>
      </c>
      <c r="G27" s="177">
        <f t="shared" si="3"/>
        <v>0</v>
      </c>
      <c r="H27" s="177">
        <f t="shared" si="3"/>
        <v>0</v>
      </c>
      <c r="I27" s="177">
        <f t="shared" si="3"/>
        <v>0</v>
      </c>
      <c r="J27" s="177">
        <f t="shared" si="3"/>
        <v>2155699</v>
      </c>
      <c r="K27" s="177">
        <f t="shared" si="3"/>
        <v>392034</v>
      </c>
      <c r="L27" s="177">
        <f t="shared" si="3"/>
        <v>0</v>
      </c>
      <c r="M27" s="177">
        <f t="shared" si="3"/>
        <v>0</v>
      </c>
      <c r="N27" s="177">
        <f t="shared" si="3"/>
        <v>392034</v>
      </c>
      <c r="O27" s="177">
        <f t="shared" si="3"/>
        <v>1763665</v>
      </c>
      <c r="P27" s="166"/>
    </row>
    <row r="29" spans="1:16">
      <c r="A29" s="1385" t="s">
        <v>1343</v>
      </c>
      <c r="B29" s="1385"/>
      <c r="C29" s="1385"/>
      <c r="D29" s="1385"/>
      <c r="E29" s="1385"/>
      <c r="F29" s="1385"/>
      <c r="G29" s="1385"/>
      <c r="H29" s="1385"/>
      <c r="I29" s="1385"/>
      <c r="J29" s="1385"/>
      <c r="K29" s="1385"/>
      <c r="L29" s="1385"/>
      <c r="M29" s="1385"/>
      <c r="N29" s="1385"/>
      <c r="O29" s="1385"/>
      <c r="P29" s="1385"/>
    </row>
    <row r="32" spans="1:16">
      <c r="A32" s="1384"/>
      <c r="B32" s="1384"/>
      <c r="C32" s="1384"/>
      <c r="D32" s="1384"/>
      <c r="E32" s="1386" t="s">
        <v>916</v>
      </c>
      <c r="F32" s="1386"/>
      <c r="G32" s="1386" t="s">
        <v>917</v>
      </c>
      <c r="H32" s="1386"/>
      <c r="I32" s="1386"/>
      <c r="J32" s="1386"/>
      <c r="K32" s="1386"/>
      <c r="L32" s="1386"/>
      <c r="M32" s="1386"/>
      <c r="N32" s="1386"/>
      <c r="O32" s="1386"/>
      <c r="P32" s="1386"/>
    </row>
    <row r="33" spans="1:16" ht="41.4">
      <c r="A33" s="165" t="s">
        <v>918</v>
      </c>
      <c r="B33" s="165" t="s">
        <v>919</v>
      </c>
      <c r="C33" s="166" t="s">
        <v>920</v>
      </c>
      <c r="D33" s="166" t="s">
        <v>921</v>
      </c>
      <c r="E33" s="166" t="s">
        <v>922</v>
      </c>
      <c r="F33" s="166" t="s">
        <v>923</v>
      </c>
      <c r="G33" s="166" t="s">
        <v>922</v>
      </c>
      <c r="H33" s="166" t="s">
        <v>923</v>
      </c>
      <c r="I33" s="166" t="s">
        <v>924</v>
      </c>
      <c r="J33" s="166" t="s">
        <v>51</v>
      </c>
      <c r="K33" s="166" t="s">
        <v>57</v>
      </c>
      <c r="L33" s="166" t="s">
        <v>925</v>
      </c>
      <c r="M33" s="166" t="s">
        <v>926</v>
      </c>
      <c r="N33" s="166" t="s">
        <v>927</v>
      </c>
      <c r="O33" s="166" t="s">
        <v>928</v>
      </c>
      <c r="P33" s="166" t="s">
        <v>929</v>
      </c>
    </row>
    <row r="34" spans="1:16">
      <c r="A34" s="167">
        <v>1</v>
      </c>
      <c r="B34" s="168" t="s">
        <v>930</v>
      </c>
      <c r="C34" s="169">
        <f>+O23</f>
        <v>393333</v>
      </c>
      <c r="D34" s="170" t="s">
        <v>931</v>
      </c>
      <c r="E34" s="169">
        <v>0</v>
      </c>
      <c r="F34" s="169">
        <v>6000000</v>
      </c>
      <c r="G34" s="169">
        <v>0</v>
      </c>
      <c r="H34" s="169">
        <v>0</v>
      </c>
      <c r="I34" s="169">
        <v>0</v>
      </c>
      <c r="J34" s="169">
        <f>C34+E34+F34-G34-H34+I34</f>
        <v>6393333</v>
      </c>
      <c r="K34" s="178">
        <f t="shared" ref="K34:K36" si="4">ROUND((E34+C34-H34-G34)*D34+(F34/2)*D34,0)</f>
        <v>848333</v>
      </c>
      <c r="L34" s="169">
        <v>0</v>
      </c>
      <c r="M34" s="169">
        <v>0</v>
      </c>
      <c r="N34" s="169">
        <f>+K34+L34+M34</f>
        <v>848333</v>
      </c>
      <c r="O34" s="169">
        <f>J34-M34-N34</f>
        <v>5545000</v>
      </c>
      <c r="P34" s="169" t="s">
        <v>932</v>
      </c>
    </row>
    <row r="35" spans="1:16">
      <c r="A35" s="167">
        <v>2</v>
      </c>
      <c r="B35" s="168" t="s">
        <v>933</v>
      </c>
      <c r="C35" s="169">
        <f>+O24</f>
        <v>822244</v>
      </c>
      <c r="D35" s="170" t="s">
        <v>934</v>
      </c>
      <c r="E35" s="169">
        <v>0</v>
      </c>
      <c r="F35" s="169">
        <v>0</v>
      </c>
      <c r="G35" s="169">
        <v>0</v>
      </c>
      <c r="H35" s="169">
        <v>0</v>
      </c>
      <c r="I35" s="169">
        <v>0</v>
      </c>
      <c r="J35" s="169">
        <f>C35+E35+F35-G35-H35+I35</f>
        <v>822244</v>
      </c>
      <c r="K35" s="178">
        <f t="shared" si="4"/>
        <v>82224</v>
      </c>
      <c r="L35" s="169">
        <v>0</v>
      </c>
      <c r="M35" s="169">
        <v>0</v>
      </c>
      <c r="N35" s="169">
        <f>+K35+L35+M35</f>
        <v>82224</v>
      </c>
      <c r="O35" s="169">
        <f>J35-M35-N35</f>
        <v>740020</v>
      </c>
      <c r="P35" s="169" t="s">
        <v>932</v>
      </c>
    </row>
    <row r="36" spans="1:16" ht="27.6">
      <c r="A36" s="167">
        <v>3</v>
      </c>
      <c r="B36" s="168" t="s">
        <v>1041</v>
      </c>
      <c r="C36" s="169">
        <f>+O25</f>
        <v>157094</v>
      </c>
      <c r="D36" s="170" t="s">
        <v>935</v>
      </c>
      <c r="E36" s="169">
        <v>0</v>
      </c>
      <c r="F36" s="169">
        <v>290491</v>
      </c>
      <c r="G36" s="169">
        <v>0</v>
      </c>
      <c r="H36" s="169">
        <v>0</v>
      </c>
      <c r="I36" s="169">
        <v>0</v>
      </c>
      <c r="J36" s="169">
        <f>C36+E36+F36-G36-H36+I36</f>
        <v>447585</v>
      </c>
      <c r="K36" s="178">
        <f t="shared" si="4"/>
        <v>120936</v>
      </c>
      <c r="L36" s="169">
        <v>0</v>
      </c>
      <c r="M36" s="169">
        <v>0</v>
      </c>
      <c r="N36" s="169">
        <f>+K36+L36+M36</f>
        <v>120936</v>
      </c>
      <c r="O36" s="169">
        <f>J36-M36-N36</f>
        <v>326649</v>
      </c>
      <c r="P36" s="169" t="s">
        <v>932</v>
      </c>
    </row>
    <row r="37" spans="1:16">
      <c r="A37" s="167">
        <v>4</v>
      </c>
      <c r="B37" s="168" t="s">
        <v>936</v>
      </c>
      <c r="C37" s="169">
        <f>+O26</f>
        <v>390994</v>
      </c>
      <c r="D37" s="170" t="s">
        <v>937</v>
      </c>
      <c r="E37" s="169">
        <v>0</v>
      </c>
      <c r="F37" s="169">
        <f>27753</f>
        <v>27753</v>
      </c>
      <c r="G37" s="169">
        <v>0</v>
      </c>
      <c r="H37" s="169">
        <v>6250</v>
      </c>
      <c r="I37" s="169">
        <v>0</v>
      </c>
      <c r="J37" s="169">
        <f>C37+E37+F37-G37-H37+I37</f>
        <v>412497</v>
      </c>
      <c r="K37" s="178">
        <f>ROUND((E37+C37-H37-G37)*D37+(F37/2)*D37,0)</f>
        <v>59793</v>
      </c>
      <c r="L37" s="169">
        <v>0</v>
      </c>
      <c r="M37" s="169">
        <v>0</v>
      </c>
      <c r="N37" s="169">
        <f>+K37+L37+M37</f>
        <v>59793</v>
      </c>
      <c r="O37" s="169">
        <f>J37-M37-N37</f>
        <v>352704</v>
      </c>
      <c r="P37" s="169" t="s">
        <v>932</v>
      </c>
    </row>
    <row r="38" spans="1:16">
      <c r="A38" s="1384" t="s">
        <v>51</v>
      </c>
      <c r="B38" s="1384"/>
      <c r="C38" s="177">
        <f>SUM(C34:C37)</f>
        <v>1763665</v>
      </c>
      <c r="D38" s="178"/>
      <c r="E38" s="177">
        <f t="shared" ref="E38:O38" si="5">SUM(E34:E37)</f>
        <v>0</v>
      </c>
      <c r="F38" s="177">
        <f t="shared" si="5"/>
        <v>6318244</v>
      </c>
      <c r="G38" s="177">
        <f t="shared" si="5"/>
        <v>0</v>
      </c>
      <c r="H38" s="177">
        <f t="shared" si="5"/>
        <v>6250</v>
      </c>
      <c r="I38" s="177">
        <f t="shared" si="5"/>
        <v>0</v>
      </c>
      <c r="J38" s="177">
        <f t="shared" si="5"/>
        <v>8075659</v>
      </c>
      <c r="K38" s="177">
        <f t="shared" si="5"/>
        <v>1111286</v>
      </c>
      <c r="L38" s="177">
        <f t="shared" si="5"/>
        <v>0</v>
      </c>
      <c r="M38" s="177">
        <f t="shared" si="5"/>
        <v>0</v>
      </c>
      <c r="N38" s="177">
        <f t="shared" si="5"/>
        <v>1111286</v>
      </c>
      <c r="O38" s="177">
        <f t="shared" si="5"/>
        <v>6964373</v>
      </c>
      <c r="P38" s="166"/>
    </row>
    <row r="40" spans="1:16">
      <c r="A40" s="1385" t="s">
        <v>1344</v>
      </c>
      <c r="B40" s="1385"/>
      <c r="C40" s="1385"/>
      <c r="D40" s="1385"/>
      <c r="E40" s="1385"/>
      <c r="F40" s="1385"/>
      <c r="G40" s="1385"/>
      <c r="H40" s="1385"/>
      <c r="I40" s="1385"/>
      <c r="J40" s="1385"/>
      <c r="K40" s="1385"/>
      <c r="L40" s="1385"/>
      <c r="M40" s="1385"/>
      <c r="N40" s="1385"/>
      <c r="O40" s="1385"/>
      <c r="P40" s="1385"/>
    </row>
    <row r="43" spans="1:16">
      <c r="A43" s="1384"/>
      <c r="B43" s="1384"/>
      <c r="C43" s="1384"/>
      <c r="D43" s="1384"/>
      <c r="E43" s="1386" t="s">
        <v>916</v>
      </c>
      <c r="F43" s="1386"/>
      <c r="G43" s="1386" t="s">
        <v>917</v>
      </c>
      <c r="H43" s="1386"/>
      <c r="I43" s="1386"/>
      <c r="J43" s="1386"/>
      <c r="K43" s="1386"/>
      <c r="L43" s="1386"/>
      <c r="M43" s="1386"/>
      <c r="N43" s="1386"/>
      <c r="O43" s="1386"/>
      <c r="P43" s="1386"/>
    </row>
    <row r="44" spans="1:16" ht="41.4">
      <c r="A44" s="165" t="s">
        <v>918</v>
      </c>
      <c r="B44" s="165" t="s">
        <v>919</v>
      </c>
      <c r="C44" s="166" t="s">
        <v>920</v>
      </c>
      <c r="D44" s="166" t="s">
        <v>921</v>
      </c>
      <c r="E44" s="166" t="s">
        <v>922</v>
      </c>
      <c r="F44" s="166" t="s">
        <v>923</v>
      </c>
      <c r="G44" s="166" t="s">
        <v>922</v>
      </c>
      <c r="H44" s="166" t="s">
        <v>923</v>
      </c>
      <c r="I44" s="166" t="s">
        <v>924</v>
      </c>
      <c r="J44" s="166" t="s">
        <v>51</v>
      </c>
      <c r="K44" s="166" t="s">
        <v>57</v>
      </c>
      <c r="L44" s="166" t="s">
        <v>925</v>
      </c>
      <c r="M44" s="166" t="s">
        <v>926</v>
      </c>
      <c r="N44" s="166" t="s">
        <v>927</v>
      </c>
      <c r="O44" s="166" t="s">
        <v>928</v>
      </c>
      <c r="P44" s="166" t="s">
        <v>929</v>
      </c>
    </row>
    <row r="45" spans="1:16">
      <c r="A45" s="167">
        <v>1</v>
      </c>
      <c r="B45" s="168" t="s">
        <v>930</v>
      </c>
      <c r="C45" s="169">
        <f>+O34</f>
        <v>5545000</v>
      </c>
      <c r="D45" s="170" t="s">
        <v>931</v>
      </c>
      <c r="E45" s="169">
        <v>0</v>
      </c>
      <c r="F45" s="169">
        <v>12525600</v>
      </c>
      <c r="G45" s="169">
        <v>0</v>
      </c>
      <c r="H45" s="169">
        <v>0</v>
      </c>
      <c r="I45" s="169">
        <v>0</v>
      </c>
      <c r="J45" s="169">
        <f>C45+E45+F45-G45-H45+I45</f>
        <v>18070600</v>
      </c>
      <c r="K45" s="178">
        <f t="shared" ref="K45:K48" si="6">ROUND((E45+C45-H45-G45)*D45+(F45/2)*D45,0)</f>
        <v>2951950</v>
      </c>
      <c r="L45" s="169">
        <v>0</v>
      </c>
      <c r="M45" s="169">
        <v>0</v>
      </c>
      <c r="N45" s="169">
        <f>+K45+L45+M45</f>
        <v>2951950</v>
      </c>
      <c r="O45" s="169">
        <f>J45-M45-N45</f>
        <v>15118650</v>
      </c>
      <c r="P45" s="169" t="s">
        <v>932</v>
      </c>
    </row>
    <row r="46" spans="1:16">
      <c r="A46" s="167">
        <v>2</v>
      </c>
      <c r="B46" s="168" t="s">
        <v>933</v>
      </c>
      <c r="C46" s="169">
        <f>+O35</f>
        <v>740020</v>
      </c>
      <c r="D46" s="170" t="s">
        <v>934</v>
      </c>
      <c r="E46" s="169">
        <v>70160</v>
      </c>
      <c r="F46" s="169">
        <v>436121</v>
      </c>
      <c r="G46" s="169">
        <v>0</v>
      </c>
      <c r="H46" s="169">
        <v>0</v>
      </c>
      <c r="I46" s="169">
        <v>0</v>
      </c>
      <c r="J46" s="169">
        <f>C46+E46+F46-G46-H46+I46</f>
        <v>1246301</v>
      </c>
      <c r="K46" s="178">
        <f t="shared" si="6"/>
        <v>102824</v>
      </c>
      <c r="L46" s="169">
        <v>0</v>
      </c>
      <c r="M46" s="169">
        <v>0</v>
      </c>
      <c r="N46" s="169">
        <f>+K46+L46+M46</f>
        <v>102824</v>
      </c>
      <c r="O46" s="169">
        <f>J46-M46-N46</f>
        <v>1143477</v>
      </c>
      <c r="P46" s="169" t="s">
        <v>932</v>
      </c>
    </row>
    <row r="47" spans="1:16" ht="27.6">
      <c r="A47" s="167">
        <v>3</v>
      </c>
      <c r="B47" s="168" t="s">
        <v>1041</v>
      </c>
      <c r="C47" s="169">
        <f>+O36</f>
        <v>326649</v>
      </c>
      <c r="D47" s="170" t="s">
        <v>935</v>
      </c>
      <c r="E47" s="169">
        <v>0</v>
      </c>
      <c r="F47" s="169">
        <v>0</v>
      </c>
      <c r="G47" s="169">
        <v>0</v>
      </c>
      <c r="H47" s="169">
        <v>0</v>
      </c>
      <c r="I47" s="169">
        <v>0</v>
      </c>
      <c r="J47" s="169">
        <f>C47+E47+F47-G47-H47+I47</f>
        <v>326649</v>
      </c>
      <c r="K47" s="178">
        <f t="shared" si="6"/>
        <v>130660</v>
      </c>
      <c r="L47" s="169">
        <v>0</v>
      </c>
      <c r="M47" s="169">
        <v>0</v>
      </c>
      <c r="N47" s="169">
        <f>+K47+L47+M47</f>
        <v>130660</v>
      </c>
      <c r="O47" s="169">
        <f>J47-M47-N47</f>
        <v>195989</v>
      </c>
      <c r="P47" s="169" t="s">
        <v>932</v>
      </c>
    </row>
    <row r="48" spans="1:16">
      <c r="A48" s="167">
        <v>4</v>
      </c>
      <c r="B48" s="168" t="s">
        <v>936</v>
      </c>
      <c r="C48" s="169">
        <f>+O37</f>
        <v>352704</v>
      </c>
      <c r="D48" s="170" t="s">
        <v>937</v>
      </c>
      <c r="E48" s="169">
        <v>8558</v>
      </c>
      <c r="F48" s="169">
        <v>110688</v>
      </c>
      <c r="G48" s="169">
        <v>0</v>
      </c>
      <c r="H48" s="169">
        <v>0</v>
      </c>
      <c r="I48" s="169">
        <v>0</v>
      </c>
      <c r="J48" s="169">
        <f>C48+E48+F48-G48-H48+I48</f>
        <v>471950</v>
      </c>
      <c r="K48" s="178">
        <f t="shared" si="6"/>
        <v>62491</v>
      </c>
      <c r="L48" s="169">
        <v>0</v>
      </c>
      <c r="M48" s="169">
        <v>0</v>
      </c>
      <c r="N48" s="169">
        <f>+K48+L48+M48</f>
        <v>62491</v>
      </c>
      <c r="O48" s="169">
        <f>J48-M48-N48</f>
        <v>409459</v>
      </c>
      <c r="P48" s="169" t="s">
        <v>932</v>
      </c>
    </row>
    <row r="49" spans="1:16">
      <c r="A49" s="1384" t="s">
        <v>51</v>
      </c>
      <c r="B49" s="1384"/>
      <c r="C49" s="177">
        <f>SUM(C45:C48)</f>
        <v>6964373</v>
      </c>
      <c r="D49" s="178"/>
      <c r="E49" s="177">
        <f t="shared" ref="E49:O49" si="7">SUM(E45:E48)</f>
        <v>78718</v>
      </c>
      <c r="F49" s="177">
        <f t="shared" si="7"/>
        <v>13072409</v>
      </c>
      <c r="G49" s="177">
        <f t="shared" si="7"/>
        <v>0</v>
      </c>
      <c r="H49" s="177">
        <f t="shared" si="7"/>
        <v>0</v>
      </c>
      <c r="I49" s="177">
        <f t="shared" si="7"/>
        <v>0</v>
      </c>
      <c r="J49" s="177">
        <f t="shared" si="7"/>
        <v>20115500</v>
      </c>
      <c r="K49" s="177">
        <f t="shared" si="7"/>
        <v>3247925</v>
      </c>
      <c r="L49" s="177">
        <f t="shared" si="7"/>
        <v>0</v>
      </c>
      <c r="M49" s="177">
        <f t="shared" si="7"/>
        <v>0</v>
      </c>
      <c r="N49" s="177">
        <f t="shared" si="7"/>
        <v>3247925</v>
      </c>
      <c r="O49" s="177">
        <f t="shared" si="7"/>
        <v>16867575</v>
      </c>
      <c r="P49" s="166"/>
    </row>
    <row r="51" spans="1:16">
      <c r="A51" s="1385" t="s">
        <v>1466</v>
      </c>
      <c r="B51" s="1385"/>
      <c r="C51" s="1385"/>
      <c r="D51" s="1385"/>
      <c r="E51" s="1385"/>
      <c r="F51" s="1385"/>
      <c r="G51" s="1385"/>
      <c r="H51" s="1385"/>
      <c r="I51" s="1385"/>
      <c r="J51" s="1385"/>
      <c r="K51" s="1385"/>
      <c r="L51" s="1385"/>
      <c r="M51" s="1385"/>
      <c r="N51" s="1385"/>
      <c r="O51" s="1385"/>
      <c r="P51" s="1385"/>
    </row>
    <row r="54" spans="1:16">
      <c r="A54" s="1384"/>
      <c r="B54" s="1384"/>
      <c r="C54" s="1384"/>
      <c r="D54" s="1384"/>
      <c r="E54" s="1386" t="s">
        <v>916</v>
      </c>
      <c r="F54" s="1386"/>
      <c r="G54" s="1386" t="s">
        <v>917</v>
      </c>
      <c r="H54" s="1386"/>
      <c r="I54" s="1386"/>
      <c r="J54" s="1386"/>
      <c r="K54" s="1386"/>
      <c r="L54" s="1386"/>
      <c r="M54" s="1386"/>
      <c r="N54" s="1386"/>
      <c r="O54" s="1386"/>
      <c r="P54" s="1386"/>
    </row>
    <row r="55" spans="1:16" ht="41.4">
      <c r="A55" s="165" t="s">
        <v>918</v>
      </c>
      <c r="B55" s="165" t="s">
        <v>919</v>
      </c>
      <c r="C55" s="166" t="s">
        <v>920</v>
      </c>
      <c r="D55" s="166" t="s">
        <v>921</v>
      </c>
      <c r="E55" s="166" t="s">
        <v>922</v>
      </c>
      <c r="F55" s="166" t="s">
        <v>923</v>
      </c>
      <c r="G55" s="166" t="s">
        <v>922</v>
      </c>
      <c r="H55" s="166" t="s">
        <v>923</v>
      </c>
      <c r="I55" s="166" t="s">
        <v>924</v>
      </c>
      <c r="J55" s="166" t="s">
        <v>51</v>
      </c>
      <c r="K55" s="166" t="s">
        <v>57</v>
      </c>
      <c r="L55" s="166" t="s">
        <v>925</v>
      </c>
      <c r="M55" s="166" t="s">
        <v>926</v>
      </c>
      <c r="N55" s="166" t="s">
        <v>927</v>
      </c>
      <c r="O55" s="166" t="s">
        <v>928</v>
      </c>
      <c r="P55" s="166" t="s">
        <v>929</v>
      </c>
    </row>
    <row r="56" spans="1:16">
      <c r="A56" s="167">
        <v>1</v>
      </c>
      <c r="B56" s="168" t="s">
        <v>930</v>
      </c>
      <c r="C56" s="169">
        <f>+O45</f>
        <v>15118650</v>
      </c>
      <c r="D56" s="170" t="s">
        <v>931</v>
      </c>
      <c r="E56" s="169">
        <v>136500</v>
      </c>
      <c r="F56" s="169">
        <v>0</v>
      </c>
      <c r="G56" s="169">
        <v>0</v>
      </c>
      <c r="H56" s="169">
        <v>0</v>
      </c>
      <c r="I56" s="169">
        <v>0</v>
      </c>
      <c r="J56" s="169">
        <f>C56+E56+F56-G56-H56+I56</f>
        <v>15255150</v>
      </c>
      <c r="K56" s="178">
        <f t="shared" ref="K56:K59" si="8">ROUND((E56+C56-H56-G56)*D56+(F56/2)*D56,0)</f>
        <v>3813788</v>
      </c>
      <c r="L56" s="169">
        <v>0</v>
      </c>
      <c r="M56" s="169">
        <v>0</v>
      </c>
      <c r="N56" s="169">
        <f>+K56+L56+M56</f>
        <v>3813788</v>
      </c>
      <c r="O56" s="169">
        <f>J56-M56-N56</f>
        <v>11441362</v>
      </c>
      <c r="P56" s="169" t="s">
        <v>932</v>
      </c>
    </row>
    <row r="57" spans="1:16">
      <c r="A57" s="167">
        <v>2</v>
      </c>
      <c r="B57" s="168" t="s">
        <v>933</v>
      </c>
      <c r="C57" s="169">
        <f>+O46</f>
        <v>1143477</v>
      </c>
      <c r="D57" s="170" t="s">
        <v>934</v>
      </c>
      <c r="E57" s="169">
        <v>111300</v>
      </c>
      <c r="F57" s="169">
        <v>0</v>
      </c>
      <c r="G57" s="169">
        <v>0</v>
      </c>
      <c r="H57" s="169">
        <v>0</v>
      </c>
      <c r="I57" s="169">
        <v>0</v>
      </c>
      <c r="J57" s="169">
        <f>C57+E57+F57-G57-H57+I57</f>
        <v>1254777</v>
      </c>
      <c r="K57" s="178">
        <f t="shared" si="8"/>
        <v>125478</v>
      </c>
      <c r="L57" s="169">
        <v>0</v>
      </c>
      <c r="M57" s="169">
        <v>0</v>
      </c>
      <c r="N57" s="169">
        <f>+K57+L57+M57</f>
        <v>125478</v>
      </c>
      <c r="O57" s="169">
        <f>J57-M57-N57</f>
        <v>1129299</v>
      </c>
      <c r="P57" s="169" t="s">
        <v>932</v>
      </c>
    </row>
    <row r="58" spans="1:16" ht="27.6">
      <c r="A58" s="167">
        <v>3</v>
      </c>
      <c r="B58" s="168" t="s">
        <v>1041</v>
      </c>
      <c r="C58" s="169">
        <f>+O47</f>
        <v>195989</v>
      </c>
      <c r="D58" s="170" t="s">
        <v>935</v>
      </c>
      <c r="E58" s="169">
        <v>629707</v>
      </c>
      <c r="F58" s="169">
        <v>76167</v>
      </c>
      <c r="G58" s="169">
        <v>0</v>
      </c>
      <c r="H58" s="169">
        <v>42373</v>
      </c>
      <c r="I58" s="169">
        <v>0</v>
      </c>
      <c r="J58" s="169">
        <f>C58+E58+F58-G58-H58+I58</f>
        <v>859490</v>
      </c>
      <c r="K58" s="178">
        <f t="shared" si="8"/>
        <v>328563</v>
      </c>
      <c r="L58" s="169">
        <v>0</v>
      </c>
      <c r="M58" s="169">
        <v>0</v>
      </c>
      <c r="N58" s="169">
        <f>+K58+L58+M58</f>
        <v>328563</v>
      </c>
      <c r="O58" s="169">
        <f>J58-M58-N58</f>
        <v>530927</v>
      </c>
      <c r="P58" s="169" t="s">
        <v>932</v>
      </c>
    </row>
    <row r="59" spans="1:16">
      <c r="A59" s="167">
        <v>4</v>
      </c>
      <c r="B59" s="168" t="s">
        <v>936</v>
      </c>
      <c r="C59" s="169">
        <f>+O48</f>
        <v>409459</v>
      </c>
      <c r="D59" s="170" t="s">
        <v>937</v>
      </c>
      <c r="E59" s="169">
        <v>124068</v>
      </c>
      <c r="F59" s="169">
        <v>16101</v>
      </c>
      <c r="G59" s="169">
        <v>0</v>
      </c>
      <c r="H59" s="169">
        <v>0</v>
      </c>
      <c r="I59" s="169">
        <v>0</v>
      </c>
      <c r="J59" s="169">
        <f>C59+E59+F59-G59-H59+I59</f>
        <v>549628</v>
      </c>
      <c r="K59" s="178">
        <f t="shared" si="8"/>
        <v>81237</v>
      </c>
      <c r="L59" s="169">
        <v>0</v>
      </c>
      <c r="M59" s="169">
        <v>0</v>
      </c>
      <c r="N59" s="169">
        <f>+K59+L59+M59</f>
        <v>81237</v>
      </c>
      <c r="O59" s="169">
        <f>J59-M59-N59</f>
        <v>468391</v>
      </c>
      <c r="P59" s="169" t="s">
        <v>932</v>
      </c>
    </row>
    <row r="60" spans="1:16">
      <c r="A60" s="1384" t="s">
        <v>51</v>
      </c>
      <c r="B60" s="1384"/>
      <c r="C60" s="177">
        <f>SUM(C56:C59)</f>
        <v>16867575</v>
      </c>
      <c r="D60" s="178"/>
      <c r="E60" s="177">
        <f t="shared" ref="E60:O60" si="9">SUM(E56:E59)</f>
        <v>1001575</v>
      </c>
      <c r="F60" s="177">
        <f t="shared" si="9"/>
        <v>92268</v>
      </c>
      <c r="G60" s="177">
        <f t="shared" si="9"/>
        <v>0</v>
      </c>
      <c r="H60" s="177">
        <f t="shared" si="9"/>
        <v>42373</v>
      </c>
      <c r="I60" s="177">
        <f t="shared" si="9"/>
        <v>0</v>
      </c>
      <c r="J60" s="177">
        <f t="shared" si="9"/>
        <v>17919045</v>
      </c>
      <c r="K60" s="177">
        <f t="shared" si="9"/>
        <v>4349066</v>
      </c>
      <c r="L60" s="177">
        <f t="shared" si="9"/>
        <v>0</v>
      </c>
      <c r="M60" s="177">
        <f t="shared" si="9"/>
        <v>0</v>
      </c>
      <c r="N60" s="177">
        <f t="shared" si="9"/>
        <v>4349066</v>
      </c>
      <c r="O60" s="177">
        <f t="shared" si="9"/>
        <v>13569979</v>
      </c>
      <c r="P60" s="166"/>
    </row>
    <row r="62" spans="1:16">
      <c r="A62" s="1385" t="s">
        <v>1628</v>
      </c>
      <c r="B62" s="1385"/>
      <c r="C62" s="1385"/>
      <c r="D62" s="1385"/>
      <c r="E62" s="1385"/>
      <c r="F62" s="1385"/>
      <c r="G62" s="1385"/>
      <c r="H62" s="1385"/>
      <c r="I62" s="1385"/>
      <c r="J62" s="1385"/>
      <c r="K62" s="1385"/>
      <c r="L62" s="1385"/>
      <c r="M62" s="1385"/>
      <c r="N62" s="1385"/>
      <c r="O62" s="1385"/>
      <c r="P62" s="1385"/>
    </row>
    <row r="65" spans="1:16">
      <c r="A65" s="1384"/>
      <c r="B65" s="1384"/>
      <c r="C65" s="1384"/>
      <c r="D65" s="1384"/>
      <c r="E65" s="1386" t="s">
        <v>916</v>
      </c>
      <c r="F65" s="1386"/>
      <c r="G65" s="1386" t="s">
        <v>917</v>
      </c>
      <c r="H65" s="1386"/>
      <c r="I65" s="1386"/>
      <c r="J65" s="1386"/>
      <c r="K65" s="1386"/>
      <c r="L65" s="1386"/>
      <c r="M65" s="1386"/>
      <c r="N65" s="1386"/>
      <c r="O65" s="1386"/>
      <c r="P65" s="1386"/>
    </row>
    <row r="66" spans="1:16" ht="41.4">
      <c r="A66" s="165" t="s">
        <v>918</v>
      </c>
      <c r="B66" s="165" t="s">
        <v>919</v>
      </c>
      <c r="C66" s="166" t="s">
        <v>920</v>
      </c>
      <c r="D66" s="166" t="s">
        <v>921</v>
      </c>
      <c r="E66" s="166" t="s">
        <v>922</v>
      </c>
      <c r="F66" s="166" t="s">
        <v>923</v>
      </c>
      <c r="G66" s="166" t="s">
        <v>922</v>
      </c>
      <c r="H66" s="166" t="s">
        <v>923</v>
      </c>
      <c r="I66" s="166" t="s">
        <v>924</v>
      </c>
      <c r="J66" s="166" t="s">
        <v>51</v>
      </c>
      <c r="K66" s="166" t="s">
        <v>57</v>
      </c>
      <c r="L66" s="166" t="s">
        <v>925</v>
      </c>
      <c r="M66" s="166" t="s">
        <v>926</v>
      </c>
      <c r="N66" s="166" t="s">
        <v>927</v>
      </c>
      <c r="O66" s="166" t="s">
        <v>928</v>
      </c>
      <c r="P66" s="166" t="s">
        <v>929</v>
      </c>
    </row>
    <row r="67" spans="1:16">
      <c r="A67" s="167">
        <v>1</v>
      </c>
      <c r="B67" s="168" t="s">
        <v>930</v>
      </c>
      <c r="C67" s="169">
        <f>O56</f>
        <v>11441362</v>
      </c>
      <c r="D67" s="170" t="s">
        <v>931</v>
      </c>
      <c r="E67" s="169"/>
      <c r="F67" s="169"/>
      <c r="G67" s="169">
        <v>0</v>
      </c>
      <c r="H67" s="169">
        <v>0</v>
      </c>
      <c r="I67" s="169">
        <v>0</v>
      </c>
      <c r="J67" s="169">
        <f>C67+E67+F67-G67-H67+I67</f>
        <v>11441362</v>
      </c>
      <c r="K67" s="178">
        <f t="shared" ref="K67:K70" si="10">ROUND((E67+C67-H67-G67)*D67+(F67/2)*D67,0)</f>
        <v>2860341</v>
      </c>
      <c r="L67" s="169">
        <v>0</v>
      </c>
      <c r="M67" s="169">
        <v>0</v>
      </c>
      <c r="N67" s="169">
        <f>+K67+L67+M67</f>
        <v>2860341</v>
      </c>
      <c r="O67" s="169">
        <f>J67-M67-N67</f>
        <v>8581021</v>
      </c>
      <c r="P67" s="169" t="s">
        <v>932</v>
      </c>
    </row>
    <row r="68" spans="1:16">
      <c r="A68" s="167">
        <v>2</v>
      </c>
      <c r="B68" s="168" t="s">
        <v>933</v>
      </c>
      <c r="C68" s="169">
        <f t="shared" ref="C68:C70" si="11">O57</f>
        <v>1129299</v>
      </c>
      <c r="D68" s="170" t="s">
        <v>934</v>
      </c>
      <c r="E68" s="169"/>
      <c r="F68" s="169"/>
      <c r="G68" s="169">
        <v>0</v>
      </c>
      <c r="H68" s="169">
        <v>8475</v>
      </c>
      <c r="I68" s="169">
        <v>0</v>
      </c>
      <c r="J68" s="169">
        <f>C68+E68+F68-G68-H68+I68</f>
        <v>1120824</v>
      </c>
      <c r="K68" s="178">
        <f>ROUND((E68+C68-H68-G68)*D68+(F68/2)*D68,0)*0</f>
        <v>0</v>
      </c>
      <c r="L68" s="169">
        <v>0</v>
      </c>
      <c r="M68" s="169">
        <v>0</v>
      </c>
      <c r="N68" s="169">
        <f>+K68+L68+M68</f>
        <v>0</v>
      </c>
      <c r="O68" s="169">
        <f>J68-M68-N68</f>
        <v>1120824</v>
      </c>
      <c r="P68" s="169" t="s">
        <v>1725</v>
      </c>
    </row>
    <row r="69" spans="1:16" ht="27.6">
      <c r="A69" s="167">
        <v>3</v>
      </c>
      <c r="B69" s="168" t="s">
        <v>1041</v>
      </c>
      <c r="C69" s="169">
        <f t="shared" si="11"/>
        <v>530927</v>
      </c>
      <c r="D69" s="170" t="s">
        <v>935</v>
      </c>
      <c r="E69" s="169"/>
      <c r="F69" s="169"/>
      <c r="G69" s="169">
        <v>0</v>
      </c>
      <c r="H69" s="169">
        <v>194598</v>
      </c>
      <c r="I69" s="169">
        <v>0</v>
      </c>
      <c r="J69" s="169">
        <f>C69+E69+F69-G69-H69+I69</f>
        <v>336329</v>
      </c>
      <c r="K69" s="178">
        <f t="shared" si="10"/>
        <v>134532</v>
      </c>
      <c r="L69" s="169">
        <v>0</v>
      </c>
      <c r="M69" s="169">
        <v>0</v>
      </c>
      <c r="N69" s="169">
        <f>+K69+L69+M69</f>
        <v>134532</v>
      </c>
      <c r="O69" s="169">
        <f>J69-M69-N69</f>
        <v>201797</v>
      </c>
      <c r="P69" s="169" t="s">
        <v>932</v>
      </c>
    </row>
    <row r="70" spans="1:16">
      <c r="A70" s="167">
        <v>4</v>
      </c>
      <c r="B70" s="168" t="s">
        <v>936</v>
      </c>
      <c r="C70" s="169">
        <f t="shared" si="11"/>
        <v>468391</v>
      </c>
      <c r="D70" s="170" t="s">
        <v>937</v>
      </c>
      <c r="E70" s="169"/>
      <c r="F70" s="169"/>
      <c r="G70" s="169">
        <v>0</v>
      </c>
      <c r="H70" s="169">
        <v>37072</v>
      </c>
      <c r="I70" s="169">
        <v>0</v>
      </c>
      <c r="J70" s="169">
        <f>C70+E70+F70-G70-H70+I70</f>
        <v>431319</v>
      </c>
      <c r="K70" s="178">
        <f t="shared" si="10"/>
        <v>64698</v>
      </c>
      <c r="L70" s="169">
        <v>0</v>
      </c>
      <c r="M70" s="169">
        <v>0</v>
      </c>
      <c r="N70" s="169">
        <f>+K70+L70+M70</f>
        <v>64698</v>
      </c>
      <c r="O70" s="169">
        <f>J70-M70-N70</f>
        <v>366621</v>
      </c>
      <c r="P70" s="169" t="s">
        <v>932</v>
      </c>
    </row>
    <row r="71" spans="1:16">
      <c r="A71" s="1384" t="s">
        <v>51</v>
      </c>
      <c r="B71" s="1384"/>
      <c r="C71" s="177">
        <f>SUM(C67:C70)</f>
        <v>13569979</v>
      </c>
      <c r="D71" s="178"/>
      <c r="E71" s="177">
        <f t="shared" ref="E71:O71" si="12">SUM(E67:E70)</f>
        <v>0</v>
      </c>
      <c r="F71" s="177">
        <f t="shared" si="12"/>
        <v>0</v>
      </c>
      <c r="G71" s="177">
        <f t="shared" si="12"/>
        <v>0</v>
      </c>
      <c r="H71" s="177">
        <f t="shared" si="12"/>
        <v>240145</v>
      </c>
      <c r="I71" s="177">
        <f t="shared" si="12"/>
        <v>0</v>
      </c>
      <c r="J71" s="177">
        <f t="shared" si="12"/>
        <v>13329834</v>
      </c>
      <c r="K71" s="177">
        <f t="shared" si="12"/>
        <v>3059571</v>
      </c>
      <c r="L71" s="177">
        <f t="shared" si="12"/>
        <v>0</v>
      </c>
      <c r="M71" s="177">
        <f t="shared" si="12"/>
        <v>0</v>
      </c>
      <c r="N71" s="177">
        <f t="shared" si="12"/>
        <v>3059571</v>
      </c>
      <c r="O71" s="177">
        <f t="shared" si="12"/>
        <v>10270263</v>
      </c>
      <c r="P71" s="166"/>
    </row>
  </sheetData>
  <mergeCells count="44">
    <mergeCell ref="A20:P20"/>
    <mergeCell ref="A2:P2"/>
    <mergeCell ref="A3:P3"/>
    <mergeCell ref="A4:P4"/>
    <mergeCell ref="A5:P5"/>
    <mergeCell ref="A6:P6"/>
    <mergeCell ref="A7:D7"/>
    <mergeCell ref="E7:F7"/>
    <mergeCell ref="G7:H7"/>
    <mergeCell ref="I7:P7"/>
    <mergeCell ref="A13:B13"/>
    <mergeCell ref="A14:P14"/>
    <mergeCell ref="A17:P17"/>
    <mergeCell ref="A18:P18"/>
    <mergeCell ref="A19:P19"/>
    <mergeCell ref="A40:P40"/>
    <mergeCell ref="A21:D21"/>
    <mergeCell ref="E21:F21"/>
    <mergeCell ref="G21:H21"/>
    <mergeCell ref="I21:P21"/>
    <mergeCell ref="A27:B27"/>
    <mergeCell ref="A29:P29"/>
    <mergeCell ref="A32:D32"/>
    <mergeCell ref="E32:F32"/>
    <mergeCell ref="G32:H32"/>
    <mergeCell ref="I32:P32"/>
    <mergeCell ref="A38:B38"/>
    <mergeCell ref="A62:P62"/>
    <mergeCell ref="A43:D43"/>
    <mergeCell ref="E43:F43"/>
    <mergeCell ref="G43:H43"/>
    <mergeCell ref="I43:P43"/>
    <mergeCell ref="A49:B49"/>
    <mergeCell ref="A51:P51"/>
    <mergeCell ref="A54:D54"/>
    <mergeCell ref="E54:F54"/>
    <mergeCell ref="G54:H54"/>
    <mergeCell ref="I54:P54"/>
    <mergeCell ref="A60:B60"/>
    <mergeCell ref="A65:D65"/>
    <mergeCell ref="E65:F65"/>
    <mergeCell ref="G65:H65"/>
    <mergeCell ref="I65:P65"/>
    <mergeCell ref="A71:B7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21</vt:i4>
      </vt:variant>
    </vt:vector>
  </HeadingPairs>
  <TitlesOfParts>
    <vt:vector size="53" baseType="lpstr">
      <vt:lpstr>PL</vt:lpstr>
      <vt:lpstr>BS</vt:lpstr>
      <vt:lpstr>Cash flow</vt:lpstr>
      <vt:lpstr>SOCE</vt:lpstr>
      <vt:lpstr>Accounting Policies</vt:lpstr>
      <vt:lpstr>Profit reco</vt:lpstr>
      <vt:lpstr>FA sch</vt:lpstr>
      <vt:lpstr>FA prev year</vt:lpstr>
      <vt:lpstr>Notes</vt:lpstr>
      <vt:lpstr>FA sep</vt:lpstr>
      <vt:lpstr>Employee benefits Note 36</vt:lpstr>
      <vt:lpstr>Note 37</vt:lpstr>
      <vt:lpstr>Note 38 ratios</vt:lpstr>
      <vt:lpstr>Note 39 FVM_1</vt:lpstr>
      <vt:lpstr>Note 39credit &amp; liquidity</vt:lpstr>
      <vt:lpstr>Note 39 FRM2_Currency &amp; price</vt:lpstr>
      <vt:lpstr>Notes 40 to 42</vt:lpstr>
      <vt:lpstr>Notes 43 to 48</vt:lpstr>
      <vt:lpstr>PL Grouping</vt:lpstr>
      <vt:lpstr>BS Grouping</vt:lpstr>
      <vt:lpstr>cash loss</vt:lpstr>
      <vt:lpstr>TB upload</vt:lpstr>
      <vt:lpstr>SDS JBA</vt:lpstr>
      <vt:lpstr>Deferred tax 23-24</vt:lpstr>
      <vt:lpstr>ROU</vt:lpstr>
      <vt:lpstr>Deferred tax 22-23</vt:lpstr>
      <vt:lpstr>Deferred tax 21-22</vt:lpstr>
      <vt:lpstr>Deferred tax 20-21</vt:lpstr>
      <vt:lpstr>Deferred tax 19-20</vt:lpstr>
      <vt:lpstr>Deferred tax 18-19</vt:lpstr>
      <vt:lpstr>Dep as per IT</vt:lpstr>
      <vt:lpstr>Dep as per IT 23-24</vt:lpstr>
      <vt:lpstr>'Note 39credit &amp; liquidity'!_Ref472675261</vt:lpstr>
      <vt:lpstr>'Accounting Policies'!Print_Area</vt:lpstr>
      <vt:lpstr>BS!Print_Area</vt:lpstr>
      <vt:lpstr>'Cash flow'!Print_Area</vt:lpstr>
      <vt:lpstr>'Employee benefits Note 36'!Print_Area</vt:lpstr>
      <vt:lpstr>'FA prev year'!Print_Area</vt:lpstr>
      <vt:lpstr>'FA sch'!Print_Area</vt:lpstr>
      <vt:lpstr>'FA sep'!Print_Area</vt:lpstr>
      <vt:lpstr>'Note 37'!Print_Area</vt:lpstr>
      <vt:lpstr>'Note 39 FVM_1'!Print_Area</vt:lpstr>
      <vt:lpstr>'Note 39credit &amp; liquidity'!Print_Area</vt:lpstr>
      <vt:lpstr>Notes!Print_Area</vt:lpstr>
      <vt:lpstr>'Notes 40 to 42'!Print_Area</vt:lpstr>
      <vt:lpstr>'Notes 43 to 48'!Print_Area</vt:lpstr>
      <vt:lpstr>PL!Print_Area</vt:lpstr>
      <vt:lpstr>'Profit reco'!Print_Area</vt:lpstr>
      <vt:lpstr>SOCE!Print_Area</vt:lpstr>
      <vt:lpstr>'Accounting Policies'!Print_Titles</vt:lpstr>
      <vt:lpstr>'Employee benefits Note 36'!Print_Titles</vt:lpstr>
      <vt:lpstr>'Note 37'!Print_Titles</vt:lpstr>
      <vt:lpstr>Notes!Print_Titles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2024-05-28T13:31:25Z</dcterms:modified>
</cp:coreProperties>
</file>